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45344\Desktop\"/>
    </mc:Choice>
  </mc:AlternateContent>
  <xr:revisionPtr revIDLastSave="0" documentId="13_ncr:1_{AD710196-921D-41DD-BA47-6FD88A2280E1}" xr6:coauthVersionLast="45" xr6:coauthVersionMax="45" xr10:uidLastSave="{00000000-0000-0000-0000-000000000000}"/>
  <bookViews>
    <workbookView xWindow="28680" yWindow="-120" windowWidth="29040" windowHeight="15840" activeTab="6" xr2:uid="{00000000-000D-0000-FFFF-FFFF00000000}"/>
  </bookViews>
  <sheets>
    <sheet name="刷题统计" sheetId="1" r:id="rId1"/>
    <sheet name="Coder-1" sheetId="2" r:id="rId2"/>
    <sheet name="Coder-2" sheetId="3" r:id="rId3"/>
    <sheet name="Coder-3" sheetId="4" r:id="rId4"/>
    <sheet name="Coder-4" sheetId="5" r:id="rId5"/>
    <sheet name="公司分类查询" sheetId="6" r:id="rId6"/>
    <sheet name="Leetcode List" sheetId="7" r:id="rId7"/>
    <sheet name="Leetcode分类顺序表" sheetId="8" r:id="rId8"/>
    <sheet name="Algoexpert.io" sheetId="9" r:id="rId9"/>
  </sheets>
  <definedNames>
    <definedName name="_xlnm._FilterDatabase" localSheetId="6" hidden="1">'Leetcode List'!$A$1:$G$1477</definedName>
    <definedName name="_xlnm._FilterDatabase" localSheetId="7" hidden="1">Leetcode分类顺序表!$A$1:$H$497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9" l="1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G397" i="8"/>
  <c r="F397" i="8"/>
  <c r="E397" i="8"/>
  <c r="C397" i="8"/>
  <c r="B397" i="8"/>
  <c r="G396" i="8"/>
  <c r="F396" i="8"/>
  <c r="E396" i="8"/>
  <c r="C396" i="8"/>
  <c r="B396" i="8"/>
  <c r="G395" i="8"/>
  <c r="F395" i="8"/>
  <c r="E395" i="8"/>
  <c r="C395" i="8"/>
  <c r="B395" i="8"/>
  <c r="G394" i="8"/>
  <c r="F394" i="8"/>
  <c r="E394" i="8"/>
  <c r="C394" i="8"/>
  <c r="B394" i="8"/>
  <c r="G393" i="8"/>
  <c r="F393" i="8"/>
  <c r="E393" i="8"/>
  <c r="C393" i="8"/>
  <c r="B393" i="8"/>
  <c r="G392" i="8"/>
  <c r="F392" i="8"/>
  <c r="E392" i="8"/>
  <c r="C392" i="8"/>
  <c r="B392" i="8"/>
  <c r="G391" i="8"/>
  <c r="F391" i="8"/>
  <c r="E391" i="8"/>
  <c r="C391" i="8"/>
  <c r="B391" i="8"/>
  <c r="G390" i="8"/>
  <c r="F390" i="8"/>
  <c r="E390" i="8"/>
  <c r="C390" i="8"/>
  <c r="B390" i="8"/>
  <c r="G389" i="8"/>
  <c r="F389" i="8"/>
  <c r="E389" i="8"/>
  <c r="C389" i="8"/>
  <c r="B389" i="8"/>
  <c r="G388" i="8"/>
  <c r="F388" i="8"/>
  <c r="E388" i="8"/>
  <c r="C388" i="8"/>
  <c r="B388" i="8"/>
  <c r="G387" i="8"/>
  <c r="F387" i="8"/>
  <c r="E387" i="8"/>
  <c r="C387" i="8"/>
  <c r="B387" i="8"/>
  <c r="G386" i="8"/>
  <c r="F386" i="8"/>
  <c r="E386" i="8"/>
  <c r="C386" i="8"/>
  <c r="B386" i="8"/>
  <c r="G385" i="8"/>
  <c r="F385" i="8"/>
  <c r="E385" i="8"/>
  <c r="C385" i="8"/>
  <c r="B385" i="8"/>
  <c r="G384" i="8"/>
  <c r="F384" i="8"/>
  <c r="E384" i="8"/>
  <c r="C384" i="8"/>
  <c r="B384" i="8"/>
  <c r="G383" i="8"/>
  <c r="F383" i="8"/>
  <c r="E383" i="8"/>
  <c r="C383" i="8"/>
  <c r="B383" i="8"/>
  <c r="G382" i="8"/>
  <c r="F382" i="8"/>
  <c r="E382" i="8"/>
  <c r="C382" i="8"/>
  <c r="B382" i="8"/>
  <c r="G381" i="8"/>
  <c r="F381" i="8"/>
  <c r="E381" i="8"/>
  <c r="C381" i="8"/>
  <c r="B381" i="8"/>
  <c r="G380" i="8"/>
  <c r="F380" i="8"/>
  <c r="E380" i="8"/>
  <c r="C380" i="8"/>
  <c r="B380" i="8"/>
  <c r="G379" i="8"/>
  <c r="F379" i="8"/>
  <c r="E379" i="8"/>
  <c r="C379" i="8"/>
  <c r="B379" i="8"/>
  <c r="G378" i="8"/>
  <c r="F378" i="8"/>
  <c r="E378" i="8"/>
  <c r="C378" i="8"/>
  <c r="B378" i="8"/>
  <c r="G377" i="8"/>
  <c r="F377" i="8"/>
  <c r="E377" i="8"/>
  <c r="C377" i="8"/>
  <c r="B377" i="8"/>
  <c r="G376" i="8"/>
  <c r="F376" i="8"/>
  <c r="E376" i="8"/>
  <c r="C376" i="8"/>
  <c r="B376" i="8"/>
  <c r="G375" i="8"/>
  <c r="F375" i="8"/>
  <c r="E375" i="8"/>
  <c r="C375" i="8"/>
  <c r="B375" i="8"/>
  <c r="G374" i="8"/>
  <c r="F374" i="8"/>
  <c r="E374" i="8"/>
  <c r="C374" i="8"/>
  <c r="B374" i="8"/>
  <c r="G373" i="8"/>
  <c r="F373" i="8"/>
  <c r="E373" i="8"/>
  <c r="C373" i="8"/>
  <c r="B373" i="8"/>
  <c r="G372" i="8"/>
  <c r="F372" i="8"/>
  <c r="E372" i="8"/>
  <c r="C372" i="8"/>
  <c r="B372" i="8"/>
  <c r="G371" i="8"/>
  <c r="F371" i="8"/>
  <c r="E371" i="8"/>
  <c r="C371" i="8"/>
  <c r="B371" i="8"/>
  <c r="G370" i="8"/>
  <c r="F370" i="8"/>
  <c r="E370" i="8"/>
  <c r="C370" i="8"/>
  <c r="B370" i="8"/>
  <c r="G369" i="8"/>
  <c r="F369" i="8"/>
  <c r="E369" i="8"/>
  <c r="C369" i="8"/>
  <c r="B369" i="8"/>
  <c r="G368" i="8"/>
  <c r="F368" i="8"/>
  <c r="E368" i="8"/>
  <c r="C368" i="8"/>
  <c r="B368" i="8"/>
  <c r="G367" i="8"/>
  <c r="F367" i="8"/>
  <c r="E367" i="8"/>
  <c r="C367" i="8"/>
  <c r="B367" i="8"/>
  <c r="G366" i="8"/>
  <c r="F366" i="8"/>
  <c r="E366" i="8"/>
  <c r="C366" i="8"/>
  <c r="B366" i="8"/>
  <c r="G365" i="8"/>
  <c r="F365" i="8"/>
  <c r="E365" i="8"/>
  <c r="C365" i="8"/>
  <c r="B365" i="8"/>
  <c r="G364" i="8"/>
  <c r="F364" i="8"/>
  <c r="E364" i="8"/>
  <c r="C364" i="8"/>
  <c r="B364" i="8"/>
  <c r="G363" i="8"/>
  <c r="F363" i="8"/>
  <c r="E363" i="8"/>
  <c r="C363" i="8"/>
  <c r="B363" i="8"/>
  <c r="G362" i="8"/>
  <c r="F362" i="8"/>
  <c r="E362" i="8"/>
  <c r="C362" i="8"/>
  <c r="B362" i="8"/>
  <c r="G361" i="8"/>
  <c r="F361" i="8"/>
  <c r="E361" i="8"/>
  <c r="C361" i="8"/>
  <c r="B361" i="8"/>
  <c r="G360" i="8"/>
  <c r="F360" i="8"/>
  <c r="E360" i="8"/>
  <c r="C360" i="8"/>
  <c r="B360" i="8"/>
  <c r="G359" i="8"/>
  <c r="F359" i="8"/>
  <c r="E359" i="8"/>
  <c r="C359" i="8"/>
  <c r="B359" i="8"/>
  <c r="G358" i="8"/>
  <c r="F358" i="8"/>
  <c r="E358" i="8"/>
  <c r="C358" i="8"/>
  <c r="B358" i="8"/>
  <c r="G357" i="8"/>
  <c r="F357" i="8"/>
  <c r="E357" i="8"/>
  <c r="C357" i="8"/>
  <c r="B357" i="8"/>
  <c r="G356" i="8"/>
  <c r="F356" i="8"/>
  <c r="E356" i="8"/>
  <c r="C356" i="8"/>
  <c r="B356" i="8"/>
  <c r="G355" i="8"/>
  <c r="F355" i="8"/>
  <c r="E355" i="8"/>
  <c r="C355" i="8"/>
  <c r="B355" i="8"/>
  <c r="G354" i="8"/>
  <c r="F354" i="8"/>
  <c r="E354" i="8"/>
  <c r="C354" i="8"/>
  <c r="B354" i="8"/>
  <c r="G353" i="8"/>
  <c r="F353" i="8"/>
  <c r="E353" i="8"/>
  <c r="C353" i="8"/>
  <c r="B353" i="8"/>
  <c r="G352" i="8"/>
  <c r="F352" i="8"/>
  <c r="E352" i="8"/>
  <c r="C352" i="8"/>
  <c r="B352" i="8"/>
  <c r="G351" i="8"/>
  <c r="F351" i="8"/>
  <c r="E351" i="8"/>
  <c r="C351" i="8"/>
  <c r="B351" i="8"/>
  <c r="G350" i="8"/>
  <c r="F350" i="8"/>
  <c r="E350" i="8"/>
  <c r="C350" i="8"/>
  <c r="B350" i="8"/>
  <c r="G349" i="8"/>
  <c r="F349" i="8"/>
  <c r="E349" i="8"/>
  <c r="C349" i="8"/>
  <c r="B349" i="8"/>
  <c r="G348" i="8"/>
  <c r="F348" i="8"/>
  <c r="E348" i="8"/>
  <c r="C348" i="8"/>
  <c r="B348" i="8"/>
  <c r="G347" i="8"/>
  <c r="F347" i="8"/>
  <c r="E347" i="8"/>
  <c r="C347" i="8"/>
  <c r="B347" i="8"/>
  <c r="G346" i="8"/>
  <c r="F346" i="8"/>
  <c r="E346" i="8"/>
  <c r="C346" i="8"/>
  <c r="B346" i="8"/>
  <c r="G345" i="8"/>
  <c r="F345" i="8"/>
  <c r="E345" i="8"/>
  <c r="C345" i="8"/>
  <c r="B345" i="8"/>
  <c r="G344" i="8"/>
  <c r="F344" i="8"/>
  <c r="E344" i="8"/>
  <c r="C344" i="8"/>
  <c r="B344" i="8"/>
  <c r="G343" i="8"/>
  <c r="F343" i="8"/>
  <c r="E343" i="8"/>
  <c r="C343" i="8"/>
  <c r="B343" i="8"/>
  <c r="G342" i="8"/>
  <c r="F342" i="8"/>
  <c r="E342" i="8"/>
  <c r="C342" i="8"/>
  <c r="B342" i="8"/>
  <c r="G341" i="8"/>
  <c r="F341" i="8"/>
  <c r="E341" i="8"/>
  <c r="C341" i="8"/>
  <c r="B341" i="8"/>
  <c r="G340" i="8"/>
  <c r="F340" i="8"/>
  <c r="E340" i="8"/>
  <c r="C340" i="8"/>
  <c r="B340" i="8"/>
  <c r="G339" i="8"/>
  <c r="F339" i="8"/>
  <c r="E339" i="8"/>
  <c r="C339" i="8"/>
  <c r="B339" i="8"/>
  <c r="G338" i="8"/>
  <c r="F338" i="8"/>
  <c r="E338" i="8"/>
  <c r="C338" i="8"/>
  <c r="B338" i="8"/>
  <c r="G337" i="8"/>
  <c r="F337" i="8"/>
  <c r="E337" i="8"/>
  <c r="C337" i="8"/>
  <c r="B337" i="8"/>
  <c r="G336" i="8"/>
  <c r="F336" i="8"/>
  <c r="E336" i="8"/>
  <c r="C336" i="8"/>
  <c r="B336" i="8"/>
  <c r="G335" i="8"/>
  <c r="F335" i="8"/>
  <c r="E335" i="8"/>
  <c r="C335" i="8"/>
  <c r="B335" i="8"/>
  <c r="G334" i="8"/>
  <c r="F334" i="8"/>
  <c r="E334" i="8"/>
  <c r="C334" i="8"/>
  <c r="B334" i="8"/>
  <c r="G333" i="8"/>
  <c r="F333" i="8"/>
  <c r="E333" i="8"/>
  <c r="C333" i="8"/>
  <c r="B333" i="8"/>
  <c r="G332" i="8"/>
  <c r="F332" i="8"/>
  <c r="E332" i="8"/>
  <c r="C332" i="8"/>
  <c r="B332" i="8"/>
  <c r="G331" i="8"/>
  <c r="F331" i="8"/>
  <c r="E331" i="8"/>
  <c r="C331" i="8"/>
  <c r="B331" i="8"/>
  <c r="G330" i="8"/>
  <c r="F330" i="8"/>
  <c r="E330" i="8"/>
  <c r="C330" i="8"/>
  <c r="B330" i="8"/>
  <c r="G329" i="8"/>
  <c r="F329" i="8"/>
  <c r="E329" i="8"/>
  <c r="C329" i="8"/>
  <c r="B329" i="8"/>
  <c r="G328" i="8"/>
  <c r="F328" i="8"/>
  <c r="E328" i="8"/>
  <c r="C328" i="8"/>
  <c r="B328" i="8"/>
  <c r="G327" i="8"/>
  <c r="F327" i="8"/>
  <c r="E327" i="8"/>
  <c r="C327" i="8"/>
  <c r="B327" i="8"/>
  <c r="G326" i="8"/>
  <c r="F326" i="8"/>
  <c r="E326" i="8"/>
  <c r="C326" i="8"/>
  <c r="B326" i="8"/>
  <c r="G325" i="8"/>
  <c r="F325" i="8"/>
  <c r="E325" i="8"/>
  <c r="C325" i="8"/>
  <c r="B325" i="8"/>
  <c r="G324" i="8"/>
  <c r="F324" i="8"/>
  <c r="E324" i="8"/>
  <c r="C324" i="8"/>
  <c r="B324" i="8"/>
  <c r="G323" i="8"/>
  <c r="F323" i="8"/>
  <c r="E323" i="8"/>
  <c r="C323" i="8"/>
  <c r="B323" i="8"/>
  <c r="G322" i="8"/>
  <c r="F322" i="8"/>
  <c r="E322" i="8"/>
  <c r="C322" i="8"/>
  <c r="B322" i="8"/>
  <c r="G321" i="8"/>
  <c r="F321" i="8"/>
  <c r="E321" i="8"/>
  <c r="C321" i="8"/>
  <c r="B321" i="8"/>
  <c r="G320" i="8"/>
  <c r="F320" i="8"/>
  <c r="E320" i="8"/>
  <c r="C320" i="8"/>
  <c r="B320" i="8"/>
  <c r="G319" i="8"/>
  <c r="F319" i="8"/>
  <c r="E319" i="8"/>
  <c r="C319" i="8"/>
  <c r="B319" i="8"/>
  <c r="G318" i="8"/>
  <c r="F318" i="8"/>
  <c r="E318" i="8"/>
  <c r="C318" i="8"/>
  <c r="B318" i="8"/>
  <c r="G317" i="8"/>
  <c r="F317" i="8"/>
  <c r="E317" i="8"/>
  <c r="C317" i="8"/>
  <c r="B317" i="8"/>
  <c r="G316" i="8"/>
  <c r="F316" i="8"/>
  <c r="E316" i="8"/>
  <c r="C316" i="8"/>
  <c r="B316" i="8"/>
  <c r="G315" i="8"/>
  <c r="F315" i="8"/>
  <c r="E315" i="8"/>
  <c r="C315" i="8"/>
  <c r="B315" i="8"/>
  <c r="G314" i="8"/>
  <c r="F314" i="8"/>
  <c r="E314" i="8"/>
  <c r="C314" i="8"/>
  <c r="B314" i="8"/>
  <c r="G313" i="8"/>
  <c r="F313" i="8"/>
  <c r="E313" i="8"/>
  <c r="C313" i="8"/>
  <c r="B313" i="8"/>
  <c r="G312" i="8"/>
  <c r="F312" i="8"/>
  <c r="E312" i="8"/>
  <c r="C312" i="8"/>
  <c r="B312" i="8"/>
  <c r="G311" i="8"/>
  <c r="F311" i="8"/>
  <c r="E311" i="8"/>
  <c r="C311" i="8"/>
  <c r="B311" i="8"/>
  <c r="G310" i="8"/>
  <c r="F310" i="8"/>
  <c r="E310" i="8"/>
  <c r="C310" i="8"/>
  <c r="B310" i="8"/>
  <c r="G309" i="8"/>
  <c r="F309" i="8"/>
  <c r="E309" i="8"/>
  <c r="C309" i="8"/>
  <c r="B309" i="8"/>
  <c r="G308" i="8"/>
  <c r="F308" i="8"/>
  <c r="E308" i="8"/>
  <c r="C308" i="8"/>
  <c r="B308" i="8"/>
  <c r="G307" i="8"/>
  <c r="F307" i="8"/>
  <c r="E307" i="8"/>
  <c r="C307" i="8"/>
  <c r="B307" i="8"/>
  <c r="G306" i="8"/>
  <c r="F306" i="8"/>
  <c r="E306" i="8"/>
  <c r="C306" i="8"/>
  <c r="B306" i="8"/>
  <c r="G305" i="8"/>
  <c r="F305" i="8"/>
  <c r="E305" i="8"/>
  <c r="C305" i="8"/>
  <c r="B305" i="8"/>
  <c r="G304" i="8"/>
  <c r="F304" i="8"/>
  <c r="E304" i="8"/>
  <c r="C304" i="8"/>
  <c r="B304" i="8"/>
  <c r="G303" i="8"/>
  <c r="F303" i="8"/>
  <c r="E303" i="8"/>
  <c r="C303" i="8"/>
  <c r="B303" i="8"/>
  <c r="G302" i="8"/>
  <c r="F302" i="8"/>
  <c r="E302" i="8"/>
  <c r="C302" i="8"/>
  <c r="B302" i="8"/>
  <c r="G301" i="8"/>
  <c r="F301" i="8"/>
  <c r="E301" i="8"/>
  <c r="C301" i="8"/>
  <c r="B301" i="8"/>
  <c r="G300" i="8"/>
  <c r="F300" i="8"/>
  <c r="E300" i="8"/>
  <c r="C300" i="8"/>
  <c r="B300" i="8"/>
  <c r="G299" i="8"/>
  <c r="F299" i="8"/>
  <c r="E299" i="8"/>
  <c r="C299" i="8"/>
  <c r="B299" i="8"/>
  <c r="G298" i="8"/>
  <c r="F298" i="8"/>
  <c r="E298" i="8"/>
  <c r="C298" i="8"/>
  <c r="B298" i="8"/>
  <c r="G297" i="8"/>
  <c r="F297" i="8"/>
  <c r="E297" i="8"/>
  <c r="C297" i="8"/>
  <c r="B297" i="8"/>
  <c r="G296" i="8"/>
  <c r="F296" i="8"/>
  <c r="E296" i="8"/>
  <c r="C296" i="8"/>
  <c r="B296" i="8"/>
  <c r="G295" i="8"/>
  <c r="F295" i="8"/>
  <c r="E295" i="8"/>
  <c r="C295" i="8"/>
  <c r="B295" i="8"/>
  <c r="G294" i="8"/>
  <c r="F294" i="8"/>
  <c r="E294" i="8"/>
  <c r="C294" i="8"/>
  <c r="B294" i="8"/>
  <c r="G293" i="8"/>
  <c r="F293" i="8"/>
  <c r="E293" i="8"/>
  <c r="C293" i="8"/>
  <c r="B293" i="8"/>
  <c r="G292" i="8"/>
  <c r="F292" i="8"/>
  <c r="E292" i="8"/>
  <c r="C292" i="8"/>
  <c r="B292" i="8"/>
  <c r="G291" i="8"/>
  <c r="F291" i="8"/>
  <c r="E291" i="8"/>
  <c r="C291" i="8"/>
  <c r="B291" i="8"/>
  <c r="G290" i="8"/>
  <c r="F290" i="8"/>
  <c r="E290" i="8"/>
  <c r="C290" i="8"/>
  <c r="B290" i="8"/>
  <c r="G289" i="8"/>
  <c r="F289" i="8"/>
  <c r="E289" i="8"/>
  <c r="C289" i="8"/>
  <c r="B289" i="8"/>
  <c r="G288" i="8"/>
  <c r="F288" i="8"/>
  <c r="E288" i="8"/>
  <c r="C288" i="8"/>
  <c r="B288" i="8"/>
  <c r="G287" i="8"/>
  <c r="F287" i="8"/>
  <c r="E287" i="8"/>
  <c r="C287" i="8"/>
  <c r="B287" i="8"/>
  <c r="G286" i="8"/>
  <c r="F286" i="8"/>
  <c r="E286" i="8"/>
  <c r="C286" i="8"/>
  <c r="B286" i="8"/>
  <c r="G285" i="8"/>
  <c r="F285" i="8"/>
  <c r="E285" i="8"/>
  <c r="C285" i="8"/>
  <c r="B285" i="8"/>
  <c r="G284" i="8"/>
  <c r="F284" i="8"/>
  <c r="E284" i="8"/>
  <c r="C284" i="8"/>
  <c r="B284" i="8"/>
  <c r="G283" i="8"/>
  <c r="F283" i="8"/>
  <c r="E283" i="8"/>
  <c r="C283" i="8"/>
  <c r="B283" i="8"/>
  <c r="G282" i="8"/>
  <c r="F282" i="8"/>
  <c r="E282" i="8"/>
  <c r="C282" i="8"/>
  <c r="B282" i="8"/>
  <c r="G281" i="8"/>
  <c r="F281" i="8"/>
  <c r="E281" i="8"/>
  <c r="C281" i="8"/>
  <c r="B281" i="8"/>
  <c r="G280" i="8"/>
  <c r="F280" i="8"/>
  <c r="E280" i="8"/>
  <c r="C280" i="8"/>
  <c r="B280" i="8"/>
  <c r="G279" i="8"/>
  <c r="F279" i="8"/>
  <c r="E279" i="8"/>
  <c r="C279" i="8"/>
  <c r="B279" i="8"/>
  <c r="G278" i="8"/>
  <c r="F278" i="8"/>
  <c r="E278" i="8"/>
  <c r="C278" i="8"/>
  <c r="B278" i="8"/>
  <c r="G277" i="8"/>
  <c r="F277" i="8"/>
  <c r="E277" i="8"/>
  <c r="C277" i="8"/>
  <c r="B277" i="8"/>
  <c r="G276" i="8"/>
  <c r="F276" i="8"/>
  <c r="E276" i="8"/>
  <c r="C276" i="8"/>
  <c r="B276" i="8"/>
  <c r="G275" i="8"/>
  <c r="F275" i="8"/>
  <c r="E275" i="8"/>
  <c r="C275" i="8"/>
  <c r="B275" i="8"/>
  <c r="G274" i="8"/>
  <c r="F274" i="8"/>
  <c r="E274" i="8"/>
  <c r="C274" i="8"/>
  <c r="B274" i="8"/>
  <c r="G273" i="8"/>
  <c r="F273" i="8"/>
  <c r="E273" i="8"/>
  <c r="C273" i="8"/>
  <c r="B273" i="8"/>
  <c r="G272" i="8"/>
  <c r="F272" i="8"/>
  <c r="E272" i="8"/>
  <c r="C272" i="8"/>
  <c r="B272" i="8"/>
  <c r="G271" i="8"/>
  <c r="F271" i="8"/>
  <c r="E271" i="8"/>
  <c r="C271" i="8"/>
  <c r="B271" i="8"/>
  <c r="G270" i="8"/>
  <c r="F270" i="8"/>
  <c r="E270" i="8"/>
  <c r="C270" i="8"/>
  <c r="B270" i="8"/>
  <c r="G269" i="8"/>
  <c r="F269" i="8"/>
  <c r="E269" i="8"/>
  <c r="C269" i="8"/>
  <c r="B269" i="8"/>
  <c r="G268" i="8"/>
  <c r="F268" i="8"/>
  <c r="E268" i="8"/>
  <c r="C268" i="8"/>
  <c r="B268" i="8"/>
  <c r="G267" i="8"/>
  <c r="F267" i="8"/>
  <c r="E267" i="8"/>
  <c r="C267" i="8"/>
  <c r="B267" i="8"/>
  <c r="G266" i="8"/>
  <c r="F266" i="8"/>
  <c r="E266" i="8"/>
  <c r="C266" i="8"/>
  <c r="B266" i="8"/>
  <c r="G265" i="8"/>
  <c r="F265" i="8"/>
  <c r="E265" i="8"/>
  <c r="C265" i="8"/>
  <c r="B265" i="8"/>
  <c r="G264" i="8"/>
  <c r="F264" i="8"/>
  <c r="E264" i="8"/>
  <c r="C264" i="8"/>
  <c r="B264" i="8"/>
  <c r="G263" i="8"/>
  <c r="F263" i="8"/>
  <c r="E263" i="8"/>
  <c r="C263" i="8"/>
  <c r="B263" i="8"/>
  <c r="G262" i="8"/>
  <c r="F262" i="8"/>
  <c r="E262" i="8"/>
  <c r="C262" i="8"/>
  <c r="B262" i="8"/>
  <c r="G261" i="8"/>
  <c r="F261" i="8"/>
  <c r="E261" i="8"/>
  <c r="C261" i="8"/>
  <c r="B261" i="8"/>
  <c r="G260" i="8"/>
  <c r="F260" i="8"/>
  <c r="E260" i="8"/>
  <c r="C260" i="8"/>
  <c r="B260" i="8"/>
  <c r="G259" i="8"/>
  <c r="F259" i="8"/>
  <c r="E259" i="8"/>
  <c r="C259" i="8"/>
  <c r="B259" i="8"/>
  <c r="G258" i="8"/>
  <c r="F258" i="8"/>
  <c r="E258" i="8"/>
  <c r="C258" i="8"/>
  <c r="B258" i="8"/>
  <c r="G257" i="8"/>
  <c r="F257" i="8"/>
  <c r="E257" i="8"/>
  <c r="C257" i="8"/>
  <c r="B257" i="8"/>
  <c r="G256" i="8"/>
  <c r="F256" i="8"/>
  <c r="E256" i="8"/>
  <c r="C256" i="8"/>
  <c r="B256" i="8"/>
  <c r="G255" i="8"/>
  <c r="F255" i="8"/>
  <c r="E255" i="8"/>
  <c r="C255" i="8"/>
  <c r="B255" i="8"/>
  <c r="G254" i="8"/>
  <c r="F254" i="8"/>
  <c r="E254" i="8"/>
  <c r="C254" i="8"/>
  <c r="B254" i="8"/>
  <c r="G253" i="8"/>
  <c r="F253" i="8"/>
  <c r="E253" i="8"/>
  <c r="C253" i="8"/>
  <c r="B253" i="8"/>
  <c r="G252" i="8"/>
  <c r="F252" i="8"/>
  <c r="E252" i="8"/>
  <c r="C252" i="8"/>
  <c r="B252" i="8"/>
  <c r="G251" i="8"/>
  <c r="F251" i="8"/>
  <c r="E251" i="8"/>
  <c r="C251" i="8"/>
  <c r="B251" i="8"/>
  <c r="G250" i="8"/>
  <c r="F250" i="8"/>
  <c r="E250" i="8"/>
  <c r="C250" i="8"/>
  <c r="B250" i="8"/>
  <c r="G249" i="8"/>
  <c r="F249" i="8"/>
  <c r="E249" i="8"/>
  <c r="C249" i="8"/>
  <c r="B249" i="8"/>
  <c r="G248" i="8"/>
  <c r="F248" i="8"/>
  <c r="E248" i="8"/>
  <c r="C248" i="8"/>
  <c r="B248" i="8"/>
  <c r="G247" i="8"/>
  <c r="F247" i="8"/>
  <c r="E247" i="8"/>
  <c r="C247" i="8"/>
  <c r="B247" i="8"/>
  <c r="G246" i="8"/>
  <c r="F246" i="8"/>
  <c r="E246" i="8"/>
  <c r="C246" i="8"/>
  <c r="B246" i="8"/>
  <c r="G245" i="8"/>
  <c r="F245" i="8"/>
  <c r="E245" i="8"/>
  <c r="C245" i="8"/>
  <c r="B245" i="8"/>
  <c r="G244" i="8"/>
  <c r="F244" i="8"/>
  <c r="E244" i="8"/>
  <c r="C244" i="8"/>
  <c r="B244" i="8"/>
  <c r="G243" i="8"/>
  <c r="F243" i="8"/>
  <c r="E243" i="8"/>
  <c r="C243" i="8"/>
  <c r="B243" i="8"/>
  <c r="G242" i="8"/>
  <c r="F242" i="8"/>
  <c r="E242" i="8"/>
  <c r="C242" i="8"/>
  <c r="B242" i="8"/>
  <c r="G241" i="8"/>
  <c r="F241" i="8"/>
  <c r="E241" i="8"/>
  <c r="C241" i="8"/>
  <c r="B241" i="8"/>
  <c r="G240" i="8"/>
  <c r="F240" i="8"/>
  <c r="E240" i="8"/>
  <c r="C240" i="8"/>
  <c r="B240" i="8"/>
  <c r="G239" i="8"/>
  <c r="F239" i="8"/>
  <c r="E239" i="8"/>
  <c r="C239" i="8"/>
  <c r="B239" i="8"/>
  <c r="G238" i="8"/>
  <c r="F238" i="8"/>
  <c r="E238" i="8"/>
  <c r="C238" i="8"/>
  <c r="B238" i="8"/>
  <c r="G237" i="8"/>
  <c r="F237" i="8"/>
  <c r="E237" i="8"/>
  <c r="C237" i="8"/>
  <c r="B237" i="8"/>
  <c r="G236" i="8"/>
  <c r="F236" i="8"/>
  <c r="E236" i="8"/>
  <c r="C236" i="8"/>
  <c r="B236" i="8"/>
  <c r="G235" i="8"/>
  <c r="F235" i="8"/>
  <c r="E235" i="8"/>
  <c r="C235" i="8"/>
  <c r="B235" i="8"/>
  <c r="G234" i="8"/>
  <c r="F234" i="8"/>
  <c r="E234" i="8"/>
  <c r="C234" i="8"/>
  <c r="B234" i="8"/>
  <c r="G233" i="8"/>
  <c r="F233" i="8"/>
  <c r="E233" i="8"/>
  <c r="C233" i="8"/>
  <c r="B233" i="8"/>
  <c r="G232" i="8"/>
  <c r="F232" i="8"/>
  <c r="E232" i="8"/>
  <c r="C232" i="8"/>
  <c r="B232" i="8"/>
  <c r="G231" i="8"/>
  <c r="F231" i="8"/>
  <c r="E231" i="8"/>
  <c r="C231" i="8"/>
  <c r="B231" i="8"/>
  <c r="G230" i="8"/>
  <c r="F230" i="8"/>
  <c r="E230" i="8"/>
  <c r="C230" i="8"/>
  <c r="B230" i="8"/>
  <c r="G229" i="8"/>
  <c r="F229" i="8"/>
  <c r="E229" i="8"/>
  <c r="C229" i="8"/>
  <c r="B229" i="8"/>
  <c r="G228" i="8"/>
  <c r="F228" i="8"/>
  <c r="E228" i="8"/>
  <c r="C228" i="8"/>
  <c r="B228" i="8"/>
  <c r="G227" i="8"/>
  <c r="F227" i="8"/>
  <c r="E227" i="8"/>
  <c r="C227" i="8"/>
  <c r="B227" i="8"/>
  <c r="G226" i="8"/>
  <c r="F226" i="8"/>
  <c r="E226" i="8"/>
  <c r="C226" i="8"/>
  <c r="B226" i="8"/>
  <c r="G225" i="8"/>
  <c r="F225" i="8"/>
  <c r="E225" i="8"/>
  <c r="C225" i="8"/>
  <c r="B225" i="8"/>
  <c r="G224" i="8"/>
  <c r="F224" i="8"/>
  <c r="E224" i="8"/>
  <c r="C224" i="8"/>
  <c r="B224" i="8"/>
  <c r="G223" i="8"/>
  <c r="F223" i="8"/>
  <c r="E223" i="8"/>
  <c r="C223" i="8"/>
  <c r="B223" i="8"/>
  <c r="G222" i="8"/>
  <c r="F222" i="8"/>
  <c r="E222" i="8"/>
  <c r="C222" i="8"/>
  <c r="B222" i="8"/>
  <c r="G221" i="8"/>
  <c r="F221" i="8"/>
  <c r="E221" i="8"/>
  <c r="C221" i="8"/>
  <c r="B221" i="8"/>
  <c r="G220" i="8"/>
  <c r="F220" i="8"/>
  <c r="E220" i="8"/>
  <c r="C220" i="8"/>
  <c r="B220" i="8"/>
  <c r="G219" i="8"/>
  <c r="F219" i="8"/>
  <c r="E219" i="8"/>
  <c r="C219" i="8"/>
  <c r="B219" i="8"/>
  <c r="G218" i="8"/>
  <c r="F218" i="8"/>
  <c r="E218" i="8"/>
  <c r="C218" i="8"/>
  <c r="B218" i="8"/>
  <c r="G217" i="8"/>
  <c r="F217" i="8"/>
  <c r="E217" i="8"/>
  <c r="C217" i="8"/>
  <c r="B217" i="8"/>
  <c r="G216" i="8"/>
  <c r="F216" i="8"/>
  <c r="E216" i="8"/>
  <c r="C216" i="8"/>
  <c r="B216" i="8"/>
  <c r="G215" i="8"/>
  <c r="F215" i="8"/>
  <c r="E215" i="8"/>
  <c r="C215" i="8"/>
  <c r="B215" i="8"/>
  <c r="G214" i="8"/>
  <c r="F214" i="8"/>
  <c r="E214" i="8"/>
  <c r="C214" i="8"/>
  <c r="B214" i="8"/>
  <c r="G213" i="8"/>
  <c r="F213" i="8"/>
  <c r="E213" i="8"/>
  <c r="C213" i="8"/>
  <c r="B213" i="8"/>
  <c r="G212" i="8"/>
  <c r="F212" i="8"/>
  <c r="E212" i="8"/>
  <c r="C212" i="8"/>
  <c r="B212" i="8"/>
  <c r="G211" i="8"/>
  <c r="F211" i="8"/>
  <c r="E211" i="8"/>
  <c r="C211" i="8"/>
  <c r="B211" i="8"/>
  <c r="G210" i="8"/>
  <c r="F210" i="8"/>
  <c r="E210" i="8"/>
  <c r="C210" i="8"/>
  <c r="B210" i="8"/>
  <c r="G209" i="8"/>
  <c r="F209" i="8"/>
  <c r="E209" i="8"/>
  <c r="C209" i="8"/>
  <c r="B209" i="8"/>
  <c r="G208" i="8"/>
  <c r="F208" i="8"/>
  <c r="E208" i="8"/>
  <c r="C208" i="8"/>
  <c r="B208" i="8"/>
  <c r="G207" i="8"/>
  <c r="F207" i="8"/>
  <c r="E207" i="8"/>
  <c r="C207" i="8"/>
  <c r="B207" i="8"/>
  <c r="G206" i="8"/>
  <c r="F206" i="8"/>
  <c r="E206" i="8"/>
  <c r="C206" i="8"/>
  <c r="B206" i="8"/>
  <c r="G205" i="8"/>
  <c r="F205" i="8"/>
  <c r="E205" i="8"/>
  <c r="C205" i="8"/>
  <c r="B205" i="8"/>
  <c r="G204" i="8"/>
  <c r="F204" i="8"/>
  <c r="E204" i="8"/>
  <c r="C204" i="8"/>
  <c r="B204" i="8"/>
  <c r="G203" i="8"/>
  <c r="F203" i="8"/>
  <c r="E203" i="8"/>
  <c r="C203" i="8"/>
  <c r="B203" i="8"/>
  <c r="G202" i="8"/>
  <c r="F202" i="8"/>
  <c r="E202" i="8"/>
  <c r="C202" i="8"/>
  <c r="B202" i="8"/>
  <c r="G201" i="8"/>
  <c r="F201" i="8"/>
  <c r="E201" i="8"/>
  <c r="C201" i="8"/>
  <c r="B201" i="8"/>
  <c r="G200" i="8"/>
  <c r="F200" i="8"/>
  <c r="E200" i="8"/>
  <c r="C200" i="8"/>
  <c r="B200" i="8"/>
  <c r="G199" i="8"/>
  <c r="F199" i="8"/>
  <c r="E199" i="8"/>
  <c r="C199" i="8"/>
  <c r="B199" i="8"/>
  <c r="G198" i="8"/>
  <c r="F198" i="8"/>
  <c r="E198" i="8"/>
  <c r="C198" i="8"/>
  <c r="B198" i="8"/>
  <c r="G197" i="8"/>
  <c r="F197" i="8"/>
  <c r="E197" i="8"/>
  <c r="C197" i="8"/>
  <c r="B197" i="8"/>
  <c r="G196" i="8"/>
  <c r="F196" i="8"/>
  <c r="E196" i="8"/>
  <c r="C196" i="8"/>
  <c r="B196" i="8"/>
  <c r="G195" i="8"/>
  <c r="F195" i="8"/>
  <c r="E195" i="8"/>
  <c r="C195" i="8"/>
  <c r="B195" i="8"/>
  <c r="G194" i="8"/>
  <c r="F194" i="8"/>
  <c r="E194" i="8"/>
  <c r="C194" i="8"/>
  <c r="B194" i="8"/>
  <c r="G193" i="8"/>
  <c r="F193" i="8"/>
  <c r="E193" i="8"/>
  <c r="C193" i="8"/>
  <c r="B193" i="8"/>
  <c r="G192" i="8"/>
  <c r="F192" i="8"/>
  <c r="E192" i="8"/>
  <c r="C192" i="8"/>
  <c r="B192" i="8"/>
  <c r="G191" i="8"/>
  <c r="F191" i="8"/>
  <c r="E191" i="8"/>
  <c r="C191" i="8"/>
  <c r="B191" i="8"/>
  <c r="G190" i="8"/>
  <c r="F190" i="8"/>
  <c r="E190" i="8"/>
  <c r="C190" i="8"/>
  <c r="B190" i="8"/>
  <c r="G189" i="8"/>
  <c r="F189" i="8"/>
  <c r="E189" i="8"/>
  <c r="C189" i="8"/>
  <c r="B189" i="8"/>
  <c r="G188" i="8"/>
  <c r="F188" i="8"/>
  <c r="E188" i="8"/>
  <c r="C188" i="8"/>
  <c r="B188" i="8"/>
  <c r="G187" i="8"/>
  <c r="F187" i="8"/>
  <c r="E187" i="8"/>
  <c r="C187" i="8"/>
  <c r="B187" i="8"/>
  <c r="G186" i="8"/>
  <c r="F186" i="8"/>
  <c r="E186" i="8"/>
  <c r="C186" i="8"/>
  <c r="B186" i="8"/>
  <c r="G185" i="8"/>
  <c r="F185" i="8"/>
  <c r="E185" i="8"/>
  <c r="C185" i="8"/>
  <c r="B185" i="8"/>
  <c r="G184" i="8"/>
  <c r="F184" i="8"/>
  <c r="E184" i="8"/>
  <c r="C184" i="8"/>
  <c r="B184" i="8"/>
  <c r="G183" i="8"/>
  <c r="F183" i="8"/>
  <c r="E183" i="8"/>
  <c r="C183" i="8"/>
  <c r="B183" i="8"/>
  <c r="G182" i="8"/>
  <c r="F182" i="8"/>
  <c r="E182" i="8"/>
  <c r="C182" i="8"/>
  <c r="B182" i="8"/>
  <c r="G181" i="8"/>
  <c r="F181" i="8"/>
  <c r="E181" i="8"/>
  <c r="C181" i="8"/>
  <c r="B181" i="8"/>
  <c r="G180" i="8"/>
  <c r="F180" i="8"/>
  <c r="E180" i="8"/>
  <c r="C180" i="8"/>
  <c r="B180" i="8"/>
  <c r="G179" i="8"/>
  <c r="F179" i="8"/>
  <c r="E179" i="8"/>
  <c r="C179" i="8"/>
  <c r="B179" i="8"/>
  <c r="G178" i="8"/>
  <c r="F178" i="8"/>
  <c r="E178" i="8"/>
  <c r="C178" i="8"/>
  <c r="B178" i="8"/>
  <c r="G177" i="8"/>
  <c r="F177" i="8"/>
  <c r="E177" i="8"/>
  <c r="C177" i="8"/>
  <c r="B177" i="8"/>
  <c r="G176" i="8"/>
  <c r="F176" i="8"/>
  <c r="E176" i="8"/>
  <c r="C176" i="8"/>
  <c r="B176" i="8"/>
  <c r="G175" i="8"/>
  <c r="F175" i="8"/>
  <c r="E175" i="8"/>
  <c r="C175" i="8"/>
  <c r="B175" i="8"/>
  <c r="G174" i="8"/>
  <c r="F174" i="8"/>
  <c r="E174" i="8"/>
  <c r="C174" i="8"/>
  <c r="B174" i="8"/>
  <c r="G173" i="8"/>
  <c r="F173" i="8"/>
  <c r="E173" i="8"/>
  <c r="C173" i="8"/>
  <c r="B173" i="8"/>
  <c r="G172" i="8"/>
  <c r="F172" i="8"/>
  <c r="E172" i="8"/>
  <c r="C172" i="8"/>
  <c r="B172" i="8"/>
  <c r="G171" i="8"/>
  <c r="F171" i="8"/>
  <c r="E171" i="8"/>
  <c r="C171" i="8"/>
  <c r="B171" i="8"/>
  <c r="G170" i="8"/>
  <c r="F170" i="8"/>
  <c r="E170" i="8"/>
  <c r="C170" i="8"/>
  <c r="B170" i="8"/>
  <c r="G169" i="8"/>
  <c r="F169" i="8"/>
  <c r="E169" i="8"/>
  <c r="C169" i="8"/>
  <c r="B169" i="8"/>
  <c r="G168" i="8"/>
  <c r="F168" i="8"/>
  <c r="E168" i="8"/>
  <c r="C168" i="8"/>
  <c r="B168" i="8"/>
  <c r="G167" i="8"/>
  <c r="F167" i="8"/>
  <c r="E167" i="8"/>
  <c r="C167" i="8"/>
  <c r="B167" i="8"/>
  <c r="G166" i="8"/>
  <c r="F166" i="8"/>
  <c r="E166" i="8"/>
  <c r="C166" i="8"/>
  <c r="B166" i="8"/>
  <c r="G165" i="8"/>
  <c r="F165" i="8"/>
  <c r="E165" i="8"/>
  <c r="C165" i="8"/>
  <c r="B165" i="8"/>
  <c r="G164" i="8"/>
  <c r="F164" i="8"/>
  <c r="E164" i="8"/>
  <c r="C164" i="8"/>
  <c r="B164" i="8"/>
  <c r="G163" i="8"/>
  <c r="F163" i="8"/>
  <c r="E163" i="8"/>
  <c r="C163" i="8"/>
  <c r="B163" i="8"/>
  <c r="G162" i="8"/>
  <c r="F162" i="8"/>
  <c r="E162" i="8"/>
  <c r="C162" i="8"/>
  <c r="B162" i="8"/>
  <c r="G161" i="8"/>
  <c r="F161" i="8"/>
  <c r="E161" i="8"/>
  <c r="C161" i="8"/>
  <c r="B161" i="8"/>
  <c r="G160" i="8"/>
  <c r="F160" i="8"/>
  <c r="E160" i="8"/>
  <c r="C160" i="8"/>
  <c r="B160" i="8"/>
  <c r="G159" i="8"/>
  <c r="F159" i="8"/>
  <c r="E159" i="8"/>
  <c r="C159" i="8"/>
  <c r="B159" i="8"/>
  <c r="G158" i="8"/>
  <c r="F158" i="8"/>
  <c r="E158" i="8"/>
  <c r="C158" i="8"/>
  <c r="B158" i="8"/>
  <c r="G157" i="8"/>
  <c r="F157" i="8"/>
  <c r="E157" i="8"/>
  <c r="C157" i="8"/>
  <c r="B157" i="8"/>
  <c r="G156" i="8"/>
  <c r="F156" i="8"/>
  <c r="E156" i="8"/>
  <c r="C156" i="8"/>
  <c r="B156" i="8"/>
  <c r="G155" i="8"/>
  <c r="F155" i="8"/>
  <c r="E155" i="8"/>
  <c r="C155" i="8"/>
  <c r="B155" i="8"/>
  <c r="G154" i="8"/>
  <c r="F154" i="8"/>
  <c r="E154" i="8"/>
  <c r="C154" i="8"/>
  <c r="B154" i="8"/>
  <c r="G153" i="8"/>
  <c r="F153" i="8"/>
  <c r="E153" i="8"/>
  <c r="C153" i="8"/>
  <c r="B153" i="8"/>
  <c r="G152" i="8"/>
  <c r="F152" i="8"/>
  <c r="E152" i="8"/>
  <c r="C152" i="8"/>
  <c r="B152" i="8"/>
  <c r="G151" i="8"/>
  <c r="F151" i="8"/>
  <c r="E151" i="8"/>
  <c r="C151" i="8"/>
  <c r="B151" i="8"/>
  <c r="G150" i="8"/>
  <c r="F150" i="8"/>
  <c r="E150" i="8"/>
  <c r="C150" i="8"/>
  <c r="B150" i="8"/>
  <c r="G149" i="8"/>
  <c r="F149" i="8"/>
  <c r="E149" i="8"/>
  <c r="C149" i="8"/>
  <c r="B149" i="8"/>
  <c r="G148" i="8"/>
  <c r="F148" i="8"/>
  <c r="E148" i="8"/>
  <c r="C148" i="8"/>
  <c r="B148" i="8"/>
  <c r="G147" i="8"/>
  <c r="F147" i="8"/>
  <c r="E147" i="8"/>
  <c r="C147" i="8"/>
  <c r="B147" i="8"/>
  <c r="G146" i="8"/>
  <c r="F146" i="8"/>
  <c r="E146" i="8"/>
  <c r="C146" i="8"/>
  <c r="B146" i="8"/>
  <c r="G145" i="8"/>
  <c r="F145" i="8"/>
  <c r="E145" i="8"/>
  <c r="C145" i="8"/>
  <c r="B145" i="8"/>
  <c r="G144" i="8"/>
  <c r="F144" i="8"/>
  <c r="E144" i="8"/>
  <c r="C144" i="8"/>
  <c r="B144" i="8"/>
  <c r="G143" i="8"/>
  <c r="F143" i="8"/>
  <c r="E143" i="8"/>
  <c r="C143" i="8"/>
  <c r="B143" i="8"/>
  <c r="G142" i="8"/>
  <c r="F142" i="8"/>
  <c r="E142" i="8"/>
  <c r="C142" i="8"/>
  <c r="B142" i="8"/>
  <c r="G141" i="8"/>
  <c r="F141" i="8"/>
  <c r="E141" i="8"/>
  <c r="C141" i="8"/>
  <c r="B141" i="8"/>
  <c r="G140" i="8"/>
  <c r="F140" i="8"/>
  <c r="E140" i="8"/>
  <c r="C140" i="8"/>
  <c r="B140" i="8"/>
  <c r="G139" i="8"/>
  <c r="F139" i="8"/>
  <c r="E139" i="8"/>
  <c r="C139" i="8"/>
  <c r="B139" i="8"/>
  <c r="G138" i="8"/>
  <c r="F138" i="8"/>
  <c r="E138" i="8"/>
  <c r="C138" i="8"/>
  <c r="B138" i="8"/>
  <c r="G137" i="8"/>
  <c r="F137" i="8"/>
  <c r="E137" i="8"/>
  <c r="C137" i="8"/>
  <c r="B137" i="8"/>
  <c r="G136" i="8"/>
  <c r="F136" i="8"/>
  <c r="E136" i="8"/>
  <c r="C136" i="8"/>
  <c r="B136" i="8"/>
  <c r="G135" i="8"/>
  <c r="F135" i="8"/>
  <c r="E135" i="8"/>
  <c r="C135" i="8"/>
  <c r="B135" i="8"/>
  <c r="G134" i="8"/>
  <c r="F134" i="8"/>
  <c r="E134" i="8"/>
  <c r="C134" i="8"/>
  <c r="B134" i="8"/>
  <c r="G133" i="8"/>
  <c r="F133" i="8"/>
  <c r="E133" i="8"/>
  <c r="C133" i="8"/>
  <c r="B133" i="8"/>
  <c r="G132" i="8"/>
  <c r="F132" i="8"/>
  <c r="E132" i="8"/>
  <c r="C132" i="8"/>
  <c r="B132" i="8"/>
  <c r="G131" i="8"/>
  <c r="F131" i="8"/>
  <c r="E131" i="8"/>
  <c r="C131" i="8"/>
  <c r="B131" i="8"/>
  <c r="G130" i="8"/>
  <c r="F130" i="8"/>
  <c r="E130" i="8"/>
  <c r="C130" i="8"/>
  <c r="B130" i="8"/>
  <c r="G129" i="8"/>
  <c r="F129" i="8"/>
  <c r="E129" i="8"/>
  <c r="C129" i="8"/>
  <c r="B129" i="8"/>
  <c r="G128" i="8"/>
  <c r="F128" i="8"/>
  <c r="E128" i="8"/>
  <c r="C128" i="8"/>
  <c r="B128" i="8"/>
  <c r="G127" i="8"/>
  <c r="F127" i="8"/>
  <c r="E127" i="8"/>
  <c r="C127" i="8"/>
  <c r="B127" i="8"/>
  <c r="G126" i="8"/>
  <c r="F126" i="8"/>
  <c r="E126" i="8"/>
  <c r="C126" i="8"/>
  <c r="B126" i="8"/>
  <c r="G125" i="8"/>
  <c r="F125" i="8"/>
  <c r="E125" i="8"/>
  <c r="C125" i="8"/>
  <c r="B125" i="8"/>
  <c r="G124" i="8"/>
  <c r="F124" i="8"/>
  <c r="E124" i="8"/>
  <c r="C124" i="8"/>
  <c r="B124" i="8"/>
  <c r="G123" i="8"/>
  <c r="F123" i="8"/>
  <c r="E123" i="8"/>
  <c r="C123" i="8"/>
  <c r="B123" i="8"/>
  <c r="G122" i="8"/>
  <c r="F122" i="8"/>
  <c r="E122" i="8"/>
  <c r="C122" i="8"/>
  <c r="B122" i="8"/>
  <c r="G121" i="8"/>
  <c r="F121" i="8"/>
  <c r="E121" i="8"/>
  <c r="C121" i="8"/>
  <c r="B121" i="8"/>
  <c r="G120" i="8"/>
  <c r="F120" i="8"/>
  <c r="E120" i="8"/>
  <c r="C120" i="8"/>
  <c r="B120" i="8"/>
  <c r="G119" i="8"/>
  <c r="F119" i="8"/>
  <c r="E119" i="8"/>
  <c r="C119" i="8"/>
  <c r="B119" i="8"/>
  <c r="G118" i="8"/>
  <c r="F118" i="8"/>
  <c r="E118" i="8"/>
  <c r="C118" i="8"/>
  <c r="B118" i="8"/>
  <c r="G117" i="8"/>
  <c r="F117" i="8"/>
  <c r="E117" i="8"/>
  <c r="C117" i="8"/>
  <c r="B117" i="8"/>
  <c r="G116" i="8"/>
  <c r="F116" i="8"/>
  <c r="E116" i="8"/>
  <c r="C116" i="8"/>
  <c r="B116" i="8"/>
  <c r="G115" i="8"/>
  <c r="F115" i="8"/>
  <c r="E115" i="8"/>
  <c r="C115" i="8"/>
  <c r="B115" i="8"/>
  <c r="G114" i="8"/>
  <c r="F114" i="8"/>
  <c r="E114" i="8"/>
  <c r="C114" i="8"/>
  <c r="B114" i="8"/>
  <c r="G113" i="8"/>
  <c r="F113" i="8"/>
  <c r="E113" i="8"/>
  <c r="C113" i="8"/>
  <c r="B113" i="8"/>
  <c r="G112" i="8"/>
  <c r="F112" i="8"/>
  <c r="E112" i="8"/>
  <c r="C112" i="8"/>
  <c r="B112" i="8"/>
  <c r="G111" i="8"/>
  <c r="F111" i="8"/>
  <c r="E111" i="8"/>
  <c r="C111" i="8"/>
  <c r="B111" i="8"/>
  <c r="G110" i="8"/>
  <c r="F110" i="8"/>
  <c r="E110" i="8"/>
  <c r="C110" i="8"/>
  <c r="B110" i="8"/>
  <c r="G109" i="8"/>
  <c r="F109" i="8"/>
  <c r="E109" i="8"/>
  <c r="C109" i="8"/>
  <c r="B109" i="8"/>
  <c r="G108" i="8"/>
  <c r="F108" i="8"/>
  <c r="E108" i="8"/>
  <c r="C108" i="8"/>
  <c r="B108" i="8"/>
  <c r="G107" i="8"/>
  <c r="F107" i="8"/>
  <c r="E107" i="8"/>
  <c r="C107" i="8"/>
  <c r="B107" i="8"/>
  <c r="G106" i="8"/>
  <c r="F106" i="8"/>
  <c r="E106" i="8"/>
  <c r="C106" i="8"/>
  <c r="B106" i="8"/>
  <c r="G105" i="8"/>
  <c r="F105" i="8"/>
  <c r="E105" i="8"/>
  <c r="C105" i="8"/>
  <c r="B105" i="8"/>
  <c r="G104" i="8"/>
  <c r="F104" i="8"/>
  <c r="E104" i="8"/>
  <c r="C104" i="8"/>
  <c r="B104" i="8"/>
  <c r="G103" i="8"/>
  <c r="F103" i="8"/>
  <c r="E103" i="8"/>
  <c r="C103" i="8"/>
  <c r="B103" i="8"/>
  <c r="G102" i="8"/>
  <c r="F102" i="8"/>
  <c r="E102" i="8"/>
  <c r="C102" i="8"/>
  <c r="B102" i="8"/>
  <c r="G101" i="8"/>
  <c r="F101" i="8"/>
  <c r="E101" i="8"/>
  <c r="C101" i="8"/>
  <c r="B101" i="8"/>
  <c r="G100" i="8"/>
  <c r="F100" i="8"/>
  <c r="E100" i="8"/>
  <c r="C100" i="8"/>
  <c r="B100" i="8"/>
  <c r="G99" i="8"/>
  <c r="F99" i="8"/>
  <c r="E99" i="8"/>
  <c r="C99" i="8"/>
  <c r="B99" i="8"/>
  <c r="G98" i="8"/>
  <c r="F98" i="8"/>
  <c r="E98" i="8"/>
  <c r="C98" i="8"/>
  <c r="B98" i="8"/>
  <c r="G97" i="8"/>
  <c r="F97" i="8"/>
  <c r="E97" i="8"/>
  <c r="C97" i="8"/>
  <c r="B97" i="8"/>
  <c r="G96" i="8"/>
  <c r="F96" i="8"/>
  <c r="E96" i="8"/>
  <c r="C96" i="8"/>
  <c r="B96" i="8"/>
  <c r="G95" i="8"/>
  <c r="F95" i="8"/>
  <c r="E95" i="8"/>
  <c r="C95" i="8"/>
  <c r="B95" i="8"/>
  <c r="G94" i="8"/>
  <c r="F94" i="8"/>
  <c r="E94" i="8"/>
  <c r="C94" i="8"/>
  <c r="B94" i="8"/>
  <c r="G93" i="8"/>
  <c r="F93" i="8"/>
  <c r="E93" i="8"/>
  <c r="C93" i="8"/>
  <c r="B93" i="8"/>
  <c r="G92" i="8"/>
  <c r="F92" i="8"/>
  <c r="E92" i="8"/>
  <c r="C92" i="8"/>
  <c r="B92" i="8"/>
  <c r="G91" i="8"/>
  <c r="F91" i="8"/>
  <c r="E91" i="8"/>
  <c r="C91" i="8"/>
  <c r="B91" i="8"/>
  <c r="G90" i="8"/>
  <c r="F90" i="8"/>
  <c r="E90" i="8"/>
  <c r="C90" i="8"/>
  <c r="B90" i="8"/>
  <c r="G89" i="8"/>
  <c r="F89" i="8"/>
  <c r="E89" i="8"/>
  <c r="C89" i="8"/>
  <c r="B89" i="8"/>
  <c r="G88" i="8"/>
  <c r="F88" i="8"/>
  <c r="E88" i="8"/>
  <c r="C88" i="8"/>
  <c r="B88" i="8"/>
  <c r="G87" i="8"/>
  <c r="F87" i="8"/>
  <c r="E87" i="8"/>
  <c r="C87" i="8"/>
  <c r="B87" i="8"/>
  <c r="G86" i="8"/>
  <c r="F86" i="8"/>
  <c r="E86" i="8"/>
  <c r="C86" i="8"/>
  <c r="B86" i="8"/>
  <c r="G85" i="8"/>
  <c r="F85" i="8"/>
  <c r="E85" i="8"/>
  <c r="C85" i="8"/>
  <c r="B85" i="8"/>
  <c r="G84" i="8"/>
  <c r="F84" i="8"/>
  <c r="E84" i="8"/>
  <c r="C84" i="8"/>
  <c r="B84" i="8"/>
  <c r="G83" i="8"/>
  <c r="F83" i="8"/>
  <c r="E83" i="8"/>
  <c r="C83" i="8"/>
  <c r="B83" i="8"/>
  <c r="G82" i="8"/>
  <c r="F82" i="8"/>
  <c r="E82" i="8"/>
  <c r="C82" i="8"/>
  <c r="B82" i="8"/>
  <c r="G81" i="8"/>
  <c r="F81" i="8"/>
  <c r="E81" i="8"/>
  <c r="C81" i="8"/>
  <c r="B81" i="8"/>
  <c r="G80" i="8"/>
  <c r="F80" i="8"/>
  <c r="E80" i="8"/>
  <c r="C80" i="8"/>
  <c r="B80" i="8"/>
  <c r="G79" i="8"/>
  <c r="F79" i="8"/>
  <c r="E79" i="8"/>
  <c r="C79" i="8"/>
  <c r="B79" i="8"/>
  <c r="G78" i="8"/>
  <c r="F78" i="8"/>
  <c r="E78" i="8"/>
  <c r="C78" i="8"/>
  <c r="B78" i="8"/>
  <c r="G77" i="8"/>
  <c r="F77" i="8"/>
  <c r="E77" i="8"/>
  <c r="C77" i="8"/>
  <c r="B77" i="8"/>
  <c r="G76" i="8"/>
  <c r="F76" i="8"/>
  <c r="E76" i="8"/>
  <c r="C76" i="8"/>
  <c r="B76" i="8"/>
  <c r="G75" i="8"/>
  <c r="F75" i="8"/>
  <c r="E75" i="8"/>
  <c r="C75" i="8"/>
  <c r="B75" i="8"/>
  <c r="G54" i="8"/>
  <c r="F54" i="8"/>
  <c r="E54" i="8"/>
  <c r="C54" i="8"/>
  <c r="B54" i="8"/>
  <c r="G37" i="8"/>
  <c r="F37" i="8"/>
  <c r="E37" i="8"/>
  <c r="C37" i="8"/>
  <c r="B37" i="8"/>
  <c r="G40" i="8"/>
  <c r="F40" i="8"/>
  <c r="E40" i="8"/>
  <c r="C40" i="8"/>
  <c r="B40" i="8"/>
  <c r="G16" i="8"/>
  <c r="F16" i="8"/>
  <c r="E16" i="8"/>
  <c r="C16" i="8"/>
  <c r="B16" i="8"/>
  <c r="G3" i="8"/>
  <c r="F3" i="8"/>
  <c r="E3" i="8"/>
  <c r="C3" i="8"/>
  <c r="B3" i="8"/>
  <c r="G52" i="8"/>
  <c r="F52" i="8"/>
  <c r="E52" i="8"/>
  <c r="C52" i="8"/>
  <c r="B52" i="8"/>
  <c r="G34" i="8"/>
  <c r="F34" i="8"/>
  <c r="E34" i="8"/>
  <c r="C34" i="8"/>
  <c r="B34" i="8"/>
  <c r="G33" i="8"/>
  <c r="F33" i="8"/>
  <c r="E33" i="8"/>
  <c r="C33" i="8"/>
  <c r="B33" i="8"/>
  <c r="G41" i="8"/>
  <c r="F41" i="8"/>
  <c r="E41" i="8"/>
  <c r="C41" i="8"/>
  <c r="B41" i="8"/>
  <c r="G28" i="8"/>
  <c r="F28" i="8"/>
  <c r="E28" i="8"/>
  <c r="C28" i="8"/>
  <c r="B28" i="8"/>
  <c r="G64" i="8"/>
  <c r="F64" i="8"/>
  <c r="E64" i="8"/>
  <c r="C64" i="8"/>
  <c r="B64" i="8"/>
  <c r="G60" i="8"/>
  <c r="F60" i="8"/>
  <c r="E60" i="8"/>
  <c r="C60" i="8"/>
  <c r="B60" i="8"/>
  <c r="G35" i="8"/>
  <c r="F35" i="8"/>
  <c r="E35" i="8"/>
  <c r="C35" i="8"/>
  <c r="B35" i="8"/>
  <c r="G55" i="8"/>
  <c r="F55" i="8"/>
  <c r="E55" i="8"/>
  <c r="C55" i="8"/>
  <c r="B55" i="8"/>
  <c r="G69" i="8"/>
  <c r="F69" i="8"/>
  <c r="E69" i="8"/>
  <c r="C69" i="8"/>
  <c r="B69" i="8"/>
  <c r="G2" i="8"/>
  <c r="F2" i="8"/>
  <c r="E2" i="8"/>
  <c r="C2" i="8"/>
  <c r="B2" i="8"/>
  <c r="G43" i="8"/>
  <c r="F43" i="8"/>
  <c r="E43" i="8"/>
  <c r="C43" i="8"/>
  <c r="B43" i="8"/>
  <c r="G7" i="8"/>
  <c r="F7" i="8"/>
  <c r="E7" i="8"/>
  <c r="C7" i="8"/>
  <c r="B7" i="8"/>
  <c r="G22" i="8"/>
  <c r="F22" i="8"/>
  <c r="E22" i="8"/>
  <c r="C22" i="8"/>
  <c r="B22" i="8"/>
  <c r="G45" i="8"/>
  <c r="F45" i="8"/>
  <c r="E45" i="8"/>
  <c r="C45" i="8"/>
  <c r="B45" i="8"/>
  <c r="G73" i="8"/>
  <c r="F73" i="8"/>
  <c r="E73" i="8"/>
  <c r="C73" i="8"/>
  <c r="B73" i="8"/>
  <c r="G44" i="8"/>
  <c r="F44" i="8"/>
  <c r="E44" i="8"/>
  <c r="C44" i="8"/>
  <c r="B44" i="8"/>
  <c r="G66" i="8"/>
  <c r="F66" i="8"/>
  <c r="E66" i="8"/>
  <c r="C66" i="8"/>
  <c r="B66" i="8"/>
  <c r="G5" i="8"/>
  <c r="F5" i="8"/>
  <c r="E5" i="8"/>
  <c r="C5" i="8"/>
  <c r="B5" i="8"/>
  <c r="G48" i="8"/>
  <c r="F48" i="8"/>
  <c r="E48" i="8"/>
  <c r="C48" i="8"/>
  <c r="B48" i="8"/>
  <c r="G24" i="8"/>
  <c r="F24" i="8"/>
  <c r="E24" i="8"/>
  <c r="C24" i="8"/>
  <c r="B24" i="8"/>
  <c r="G25" i="8"/>
  <c r="F25" i="8"/>
  <c r="E25" i="8"/>
  <c r="C25" i="8"/>
  <c r="B25" i="8"/>
  <c r="G32" i="8"/>
  <c r="F32" i="8"/>
  <c r="E32" i="8"/>
  <c r="C32" i="8"/>
  <c r="B32" i="8"/>
  <c r="G36" i="8"/>
  <c r="F36" i="8"/>
  <c r="E36" i="8"/>
  <c r="C36" i="8"/>
  <c r="B36" i="8"/>
  <c r="G23" i="8"/>
  <c r="F23" i="8"/>
  <c r="E23" i="8"/>
  <c r="C23" i="8"/>
  <c r="B23" i="8"/>
  <c r="G27" i="8"/>
  <c r="F27" i="8"/>
  <c r="E27" i="8"/>
  <c r="C27" i="8"/>
  <c r="B27" i="8"/>
  <c r="G11" i="8"/>
  <c r="F11" i="8"/>
  <c r="E11" i="8"/>
  <c r="C11" i="8"/>
  <c r="B11" i="8"/>
  <c r="G46" i="8"/>
  <c r="F46" i="8"/>
  <c r="E46" i="8"/>
  <c r="C46" i="8"/>
  <c r="B46" i="8"/>
  <c r="G63" i="8"/>
  <c r="F63" i="8"/>
  <c r="E63" i="8"/>
  <c r="C63" i="8"/>
  <c r="B63" i="8"/>
  <c r="G13" i="8"/>
  <c r="F13" i="8"/>
  <c r="E13" i="8"/>
  <c r="C13" i="8"/>
  <c r="B13" i="8"/>
  <c r="G58" i="8"/>
  <c r="F58" i="8"/>
  <c r="E58" i="8"/>
  <c r="C58" i="8"/>
  <c r="B58" i="8"/>
  <c r="G72" i="8"/>
  <c r="F72" i="8"/>
  <c r="E72" i="8"/>
  <c r="C72" i="8"/>
  <c r="B72" i="8"/>
  <c r="G70" i="8"/>
  <c r="F70" i="8"/>
  <c r="E70" i="8"/>
  <c r="C70" i="8"/>
  <c r="B70" i="8"/>
  <c r="G61" i="8"/>
  <c r="F61" i="8"/>
  <c r="E61" i="8"/>
  <c r="C61" i="8"/>
  <c r="B61" i="8"/>
  <c r="G67" i="8"/>
  <c r="F67" i="8"/>
  <c r="E67" i="8"/>
  <c r="C67" i="8"/>
  <c r="B67" i="8"/>
  <c r="G12" i="8"/>
  <c r="F12" i="8"/>
  <c r="E12" i="8"/>
  <c r="C12" i="8"/>
  <c r="B12" i="8"/>
  <c r="G57" i="8"/>
  <c r="F57" i="8"/>
  <c r="E57" i="8"/>
  <c r="C57" i="8"/>
  <c r="B57" i="8"/>
  <c r="G29" i="8"/>
  <c r="F29" i="8"/>
  <c r="E29" i="8"/>
  <c r="C29" i="8"/>
  <c r="B29" i="8"/>
  <c r="G42" i="8"/>
  <c r="F42" i="8"/>
  <c r="E42" i="8"/>
  <c r="C42" i="8"/>
  <c r="B42" i="8"/>
  <c r="G20" i="8"/>
  <c r="F20" i="8"/>
  <c r="E20" i="8"/>
  <c r="C20" i="8"/>
  <c r="B20" i="8"/>
  <c r="G17" i="8"/>
  <c r="F17" i="8"/>
  <c r="E17" i="8"/>
  <c r="C17" i="8"/>
  <c r="B17" i="8"/>
  <c r="G26" i="8"/>
  <c r="F26" i="8"/>
  <c r="E26" i="8"/>
  <c r="C26" i="8"/>
  <c r="B26" i="8"/>
  <c r="G71" i="8"/>
  <c r="F71" i="8"/>
  <c r="E71" i="8"/>
  <c r="C71" i="8"/>
  <c r="B71" i="8"/>
  <c r="G50" i="8"/>
  <c r="F50" i="8"/>
  <c r="E50" i="8"/>
  <c r="C50" i="8"/>
  <c r="B50" i="8"/>
  <c r="G8" i="8"/>
  <c r="F8" i="8"/>
  <c r="E8" i="8"/>
  <c r="C8" i="8"/>
  <c r="B8" i="8"/>
  <c r="G18" i="8"/>
  <c r="F18" i="8"/>
  <c r="E18" i="8"/>
  <c r="C18" i="8"/>
  <c r="B18" i="8"/>
  <c r="G68" i="8"/>
  <c r="F68" i="8"/>
  <c r="E68" i="8"/>
  <c r="C68" i="8"/>
  <c r="B68" i="8"/>
  <c r="G59" i="8"/>
  <c r="F59" i="8"/>
  <c r="E59" i="8"/>
  <c r="C59" i="8"/>
  <c r="B59" i="8"/>
  <c r="G74" i="8"/>
  <c r="F74" i="8"/>
  <c r="E74" i="8"/>
  <c r="C74" i="8"/>
  <c r="B74" i="8"/>
  <c r="G49" i="8"/>
  <c r="F49" i="8"/>
  <c r="E49" i="8"/>
  <c r="C49" i="8"/>
  <c r="B49" i="8"/>
  <c r="G9" i="8"/>
  <c r="F9" i="8"/>
  <c r="E9" i="8"/>
  <c r="C9" i="8"/>
  <c r="B9" i="8"/>
  <c r="G10" i="8"/>
  <c r="F10" i="8"/>
  <c r="E10" i="8"/>
  <c r="C10" i="8"/>
  <c r="B10" i="8"/>
  <c r="G14" i="8"/>
  <c r="F14" i="8"/>
  <c r="E14" i="8"/>
  <c r="C14" i="8"/>
  <c r="B14" i="8"/>
  <c r="G4" i="8"/>
  <c r="F4" i="8"/>
  <c r="E4" i="8"/>
  <c r="C4" i="8"/>
  <c r="B4" i="8"/>
  <c r="G51" i="8"/>
  <c r="F51" i="8"/>
  <c r="E51" i="8"/>
  <c r="C51" i="8"/>
  <c r="B51" i="8"/>
  <c r="G53" i="8"/>
  <c r="F53" i="8"/>
  <c r="E53" i="8"/>
  <c r="C53" i="8"/>
  <c r="B53" i="8"/>
  <c r="G56" i="8"/>
  <c r="F56" i="8"/>
  <c r="E56" i="8"/>
  <c r="C56" i="8"/>
  <c r="B56" i="8"/>
  <c r="G6" i="8"/>
  <c r="F6" i="8"/>
  <c r="E6" i="8"/>
  <c r="C6" i="8"/>
  <c r="B6" i="8"/>
  <c r="G19" i="8"/>
  <c r="F19" i="8"/>
  <c r="E19" i="8"/>
  <c r="C19" i="8"/>
  <c r="B19" i="8"/>
  <c r="G15" i="8"/>
  <c r="F15" i="8"/>
  <c r="E15" i="8"/>
  <c r="C15" i="8"/>
  <c r="B15" i="8"/>
  <c r="G47" i="8"/>
  <c r="F47" i="8"/>
  <c r="E47" i="8"/>
  <c r="C47" i="8"/>
  <c r="B47" i="8"/>
  <c r="G38" i="8"/>
  <c r="F38" i="8"/>
  <c r="E38" i="8"/>
  <c r="C38" i="8"/>
  <c r="B38" i="8"/>
  <c r="G65" i="8"/>
  <c r="F65" i="8"/>
  <c r="E65" i="8"/>
  <c r="C65" i="8"/>
  <c r="B65" i="8"/>
  <c r="G62" i="8"/>
  <c r="F62" i="8"/>
  <c r="E62" i="8"/>
  <c r="C62" i="8"/>
  <c r="B62" i="8"/>
  <c r="G39" i="8"/>
  <c r="F39" i="8"/>
  <c r="E39" i="8"/>
  <c r="C39" i="8"/>
  <c r="B39" i="8"/>
  <c r="G31" i="8"/>
  <c r="F31" i="8"/>
  <c r="E31" i="8"/>
  <c r="C31" i="8"/>
  <c r="B31" i="8"/>
  <c r="G30" i="8"/>
  <c r="F30" i="8"/>
  <c r="E30" i="8"/>
  <c r="C30" i="8"/>
  <c r="B30" i="8"/>
  <c r="G21" i="8"/>
  <c r="F21" i="8"/>
  <c r="E21" i="8"/>
  <c r="C21" i="8"/>
  <c r="B21" i="8"/>
  <c r="G62" i="6"/>
  <c r="F62" i="6"/>
  <c r="E62" i="6"/>
  <c r="D62" i="6"/>
  <c r="C62" i="6"/>
  <c r="B62" i="6"/>
  <c r="A62" i="6"/>
  <c r="G61" i="6"/>
  <c r="F61" i="6"/>
  <c r="E61" i="6"/>
  <c r="D61" i="6"/>
  <c r="C61" i="6"/>
  <c r="B61" i="6"/>
  <c r="A61" i="6"/>
  <c r="G60" i="6"/>
  <c r="F60" i="6"/>
  <c r="E60" i="6"/>
  <c r="D60" i="6"/>
  <c r="C60" i="6"/>
  <c r="B60" i="6"/>
  <c r="A60" i="6"/>
  <c r="G59" i="6"/>
  <c r="F59" i="6"/>
  <c r="E59" i="6"/>
  <c r="D59" i="6"/>
  <c r="C59" i="6"/>
  <c r="B59" i="6"/>
  <c r="A59" i="6"/>
  <c r="G58" i="6"/>
  <c r="F58" i="6"/>
  <c r="E58" i="6"/>
  <c r="D58" i="6"/>
  <c r="C58" i="6"/>
  <c r="B58" i="6"/>
  <c r="A58" i="6"/>
  <c r="G57" i="6"/>
  <c r="F57" i="6"/>
  <c r="E57" i="6"/>
  <c r="D57" i="6"/>
  <c r="C57" i="6"/>
  <c r="B57" i="6"/>
  <c r="A57" i="6"/>
  <c r="G56" i="6"/>
  <c r="F56" i="6"/>
  <c r="E56" i="6"/>
  <c r="D56" i="6"/>
  <c r="C56" i="6"/>
  <c r="B56" i="6"/>
  <c r="A56" i="6"/>
  <c r="G55" i="6"/>
  <c r="F55" i="6"/>
  <c r="E55" i="6"/>
  <c r="D55" i="6"/>
  <c r="C55" i="6"/>
  <c r="B55" i="6"/>
  <c r="A55" i="6"/>
  <c r="G54" i="6"/>
  <c r="F54" i="6"/>
  <c r="E54" i="6"/>
  <c r="D54" i="6"/>
  <c r="C54" i="6"/>
  <c r="B54" i="6"/>
  <c r="A54" i="6"/>
  <c r="G53" i="6"/>
  <c r="F53" i="6"/>
  <c r="E53" i="6"/>
  <c r="D53" i="6"/>
  <c r="C53" i="6"/>
  <c r="B53" i="6"/>
  <c r="A53" i="6"/>
  <c r="G52" i="6"/>
  <c r="F52" i="6"/>
  <c r="E52" i="6"/>
  <c r="D52" i="6"/>
  <c r="C52" i="6"/>
  <c r="B52" i="6"/>
  <c r="A52" i="6"/>
  <c r="G51" i="6"/>
  <c r="F51" i="6"/>
  <c r="E51" i="6"/>
  <c r="D51" i="6"/>
  <c r="C51" i="6"/>
  <c r="B51" i="6"/>
  <c r="A51" i="6"/>
  <c r="G50" i="6"/>
  <c r="F50" i="6"/>
  <c r="E50" i="6"/>
  <c r="D50" i="6"/>
  <c r="C50" i="6"/>
  <c r="B50" i="6"/>
  <c r="A50" i="6"/>
  <c r="G49" i="6"/>
  <c r="F49" i="6"/>
  <c r="E49" i="6"/>
  <c r="D49" i="6"/>
  <c r="C49" i="6"/>
  <c r="B49" i="6"/>
  <c r="A49" i="6"/>
  <c r="G48" i="6"/>
  <c r="F48" i="6"/>
  <c r="E48" i="6"/>
  <c r="D48" i="6"/>
  <c r="C48" i="6"/>
  <c r="B48" i="6"/>
  <c r="A48" i="6"/>
  <c r="G47" i="6"/>
  <c r="F47" i="6"/>
  <c r="E47" i="6"/>
  <c r="D47" i="6"/>
  <c r="C47" i="6"/>
  <c r="B47" i="6"/>
  <c r="A47" i="6"/>
  <c r="G46" i="6"/>
  <c r="F46" i="6"/>
  <c r="E46" i="6"/>
  <c r="D46" i="6"/>
  <c r="C46" i="6"/>
  <c r="B46" i="6"/>
  <c r="A46" i="6"/>
  <c r="G45" i="6"/>
  <c r="F45" i="6"/>
  <c r="E45" i="6"/>
  <c r="D45" i="6"/>
  <c r="C45" i="6"/>
  <c r="B45" i="6"/>
  <c r="A45" i="6"/>
  <c r="G44" i="6"/>
  <c r="F44" i="6"/>
  <c r="E44" i="6"/>
  <c r="D44" i="6"/>
  <c r="C44" i="6"/>
  <c r="B44" i="6"/>
  <c r="A44" i="6"/>
  <c r="G43" i="6"/>
  <c r="F43" i="6"/>
  <c r="E43" i="6"/>
  <c r="D43" i="6"/>
  <c r="C43" i="6"/>
  <c r="B43" i="6"/>
  <c r="A43" i="6"/>
  <c r="G42" i="6"/>
  <c r="F42" i="6"/>
  <c r="E42" i="6"/>
  <c r="D42" i="6"/>
  <c r="C42" i="6"/>
  <c r="B42" i="6"/>
  <c r="A42" i="6"/>
  <c r="G41" i="6"/>
  <c r="F41" i="6"/>
  <c r="E41" i="6"/>
  <c r="D41" i="6"/>
  <c r="C41" i="6"/>
  <c r="B41" i="6"/>
  <c r="A41" i="6"/>
  <c r="G40" i="6"/>
  <c r="F40" i="6"/>
  <c r="E40" i="6"/>
  <c r="D40" i="6"/>
  <c r="C40" i="6"/>
  <c r="B40" i="6"/>
  <c r="A40" i="6"/>
  <c r="G39" i="6"/>
  <c r="F39" i="6"/>
  <c r="E39" i="6"/>
  <c r="D39" i="6"/>
  <c r="C39" i="6"/>
  <c r="B39" i="6"/>
  <c r="A39" i="6"/>
  <c r="G38" i="6"/>
  <c r="F38" i="6"/>
  <c r="E38" i="6"/>
  <c r="D38" i="6"/>
  <c r="C38" i="6"/>
  <c r="B38" i="6"/>
  <c r="A38" i="6"/>
  <c r="G37" i="6"/>
  <c r="F37" i="6"/>
  <c r="E37" i="6"/>
  <c r="D37" i="6"/>
  <c r="C37" i="6"/>
  <c r="B37" i="6"/>
  <c r="A37" i="6"/>
  <c r="G36" i="6"/>
  <c r="F36" i="6"/>
  <c r="E36" i="6"/>
  <c r="D36" i="6"/>
  <c r="C36" i="6"/>
  <c r="B36" i="6"/>
  <c r="A36" i="6"/>
  <c r="G35" i="6"/>
  <c r="F35" i="6"/>
  <c r="E35" i="6"/>
  <c r="D35" i="6"/>
  <c r="C35" i="6"/>
  <c r="B35" i="6"/>
  <c r="A35" i="6"/>
  <c r="G34" i="6"/>
  <c r="F34" i="6"/>
  <c r="E34" i="6"/>
  <c r="D34" i="6"/>
  <c r="C34" i="6"/>
  <c r="B34" i="6"/>
  <c r="A34" i="6"/>
  <c r="G33" i="6"/>
  <c r="F33" i="6"/>
  <c r="E33" i="6"/>
  <c r="D33" i="6"/>
  <c r="C33" i="6"/>
  <c r="B33" i="6"/>
  <c r="A33" i="6"/>
  <c r="G32" i="6"/>
  <c r="F32" i="6"/>
  <c r="E32" i="6"/>
  <c r="D32" i="6"/>
  <c r="C32" i="6"/>
  <c r="B32" i="6"/>
  <c r="A32" i="6"/>
  <c r="G31" i="6"/>
  <c r="F31" i="6"/>
  <c r="E31" i="6"/>
  <c r="D31" i="6"/>
  <c r="C31" i="6"/>
  <c r="B31" i="6"/>
  <c r="A31" i="6"/>
  <c r="G30" i="6"/>
  <c r="F30" i="6"/>
  <c r="E30" i="6"/>
  <c r="D30" i="6"/>
  <c r="C30" i="6"/>
  <c r="B30" i="6"/>
  <c r="A30" i="6"/>
  <c r="G29" i="6"/>
  <c r="F29" i="6"/>
  <c r="E29" i="6"/>
  <c r="D29" i="6"/>
  <c r="C29" i="6"/>
  <c r="B29" i="6"/>
  <c r="A29" i="6"/>
  <c r="G28" i="6"/>
  <c r="F28" i="6"/>
  <c r="E28" i="6"/>
  <c r="D28" i="6"/>
  <c r="C28" i="6"/>
  <c r="B28" i="6"/>
  <c r="A28" i="6"/>
  <c r="G27" i="6"/>
  <c r="F27" i="6"/>
  <c r="E27" i="6"/>
  <c r="D27" i="6"/>
  <c r="C27" i="6"/>
  <c r="B27" i="6"/>
  <c r="A27" i="6"/>
  <c r="G26" i="6"/>
  <c r="F26" i="6"/>
  <c r="E26" i="6"/>
  <c r="D26" i="6"/>
  <c r="C26" i="6"/>
  <c r="B26" i="6"/>
  <c r="A26" i="6"/>
  <c r="G25" i="6"/>
  <c r="F25" i="6"/>
  <c r="E25" i="6"/>
  <c r="D25" i="6"/>
  <c r="C25" i="6"/>
  <c r="B25" i="6"/>
  <c r="A25" i="6"/>
  <c r="G24" i="6"/>
  <c r="F24" i="6"/>
  <c r="E24" i="6"/>
  <c r="D24" i="6"/>
  <c r="C24" i="6"/>
  <c r="B24" i="6"/>
  <c r="A24" i="6"/>
  <c r="G23" i="6"/>
  <c r="F23" i="6"/>
  <c r="E23" i="6"/>
  <c r="D23" i="6"/>
  <c r="C23" i="6"/>
  <c r="B23" i="6"/>
  <c r="A23" i="6"/>
  <c r="G22" i="6"/>
  <c r="F22" i="6"/>
  <c r="E22" i="6"/>
  <c r="D22" i="6"/>
  <c r="C22" i="6"/>
  <c r="B22" i="6"/>
  <c r="A22" i="6"/>
  <c r="G21" i="6"/>
  <c r="F21" i="6"/>
  <c r="E21" i="6"/>
  <c r="D21" i="6"/>
  <c r="C21" i="6"/>
  <c r="B21" i="6"/>
  <c r="A21" i="6"/>
  <c r="G20" i="6"/>
  <c r="F20" i="6"/>
  <c r="E20" i="6"/>
  <c r="D20" i="6"/>
  <c r="C20" i="6"/>
  <c r="B20" i="6"/>
  <c r="A20" i="6"/>
  <c r="G19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D12" i="6"/>
  <c r="C12" i="6"/>
  <c r="B12" i="6"/>
  <c r="A12" i="6"/>
  <c r="E7" i="6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I211" i="5"/>
  <c r="C211" i="5"/>
  <c r="I210" i="5"/>
  <c r="C210" i="5"/>
  <c r="I209" i="5"/>
  <c r="C209" i="5"/>
  <c r="I208" i="5"/>
  <c r="C208" i="5"/>
  <c r="I207" i="5"/>
  <c r="C207" i="5"/>
  <c r="I206" i="5"/>
  <c r="C206" i="5"/>
  <c r="I205" i="5"/>
  <c r="C205" i="5"/>
  <c r="I204" i="5"/>
  <c r="C204" i="5"/>
  <c r="I203" i="5"/>
  <c r="C203" i="5"/>
  <c r="I202" i="5"/>
  <c r="C202" i="5"/>
  <c r="I201" i="5"/>
  <c r="C201" i="5"/>
  <c r="I200" i="5"/>
  <c r="C200" i="5"/>
  <c r="I199" i="5"/>
  <c r="C199" i="5"/>
  <c r="I198" i="5"/>
  <c r="C198" i="5"/>
  <c r="I197" i="5"/>
  <c r="C197" i="5"/>
  <c r="I196" i="5"/>
  <c r="C196" i="5"/>
  <c r="I195" i="5"/>
  <c r="C195" i="5"/>
  <c r="I194" i="5"/>
  <c r="C194" i="5"/>
  <c r="I193" i="5"/>
  <c r="C193" i="5"/>
  <c r="I192" i="5"/>
  <c r="C192" i="5"/>
  <c r="I191" i="5"/>
  <c r="C191" i="5"/>
  <c r="I190" i="5"/>
  <c r="C190" i="5"/>
  <c r="I189" i="5"/>
  <c r="C189" i="5"/>
  <c r="I188" i="5"/>
  <c r="C188" i="5"/>
  <c r="I187" i="5"/>
  <c r="C187" i="5"/>
  <c r="I186" i="5"/>
  <c r="C186" i="5"/>
  <c r="I185" i="5"/>
  <c r="C185" i="5"/>
  <c r="I184" i="5"/>
  <c r="C184" i="5"/>
  <c r="I183" i="5"/>
  <c r="C183" i="5"/>
  <c r="I182" i="5"/>
  <c r="C182" i="5"/>
  <c r="I181" i="5"/>
  <c r="C181" i="5"/>
  <c r="I180" i="5"/>
  <c r="C180" i="5"/>
  <c r="I179" i="5"/>
  <c r="C179" i="5"/>
  <c r="I178" i="5"/>
  <c r="C178" i="5"/>
  <c r="I177" i="5"/>
  <c r="C177" i="5"/>
  <c r="I176" i="5"/>
  <c r="C176" i="5"/>
  <c r="I175" i="5"/>
  <c r="C175" i="5"/>
  <c r="I174" i="5"/>
  <c r="C174" i="5"/>
  <c r="I173" i="5"/>
  <c r="C173" i="5"/>
  <c r="I172" i="5"/>
  <c r="C172" i="5"/>
  <c r="I171" i="5"/>
  <c r="C171" i="5"/>
  <c r="I170" i="5"/>
  <c r="C170" i="5"/>
  <c r="I169" i="5"/>
  <c r="C169" i="5"/>
  <c r="I168" i="5"/>
  <c r="C168" i="5"/>
  <c r="I167" i="5"/>
  <c r="C167" i="5"/>
  <c r="I166" i="5"/>
  <c r="C166" i="5"/>
  <c r="I165" i="5"/>
  <c r="C165" i="5"/>
  <c r="I164" i="5"/>
  <c r="C164" i="5"/>
  <c r="I163" i="5"/>
  <c r="C163" i="5"/>
  <c r="I162" i="5"/>
  <c r="C162" i="5"/>
  <c r="I161" i="5"/>
  <c r="C161" i="5"/>
  <c r="I160" i="5"/>
  <c r="C160" i="5"/>
  <c r="I159" i="5"/>
  <c r="C159" i="5"/>
  <c r="I158" i="5"/>
  <c r="C158" i="5"/>
  <c r="I157" i="5"/>
  <c r="C157" i="5"/>
  <c r="I156" i="5"/>
  <c r="C156" i="5"/>
  <c r="I155" i="5"/>
  <c r="C155" i="5"/>
  <c r="I154" i="5"/>
  <c r="C154" i="5"/>
  <c r="I153" i="5"/>
  <c r="C153" i="5"/>
  <c r="I152" i="5"/>
  <c r="C152" i="5"/>
  <c r="I151" i="5"/>
  <c r="C151" i="5"/>
  <c r="I150" i="5"/>
  <c r="C150" i="5"/>
  <c r="I149" i="5"/>
  <c r="C149" i="5"/>
  <c r="I148" i="5"/>
  <c r="C148" i="5"/>
  <c r="I147" i="5"/>
  <c r="C147" i="5"/>
  <c r="I146" i="5"/>
  <c r="C146" i="5"/>
  <c r="I145" i="5"/>
  <c r="C145" i="5"/>
  <c r="I144" i="5"/>
  <c r="C144" i="5"/>
  <c r="I143" i="5"/>
  <c r="C143" i="5"/>
  <c r="I142" i="5"/>
  <c r="C142" i="5"/>
  <c r="I141" i="5"/>
  <c r="C141" i="5"/>
  <c r="I140" i="5"/>
  <c r="C140" i="5"/>
  <c r="I139" i="5"/>
  <c r="C139" i="5"/>
  <c r="I138" i="5"/>
  <c r="C138" i="5"/>
  <c r="I137" i="5"/>
  <c r="C137" i="5"/>
  <c r="I136" i="5"/>
  <c r="C136" i="5"/>
  <c r="I135" i="5"/>
  <c r="C135" i="5"/>
  <c r="I134" i="5"/>
  <c r="C134" i="5"/>
  <c r="I133" i="5"/>
  <c r="C133" i="5"/>
  <c r="I132" i="5"/>
  <c r="C132" i="5"/>
  <c r="I131" i="5"/>
  <c r="C131" i="5"/>
  <c r="I130" i="5"/>
  <c r="C130" i="5"/>
  <c r="I129" i="5"/>
  <c r="C129" i="5"/>
  <c r="I128" i="5"/>
  <c r="C128" i="5"/>
  <c r="I127" i="5"/>
  <c r="C127" i="5"/>
  <c r="I126" i="5"/>
  <c r="C126" i="5"/>
  <c r="I125" i="5"/>
  <c r="C125" i="5"/>
  <c r="I124" i="5"/>
  <c r="C124" i="5"/>
  <c r="I123" i="5"/>
  <c r="C123" i="5"/>
  <c r="I122" i="5"/>
  <c r="C122" i="5"/>
  <c r="I121" i="5"/>
  <c r="C121" i="5"/>
  <c r="I120" i="5"/>
  <c r="C120" i="5"/>
  <c r="I119" i="5"/>
  <c r="C119" i="5"/>
  <c r="I118" i="5"/>
  <c r="C118" i="5"/>
  <c r="I117" i="5"/>
  <c r="C117" i="5"/>
  <c r="I116" i="5"/>
  <c r="C116" i="5"/>
  <c r="I115" i="5"/>
  <c r="C115" i="5"/>
  <c r="I114" i="5"/>
  <c r="C114" i="5"/>
  <c r="I113" i="5"/>
  <c r="C113" i="5"/>
  <c r="I112" i="5"/>
  <c r="C112" i="5"/>
  <c r="I111" i="5"/>
  <c r="C111" i="5"/>
  <c r="I110" i="5"/>
  <c r="C110" i="5"/>
  <c r="I109" i="5"/>
  <c r="C109" i="5"/>
  <c r="I108" i="5"/>
  <c r="C108" i="5"/>
  <c r="I107" i="5"/>
  <c r="C107" i="5"/>
  <c r="I106" i="5"/>
  <c r="C106" i="5"/>
  <c r="I105" i="5"/>
  <c r="C105" i="5"/>
  <c r="I104" i="5"/>
  <c r="C104" i="5"/>
  <c r="I103" i="5"/>
  <c r="C103" i="5"/>
  <c r="I102" i="5"/>
  <c r="C102" i="5"/>
  <c r="I101" i="5"/>
  <c r="C101" i="5"/>
  <c r="I100" i="5"/>
  <c r="C100" i="5"/>
  <c r="I99" i="5"/>
  <c r="C99" i="5"/>
  <c r="I98" i="5"/>
  <c r="C98" i="5"/>
  <c r="I97" i="5"/>
  <c r="C97" i="5"/>
  <c r="I96" i="5"/>
  <c r="C96" i="5"/>
  <c r="I95" i="5"/>
  <c r="C95" i="5"/>
  <c r="I94" i="5"/>
  <c r="C94" i="5"/>
  <c r="I93" i="5"/>
  <c r="C93" i="5"/>
  <c r="I92" i="5"/>
  <c r="C92" i="5"/>
  <c r="I91" i="5"/>
  <c r="C91" i="5"/>
  <c r="I90" i="5"/>
  <c r="C90" i="5"/>
  <c r="I89" i="5"/>
  <c r="C89" i="5"/>
  <c r="I88" i="5"/>
  <c r="C88" i="5"/>
  <c r="I87" i="5"/>
  <c r="C87" i="5"/>
  <c r="I86" i="5"/>
  <c r="C86" i="5"/>
  <c r="I85" i="5"/>
  <c r="C85" i="5"/>
  <c r="I84" i="5"/>
  <c r="C84" i="5"/>
  <c r="I83" i="5"/>
  <c r="C83" i="5"/>
  <c r="I82" i="5"/>
  <c r="C82" i="5"/>
  <c r="I81" i="5"/>
  <c r="C81" i="5"/>
  <c r="I80" i="5"/>
  <c r="C80" i="5"/>
  <c r="I79" i="5"/>
  <c r="C79" i="5"/>
  <c r="I78" i="5"/>
  <c r="C78" i="5"/>
  <c r="I77" i="5"/>
  <c r="C77" i="5"/>
  <c r="I76" i="5"/>
  <c r="C76" i="5"/>
  <c r="I75" i="5"/>
  <c r="C75" i="5"/>
  <c r="I74" i="5"/>
  <c r="C74" i="5"/>
  <c r="I73" i="5"/>
  <c r="C73" i="5"/>
  <c r="I72" i="5"/>
  <c r="C72" i="5"/>
  <c r="I71" i="5"/>
  <c r="C71" i="5"/>
  <c r="I70" i="5"/>
  <c r="C70" i="5"/>
  <c r="I69" i="5"/>
  <c r="C69" i="5"/>
  <c r="I68" i="5"/>
  <c r="C68" i="5"/>
  <c r="I67" i="5"/>
  <c r="C67" i="5"/>
  <c r="I66" i="5"/>
  <c r="C66" i="5"/>
  <c r="I65" i="5"/>
  <c r="C65" i="5"/>
  <c r="I64" i="5"/>
  <c r="C64" i="5"/>
  <c r="I63" i="5"/>
  <c r="C63" i="5"/>
  <c r="I62" i="5"/>
  <c r="C62" i="5"/>
  <c r="I61" i="5"/>
  <c r="C61" i="5"/>
  <c r="I60" i="5"/>
  <c r="C60" i="5"/>
  <c r="I59" i="5"/>
  <c r="C59" i="5"/>
  <c r="I58" i="5"/>
  <c r="C58" i="5"/>
  <c r="I57" i="5"/>
  <c r="C57" i="5"/>
  <c r="I56" i="5"/>
  <c r="C56" i="5"/>
  <c r="I55" i="5"/>
  <c r="C55" i="5"/>
  <c r="I54" i="5"/>
  <c r="C54" i="5"/>
  <c r="I53" i="5"/>
  <c r="C53" i="5"/>
  <c r="I52" i="5"/>
  <c r="C52" i="5"/>
  <c r="I51" i="5"/>
  <c r="C51" i="5"/>
  <c r="I50" i="5"/>
  <c r="C50" i="5"/>
  <c r="I49" i="5"/>
  <c r="C49" i="5"/>
  <c r="I48" i="5"/>
  <c r="C48" i="5"/>
  <c r="I47" i="5"/>
  <c r="C47" i="5"/>
  <c r="I46" i="5"/>
  <c r="C46" i="5"/>
  <c r="I45" i="5"/>
  <c r="C45" i="5"/>
  <c r="I44" i="5"/>
  <c r="C44" i="5"/>
  <c r="I43" i="5"/>
  <c r="C43" i="5"/>
  <c r="I42" i="5"/>
  <c r="C42" i="5"/>
  <c r="I41" i="5"/>
  <c r="C41" i="5"/>
  <c r="I40" i="5"/>
  <c r="C40" i="5"/>
  <c r="I39" i="5"/>
  <c r="C39" i="5"/>
  <c r="I38" i="5"/>
  <c r="C38" i="5"/>
  <c r="I37" i="5"/>
  <c r="C37" i="5"/>
  <c r="I36" i="5"/>
  <c r="C36" i="5"/>
  <c r="I35" i="5"/>
  <c r="C35" i="5"/>
  <c r="I34" i="5"/>
  <c r="C34" i="5"/>
  <c r="I33" i="5"/>
  <c r="C33" i="5"/>
  <c r="I32" i="5"/>
  <c r="C32" i="5"/>
  <c r="I31" i="5"/>
  <c r="C31" i="5"/>
  <c r="I30" i="5"/>
  <c r="C30" i="5"/>
  <c r="I29" i="5"/>
  <c r="C29" i="5"/>
  <c r="I28" i="5"/>
  <c r="C28" i="5"/>
  <c r="I27" i="5"/>
  <c r="C27" i="5"/>
  <c r="I26" i="5"/>
  <c r="C26" i="5"/>
  <c r="I25" i="5"/>
  <c r="C25" i="5"/>
  <c r="I24" i="5"/>
  <c r="C24" i="5"/>
  <c r="I23" i="5"/>
  <c r="C23" i="5"/>
  <c r="I22" i="5"/>
  <c r="C22" i="5"/>
  <c r="I21" i="5"/>
  <c r="C21" i="5"/>
  <c r="I20" i="5"/>
  <c r="C20" i="5"/>
  <c r="I19" i="5"/>
  <c r="C19" i="5"/>
  <c r="I18" i="5"/>
  <c r="C18" i="5"/>
  <c r="I17" i="5"/>
  <c r="C17" i="5"/>
  <c r="I16" i="5"/>
  <c r="C16" i="5"/>
  <c r="I15" i="5"/>
  <c r="C15" i="5"/>
  <c r="I14" i="5"/>
  <c r="C14" i="5"/>
  <c r="I13" i="5"/>
  <c r="C13" i="5"/>
  <c r="I12" i="5"/>
  <c r="C12" i="5"/>
  <c r="I11" i="5"/>
  <c r="C11" i="5"/>
  <c r="I10" i="5"/>
  <c r="C10" i="5"/>
  <c r="I9" i="5"/>
  <c r="C9" i="5"/>
  <c r="I8" i="5"/>
  <c r="C8" i="5"/>
  <c r="I7" i="5"/>
  <c r="C7" i="5"/>
  <c r="I6" i="5"/>
  <c r="C6" i="5"/>
  <c r="I5" i="5"/>
  <c r="C5" i="5"/>
  <c r="I4" i="5"/>
  <c r="C4" i="5"/>
  <c r="I3" i="5"/>
  <c r="C3" i="5"/>
  <c r="D1" i="5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I211" i="4"/>
  <c r="C211" i="4"/>
  <c r="I210" i="4"/>
  <c r="C210" i="4"/>
  <c r="I209" i="4"/>
  <c r="C209" i="4"/>
  <c r="I208" i="4"/>
  <c r="C208" i="4"/>
  <c r="I207" i="4"/>
  <c r="C207" i="4"/>
  <c r="I206" i="4"/>
  <c r="C206" i="4"/>
  <c r="I205" i="4"/>
  <c r="C205" i="4"/>
  <c r="I204" i="4"/>
  <c r="C204" i="4"/>
  <c r="I203" i="4"/>
  <c r="C203" i="4"/>
  <c r="I202" i="4"/>
  <c r="C202" i="4"/>
  <c r="I201" i="4"/>
  <c r="C201" i="4"/>
  <c r="I200" i="4"/>
  <c r="C200" i="4"/>
  <c r="I199" i="4"/>
  <c r="C199" i="4"/>
  <c r="I198" i="4"/>
  <c r="C198" i="4"/>
  <c r="I197" i="4"/>
  <c r="C197" i="4"/>
  <c r="I196" i="4"/>
  <c r="C196" i="4"/>
  <c r="I195" i="4"/>
  <c r="C195" i="4"/>
  <c r="I194" i="4"/>
  <c r="C194" i="4"/>
  <c r="I193" i="4"/>
  <c r="C193" i="4"/>
  <c r="I192" i="4"/>
  <c r="C192" i="4"/>
  <c r="I191" i="4"/>
  <c r="C191" i="4"/>
  <c r="I190" i="4"/>
  <c r="C190" i="4"/>
  <c r="I189" i="4"/>
  <c r="C189" i="4"/>
  <c r="I188" i="4"/>
  <c r="C188" i="4"/>
  <c r="I187" i="4"/>
  <c r="C187" i="4"/>
  <c r="I186" i="4"/>
  <c r="C186" i="4"/>
  <c r="I185" i="4"/>
  <c r="C185" i="4"/>
  <c r="I184" i="4"/>
  <c r="C184" i="4"/>
  <c r="I183" i="4"/>
  <c r="C183" i="4"/>
  <c r="I182" i="4"/>
  <c r="C182" i="4"/>
  <c r="I181" i="4"/>
  <c r="C181" i="4"/>
  <c r="I180" i="4"/>
  <c r="C180" i="4"/>
  <c r="I179" i="4"/>
  <c r="C179" i="4"/>
  <c r="I178" i="4"/>
  <c r="C178" i="4"/>
  <c r="I177" i="4"/>
  <c r="C177" i="4"/>
  <c r="I176" i="4"/>
  <c r="C176" i="4"/>
  <c r="I175" i="4"/>
  <c r="C175" i="4"/>
  <c r="I174" i="4"/>
  <c r="C174" i="4"/>
  <c r="I173" i="4"/>
  <c r="C173" i="4"/>
  <c r="I172" i="4"/>
  <c r="C172" i="4"/>
  <c r="I171" i="4"/>
  <c r="C171" i="4"/>
  <c r="I170" i="4"/>
  <c r="C170" i="4"/>
  <c r="I169" i="4"/>
  <c r="C169" i="4"/>
  <c r="I168" i="4"/>
  <c r="C168" i="4"/>
  <c r="I167" i="4"/>
  <c r="C167" i="4"/>
  <c r="I166" i="4"/>
  <c r="C166" i="4"/>
  <c r="I165" i="4"/>
  <c r="C165" i="4"/>
  <c r="I164" i="4"/>
  <c r="C164" i="4"/>
  <c r="I163" i="4"/>
  <c r="C163" i="4"/>
  <c r="I162" i="4"/>
  <c r="C162" i="4"/>
  <c r="I161" i="4"/>
  <c r="C161" i="4"/>
  <c r="I160" i="4"/>
  <c r="C160" i="4"/>
  <c r="I159" i="4"/>
  <c r="C159" i="4"/>
  <c r="I158" i="4"/>
  <c r="C158" i="4"/>
  <c r="I157" i="4"/>
  <c r="C157" i="4"/>
  <c r="I156" i="4"/>
  <c r="C156" i="4"/>
  <c r="I155" i="4"/>
  <c r="C155" i="4"/>
  <c r="I154" i="4"/>
  <c r="C154" i="4"/>
  <c r="I153" i="4"/>
  <c r="C153" i="4"/>
  <c r="I152" i="4"/>
  <c r="C152" i="4"/>
  <c r="I151" i="4"/>
  <c r="C151" i="4"/>
  <c r="I150" i="4"/>
  <c r="C150" i="4"/>
  <c r="I149" i="4"/>
  <c r="C149" i="4"/>
  <c r="I148" i="4"/>
  <c r="C148" i="4"/>
  <c r="I147" i="4"/>
  <c r="C147" i="4"/>
  <c r="I146" i="4"/>
  <c r="C146" i="4"/>
  <c r="I145" i="4"/>
  <c r="C145" i="4"/>
  <c r="I144" i="4"/>
  <c r="C144" i="4"/>
  <c r="I143" i="4"/>
  <c r="C143" i="4"/>
  <c r="I142" i="4"/>
  <c r="C142" i="4"/>
  <c r="I141" i="4"/>
  <c r="C141" i="4"/>
  <c r="I140" i="4"/>
  <c r="C140" i="4"/>
  <c r="I139" i="4"/>
  <c r="C139" i="4"/>
  <c r="I138" i="4"/>
  <c r="C138" i="4"/>
  <c r="I137" i="4"/>
  <c r="C137" i="4"/>
  <c r="I136" i="4"/>
  <c r="C136" i="4"/>
  <c r="I135" i="4"/>
  <c r="C135" i="4"/>
  <c r="I134" i="4"/>
  <c r="C134" i="4"/>
  <c r="I133" i="4"/>
  <c r="C133" i="4"/>
  <c r="I132" i="4"/>
  <c r="C132" i="4"/>
  <c r="I131" i="4"/>
  <c r="C131" i="4"/>
  <c r="I130" i="4"/>
  <c r="C130" i="4"/>
  <c r="I129" i="4"/>
  <c r="C129" i="4"/>
  <c r="I128" i="4"/>
  <c r="C128" i="4"/>
  <c r="I127" i="4"/>
  <c r="C127" i="4"/>
  <c r="I126" i="4"/>
  <c r="C126" i="4"/>
  <c r="I125" i="4"/>
  <c r="C125" i="4"/>
  <c r="I124" i="4"/>
  <c r="C124" i="4"/>
  <c r="I123" i="4"/>
  <c r="C123" i="4"/>
  <c r="I122" i="4"/>
  <c r="C122" i="4"/>
  <c r="I121" i="4"/>
  <c r="C121" i="4"/>
  <c r="I120" i="4"/>
  <c r="C120" i="4"/>
  <c r="I119" i="4"/>
  <c r="C119" i="4"/>
  <c r="I118" i="4"/>
  <c r="C118" i="4"/>
  <c r="I117" i="4"/>
  <c r="C117" i="4"/>
  <c r="I116" i="4"/>
  <c r="C116" i="4"/>
  <c r="I115" i="4"/>
  <c r="C115" i="4"/>
  <c r="I114" i="4"/>
  <c r="C114" i="4"/>
  <c r="I113" i="4"/>
  <c r="C113" i="4"/>
  <c r="I112" i="4"/>
  <c r="C112" i="4"/>
  <c r="I111" i="4"/>
  <c r="C111" i="4"/>
  <c r="I110" i="4"/>
  <c r="C110" i="4"/>
  <c r="I109" i="4"/>
  <c r="C109" i="4"/>
  <c r="I108" i="4"/>
  <c r="C108" i="4"/>
  <c r="I107" i="4"/>
  <c r="C107" i="4"/>
  <c r="I106" i="4"/>
  <c r="C106" i="4"/>
  <c r="I105" i="4"/>
  <c r="C105" i="4"/>
  <c r="I104" i="4"/>
  <c r="C104" i="4"/>
  <c r="I103" i="4"/>
  <c r="C103" i="4"/>
  <c r="I102" i="4"/>
  <c r="C102" i="4"/>
  <c r="I101" i="4"/>
  <c r="C101" i="4"/>
  <c r="I100" i="4"/>
  <c r="C100" i="4"/>
  <c r="I99" i="4"/>
  <c r="C99" i="4"/>
  <c r="I98" i="4"/>
  <c r="C98" i="4"/>
  <c r="I97" i="4"/>
  <c r="C97" i="4"/>
  <c r="I96" i="4"/>
  <c r="C96" i="4"/>
  <c r="I95" i="4"/>
  <c r="C95" i="4"/>
  <c r="I94" i="4"/>
  <c r="C94" i="4"/>
  <c r="I93" i="4"/>
  <c r="C93" i="4"/>
  <c r="I92" i="4"/>
  <c r="C92" i="4"/>
  <c r="I91" i="4"/>
  <c r="C91" i="4"/>
  <c r="I90" i="4"/>
  <c r="C90" i="4"/>
  <c r="I89" i="4"/>
  <c r="C89" i="4"/>
  <c r="I88" i="4"/>
  <c r="C88" i="4"/>
  <c r="I87" i="4"/>
  <c r="C87" i="4"/>
  <c r="I86" i="4"/>
  <c r="C86" i="4"/>
  <c r="I85" i="4"/>
  <c r="C85" i="4"/>
  <c r="I84" i="4"/>
  <c r="C84" i="4"/>
  <c r="I83" i="4"/>
  <c r="C83" i="4"/>
  <c r="I82" i="4"/>
  <c r="C82" i="4"/>
  <c r="I81" i="4"/>
  <c r="C81" i="4"/>
  <c r="I80" i="4"/>
  <c r="C80" i="4"/>
  <c r="I79" i="4"/>
  <c r="C79" i="4"/>
  <c r="I78" i="4"/>
  <c r="C78" i="4"/>
  <c r="I77" i="4"/>
  <c r="C77" i="4"/>
  <c r="I76" i="4"/>
  <c r="C76" i="4"/>
  <c r="I75" i="4"/>
  <c r="C75" i="4"/>
  <c r="I74" i="4"/>
  <c r="C74" i="4"/>
  <c r="I73" i="4"/>
  <c r="C73" i="4"/>
  <c r="I72" i="4"/>
  <c r="C72" i="4"/>
  <c r="I71" i="4"/>
  <c r="C71" i="4"/>
  <c r="I70" i="4"/>
  <c r="C70" i="4"/>
  <c r="I69" i="4"/>
  <c r="C69" i="4"/>
  <c r="I68" i="4"/>
  <c r="C68" i="4"/>
  <c r="I67" i="4"/>
  <c r="C67" i="4"/>
  <c r="I66" i="4"/>
  <c r="C66" i="4"/>
  <c r="I65" i="4"/>
  <c r="C65" i="4"/>
  <c r="I64" i="4"/>
  <c r="C64" i="4"/>
  <c r="I63" i="4"/>
  <c r="C63" i="4"/>
  <c r="I62" i="4"/>
  <c r="C62" i="4"/>
  <c r="I61" i="4"/>
  <c r="C61" i="4"/>
  <c r="I60" i="4"/>
  <c r="C60" i="4"/>
  <c r="I59" i="4"/>
  <c r="C59" i="4"/>
  <c r="I58" i="4"/>
  <c r="C58" i="4"/>
  <c r="I57" i="4"/>
  <c r="C57" i="4"/>
  <c r="I56" i="4"/>
  <c r="C56" i="4"/>
  <c r="I55" i="4"/>
  <c r="C55" i="4"/>
  <c r="I54" i="4"/>
  <c r="C54" i="4"/>
  <c r="I53" i="4"/>
  <c r="C53" i="4"/>
  <c r="I52" i="4"/>
  <c r="C52" i="4"/>
  <c r="I51" i="4"/>
  <c r="C51" i="4"/>
  <c r="I50" i="4"/>
  <c r="C50" i="4"/>
  <c r="I49" i="4"/>
  <c r="C49" i="4"/>
  <c r="I48" i="4"/>
  <c r="C48" i="4"/>
  <c r="I47" i="4"/>
  <c r="C47" i="4"/>
  <c r="I46" i="4"/>
  <c r="C46" i="4"/>
  <c r="I45" i="4"/>
  <c r="C45" i="4"/>
  <c r="I44" i="4"/>
  <c r="C44" i="4"/>
  <c r="I43" i="4"/>
  <c r="C43" i="4"/>
  <c r="I42" i="4"/>
  <c r="C42" i="4"/>
  <c r="I41" i="4"/>
  <c r="C41" i="4"/>
  <c r="I40" i="4"/>
  <c r="C40" i="4"/>
  <c r="I39" i="4"/>
  <c r="C39" i="4"/>
  <c r="I38" i="4"/>
  <c r="C38" i="4"/>
  <c r="I37" i="4"/>
  <c r="C37" i="4"/>
  <c r="I36" i="4"/>
  <c r="C36" i="4"/>
  <c r="I35" i="4"/>
  <c r="C35" i="4"/>
  <c r="I34" i="4"/>
  <c r="C34" i="4"/>
  <c r="I33" i="4"/>
  <c r="C33" i="4"/>
  <c r="I32" i="4"/>
  <c r="C32" i="4"/>
  <c r="I31" i="4"/>
  <c r="C31" i="4"/>
  <c r="I30" i="4"/>
  <c r="C30" i="4"/>
  <c r="I29" i="4"/>
  <c r="C29" i="4"/>
  <c r="I28" i="4"/>
  <c r="C28" i="4"/>
  <c r="I27" i="4"/>
  <c r="C27" i="4"/>
  <c r="I26" i="4"/>
  <c r="C26" i="4"/>
  <c r="I25" i="4"/>
  <c r="C25" i="4"/>
  <c r="I24" i="4"/>
  <c r="C24" i="4"/>
  <c r="I23" i="4"/>
  <c r="C23" i="4"/>
  <c r="I22" i="4"/>
  <c r="C22" i="4"/>
  <c r="I21" i="4"/>
  <c r="C21" i="4"/>
  <c r="I20" i="4"/>
  <c r="C20" i="4"/>
  <c r="I19" i="4"/>
  <c r="C19" i="4"/>
  <c r="I18" i="4"/>
  <c r="C18" i="4"/>
  <c r="I17" i="4"/>
  <c r="C17" i="4"/>
  <c r="I16" i="4"/>
  <c r="C16" i="4"/>
  <c r="I15" i="4"/>
  <c r="C15" i="4"/>
  <c r="I14" i="4"/>
  <c r="C14" i="4"/>
  <c r="I13" i="4"/>
  <c r="C13" i="4"/>
  <c r="I12" i="4"/>
  <c r="C12" i="4"/>
  <c r="I11" i="4"/>
  <c r="C11" i="4"/>
  <c r="I10" i="4"/>
  <c r="C10" i="4"/>
  <c r="I9" i="4"/>
  <c r="C9" i="4"/>
  <c r="I8" i="4"/>
  <c r="C8" i="4"/>
  <c r="I7" i="4"/>
  <c r="C7" i="4"/>
  <c r="I6" i="4"/>
  <c r="C6" i="4"/>
  <c r="I5" i="4"/>
  <c r="C5" i="4"/>
  <c r="I4" i="4"/>
  <c r="C4" i="4"/>
  <c r="I3" i="4"/>
  <c r="C3" i="4"/>
  <c r="D1" i="4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I211" i="3"/>
  <c r="C211" i="3"/>
  <c r="I210" i="3"/>
  <c r="C210" i="3"/>
  <c r="I209" i="3"/>
  <c r="C209" i="3"/>
  <c r="I208" i="3"/>
  <c r="C208" i="3"/>
  <c r="I207" i="3"/>
  <c r="C207" i="3"/>
  <c r="I206" i="3"/>
  <c r="C206" i="3"/>
  <c r="I205" i="3"/>
  <c r="C205" i="3"/>
  <c r="I204" i="3"/>
  <c r="C204" i="3"/>
  <c r="I203" i="3"/>
  <c r="C203" i="3"/>
  <c r="I202" i="3"/>
  <c r="C202" i="3"/>
  <c r="I201" i="3"/>
  <c r="C201" i="3"/>
  <c r="I200" i="3"/>
  <c r="C200" i="3"/>
  <c r="I199" i="3"/>
  <c r="C199" i="3"/>
  <c r="I198" i="3"/>
  <c r="C198" i="3"/>
  <c r="I197" i="3"/>
  <c r="C197" i="3"/>
  <c r="I196" i="3"/>
  <c r="C196" i="3"/>
  <c r="I195" i="3"/>
  <c r="C195" i="3"/>
  <c r="I194" i="3"/>
  <c r="C194" i="3"/>
  <c r="I193" i="3"/>
  <c r="C193" i="3"/>
  <c r="I192" i="3"/>
  <c r="C192" i="3"/>
  <c r="I191" i="3"/>
  <c r="C191" i="3"/>
  <c r="I190" i="3"/>
  <c r="C190" i="3"/>
  <c r="I189" i="3"/>
  <c r="C189" i="3"/>
  <c r="I188" i="3"/>
  <c r="C188" i="3"/>
  <c r="I187" i="3"/>
  <c r="C187" i="3"/>
  <c r="I186" i="3"/>
  <c r="C186" i="3"/>
  <c r="I185" i="3"/>
  <c r="C185" i="3"/>
  <c r="I184" i="3"/>
  <c r="C184" i="3"/>
  <c r="I183" i="3"/>
  <c r="C183" i="3"/>
  <c r="I182" i="3"/>
  <c r="C182" i="3"/>
  <c r="I181" i="3"/>
  <c r="C181" i="3"/>
  <c r="I180" i="3"/>
  <c r="C180" i="3"/>
  <c r="I179" i="3"/>
  <c r="C179" i="3"/>
  <c r="I178" i="3"/>
  <c r="C178" i="3"/>
  <c r="I177" i="3"/>
  <c r="C177" i="3"/>
  <c r="I176" i="3"/>
  <c r="C176" i="3"/>
  <c r="I175" i="3"/>
  <c r="C175" i="3"/>
  <c r="I174" i="3"/>
  <c r="C174" i="3"/>
  <c r="I173" i="3"/>
  <c r="C173" i="3"/>
  <c r="I172" i="3"/>
  <c r="C172" i="3"/>
  <c r="I171" i="3"/>
  <c r="C171" i="3"/>
  <c r="I170" i="3"/>
  <c r="C170" i="3"/>
  <c r="I169" i="3"/>
  <c r="C169" i="3"/>
  <c r="I168" i="3"/>
  <c r="C168" i="3"/>
  <c r="I167" i="3"/>
  <c r="C167" i="3"/>
  <c r="I166" i="3"/>
  <c r="C166" i="3"/>
  <c r="I165" i="3"/>
  <c r="C165" i="3"/>
  <c r="I164" i="3"/>
  <c r="C164" i="3"/>
  <c r="I163" i="3"/>
  <c r="C163" i="3"/>
  <c r="I162" i="3"/>
  <c r="C162" i="3"/>
  <c r="I161" i="3"/>
  <c r="C161" i="3"/>
  <c r="I160" i="3"/>
  <c r="C160" i="3"/>
  <c r="I159" i="3"/>
  <c r="C159" i="3"/>
  <c r="I158" i="3"/>
  <c r="C158" i="3"/>
  <c r="I157" i="3"/>
  <c r="C157" i="3"/>
  <c r="I156" i="3"/>
  <c r="C156" i="3"/>
  <c r="I155" i="3"/>
  <c r="C155" i="3"/>
  <c r="I154" i="3"/>
  <c r="C154" i="3"/>
  <c r="I153" i="3"/>
  <c r="C153" i="3"/>
  <c r="I152" i="3"/>
  <c r="C152" i="3"/>
  <c r="I151" i="3"/>
  <c r="C151" i="3"/>
  <c r="I150" i="3"/>
  <c r="C150" i="3"/>
  <c r="I149" i="3"/>
  <c r="C149" i="3"/>
  <c r="I148" i="3"/>
  <c r="C148" i="3"/>
  <c r="I147" i="3"/>
  <c r="C147" i="3"/>
  <c r="I146" i="3"/>
  <c r="C146" i="3"/>
  <c r="I145" i="3"/>
  <c r="C145" i="3"/>
  <c r="I144" i="3"/>
  <c r="C144" i="3"/>
  <c r="I143" i="3"/>
  <c r="C143" i="3"/>
  <c r="I142" i="3"/>
  <c r="C142" i="3"/>
  <c r="I141" i="3"/>
  <c r="C141" i="3"/>
  <c r="I140" i="3"/>
  <c r="C140" i="3"/>
  <c r="I139" i="3"/>
  <c r="C139" i="3"/>
  <c r="I138" i="3"/>
  <c r="C138" i="3"/>
  <c r="I137" i="3"/>
  <c r="C137" i="3"/>
  <c r="I136" i="3"/>
  <c r="C136" i="3"/>
  <c r="I135" i="3"/>
  <c r="C135" i="3"/>
  <c r="I134" i="3"/>
  <c r="C134" i="3"/>
  <c r="I133" i="3"/>
  <c r="C133" i="3"/>
  <c r="I132" i="3"/>
  <c r="C132" i="3"/>
  <c r="I131" i="3"/>
  <c r="C131" i="3"/>
  <c r="I130" i="3"/>
  <c r="C130" i="3"/>
  <c r="I129" i="3"/>
  <c r="C129" i="3"/>
  <c r="I128" i="3"/>
  <c r="C128" i="3"/>
  <c r="I127" i="3"/>
  <c r="C127" i="3"/>
  <c r="I126" i="3"/>
  <c r="C126" i="3"/>
  <c r="I125" i="3"/>
  <c r="C125" i="3"/>
  <c r="I124" i="3"/>
  <c r="C124" i="3"/>
  <c r="I123" i="3"/>
  <c r="C123" i="3"/>
  <c r="I122" i="3"/>
  <c r="C122" i="3"/>
  <c r="I121" i="3"/>
  <c r="C121" i="3"/>
  <c r="I120" i="3"/>
  <c r="C120" i="3"/>
  <c r="I119" i="3"/>
  <c r="C119" i="3"/>
  <c r="I118" i="3"/>
  <c r="C118" i="3"/>
  <c r="I117" i="3"/>
  <c r="C117" i="3"/>
  <c r="I116" i="3"/>
  <c r="C116" i="3"/>
  <c r="I115" i="3"/>
  <c r="C115" i="3"/>
  <c r="I114" i="3"/>
  <c r="C114" i="3"/>
  <c r="I113" i="3"/>
  <c r="C113" i="3"/>
  <c r="I112" i="3"/>
  <c r="C112" i="3"/>
  <c r="I111" i="3"/>
  <c r="C111" i="3"/>
  <c r="I110" i="3"/>
  <c r="C110" i="3"/>
  <c r="I109" i="3"/>
  <c r="C109" i="3"/>
  <c r="I108" i="3"/>
  <c r="C108" i="3"/>
  <c r="I107" i="3"/>
  <c r="C107" i="3"/>
  <c r="I106" i="3"/>
  <c r="C106" i="3"/>
  <c r="I105" i="3"/>
  <c r="C105" i="3"/>
  <c r="I104" i="3"/>
  <c r="C104" i="3"/>
  <c r="I103" i="3"/>
  <c r="C103" i="3"/>
  <c r="I102" i="3"/>
  <c r="C102" i="3"/>
  <c r="I101" i="3"/>
  <c r="C101" i="3"/>
  <c r="I100" i="3"/>
  <c r="C100" i="3"/>
  <c r="I99" i="3"/>
  <c r="C99" i="3"/>
  <c r="I98" i="3"/>
  <c r="C98" i="3"/>
  <c r="I97" i="3"/>
  <c r="C97" i="3"/>
  <c r="I96" i="3"/>
  <c r="C96" i="3"/>
  <c r="I95" i="3"/>
  <c r="C95" i="3"/>
  <c r="I94" i="3"/>
  <c r="C94" i="3"/>
  <c r="I93" i="3"/>
  <c r="C93" i="3"/>
  <c r="I92" i="3"/>
  <c r="C92" i="3"/>
  <c r="I91" i="3"/>
  <c r="C91" i="3"/>
  <c r="I90" i="3"/>
  <c r="C90" i="3"/>
  <c r="I89" i="3"/>
  <c r="C89" i="3"/>
  <c r="I88" i="3"/>
  <c r="C88" i="3"/>
  <c r="I87" i="3"/>
  <c r="C87" i="3"/>
  <c r="I86" i="3"/>
  <c r="C86" i="3"/>
  <c r="I85" i="3"/>
  <c r="C85" i="3"/>
  <c r="I84" i="3"/>
  <c r="C84" i="3"/>
  <c r="I83" i="3"/>
  <c r="C83" i="3"/>
  <c r="I82" i="3"/>
  <c r="C82" i="3"/>
  <c r="I81" i="3"/>
  <c r="C81" i="3"/>
  <c r="I80" i="3"/>
  <c r="C80" i="3"/>
  <c r="I79" i="3"/>
  <c r="C79" i="3"/>
  <c r="I78" i="3"/>
  <c r="C78" i="3"/>
  <c r="I77" i="3"/>
  <c r="C77" i="3"/>
  <c r="I76" i="3"/>
  <c r="C76" i="3"/>
  <c r="I75" i="3"/>
  <c r="C75" i="3"/>
  <c r="I74" i="3"/>
  <c r="C74" i="3"/>
  <c r="I73" i="3"/>
  <c r="C73" i="3"/>
  <c r="I72" i="3"/>
  <c r="C72" i="3"/>
  <c r="I71" i="3"/>
  <c r="C71" i="3"/>
  <c r="I70" i="3"/>
  <c r="C70" i="3"/>
  <c r="I69" i="3"/>
  <c r="C69" i="3"/>
  <c r="I68" i="3"/>
  <c r="C68" i="3"/>
  <c r="I67" i="3"/>
  <c r="C67" i="3"/>
  <c r="I66" i="3"/>
  <c r="C66" i="3"/>
  <c r="I65" i="3"/>
  <c r="C65" i="3"/>
  <c r="I64" i="3"/>
  <c r="C64" i="3"/>
  <c r="I63" i="3"/>
  <c r="C63" i="3"/>
  <c r="I62" i="3"/>
  <c r="C62" i="3"/>
  <c r="I61" i="3"/>
  <c r="C61" i="3"/>
  <c r="I60" i="3"/>
  <c r="C60" i="3"/>
  <c r="I59" i="3"/>
  <c r="C59" i="3"/>
  <c r="I58" i="3"/>
  <c r="C58" i="3"/>
  <c r="I57" i="3"/>
  <c r="C57" i="3"/>
  <c r="I56" i="3"/>
  <c r="C56" i="3"/>
  <c r="I55" i="3"/>
  <c r="C55" i="3"/>
  <c r="I54" i="3"/>
  <c r="C54" i="3"/>
  <c r="I53" i="3"/>
  <c r="C53" i="3"/>
  <c r="I52" i="3"/>
  <c r="C52" i="3"/>
  <c r="I51" i="3"/>
  <c r="C51" i="3"/>
  <c r="I50" i="3"/>
  <c r="C50" i="3"/>
  <c r="I49" i="3"/>
  <c r="C49" i="3"/>
  <c r="I48" i="3"/>
  <c r="C48" i="3"/>
  <c r="I47" i="3"/>
  <c r="C47" i="3"/>
  <c r="I46" i="3"/>
  <c r="C46" i="3"/>
  <c r="I45" i="3"/>
  <c r="C45" i="3"/>
  <c r="I44" i="3"/>
  <c r="C44" i="3"/>
  <c r="I43" i="3"/>
  <c r="C43" i="3"/>
  <c r="I42" i="3"/>
  <c r="C42" i="3"/>
  <c r="I41" i="3"/>
  <c r="C41" i="3"/>
  <c r="I40" i="3"/>
  <c r="C40" i="3"/>
  <c r="I39" i="3"/>
  <c r="C39" i="3"/>
  <c r="I38" i="3"/>
  <c r="C38" i="3"/>
  <c r="I37" i="3"/>
  <c r="C37" i="3"/>
  <c r="I36" i="3"/>
  <c r="C36" i="3"/>
  <c r="I35" i="3"/>
  <c r="C35" i="3"/>
  <c r="I34" i="3"/>
  <c r="C34" i="3"/>
  <c r="I33" i="3"/>
  <c r="C33" i="3"/>
  <c r="I32" i="3"/>
  <c r="C32" i="3"/>
  <c r="I31" i="3"/>
  <c r="C31" i="3"/>
  <c r="I30" i="3"/>
  <c r="C30" i="3"/>
  <c r="I29" i="3"/>
  <c r="C29" i="3"/>
  <c r="I28" i="3"/>
  <c r="C28" i="3"/>
  <c r="I27" i="3"/>
  <c r="C27" i="3"/>
  <c r="I26" i="3"/>
  <c r="C26" i="3"/>
  <c r="I25" i="3"/>
  <c r="C25" i="3"/>
  <c r="I24" i="3"/>
  <c r="C24" i="3"/>
  <c r="I23" i="3"/>
  <c r="C23" i="3"/>
  <c r="I22" i="3"/>
  <c r="C22" i="3"/>
  <c r="I21" i="3"/>
  <c r="C21" i="3"/>
  <c r="I20" i="3"/>
  <c r="C20" i="3"/>
  <c r="I19" i="3"/>
  <c r="C19" i="3"/>
  <c r="I18" i="3"/>
  <c r="C18" i="3"/>
  <c r="I17" i="3"/>
  <c r="C17" i="3"/>
  <c r="I16" i="3"/>
  <c r="C16" i="3"/>
  <c r="I15" i="3"/>
  <c r="C15" i="3"/>
  <c r="I14" i="3"/>
  <c r="C14" i="3"/>
  <c r="I13" i="3"/>
  <c r="C13" i="3"/>
  <c r="I12" i="3"/>
  <c r="C12" i="3"/>
  <c r="I11" i="3"/>
  <c r="C11" i="3"/>
  <c r="I10" i="3"/>
  <c r="C10" i="3"/>
  <c r="I9" i="3"/>
  <c r="C9" i="3"/>
  <c r="I8" i="3"/>
  <c r="C8" i="3"/>
  <c r="I7" i="3"/>
  <c r="C7" i="3"/>
  <c r="I6" i="3"/>
  <c r="C6" i="3"/>
  <c r="I5" i="3"/>
  <c r="C5" i="3"/>
  <c r="I4" i="3"/>
  <c r="C4" i="3"/>
  <c r="I3" i="3"/>
  <c r="C3" i="3"/>
  <c r="D1" i="3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I211" i="2"/>
  <c r="C211" i="2"/>
  <c r="I210" i="2"/>
  <c r="C210" i="2"/>
  <c r="I209" i="2"/>
  <c r="C209" i="2"/>
  <c r="I208" i="2"/>
  <c r="C208" i="2"/>
  <c r="I207" i="2"/>
  <c r="C207" i="2"/>
  <c r="I206" i="2"/>
  <c r="C206" i="2"/>
  <c r="I205" i="2"/>
  <c r="C205" i="2"/>
  <c r="I204" i="2"/>
  <c r="C204" i="2"/>
  <c r="I203" i="2"/>
  <c r="C203" i="2"/>
  <c r="I202" i="2"/>
  <c r="C202" i="2"/>
  <c r="I201" i="2"/>
  <c r="C201" i="2"/>
  <c r="I200" i="2"/>
  <c r="C200" i="2"/>
  <c r="I199" i="2"/>
  <c r="C199" i="2"/>
  <c r="I198" i="2"/>
  <c r="C198" i="2"/>
  <c r="I197" i="2"/>
  <c r="C197" i="2"/>
  <c r="I196" i="2"/>
  <c r="C196" i="2"/>
  <c r="I195" i="2"/>
  <c r="C195" i="2"/>
  <c r="I194" i="2"/>
  <c r="C194" i="2"/>
  <c r="I193" i="2"/>
  <c r="C193" i="2"/>
  <c r="I192" i="2"/>
  <c r="C192" i="2"/>
  <c r="I191" i="2"/>
  <c r="C191" i="2"/>
  <c r="I190" i="2"/>
  <c r="C190" i="2"/>
  <c r="I189" i="2"/>
  <c r="C189" i="2"/>
  <c r="I188" i="2"/>
  <c r="C188" i="2"/>
  <c r="I187" i="2"/>
  <c r="C187" i="2"/>
  <c r="I186" i="2"/>
  <c r="C186" i="2"/>
  <c r="I185" i="2"/>
  <c r="C185" i="2"/>
  <c r="I184" i="2"/>
  <c r="C184" i="2"/>
  <c r="I183" i="2"/>
  <c r="C183" i="2"/>
  <c r="I182" i="2"/>
  <c r="C182" i="2"/>
  <c r="I181" i="2"/>
  <c r="C181" i="2"/>
  <c r="I180" i="2"/>
  <c r="C180" i="2"/>
  <c r="I179" i="2"/>
  <c r="C179" i="2"/>
  <c r="I178" i="2"/>
  <c r="C178" i="2"/>
  <c r="I177" i="2"/>
  <c r="C177" i="2"/>
  <c r="I176" i="2"/>
  <c r="C176" i="2"/>
  <c r="I175" i="2"/>
  <c r="C175" i="2"/>
  <c r="I174" i="2"/>
  <c r="C174" i="2"/>
  <c r="I173" i="2"/>
  <c r="C173" i="2"/>
  <c r="I172" i="2"/>
  <c r="C172" i="2"/>
  <c r="I171" i="2"/>
  <c r="C171" i="2"/>
  <c r="I170" i="2"/>
  <c r="C170" i="2"/>
  <c r="I169" i="2"/>
  <c r="C169" i="2"/>
  <c r="I168" i="2"/>
  <c r="C168" i="2"/>
  <c r="I167" i="2"/>
  <c r="C167" i="2"/>
  <c r="I166" i="2"/>
  <c r="C166" i="2"/>
  <c r="I165" i="2"/>
  <c r="C165" i="2"/>
  <c r="I164" i="2"/>
  <c r="C164" i="2"/>
  <c r="I163" i="2"/>
  <c r="C163" i="2"/>
  <c r="I162" i="2"/>
  <c r="C162" i="2"/>
  <c r="I161" i="2"/>
  <c r="C161" i="2"/>
  <c r="I160" i="2"/>
  <c r="C160" i="2"/>
  <c r="I159" i="2"/>
  <c r="C159" i="2"/>
  <c r="I158" i="2"/>
  <c r="C158" i="2"/>
  <c r="I157" i="2"/>
  <c r="C157" i="2"/>
  <c r="I156" i="2"/>
  <c r="C156" i="2"/>
  <c r="I155" i="2"/>
  <c r="C155" i="2"/>
  <c r="I154" i="2"/>
  <c r="C154" i="2"/>
  <c r="I153" i="2"/>
  <c r="C153" i="2"/>
  <c r="I152" i="2"/>
  <c r="C152" i="2"/>
  <c r="I151" i="2"/>
  <c r="C151" i="2"/>
  <c r="I150" i="2"/>
  <c r="C150" i="2"/>
  <c r="I149" i="2"/>
  <c r="C149" i="2"/>
  <c r="I148" i="2"/>
  <c r="C148" i="2"/>
  <c r="I147" i="2"/>
  <c r="C147" i="2"/>
  <c r="I146" i="2"/>
  <c r="C146" i="2"/>
  <c r="I145" i="2"/>
  <c r="C145" i="2"/>
  <c r="I144" i="2"/>
  <c r="C144" i="2"/>
  <c r="I143" i="2"/>
  <c r="C143" i="2"/>
  <c r="I142" i="2"/>
  <c r="C142" i="2"/>
  <c r="I141" i="2"/>
  <c r="C141" i="2"/>
  <c r="I140" i="2"/>
  <c r="C140" i="2"/>
  <c r="I139" i="2"/>
  <c r="C139" i="2"/>
  <c r="I138" i="2"/>
  <c r="C138" i="2"/>
  <c r="I137" i="2"/>
  <c r="C137" i="2"/>
  <c r="I136" i="2"/>
  <c r="C136" i="2"/>
  <c r="I135" i="2"/>
  <c r="C135" i="2"/>
  <c r="I134" i="2"/>
  <c r="C134" i="2"/>
  <c r="I133" i="2"/>
  <c r="C133" i="2"/>
  <c r="I132" i="2"/>
  <c r="C132" i="2"/>
  <c r="I131" i="2"/>
  <c r="C131" i="2"/>
  <c r="I130" i="2"/>
  <c r="C130" i="2"/>
  <c r="I129" i="2"/>
  <c r="C129" i="2"/>
  <c r="I128" i="2"/>
  <c r="C128" i="2"/>
  <c r="I127" i="2"/>
  <c r="C127" i="2"/>
  <c r="I126" i="2"/>
  <c r="C126" i="2"/>
  <c r="I125" i="2"/>
  <c r="C125" i="2"/>
  <c r="I124" i="2"/>
  <c r="C124" i="2"/>
  <c r="I123" i="2"/>
  <c r="C123" i="2"/>
  <c r="I122" i="2"/>
  <c r="C122" i="2"/>
  <c r="I121" i="2"/>
  <c r="C121" i="2"/>
  <c r="I120" i="2"/>
  <c r="C120" i="2"/>
  <c r="I119" i="2"/>
  <c r="C119" i="2"/>
  <c r="I118" i="2"/>
  <c r="C118" i="2"/>
  <c r="I117" i="2"/>
  <c r="C117" i="2"/>
  <c r="I116" i="2"/>
  <c r="C116" i="2"/>
  <c r="I115" i="2"/>
  <c r="C115" i="2"/>
  <c r="I114" i="2"/>
  <c r="C114" i="2"/>
  <c r="I113" i="2"/>
  <c r="C113" i="2"/>
  <c r="I112" i="2"/>
  <c r="C112" i="2"/>
  <c r="I111" i="2"/>
  <c r="C111" i="2"/>
  <c r="I110" i="2"/>
  <c r="C110" i="2"/>
  <c r="I109" i="2"/>
  <c r="C109" i="2"/>
  <c r="I108" i="2"/>
  <c r="C108" i="2"/>
  <c r="I107" i="2"/>
  <c r="C107" i="2"/>
  <c r="I106" i="2"/>
  <c r="C106" i="2"/>
  <c r="I105" i="2"/>
  <c r="C105" i="2"/>
  <c r="I104" i="2"/>
  <c r="C104" i="2"/>
  <c r="I103" i="2"/>
  <c r="C103" i="2"/>
  <c r="I102" i="2"/>
  <c r="C102" i="2"/>
  <c r="I101" i="2"/>
  <c r="C101" i="2"/>
  <c r="I100" i="2"/>
  <c r="C100" i="2"/>
  <c r="I99" i="2"/>
  <c r="C99" i="2"/>
  <c r="I98" i="2"/>
  <c r="C98" i="2"/>
  <c r="I97" i="2"/>
  <c r="C97" i="2"/>
  <c r="I96" i="2"/>
  <c r="C96" i="2"/>
  <c r="I95" i="2"/>
  <c r="C95" i="2"/>
  <c r="I94" i="2"/>
  <c r="C94" i="2"/>
  <c r="I93" i="2"/>
  <c r="C93" i="2"/>
  <c r="I92" i="2"/>
  <c r="C92" i="2"/>
  <c r="I91" i="2"/>
  <c r="C91" i="2"/>
  <c r="I90" i="2"/>
  <c r="C90" i="2"/>
  <c r="I89" i="2"/>
  <c r="C89" i="2"/>
  <c r="I88" i="2"/>
  <c r="C88" i="2"/>
  <c r="I87" i="2"/>
  <c r="C87" i="2"/>
  <c r="I86" i="2"/>
  <c r="C86" i="2"/>
  <c r="I85" i="2"/>
  <c r="C85" i="2"/>
  <c r="I84" i="2"/>
  <c r="C84" i="2"/>
  <c r="I83" i="2"/>
  <c r="C83" i="2"/>
  <c r="I82" i="2"/>
  <c r="C82" i="2"/>
  <c r="I81" i="2"/>
  <c r="C81" i="2"/>
  <c r="I80" i="2"/>
  <c r="C80" i="2"/>
  <c r="I79" i="2"/>
  <c r="C79" i="2"/>
  <c r="I78" i="2"/>
  <c r="C78" i="2"/>
  <c r="I77" i="2"/>
  <c r="C77" i="2"/>
  <c r="I76" i="2"/>
  <c r="C76" i="2"/>
  <c r="I75" i="2"/>
  <c r="C75" i="2"/>
  <c r="I74" i="2"/>
  <c r="C74" i="2"/>
  <c r="I73" i="2"/>
  <c r="C73" i="2"/>
  <c r="I72" i="2"/>
  <c r="C72" i="2"/>
  <c r="I71" i="2"/>
  <c r="C71" i="2"/>
  <c r="I70" i="2"/>
  <c r="C70" i="2"/>
  <c r="I69" i="2"/>
  <c r="C69" i="2"/>
  <c r="I68" i="2"/>
  <c r="C68" i="2"/>
  <c r="I67" i="2"/>
  <c r="C67" i="2"/>
  <c r="I66" i="2"/>
  <c r="C66" i="2"/>
  <c r="I65" i="2"/>
  <c r="C65" i="2"/>
  <c r="I64" i="2"/>
  <c r="C64" i="2"/>
  <c r="I63" i="2"/>
  <c r="C63" i="2"/>
  <c r="I62" i="2"/>
  <c r="C62" i="2"/>
  <c r="I61" i="2"/>
  <c r="C61" i="2"/>
  <c r="I60" i="2"/>
  <c r="C60" i="2"/>
  <c r="I59" i="2"/>
  <c r="C59" i="2"/>
  <c r="I58" i="2"/>
  <c r="C58" i="2"/>
  <c r="I57" i="2"/>
  <c r="C57" i="2"/>
  <c r="I56" i="2"/>
  <c r="C56" i="2"/>
  <c r="I55" i="2"/>
  <c r="C55" i="2"/>
  <c r="I54" i="2"/>
  <c r="C54" i="2"/>
  <c r="I53" i="2"/>
  <c r="C53" i="2"/>
  <c r="I52" i="2"/>
  <c r="C52" i="2"/>
  <c r="I51" i="2"/>
  <c r="C51" i="2"/>
  <c r="I50" i="2"/>
  <c r="C50" i="2"/>
  <c r="I49" i="2"/>
  <c r="C49" i="2"/>
  <c r="I48" i="2"/>
  <c r="C48" i="2"/>
  <c r="I47" i="2"/>
  <c r="C47" i="2"/>
  <c r="I46" i="2"/>
  <c r="C46" i="2"/>
  <c r="I45" i="2"/>
  <c r="C45" i="2"/>
  <c r="I44" i="2"/>
  <c r="C44" i="2"/>
  <c r="I43" i="2"/>
  <c r="C43" i="2"/>
  <c r="I42" i="2"/>
  <c r="C42" i="2"/>
  <c r="I41" i="2"/>
  <c r="C41" i="2"/>
  <c r="I40" i="2"/>
  <c r="C40" i="2"/>
  <c r="I39" i="2"/>
  <c r="C39" i="2"/>
  <c r="I38" i="2"/>
  <c r="C38" i="2"/>
  <c r="I37" i="2"/>
  <c r="C37" i="2"/>
  <c r="I36" i="2"/>
  <c r="C36" i="2"/>
  <c r="I35" i="2"/>
  <c r="C35" i="2"/>
  <c r="I34" i="2"/>
  <c r="C34" i="2"/>
  <c r="I33" i="2"/>
  <c r="C33" i="2"/>
  <c r="I32" i="2"/>
  <c r="C32" i="2"/>
  <c r="I31" i="2"/>
  <c r="C31" i="2"/>
  <c r="I30" i="2"/>
  <c r="C30" i="2"/>
  <c r="I29" i="2"/>
  <c r="C29" i="2"/>
  <c r="I28" i="2"/>
  <c r="C28" i="2"/>
  <c r="I27" i="2"/>
  <c r="C27" i="2"/>
  <c r="I26" i="2"/>
  <c r="C26" i="2"/>
  <c r="I25" i="2"/>
  <c r="C25" i="2"/>
  <c r="I24" i="2"/>
  <c r="C24" i="2"/>
  <c r="I23" i="2"/>
  <c r="C23" i="2"/>
  <c r="I22" i="2"/>
  <c r="C22" i="2"/>
  <c r="I21" i="2"/>
  <c r="C21" i="2"/>
  <c r="I20" i="2"/>
  <c r="C20" i="2"/>
  <c r="I19" i="2"/>
  <c r="C19" i="2"/>
  <c r="I18" i="2"/>
  <c r="C18" i="2"/>
  <c r="I17" i="2"/>
  <c r="C17" i="2"/>
  <c r="I16" i="2"/>
  <c r="C16" i="2"/>
  <c r="I15" i="2"/>
  <c r="C15" i="2"/>
  <c r="I14" i="2"/>
  <c r="C14" i="2"/>
  <c r="I13" i="2"/>
  <c r="C13" i="2"/>
  <c r="I12" i="2"/>
  <c r="C12" i="2"/>
  <c r="I11" i="2"/>
  <c r="C11" i="2"/>
  <c r="I10" i="2"/>
  <c r="C10" i="2"/>
  <c r="I9" i="2"/>
  <c r="C9" i="2"/>
  <c r="I8" i="2"/>
  <c r="C8" i="2"/>
  <c r="I7" i="2"/>
  <c r="C7" i="2"/>
  <c r="I6" i="2"/>
  <c r="C6" i="2"/>
  <c r="I5" i="2"/>
  <c r="C5" i="2"/>
  <c r="I4" i="2"/>
  <c r="C4" i="2"/>
  <c r="I3" i="2"/>
  <c r="C3" i="2"/>
  <c r="D1" i="2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L5" i="1"/>
  <c r="K5" i="1"/>
  <c r="J5" i="1"/>
  <c r="I5" i="1"/>
  <c r="H5" i="1"/>
  <c r="G5" i="1"/>
  <c r="F5" i="1"/>
  <c r="C5" i="1"/>
  <c r="B5" i="1"/>
  <c r="K4" i="1"/>
  <c r="J4" i="1"/>
  <c r="I4" i="1"/>
  <c r="H4" i="1"/>
  <c r="G4" i="1"/>
  <c r="F4" i="1"/>
  <c r="C4" i="1"/>
  <c r="B4" i="1"/>
  <c r="C3" i="1"/>
  <c r="B3" i="1"/>
  <c r="E2" i="1"/>
  <c r="D2" i="1"/>
  <c r="E1" i="1"/>
  <c r="D1" i="1"/>
  <c r="C1" i="1"/>
  <c r="B1" i="1"/>
  <c r="B2" i="1" l="1"/>
  <c r="C2" i="1"/>
</calcChain>
</file>

<file path=xl/sharedStrings.xml><?xml version="1.0" encoding="utf-8"?>
<sst xmlns="http://schemas.openxmlformats.org/spreadsheetml/2006/main" count="8059" uniqueCount="2822">
  <si>
    <t>请至对应工作簿中更改姓名即可，本行内容会自动更新</t>
  </si>
  <si>
    <t>日期\Total</t>
  </si>
  <si>
    <t>姓名</t>
  </si>
  <si>
    <t>总刷题数(Unique)</t>
  </si>
  <si>
    <t>只需更新日期及题号，其他内容会自动更新</t>
  </si>
  <si>
    <t>日期</t>
  </si>
  <si>
    <t>题号</t>
  </si>
  <si>
    <t>题目链接</t>
  </si>
  <si>
    <t>难度</t>
  </si>
  <si>
    <t>分类</t>
  </si>
  <si>
    <t>公司</t>
  </si>
  <si>
    <t>接受度</t>
  </si>
  <si>
    <t>类别</t>
  </si>
  <si>
    <t>复习</t>
  </si>
  <si>
    <t>请至Coder-2中填写姓名</t>
  </si>
  <si>
    <t>请至Coder-3中填写姓名</t>
  </si>
  <si>
    <t>请至Coder-4中填写姓名</t>
  </si>
  <si>
    <t>公司分类查询表</t>
  </si>
  <si>
    <t>筛选条件：</t>
  </si>
  <si>
    <t>公司1</t>
  </si>
  <si>
    <t>Google</t>
  </si>
  <si>
    <t>公司2</t>
  </si>
  <si>
    <t>AMAZON</t>
  </si>
  <si>
    <t>公司3</t>
  </si>
  <si>
    <t>lyft</t>
  </si>
  <si>
    <t>公司4</t>
  </si>
  <si>
    <t>公司5</t>
  </si>
  <si>
    <t>公司6</t>
  </si>
  <si>
    <t>筛选方式</t>
  </si>
  <si>
    <t>And</t>
  </si>
  <si>
    <t>排序方式</t>
  </si>
  <si>
    <t>递增</t>
  </si>
  <si>
    <t>筛选结果统计：</t>
  </si>
  <si>
    <t>Or</t>
  </si>
  <si>
    <t>递减</t>
  </si>
  <si>
    <t>标题</t>
  </si>
  <si>
    <t>tags</t>
  </si>
  <si>
    <t>companies</t>
  </si>
  <si>
    <t>接受率</t>
  </si>
  <si>
    <t>Two Sum</t>
  </si>
  <si>
    <t>Easy</t>
  </si>
  <si>
    <t>Hash Table,Array</t>
  </si>
  <si>
    <t>Roblox,Audible,Splunk,ByteDance,FactSet,Twilio,Qualcomm,GE Digital,Capital One,EMC,Deutsche Bank,Tableau,Salesforce,Groupon,Zynga,Intel,Booking.com,Drawbridge,Visa,VMware,Box,Citadel,Quora,Affirm,Walmart Labs,Dropbox,GoDaddy,Snapchat,MAQ Software,Indeed,Radius,Works Applications,JPMorgan,Zillow,Paypal,Twitter,ServiceNow,Expedia,Wish,Yelp,Nvidia,Zoho,Oracle,NetEase,Spotify,Intuit,IBM,Lyft,Cisco,Mathworks,DiDi,Yandex,Huawei,EBay,BlackRock,Baidu,Valve,Apple,Airbnb,Uber,Yahoo,Samsung,Tencent,SAP,Morgan Stanley,Aetion,Bloomberg,Adobe,Facebook,Amazon,LinkedIn,Microsoft,Alibaba,Goldman Sachs,Google</t>
  </si>
  <si>
    <t>算法</t>
  </si>
  <si>
    <t>Add Two Numbers</t>
  </si>
  <si>
    <t>Medium</t>
  </si>
  <si>
    <t>Math,Linked List</t>
  </si>
  <si>
    <t>Dell,Redfin,Flipkart,Grab,ByteDance,Qualcomm,Capital One,Salesforce,Intel,VMware,GoDaddy,Paypal,ServiceNow,Wish,Nvidia,Zoho,Oracle,IBM,Lyft,Cisco,Mathworks,Yandex,Huawei,EBay,Baidu,Apple,Airbnb,Uber,Yahoo,SAP,Aetion,Bloomberg,Adobe,Facebook,Amazon,Microsoft,Alibaba,Google</t>
  </si>
  <si>
    <t>Longest Substring Without Repeating Characters</t>
  </si>
  <si>
    <t>Sliding Window,String,Two Pointers,Hash Table</t>
  </si>
  <si>
    <t>Coupang,Atlassian,Twitch,Alation,ByteDance,Salesforce,VMware,Walmart Labs,Snapchat,Zillow,Paypal,Expedia,Yelp,Zoho,Oracle,Spotify,Cisco,Yandex,Huawei,EBay,Baidu,Apple,Uber,Yahoo,Samsung,Tencent,SAP,Bloomberg,Adobe,Facebook,Amazon,Microsoft,Alibaba,Goldman Sachs,Google</t>
  </si>
  <si>
    <t>Median of Two Sorted Arrays</t>
  </si>
  <si>
    <t>Hard</t>
  </si>
  <si>
    <t>Divide and Conquer,Binary Search,Array</t>
  </si>
  <si>
    <t>Zulily,Garena,Rubrik,Houzz,Two Sigma,Zenefits,ByteDance,Visa,VMware,Walmart Labs,Dropbox,GoDaddy,JPMorgan,Zillow,Oracle,DiDi,Yandex,Huawei,EBay,Baidu,Apple,Airbnb,Uber,Yahoo,Tencent,Bloomberg,Adobe,Facebook,Amazon,Microsoft,Alibaba,Goldman Sachs,Google</t>
  </si>
  <si>
    <t>Longest Palindromic Substring</t>
  </si>
  <si>
    <t>Dynamic Programming,String</t>
  </si>
  <si>
    <t>Wayfair,Pure Storage,Roblox,VMware,Walmart Labs,GoDaddy,JPMorgan,Paypal,ServiceNow,Oracle,Cisco,Mathworks,Yandex,Huawei,EBay,Apple,Airbnb,Uber,Yahoo,Samsung,Tencent,SAP,Bloomberg,Adobe,Facebook,Amazon,Microsoft,Alibaba,Google</t>
  </si>
  <si>
    <t>ZigZag Conversion</t>
  </si>
  <si>
    <t>String</t>
  </si>
  <si>
    <t>Paypal,Wish,Apple,Bloomberg,Adobe,Facebook,Amazon,Microsoft,Google</t>
  </si>
  <si>
    <t>Reverse Integer</t>
  </si>
  <si>
    <t>Math</t>
  </si>
  <si>
    <t>Barclays,JPMorgan,Oracle,NetEase,Lyft,Cisco,Apple,Uber,Yahoo,Bloomberg,Adobe,Facebook,Amazon,Microsoft,Google</t>
  </si>
  <si>
    <t>String to Integer (atoi)</t>
  </si>
  <si>
    <t>String,Math</t>
  </si>
  <si>
    <t>Citrix,Redfin,VMware,Citadel,Zillow,Nvidia,Oracle,Cisco,EBay,Apple,Uber,Tencent,SAP,Bloomberg,Adobe,Facebook,Amazon,LinkedIn,Microsoft,Goldman Sachs,Google</t>
  </si>
  <si>
    <t>Palindrome Number</t>
  </si>
  <si>
    <t>JPMorgan,Oracle,Apple,Yahoo,Bloomberg,Adobe,Facebook,Amazon,Microsoft,Goldman Sachs,Google</t>
  </si>
  <si>
    <t>Regular Expression Matching</t>
  </si>
  <si>
    <t>Backtracking,Dynamic Programming,String</t>
  </si>
  <si>
    <t>Databricks,Pocket Gems,Palantir Technologies,Coursera,Cruise Automation,Zulily,Houzz,Flipkart,ByteDance,Twitter,Oracle,Lyft,EBay,Apple,Airbnb,Uber,Bloomberg,Adobe,Facebook,Amazon,Microsoft,Alibaba,Google</t>
  </si>
  <si>
    <t>Container With Most Water</t>
  </si>
  <si>
    <t>Two Pointers,Array</t>
  </si>
  <si>
    <t>ByteDance,VMware,Oracle,Lyft,Apple,Airbnb,Uber,Yahoo,Bloomberg,Adobe,Facebook,Amazon,Microsoft,Goldman Sachs,Google</t>
  </si>
  <si>
    <t>Integer to Roman</t>
  </si>
  <si>
    <t>Evernote,Opendoor,Salesforce,Paypal,Twitter,Oracle,BlackRock,Apple,Yahoo,SAP,Bloomberg,Adobe,Facebook,Amazon,LinkedIn,Microsoft,Google</t>
  </si>
  <si>
    <t>Roman to Integer</t>
  </si>
  <si>
    <t>Qualtrics,Zillow,Oracle,Apple,Uber,Yahoo,Bloomberg,Adobe,Facebook,Amazon,LinkedIn,Microsoft,Goldman Sachs,Google</t>
  </si>
  <si>
    <t>Longest Common Prefix</t>
  </si>
  <si>
    <t>Pinterest,IXL,Citrix,Splunk,Twilio,Visa,Quora,Snapchat,Yelp,Oracle,IBM,Cisco,Apple,Bloomberg,Adobe,Facebook,Amazon,Microsoft,Alibaba,Google</t>
  </si>
  <si>
    <t>3Sum</t>
  </si>
  <si>
    <t>DoorDash,Postmates,Akuna Capital,Square,Qualtrics,Coursera,Citrix,Splunk,ByteDance,Salesforce,Groupon,Visa,VMware,Citadel,Quora,Walmart Labs,Snapchat,Works Applications,Paypal,Expedia,Zoho,Oracle,IBM,Cisco,Mathworks,Yandex,EBay,Baidu,Apple,Uber,Yahoo,Tencent,Bloomberg,Adobe,Facebook,Amazon,Microsoft,Alibaba,Goldman Sachs,Google</t>
  </si>
  <si>
    <t>3Sum Closest</t>
  </si>
  <si>
    <t>VMware,Yandex,Apple,Uber,SAP,Bloomberg,Adobe,Facebook,Amazon,Microsoft,Goldman Sachs,Google</t>
  </si>
  <si>
    <t>Letter Combinations of a Phone Number</t>
  </si>
  <si>
    <t>Backtracking,String</t>
  </si>
  <si>
    <t>Nutanix,Quip (Salesforce),Square,Pinterest,Atlassian,Roblox,Salesforce,VMware,Walmart Labs,Dropbox,JPMorgan,ServiceNow,Oracle,Lyft,Cisco,EBay,Apple,Airbnb,Uber,Yahoo,Morgan Stanley,Bloomberg,Facebook,Amazon,Microsoft,Goldman Sachs,Google</t>
  </si>
  <si>
    <t>4Sum</t>
  </si>
  <si>
    <t>Two Pointers,Hash Table,Array</t>
  </si>
  <si>
    <t>Apple,Yahoo,Bloomberg,Adobe,Facebook,Amazon,Microsoft,Google</t>
  </si>
  <si>
    <t>Remove Nth Node From End of List</t>
  </si>
  <si>
    <t>Two Pointers,Linked List</t>
  </si>
  <si>
    <t>ByteDance,VMware,Oracle,Cisco,Yandex,Apple,Bloomberg,Adobe,Facebook,Amazon,Microsoft,Goldman Sachs,Google</t>
  </si>
  <si>
    <t>Valid Parentheses</t>
  </si>
  <si>
    <t>Stack,String</t>
  </si>
  <si>
    <t>LiveRamp,Netflix,Epic Systems,Riot Games,Tesla,Blizzard,DoorDash,Postmates,Akuna Capital,Barclays,Zenefits,Atlassian,Audible,Twilio,Salesforce,Intel,Visa,VMware,Citadel,Walmart Labs,GoDaddy,JPMorgan,Zillow,Paypal,Twitter,ServiceNow,Expedia,Oracle,Spotify,Intuit,IBM,Lyft,Cisco,Mathworks,Yandex,EBay,Apple,Airbnb,Uber,Yahoo,Samsung,Tencent,SAP,Morgan Stanley,Bloomberg,Adobe,Facebook,Amazon,LinkedIn,Microsoft,Goldman Sachs,Google</t>
  </si>
  <si>
    <t>Merge Two Sorted Lists</t>
  </si>
  <si>
    <t>Linked List</t>
  </si>
  <si>
    <t>Arista Networks,Atlassian,ByteDance,Capital One,Intel,Visa,VMware,Walmart Labs,Indeed,Paypal,Oracle,Lyft,Cisco,Yandex,Huawei,EBay,Apple,Airbnb,Uber,Yahoo,Samsung,Tencent,Bloomberg,Adobe,Facebook,Amazon,LinkedIn,Microsoft,Alibaba,Google</t>
  </si>
  <si>
    <t>Generate Parentheses</t>
  </si>
  <si>
    <t>Nutanix,Zenefits,Atlassian,ByteDance,Salesforce,Walmart Labs,Snapchat,Yelp,Nvidia,Spotify,Lyft,Cisco,Yandex,Apple,Uber,Yahoo,Samsung,SAP,Bloomberg,Adobe,Facebook,Amazon,Microsoft,Alibaba,Google</t>
  </si>
  <si>
    <t>Merge k Sorted Lists</t>
  </si>
  <si>
    <t>Heap,Divide and Conquer,Linked List</t>
  </si>
  <si>
    <t>Cohesity,IXL,Cruise Automation,Atlassian,Audible,ByteDance,Tableau,Salesforce,VMware,Box,Walmart Labs,Indeed,Zillow,Twitter,Wish,Oracle,Lyft,Cisco,Mathworks,Yandex,EBay,Apple,Airbnb,Uber,Yahoo,Tencent,SAP,Bloomberg,Adobe,Facebook,Amazon,LinkedIn,Microsoft,Alibaba,Google</t>
  </si>
  <si>
    <t>Swap Nodes in Pairs</t>
  </si>
  <si>
    <t>Oracle,Lyft,EBay,Apple,Uber,SAP,Bloomberg,Adobe,Facebook,Amazon,Microsoft,Google</t>
  </si>
  <si>
    <t>Reverse Nodes in k-Group</t>
  </si>
  <si>
    <t>Goo,Cohesity,ByteDance,VMware,Paypal,Cisco,Mathworks,EBay,Apple,Adobe,Facebook,Amazon,Microsoft,Google</t>
  </si>
  <si>
    <t>Remove Duplicates from Sorted Array</t>
  </si>
  <si>
    <t>Hulu,Cohesity,VMware,ServiceNow,Oracle,Cisco,Apple,Uber,Bloomberg,Adobe,Facebook,Amazon,Microsoft,Google</t>
  </si>
  <si>
    <t>Remove Element</t>
  </si>
  <si>
    <t>Bloomberg,Amazon,Microsoft,Google</t>
  </si>
  <si>
    <t>Implement strStr()</t>
  </si>
  <si>
    <t>String,Two Pointers</t>
  </si>
  <si>
    <t>Pocket Gems,VMware,Citadel,Dropbox,Oracle,Yandex,EBay,Apple,Yahoo,Bloomberg,Facebook,Amazon,Microsoft,Google</t>
  </si>
  <si>
    <t>Divide Two Integers</t>
  </si>
  <si>
    <t>Binary Search,Math</t>
  </si>
  <si>
    <t>Riot Games,Oracle,Apple,Bloomberg,Adobe,Facebook,Amazon,Microsoft,Google</t>
  </si>
  <si>
    <t>Substring with Concatenation of All Words</t>
  </si>
  <si>
    <t>String,Two Pointers,Hash Table</t>
  </si>
  <si>
    <t>Apple,Bloomberg,Adobe,Facebook,Amazon,Microsoft,Google</t>
  </si>
  <si>
    <t>Next Permutation</t>
  </si>
  <si>
    <t>Array</t>
  </si>
  <si>
    <t>Sumologic,Rubrik,Houzz,Atlassian,ByteDance,Quora,JPMorgan,EBay,Apple,Uber,Samsung,Bloomberg,Adobe,Facebook,Amazon,Microsoft,Google</t>
  </si>
  <si>
    <t>Longest Valid Parentheses</t>
  </si>
  <si>
    <t>Salesforce,Citadel,Expedia,Oracle,EBay,Apple,Uber,Yahoo,Samsung,Adobe,Facebook,Amazon,Microsoft,Google</t>
  </si>
  <si>
    <t>Search in Rotated Sorted Array</t>
  </si>
  <si>
    <t>Binary Search,Array</t>
  </si>
  <si>
    <t>TripAdvisor,Tesla,Nutanix,Zulily,Twitch,ByteDance,Salesforce,Visa,VMware,Walmart Labs,Snapchat,JPMorgan,Zillow,Expedia,Nvidia,Oracle,NetEase,Cisco,Yandex,EBay,Baidu,Apple,Uber,Yahoo,Samsung,Tencent,Bloomberg,Adobe,Facebook,Amazon,LinkedIn,Microsoft,Alibaba,Goldman Sachs,Google</t>
  </si>
  <si>
    <t>Find First and Last Position of Element in Sorted Array</t>
  </si>
  <si>
    <t>Netflix,Quip (Salesforce),Qualtrics,ByteDance,Visa,Oracle,Yandex,Apple,Airbnb,Uber,Yahoo,Bloomberg,Facebook,Amazon,LinkedIn,Microsoft,Google</t>
  </si>
  <si>
    <t>Search Insert Position</t>
  </si>
  <si>
    <t>Apple,SAP,Bloomberg,Adobe,Amazon,Microsoft,Google</t>
  </si>
  <si>
    <t>Valid Sudoku</t>
  </si>
  <si>
    <t>Hash Table</t>
  </si>
  <si>
    <t>DoorDash,Pinterest,Cruise Automation,Roblox,Salesforce,VMware,Snapchat,Twitter,Oracle,Apple,Uber,Bloomberg,Adobe,Facebook,Amazon,Microsoft,Google</t>
  </si>
  <si>
    <t>Sudoku Solver</t>
  </si>
  <si>
    <t>Backtracking,Hash Table</t>
  </si>
  <si>
    <t>Arista Networks,Riot Games,DoorDash,Roblox,VMware,Snapchat,Expedia,Wish,Oracle,Apple,Uber,Facebook,Amazon,Microsoft,Google</t>
  </si>
  <si>
    <t>Count and Say</t>
  </si>
  <si>
    <t>Epic Systems,Oracle,Apple,Bloomberg,Adobe,Facebook,Amazon,Microsoft,Google</t>
  </si>
  <si>
    <t>Combination Sum</t>
  </si>
  <si>
    <t>Backtracking,Array</t>
  </si>
  <si>
    <t>Akuna Capital,Square,IXL,VMware,Quora,Walmart Labs,Snapchat,JPMorgan,Yelp,EBay,Apple,Airbnb,Uber,Bloomberg,Facebook,Amazon,LinkedIn,Microsoft,Goldman Sachs,Google</t>
  </si>
  <si>
    <t>Combination Sum II</t>
  </si>
  <si>
    <t>Nutanix,Walmart Labs,Snapchat,EBay,Apple,Uber,Adobe,Facebook,Amazon,LinkedIn,Microsoft,Google</t>
  </si>
  <si>
    <t>First Missing Positive</t>
  </si>
  <si>
    <t>Databricks,Pocket Gems,Wayfair,Twitch,Grab,ByteDance,Salesforce,Walmart Labs,Wish,Oracle,EBay,Apple,Airbnb,Uber,SAP,Morgan Stanley,Bloomberg,Adobe,Facebook,Amazon,Microsoft,Google</t>
  </si>
  <si>
    <t>Trapping Rain Water</t>
  </si>
  <si>
    <t>Stack,Two Pointers,Array</t>
  </si>
  <si>
    <t>Electronic Arts,Dataminr,Qualtrics,Databricks,Palantir Technologies,Zenefits,Atlassian,Flipkart,Grab,ByteDance,Tableau,Salesforce,Visa,Citadel,Affirm,Walmart Labs,Snapchat,Twitter,Wish,Nvidia,Oracle,Lyft,Yandex,Huawei,EBay,Apple,Airbnb,Uber,Yahoo,Bloomberg,Adobe,Facebook,Amazon,Microsoft,Goldman Sachs,Google</t>
  </si>
  <si>
    <t>Multiply Strings</t>
  </si>
  <si>
    <t>Houzz,Redfin,Walmart Labs,Zillow,Twitter,Expedia,Oracle,Mathworks,Huawei,Apple,Uber,Facebook,Amazon,Microsoft,Google</t>
  </si>
  <si>
    <t>Wildcard Matching</t>
  </si>
  <si>
    <t>Greedy,Backtracking,Dynamic Programming,String</t>
  </si>
  <si>
    <t>Coursera,Cruise Automation,Two Sigma,ByteDance,Snapchat,Twitter,Oracle,Bloomberg,Adobe,Facebook,Amazon,Microsoft,Goldman Sachs,Google</t>
  </si>
  <si>
    <t>Jump Game II</t>
  </si>
  <si>
    <t>Greedy,Array</t>
  </si>
  <si>
    <t>Nutanix,Oracle,Huawei,Apple,Uber,Adobe,Facebook,Amazon,Microsoft,Goldman Sachs,Google</t>
  </si>
  <si>
    <t>Permutations</t>
  </si>
  <si>
    <t>Backtracking</t>
  </si>
  <si>
    <t>Garena,Atlassian,ByteDance,Salesforce,VMware,Walmart Labs,GoDaddy,Paypal,Oracle,NetEase,Cisco,EBay,Apple,Uber,Yahoo,Bloomberg,Adobe,Facebook,Amazon,LinkedIn,Microsoft,Goldman Sachs,Google</t>
  </si>
  <si>
    <t>Permutations II</t>
  </si>
  <si>
    <t>VMware,Apple,Uber,Bloomberg,Adobe,Facebook,Amazon,LinkedIn,Microsoft</t>
  </si>
  <si>
    <t>Rotate Image</t>
  </si>
  <si>
    <t>Akuna Capital,Palantir Technologies,Houzz,Salesforce,Groupon,Quora,Wish,Nvidia,Lyft,Cisco,Yandex,Apple,Samsung,Bloomberg,Adobe,Facebook,Amazon,Microsoft,Google</t>
  </si>
  <si>
    <t>Group Anagrams</t>
  </si>
  <si>
    <t>String,Hash Table</t>
  </si>
  <si>
    <t>Docusign,Electronic Arts,Hulu,Tesla,Nutanix,Qualtrics,Zulily,Twilio,Salesforce,Booking.com,Visa,VMware,Affirm,Walmart Labs,Snapchat,ServiceNow,Wish,Yelp,Oracle,Intuit,Cisco,Mathworks,Yandex,EBay,Apple,Uber,Yahoo,Bloomberg,Adobe,Facebook,Amazon,Microsoft,Goldman Sachs,Google</t>
  </si>
  <si>
    <t>Pow(x, n)</t>
  </si>
  <si>
    <t>Asana,Walmart Labs,Oracle,Apple,Uber,Morgan Stanley,Bloomberg,Adobe,Facebook,Amazon,LinkedIn,Microsoft,Goldman Sachs,Google</t>
  </si>
  <si>
    <t>N-Queens</t>
  </si>
  <si>
    <t>Rubrik,ByteDance,Tableau,Oracle,EBay,Apple,Uber,Adobe,Facebook,Amazon,Microsoft,Google</t>
  </si>
  <si>
    <t>N-Queens II</t>
  </si>
  <si>
    <t>Zenefits,Amazon</t>
  </si>
  <si>
    <t>Maximum Subarray</t>
  </si>
  <si>
    <t>Dynamic Programming,Divide and Conquer,Array</t>
  </si>
  <si>
    <t>Asana,Tesla,Palantir Technologies,Wayfair,Two Sigma,Atlassian,ByteDance,Capital One,Salesforce,Intel,Visa,Citadel,Walmart Labs,JPMorgan,Zillow,Paypal,Expedia,Nvidia,Oracle,IBM,Cisco,EBay,Apple,Uber,Yahoo,SAP,Morgan Stanley,Bloomberg,Adobe,Facebook,Amazon,LinkedIn,Microsoft,Alibaba,Goldman Sachs,Google</t>
  </si>
  <si>
    <t>Spiral Matrix</t>
  </si>
  <si>
    <t>Robinhood,Hulu,Epic Systems,Quip (Salesforce),Twitch,ByteDance,Drawbridge,Visa,Walmart Labs,Snapchat,Paypal,Oracle,Cisco,EBay,Apple,Uber,Bloomberg,Adobe,Facebook,Amazon,LinkedIn,Microsoft,Goldman Sachs,Google</t>
  </si>
  <si>
    <t>Jump Game</t>
  </si>
  <si>
    <t>Nutanix,Postmates,ByteDance,Oracle,Apple,Uber,Bloomberg,Adobe,Facebook,Amazon,Microsoft,Google</t>
  </si>
  <si>
    <t>Merge Intervals</t>
  </si>
  <si>
    <t>Sort,Array</t>
  </si>
  <si>
    <t>Dataminr,Sumologic,Cohesity,DoorDash,Postmates,Pinterest,Palantir Technologies,Cruise Automation,Wayfair,Zulily,Two Sigma,Zenefits,Coupang,Atlassian,Twitch,ByteDance,Salesforce,Visa,VMware,Walmart Labs,GoDaddy,Snapchat,Paypal,Twitter,ServiceNow,Wish,Yelp,Oracle,Intuit,Cisco,Yandex,EBay,Apple,Uber,Yahoo,Tencent,SAP,Bloomberg,Adobe,Facebook,Amazon,LinkedIn,Microsoft,Alibaba,Goldman Sachs,Google</t>
  </si>
  <si>
    <t>Insert Interval</t>
  </si>
  <si>
    <t>Dataminr,Tableau,Twitter,Oracle,Apple,Uber,Adobe,Facebook,Amazon,LinkedIn,Microsoft,Google</t>
  </si>
  <si>
    <t>Length of Last Word</t>
  </si>
  <si>
    <t>Spiral Matrix II</t>
  </si>
  <si>
    <t>Robinhood,Snapchat,Oracle,Yandex,Apple,Uber,Adobe,Facebook,Amazon,Microsoft,Google</t>
  </si>
  <si>
    <t>Permutation Sequence</t>
  </si>
  <si>
    <t>Backtracking,Math</t>
  </si>
  <si>
    <t>Twitter,Facebook,Amazon,Microsoft,Google</t>
  </si>
  <si>
    <t>Rotate List</t>
  </si>
  <si>
    <t>Hulu,Bloomberg,Adobe,Amazon,LinkedIn,Microsoft</t>
  </si>
  <si>
    <t>Unique Paths</t>
  </si>
  <si>
    <t>Dynamic Programming,Array</t>
  </si>
  <si>
    <t>VMware,Walmart Labs,Snapchat,Oracle,Mathworks,Apple,Uber,Bloomberg,Adobe,Facebook,Amazon,Microsoft,Alibaba,Goldman Sachs,Google</t>
  </si>
  <si>
    <t>Unique Paths II</t>
  </si>
  <si>
    <t>GoDaddy,Snapchat,Mathworks,Apple,Bloomberg,Facebook,Amazon,Microsoft,Goldman Sachs,Google</t>
  </si>
  <si>
    <t>Minimum Path Sum</t>
  </si>
  <si>
    <t>Rubrik,Dropbox,Wish,Nvidia,Apple,Uber,Bloomberg,Adobe,Facebook,Amazon,Microsoft,Goldman Sachs,Google</t>
  </si>
  <si>
    <t>Valid Number</t>
  </si>
  <si>
    <t>TripAdvisor,Apple,Adobe,Facebook,Amazon,LinkedIn,Microsoft,Google</t>
  </si>
  <si>
    <t>Plus One</t>
  </si>
  <si>
    <t>Spotify,EBay,Uber,Bloomberg,Facebook,Amazon,Google</t>
  </si>
  <si>
    <t>Add Binary</t>
  </si>
  <si>
    <t>Oracle,Apple,Adobe,Facebook,Amazon,Microsoft,Google</t>
  </si>
  <si>
    <t>Text Justification</t>
  </si>
  <si>
    <t>Robinhood,Pinterest,Coursera,Twilio,Box,Snapchat,Indeed,Twitter,Intuit,Lyft,Apple,Airbnb,Uber,Facebook,Amazon,LinkedIn,Microsoft,Google</t>
  </si>
  <si>
    <t>Sqrt(x)</t>
  </si>
  <si>
    <t>Qualtrics,Wayfair,Lyft,Huawei,Apple,Uber,Bloomberg,Facebook,Amazon,LinkedIn,Microsoft,Google</t>
  </si>
  <si>
    <t>Climbing Stairs</t>
  </si>
  <si>
    <t>Dynamic Programming</t>
  </si>
  <si>
    <t>TripAdvisor,Zulily,Citadel,Walmart Labs,Nvidia,Oracle,Huawei,Baidu,Apple,Uber,Bloomberg,Adobe,Facebook,Amazon,LinkedIn,Microsoft,Alibaba,Goldman Sachs,Google</t>
  </si>
  <si>
    <t>Simplify Path</t>
  </si>
  <si>
    <t>Docusign,ByteDance,Salesforce,Oracle,Yandex,Bloomberg,Facebook,Amazon,Microsoft</t>
  </si>
  <si>
    <t>Edit Distance</t>
  </si>
  <si>
    <t>Square,ByteDance,Qualcomm,VMware,Paypal,Intuit,Baidu,Apple,Uber,Yahoo,Bloomberg,Adobe,Facebook,Amazon,LinkedIn,Microsoft,Goldman Sachs,Google</t>
  </si>
  <si>
    <t>Set Matrix Zeroes</t>
  </si>
  <si>
    <t>Docusign,TripAdvisor,Audible,Salesforce,Paypal,Expedia,Oracle,Apple,Facebook,Amazon,Microsoft</t>
  </si>
  <si>
    <t>Search a 2D Matrix</t>
  </si>
  <si>
    <t>Apple,Uber,Bloomberg,Adobe,Facebook,Amazon,Microsoft,Goldman Sachs,Google</t>
  </si>
  <si>
    <t>Sort Colors</t>
  </si>
  <si>
    <t>Sort,Two Pointers,Array</t>
  </si>
  <si>
    <t>Pocket Gems,Pure Storage,Walmart Labs,Paypal,Oracle,EBay,Apple,Uber,Yahoo,Bloomberg,Facebook,Amazon,LinkedIn,Microsoft,Google</t>
  </si>
  <si>
    <t>Minimum Window Substring</t>
  </si>
  <si>
    <t>Cohesity,Nutanix,ByteDance,Deutsche Bank,Salesforce,Visa,VMware,Walmart Labs,GoDaddy,Snapchat,Twitter,Oracle,Lyft,EBay,Apple,Airbnb,Uber,Yahoo,Tencent,Bloomberg,Adobe,Facebook,Amazon,LinkedIn,Microsoft,Goldman Sachs,Google</t>
  </si>
  <si>
    <t>Combinations</t>
  </si>
  <si>
    <t>Apple,Adobe,Facebook,Amazon,Microsoft,Google</t>
  </si>
  <si>
    <t>Subsets</t>
  </si>
  <si>
    <t>Bit Manipulation,Backtracking,Array</t>
  </si>
  <si>
    <t>Coupang,Atlassian,ByteDance,Walmart Labs,Oracle,Lyft,EBay,Apple,Uber,Yahoo,Bloomberg,Adobe,Facebook,Amazon,Microsoft,Goldman Sachs,Google</t>
  </si>
  <si>
    <t>Word Search</t>
  </si>
  <si>
    <t>Quantcast,Docusign,Pinterest,Cruise Automation,Coupang,ByteDance,VMware,Snapchat,JPMorgan,Zillow,Oracle,Intuit,Lyft,Apple,Uber,Yahoo,Aetion,Bloomberg,Adobe,Facebook,Amazon,LinkedIn,Microsoft,Google</t>
  </si>
  <si>
    <t>Remove Duplicates from Sorted Array II</t>
  </si>
  <si>
    <t>VMware,Baidu,Facebook,Google</t>
  </si>
  <si>
    <t>Search in Rotated Sorted Array II</t>
  </si>
  <si>
    <t>Bloomberg,Adobe,Facebook,Amazon,Microsoft,Google</t>
  </si>
  <si>
    <t>Remove Duplicates from Sorted List II</t>
  </si>
  <si>
    <t>Salesforce,Paypal,Apple,Bloomberg,Adobe,Amazon,Microsoft,Google</t>
  </si>
  <si>
    <t>Remove Duplicates from Sorted List</t>
  </si>
  <si>
    <t>ByteDance,Salesforce,Apple,Uber,Adobe,Facebook,Amazon,Microsoft,Google</t>
  </si>
  <si>
    <t>Largest Rectangle in Histogram</t>
  </si>
  <si>
    <t>Stack,Array</t>
  </si>
  <si>
    <t>Flipkart,Walmart Labs,Twitter,Bloomberg,Adobe,Facebook,Amazon,Microsoft,Google</t>
  </si>
  <si>
    <t>Maximal Rectangle</t>
  </si>
  <si>
    <t>Stack,Dynamic Programming,Hash Table,Array</t>
  </si>
  <si>
    <t>Karat,Wayfair,VMware,Indeed,Uber,Samsung,Bloomberg,Adobe,Facebook,Amazon,Microsoft,Google</t>
  </si>
  <si>
    <t>Partition List</t>
  </si>
  <si>
    <t>Apple,Amazon,Microsoft</t>
  </si>
  <si>
    <t>Scramble String</t>
  </si>
  <si>
    <t>Apple,Facebook,Google</t>
  </si>
  <si>
    <t>Merge Sorted Array</t>
  </si>
  <si>
    <t>Netflix,Quip (Salesforce),ByteDance,Tableau,Intel,VMware,Indeed,Expedia,Oracle,IBM,Lyft,Cisco,Yandex,EBay,Baidu,Apple,Uber,Yahoo,Bloomberg,Adobe,Facebook,Amazon,LinkedIn,Microsoft,Goldman Sachs,Google</t>
  </si>
  <si>
    <t>Gray Code</t>
  </si>
  <si>
    <t>Amazon,Microsoft</t>
  </si>
  <si>
    <t>Subsets II</t>
  </si>
  <si>
    <t>Bloomberg,Facebook,Amazon,Microsoft</t>
  </si>
  <si>
    <t>Decode Ways</t>
  </si>
  <si>
    <t>Square,Pinterest,Databricks,Barclays,Snapchat,Twitter,Expedia,Lyft,Cisco,Huawei,Baidu,Apple,Uber,Bloomberg,Adobe,Facebook,Amazon,Microsoft,Goldman Sachs,Google</t>
  </si>
  <si>
    <t>Reverse Linked List II</t>
  </si>
  <si>
    <t>Docusign,Atlassian,Oracle,Apple,Bloomberg,Adobe,Facebook,Amazon,Microsoft,Google</t>
  </si>
  <si>
    <t>Restore IP Addresses</t>
  </si>
  <si>
    <t>VMware,Apple,Yahoo,Adobe,Facebook,Amazon,Microsoft</t>
  </si>
  <si>
    <t>Binary Tree Inorder Traversal</t>
  </si>
  <si>
    <t>Tree,Stack,Hash Table</t>
  </si>
  <si>
    <t>ByteDance,Oracle,EBay,Apple,Uber,SAP,Bloomberg,Facebook,Amazon,Microsoft,Alibaba,Google</t>
  </si>
  <si>
    <t>Unique Binary Search Trees II</t>
  </si>
  <si>
    <t>Tree,Dynamic Programming</t>
  </si>
  <si>
    <t>Apple,Yahoo,Adobe,Facebook,Amazon,Microsoft,Google</t>
  </si>
  <si>
    <t>Unique Binary Search Trees</t>
  </si>
  <si>
    <t>Snapchat,Expedia,Wish,Apple,Bloomberg,Adobe,Facebook,Amazon,Microsoft,Google</t>
  </si>
  <si>
    <t>Interleaving String</t>
  </si>
  <si>
    <t>VMware,Nvidia,Apple,Uber,Bloomberg,Amazon,Microsoft,Google</t>
  </si>
  <si>
    <t>Validate Binary Search Tree</t>
  </si>
  <si>
    <t>Depth First Search,Tree</t>
  </si>
  <si>
    <t>Asana,TripAdvisor,Atlassian,Capital One,Salesforce,Visa,VMware,Walmart Labs,Oracle,Mathworks,Yandex,EBay,Apple,Uber,SAP,Bloomberg,Adobe,Facebook,Amazon,LinkedIn,Microsoft,Goldman Sachs,Google</t>
  </si>
  <si>
    <t>Recover Binary Search Tree</t>
  </si>
  <si>
    <t>Uber,Bloomberg,Facebook,Amazon,Microsoft,Goldman Sachs,Google</t>
  </si>
  <si>
    <t>Same Tree</t>
  </si>
  <si>
    <t>Apple,Bloomberg,Facebook,Amazon,LinkedIn,Microsoft,Google</t>
  </si>
  <si>
    <t>Symmetric Tree</t>
  </si>
  <si>
    <t>Breadth First Search,Depth First Search,Tree</t>
  </si>
  <si>
    <t>TripAdvisor,Atlassian,Audible,Salesforce,Visa,Twitter,Oracle,Yandex,Apple,Uber,SAP,Bloomberg,Adobe,Facebook,Amazon,LinkedIn,Microsoft,Alibaba,Google</t>
  </si>
  <si>
    <t>Binary Tree Level Order Traversal</t>
  </si>
  <si>
    <t>Breadth First Search,Tree</t>
  </si>
  <si>
    <t>Atlassian,VMware,Citadel,Walmart Labs,Expedia,Oracle,Cisco,Mathworks,EBay,Apple,Uber,Yahoo,SAP,Bloomberg,Adobe,Facebook,Amazon,LinkedIn,Microsoft,Alibaba,Google</t>
  </si>
  <si>
    <t>Binary Tree Zigzag Level Order Traversal</t>
  </si>
  <si>
    <t>Breadth First Search,Tree,Stack</t>
  </si>
  <si>
    <t>Qualtrics,ByteDance,Walmart Labs,ServiceNow,Oracle,EBay,Apple,Uber,Yahoo,Samsung,Bloomberg,Facebook,Amazon,LinkedIn,Microsoft,Google</t>
  </si>
  <si>
    <t>Maximum Depth of Binary Tree</t>
  </si>
  <si>
    <t>ByteDance,Paypal,Apple,Uber,Yahoo,SAP,Bloomberg,Adobe,Facebook,Amazon,LinkedIn,Microsoft,Goldman Sachs,Google</t>
  </si>
  <si>
    <t>Construct Binary Tree from Preorder and Inorder Traversal</t>
  </si>
  <si>
    <t>Depth First Search,Tree,Array</t>
  </si>
  <si>
    <t>Square,ByteDance,Citadel,Twitter,Oracle,Apple,Yahoo,Bloomberg,Adobe,Facebook,Amazon,Microsoft,Google</t>
  </si>
  <si>
    <t>Construct Binary Tree from Inorder and Postorder Traversal</t>
  </si>
  <si>
    <t>Twitter,Mathworks,Bloomberg,Facebook,Amazon,Microsoft</t>
  </si>
  <si>
    <t>Binary Tree Level Order Traversal II</t>
  </si>
  <si>
    <t>Oracle,Apple,Adobe,Amazon,Microsoft</t>
  </si>
  <si>
    <t>Convert Sorted Array to Binary Search Tree</t>
  </si>
  <si>
    <t>Oracle,Cisco,Apple,Airbnb,Yahoo,Bloomberg,Facebook,Amazon,Microsoft,Google</t>
  </si>
  <si>
    <t>Convert Sorted List to Binary Search Tree</t>
  </si>
  <si>
    <t>Depth First Search,Linked List</t>
  </si>
  <si>
    <t>Zenefits,VMware,Oracle,Lyft,Bloomberg,Facebook,Amazon,Microsoft,Google</t>
  </si>
  <si>
    <t>Balanced Binary Tree</t>
  </si>
  <si>
    <t>Cisco,Apple,Bloomberg,Adobe,Facebook,Amazon,Microsoft,Google</t>
  </si>
  <si>
    <t>Minimum Depth of Binary Tree</t>
  </si>
  <si>
    <t>Apple,Facebook,Amazon,Microsoft</t>
  </si>
  <si>
    <t>Path Sum</t>
  </si>
  <si>
    <t>Zillow,Oracle,Apple,Yahoo,Bloomberg,Adobe,Facebook,Amazon,Microsoft</t>
  </si>
  <si>
    <t>Path Sum II</t>
  </si>
  <si>
    <t>VMware,Quora,Zillow,Oracle,Baidu,Apple,Bloomberg,Adobe,Facebook,Amazon,LinkedIn,Microsoft,Google</t>
  </si>
  <si>
    <t>Flatten Binary Tree to Linked List</t>
  </si>
  <si>
    <t>Databricks,Coupang,Nvidia,Oracle,Apple,Uber,Yahoo,Bloomberg,Adobe,Facebook,Amazon,Microsoft,Google</t>
  </si>
  <si>
    <t>Distinct Subsequences</t>
  </si>
  <si>
    <t>Barclays,Mathworks,Adobe,Amazon,Google</t>
  </si>
  <si>
    <t>Populating Next Right Pointers in Each Node</t>
  </si>
  <si>
    <t>Nutanix,VMware,Oracle,DiDi,Apple,SAP,Bloomberg,Facebook,Amazon,Microsoft,Google</t>
  </si>
  <si>
    <t>Populating Next Right Pointers in Each Node II</t>
  </si>
  <si>
    <t>Oracle,Apple,Bloomberg,Facebook,Amazon,Microsoft,Google</t>
  </si>
  <si>
    <t>Pascal's Triangle</t>
  </si>
  <si>
    <t>Twitter,Oracle,Apple,Uber,Bloomberg,Adobe,Facebook,Amazon,Microsoft,Goldman Sachs,Google</t>
  </si>
  <si>
    <t>Pascal's Triangle II</t>
  </si>
  <si>
    <t>Qualtrics,Oracle,Amazon,Goldman Sachs,Google</t>
  </si>
  <si>
    <t>Triangle</t>
  </si>
  <si>
    <t>Houzz,Apple,Bloomberg,Amazon,Google</t>
  </si>
  <si>
    <t>Best Time to Buy and Sell Stock</t>
  </si>
  <si>
    <t>DoorDash,Akuna Capital,Atlassian,Redfin,Grab,Audible,ByteDance,Deutsche Bank,Tableau,Groupon,Intel,Visa,Citadel,Walmart Labs,Snapchat,JPMorgan,Zillow,Paypal,Expedia,Oracle,Lyft,Cisco,BlackRock,Apple,Uber,Yahoo,Tencent,SAP,Morgan Stanley,Bloomberg,Adobe,Facebook,Amazon,LinkedIn,Microsoft,Alibaba,Goldman Sachs,Google</t>
  </si>
  <si>
    <t>Best Time to Buy and Sell Stock II</t>
  </si>
  <si>
    <t>Citadel,Walmart Labs,Oracle,Apple,Uber,Yahoo,Bloomberg,Adobe,Facebook,Amazon,Microsoft,Goldman Sachs,Google</t>
  </si>
  <si>
    <t>Best Time to Buy and Sell Stock III</t>
  </si>
  <si>
    <t>Rubrik,Two Sigma,Atlassian,Flipkart,Citadel,Apple,Bloomberg,Facebook,Amazon,Microsoft,Google</t>
  </si>
  <si>
    <t>Binary Tree Maximum Path Sum</t>
  </si>
  <si>
    <t>AppDynamics,ByteDance,VMware,Walmart Labs,Twitter,Intuit,Baidu,Apple,Uber,Bloomberg,Adobe,Facebook,Amazon,Microsoft,Google</t>
  </si>
  <si>
    <t>Valid Palindrome</t>
  </si>
  <si>
    <t>Wayfair,Zenefits,Wish,Oracle,Cisco,Yandex,EBay,Apple,Uber,Bloomberg,Adobe,Facebook,Amazon,LinkedIn,Microsoft,Google</t>
  </si>
  <si>
    <t>Word Ladder II</t>
  </si>
  <si>
    <t>Breadth First Search,Backtracking,String,Array</t>
  </si>
  <si>
    <t>Pinterest,Box,Yelp,Oracle,Lyft,Apple,Uber,Yahoo,Facebook,Amazon,LinkedIn,Microsoft,Google</t>
  </si>
  <si>
    <t>Word Ladder</t>
  </si>
  <si>
    <t>Breadth First Search</t>
  </si>
  <si>
    <t>Cohesity,Tesla,Square,Pinterest,Qualtrics,Audible,Salesforce,VMware,Affirm,Walmart Labs,Snapchat,Zillow,ServiceNow,Expedia,Yelp,Oracle,Spotify,Lyft,Apple,Airbnb,Uber,Samsung,Bloomberg,Facebook,Amazon,LinkedIn,Microsoft,Google</t>
  </si>
  <si>
    <t>Longest Consecutive Sequence</t>
  </si>
  <si>
    <t>Union Find,Array</t>
  </si>
  <si>
    <t>Nutanix,Paypal,Wish,Oracle,Spotify,Apple,Uber,Bloomberg,Facebook,Amazon,Microsoft,Google</t>
  </si>
  <si>
    <t>Sum Root to Leaf Numbers</t>
  </si>
  <si>
    <t>EBay,Bloomberg,Facebook,Amazon,Microsoft,Google</t>
  </si>
  <si>
    <t>Surrounded Regions</t>
  </si>
  <si>
    <t>Union Find,Breadth First Search,Depth First Search</t>
  </si>
  <si>
    <t>Splunk,EBay,Uber,Facebook,Amazon,Google</t>
  </si>
  <si>
    <t>Palindrome Partitioning</t>
  </si>
  <si>
    <t>Qualtrics,Uber,Yahoo,Bloomberg,Adobe,Amazon,Google</t>
  </si>
  <si>
    <t>Palindrome Partitioning II</t>
  </si>
  <si>
    <t>Amazon,Google</t>
  </si>
  <si>
    <t>Clone Graph</t>
  </si>
  <si>
    <t>Graph,Breadth First Search,Depth First Search</t>
  </si>
  <si>
    <t>Pocket Gems,Splunk,Walmart Labs,Twitter,Mathworks,Apple,Uber,Bloomberg,Facebook,Amazon,LinkedIn,Microsoft,Google</t>
  </si>
  <si>
    <t>Gas Station</t>
  </si>
  <si>
    <t>Greedy</t>
  </si>
  <si>
    <t>Paypal,Expedia,IBM,Apple,Amazon,Microsoft,Google</t>
  </si>
  <si>
    <t>Candy</t>
  </si>
  <si>
    <t>Salesforce,Uber,Amazon,Microsoft,Google</t>
  </si>
  <si>
    <t>Single Number</t>
  </si>
  <si>
    <t>Bit Manipulation,Hash Table</t>
  </si>
  <si>
    <t>Palantir Technologies,Atlassian,Oracle,Apple,Airbnb,Tencent,SAP,Bloomberg,Adobe,Facebook,Amazon,Microsoft,Google</t>
  </si>
  <si>
    <t>Single Number II</t>
  </si>
  <si>
    <t>Bit Manipulation</t>
  </si>
  <si>
    <t>Adobe,Facebook,Amazon,Google</t>
  </si>
  <si>
    <t>Copy List with Random Pointer</t>
  </si>
  <si>
    <t>Linked List,Hash Table</t>
  </si>
  <si>
    <t>Nutanix,Qualtrics,Capital One,Visa,Expedia,Oracle,EBay,Apple,Uber,Yahoo,Bloomberg,Adobe,Facebook,Amazon,Microsoft,Google</t>
  </si>
  <si>
    <t>Word Break</t>
  </si>
  <si>
    <t>HBO,TripAdvisor,Hulu,Square,Qualtrics,Pocket Gems,Coupang,Audible,ByteDance,Twilio,Salesforce,VMware,Walmart Labs,GoDaddy,Snapchat,Zillow,Yelp,Oracle,EBay,Apple,Uber,Yahoo,Bloomberg,Adobe,Facebook,Amazon,Microsoft,Google</t>
  </si>
  <si>
    <t>Word Break II</t>
  </si>
  <si>
    <t>Backtracking,Dynamic Programming</t>
  </si>
  <si>
    <t>Pinterest,Audible,Booking.com,Dropbox,Snapchat,Zillow,Twitter,Oracle,Apple,Uber,Bloomberg,Facebook,Amazon,Microsoft,Google</t>
  </si>
  <si>
    <t>Linked List Cycle</t>
  </si>
  <si>
    <t>VMware,Walmart Labs,Oracle,Cisco,EBay,Apple,Uber,Yahoo,Bloomberg,Adobe,Facebook,Amazon,LinkedIn,Microsoft,Goldman Sachs,Google</t>
  </si>
  <si>
    <t>Linked List Cycle II</t>
  </si>
  <si>
    <t>EBay,Apple,Adobe,Amazon,LinkedIn,Microsoft,Google</t>
  </si>
  <si>
    <t>Reorder List</t>
  </si>
  <si>
    <t>Splunk,ByteDance,Cisco,EBay,Tencent,Adobe,Facebook,Amazon,Microsoft,Google</t>
  </si>
  <si>
    <t>Binary Tree Preorder Traversal</t>
  </si>
  <si>
    <t>Tree,Stack</t>
  </si>
  <si>
    <t>Cisco,Bloomberg,Amazon,Microsoft,Google</t>
  </si>
  <si>
    <t>Binary Tree Postorder Traversal</t>
  </si>
  <si>
    <t>Uber,Adobe,Facebook,Amazon,Google</t>
  </si>
  <si>
    <t>LRU Cache</t>
  </si>
  <si>
    <t>Design</t>
  </si>
  <si>
    <t>Cloudera,HBO,Asana,Docusign,TripAdvisor,Tesla,Nutanix,DoorDash,Pinterest,Palantir Technologies,Cruise Automation,Two Sigma,Zenefits,Twitch,Roblox,Splunk,ByteDance,Twilio,Salesforce,Groupon,Zynga,Visa,VMware,Citadel,Walmart Labs,Dropbox,GoDaddy,Snapchat,JPMorgan,Zillow,Paypal,Twitter,Expedia,Wish,Nvidia,Oracle,Spotify,Intuit,Lyft,Cisco,Yandex,EBay,Baidu,Apple,Uber,Yahoo,SAP,Morgan Stanley,Bloomberg,Adobe,Facebook,Amazon,LinkedIn,Microsoft,Alibaba,Goldman Sachs,Google</t>
  </si>
  <si>
    <t>Insertion Sort List</t>
  </si>
  <si>
    <t>Sort,Linked List</t>
  </si>
  <si>
    <t>Bloomberg,Microsoft</t>
  </si>
  <si>
    <t>Sort List</t>
  </si>
  <si>
    <t>VMware,Baidu,Adobe,Facebook,Amazon,Microsoft,Google</t>
  </si>
  <si>
    <t>Max Points on a Line</t>
  </si>
  <si>
    <t>Math,Hash Table</t>
  </si>
  <si>
    <t>TripAdvisor,Twitter,Apple,Uber,Bloomberg,Amazon,LinkedIn,Microsoft,Alibaba,Google</t>
  </si>
  <si>
    <t>Evaluate Reverse Polish Notation</t>
  </si>
  <si>
    <t>Stack</t>
  </si>
  <si>
    <t>Opendoor,Atlassian,VMware,Zillow,Yandex,Uber,Facebook,Amazon,LinkedIn,Microsoft,Google</t>
  </si>
  <si>
    <t>Reverse Words in a String</t>
  </si>
  <si>
    <t>Salesforce,VMware,Citadel,Walmart Labs,Snapchat,Zillow,Yelp,Nvidia,Oracle,Cisco,Huawei,Apple,Bloomberg,Facebook,Amazon,Microsoft,Alibaba,Google</t>
  </si>
  <si>
    <t>Maximum Product Subarray</t>
  </si>
  <si>
    <t>Akuna Capital,ByteDance,Oracle,Uber,Bloomberg,Adobe,Facebook,Amazon,LinkedIn,Microsoft,Alibaba,Google</t>
  </si>
  <si>
    <t>Find Minimum in Rotated Sorted Array</t>
  </si>
  <si>
    <t>Salesforce,VMware,Walmart Labs,Oracle,EBay,Apple,Uber,Bloomberg,Facebook,Amazon,Microsoft,Goldman Sachs,Google</t>
  </si>
  <si>
    <t>Find Minimum in Rotated Sorted Array II</t>
  </si>
  <si>
    <t>Min Stack</t>
  </si>
  <si>
    <t>Design,Stack</t>
  </si>
  <si>
    <t>Netflix,Pure Storage,Zenefits,Flipkart,Visa,Walmart Labs,Snapchat,ServiceNow,Wish,Oracle,Intuit,Lyft,EBay,Apple,Uber,Bloomberg,Adobe,Facebook,Amazon,LinkedIn,Microsoft,Goldman Sachs,Google</t>
  </si>
  <si>
    <t>Binary Tree Upside Down</t>
  </si>
  <si>
    <t>Tree</t>
  </si>
  <si>
    <t>LinkedIn,Google</t>
  </si>
  <si>
    <t>Read N Characters Given Read4</t>
  </si>
  <si>
    <t>Facebook,Google</t>
  </si>
  <si>
    <t>Read N Characters Given Read4 II - Call multiple times</t>
  </si>
  <si>
    <t>Pinterest,Lyft,Uber,Bloomberg,Facebook,Amazon,Microsoft,Google</t>
  </si>
  <si>
    <t>Longest Substring with At Most Two Distinct Characters</t>
  </si>
  <si>
    <t>Adobe,Facebook,Amazon,Microsoft,Google</t>
  </si>
  <si>
    <t>Intersection of Two Linked Lists</t>
  </si>
  <si>
    <t>Redfin,ByteDance,Qualcomm,Expedia,Oracle,Cisco,Airbnb,Yahoo,Tencent,SAP,Bloomberg,Facebook,Amazon,LinkedIn,Microsoft,Alibaba,Goldman Sachs,Google</t>
  </si>
  <si>
    <t>One Edit Distance</t>
  </si>
  <si>
    <t>Snapchat,Twitter,Uber,Facebook,Amazon,Microsoft,Google</t>
  </si>
  <si>
    <t>Find Peak Element</t>
  </si>
  <si>
    <t>IXL,VMware,Quora,Walmart Labs,Lyft,Apple,Uber,Yahoo,Bloomberg,Facebook,Amazon,Microsoft,Google</t>
  </si>
  <si>
    <t>Missing Ranges</t>
  </si>
  <si>
    <t>Oracle,Facebook,Amazon,Google</t>
  </si>
  <si>
    <t>Maximum Gap</t>
  </si>
  <si>
    <t>Sort</t>
  </si>
  <si>
    <t>Amazon</t>
  </si>
  <si>
    <t>Compare Version Numbers</t>
  </si>
  <si>
    <t>Arista Networks,Square,Apple,Amazon,Microsoft,Google</t>
  </si>
  <si>
    <t>Fraction to Recurring Decimal</t>
  </si>
  <si>
    <t>Cohesity,IXL,Rubrik,Airbnb,Uber,Tencent,Facebook,Amazon,Goldman Sachs,Google</t>
  </si>
  <si>
    <t>Two Sum II - Input array is sorted</t>
  </si>
  <si>
    <t>Binary Search,Two Pointers,Array</t>
  </si>
  <si>
    <t>Wayfair,Pure Storage,ByteDance,Paypal,Expedia,Apple,Facebook,Amazon,Microsoft,Goldman Sachs,Google</t>
  </si>
  <si>
    <t>Excel Sheet Column Title</t>
  </si>
  <si>
    <t>Zenefits,Alation,FactSet,Apple,Yahoo,Adobe,Facebook,Microsoft,Google</t>
  </si>
  <si>
    <t>Majority Element</t>
  </si>
  <si>
    <t>Bit Manipulation,Divide and Conquer,Array</t>
  </si>
  <si>
    <t>Zenefits,Snapchat,Twitter,Oracle,Apple,Yahoo,Tencent,Adobe,Amazon,Microsoft,Google</t>
  </si>
  <si>
    <t>Two Sum III - Data structure design</t>
  </si>
  <si>
    <t>Design,Hash Table</t>
  </si>
  <si>
    <t>Facebook,LinkedIn</t>
  </si>
  <si>
    <t>Excel Sheet Column Number</t>
  </si>
  <si>
    <t>Alation,Flipkart,FactSet,Apple,Uber,Bloomberg,Facebook,Amazon,Microsoft,Google</t>
  </si>
  <si>
    <t>Factorial Trailing Zeroes</t>
  </si>
  <si>
    <t>Binary Search Tree Iterator</t>
  </si>
  <si>
    <t>Design,Tree,Stack</t>
  </si>
  <si>
    <t>Cloudera,Qualtrics,Atlassian,Redfin,Splunk,ByteDance,Walmart Labs,Oracle,Cisco,EBay,Apple,Uber,Bloomberg,Facebook,Amazon,LinkedIn,Microsoft,Alibaba,Google</t>
  </si>
  <si>
    <t>Dungeon Game</t>
  </si>
  <si>
    <t>Dynamic Programming,Binary Search</t>
  </si>
  <si>
    <t>Amazon,Microsoft,Google</t>
  </si>
  <si>
    <t>Combine Two Tables</t>
  </si>
  <si>
    <t>Apple,Yahoo,Adobe,Amazon,Google</t>
  </si>
  <si>
    <t>数据库</t>
  </si>
  <si>
    <t>Second Highest Salary</t>
  </si>
  <si>
    <t>Walmart Labs,Apple,Yahoo,Adobe,Facebook,Amazon,Microsoft,Google</t>
  </si>
  <si>
    <t>Nth Highest Salary</t>
  </si>
  <si>
    <t>Apple,Uber,Adobe,Amazon,Google</t>
  </si>
  <si>
    <t>Rank Scores</t>
  </si>
  <si>
    <t>Apple,Yahoo,Adobe,Facebook,Amazon</t>
  </si>
  <si>
    <t>Largest Number</t>
  </si>
  <si>
    <t>Salesforce,Walmart Labs,Works Applications,Oracle,Apple,Facebook,Amazon,Microsoft</t>
  </si>
  <si>
    <t>Consecutive Numbers</t>
  </si>
  <si>
    <t>Employees Earning More Than Their Managers</t>
  </si>
  <si>
    <t>Apple,Facebook,Amazon,Google</t>
  </si>
  <si>
    <t>Duplicate Emails</t>
  </si>
  <si>
    <t>Customers Who Never Order</t>
  </si>
  <si>
    <t>Department Highest Salary</t>
  </si>
  <si>
    <t>Wayfair,Oracle,Amazon</t>
  </si>
  <si>
    <t>Department Top Three Salaries</t>
  </si>
  <si>
    <t>Netflix,Adobe,Amazon,Google</t>
  </si>
  <si>
    <t>Reverse Words in a String II</t>
  </si>
  <si>
    <t>VMware,Uber,Amazon,Microsoft</t>
  </si>
  <si>
    <t>Repeated DNA Sequences</t>
  </si>
  <si>
    <t>Amazon,LinkedIn,Google</t>
  </si>
  <si>
    <t>Best Time to Buy and Sell Stock IV</t>
  </si>
  <si>
    <t>JPMorgan,Apple,Bloomberg,Facebook,Amazon,Google</t>
  </si>
  <si>
    <t>Rotate Array</t>
  </si>
  <si>
    <t>Snapchat,Paypal,Oracle,Cisco,EBay,Uber,Bloomberg,Adobe,Facebook,Amazon,Microsoft,Goldman Sachs</t>
  </si>
  <si>
    <t>Reverse Bits</t>
  </si>
  <si>
    <t>Apple,Airbnb,Samsung,Tencent,Amazon,Google</t>
  </si>
  <si>
    <t>Number of 1 Bits</t>
  </si>
  <si>
    <t>Box,Apple,Adobe,Facebook,Amazon,Microsoft,Google</t>
  </si>
  <si>
    <t>Word Frequency</t>
  </si>
  <si>
    <t>Yelp,Adobe,Facebook,Amazon</t>
  </si>
  <si>
    <t>命令行</t>
  </si>
  <si>
    <t>Valid Phone Numbers</t>
  </si>
  <si>
    <t>Apple</t>
  </si>
  <si>
    <t>Transpose File</t>
  </si>
  <si>
    <t>Tenth Line</t>
  </si>
  <si>
    <t>Oracle,Apple,Adobe,Google</t>
  </si>
  <si>
    <t>Delete Duplicate Emails</t>
  </si>
  <si>
    <t>Rising Temperature</t>
  </si>
  <si>
    <t>Adobe</t>
  </si>
  <si>
    <t>House Robber</t>
  </si>
  <si>
    <t>HBO,ByteDance,Quora,Walmart Labs,Expedia,Cisco,EBay,Apple,Airbnb,Uber,Bloomberg,Adobe,Amazon,LinkedIn,Microsoft,Goldman Sachs,Google</t>
  </si>
  <si>
    <t>Binary Tree Right Side View</t>
  </si>
  <si>
    <t>Atlassian,ByteDance,VMware,Citadel,Walmart Labs,Paypal,Oracle,Mathworks,EBay,Apple,Uber,Bloomberg,Adobe,Facebook,Amazon,Microsoft</t>
  </si>
  <si>
    <t>Number of Islands</t>
  </si>
  <si>
    <t>AppDynamics,Electronic Arts,Sumologic,Hulu,Cohesity,Arista Networks,LiveRamp,Nutanix,DoorDash,Square,Qualtrics,Evernote,Palantir Technologies,Cruise Automation,Citrix,Zulily,Houzz,Zenefits,Atlassian,Twitch,Roblox,Audible,Splunk,Tableau,Salesforce,Visa,VMware,Citadel,Affirm,Walmart Labs,Snapchat,JPMorgan,Paypal,Twitter,Expedia,Wish,Nvidia,Oracle,Spotify,Lyft,Cisco,Mathworks,EBay,BlackRock,Apple,Uber,Yahoo,SAP,Bloomberg,Adobe,Facebook,Amazon,LinkedIn,Microsoft,Alibaba,Goldman Sachs,Google</t>
  </si>
  <si>
    <t>Bitwise AND of Numbers Range</t>
  </si>
  <si>
    <t>Happy Number</t>
  </si>
  <si>
    <t>Nutanix,Pinterest,Evernote,JPMorgan,Twitter,Apple,Airbnb,Uber,Bloomberg,Adobe,Facebook,Amazon,Microsoft,Google</t>
  </si>
  <si>
    <t>Remove Linked List Elements</t>
  </si>
  <si>
    <t>Pure Storage,Capital One,Paypal,Apple,Uber,Bloomberg,Adobe,Facebook,Amazon,Microsoft,Google</t>
  </si>
  <si>
    <t>Count Primes</t>
  </si>
  <si>
    <t>Capital One,Intel,Oracle,Yandex,EBay,Apple,Yahoo,Bloomberg,Adobe,Facebook,Amazon,Microsoft,Goldman Sachs,Google</t>
  </si>
  <si>
    <t>Isomorphic Strings</t>
  </si>
  <si>
    <t>Salesforce,Yelp,Oracle,Yahoo,Bloomberg,Adobe,Facebook,Amazon,LinkedIn,Microsoft,Google</t>
  </si>
  <si>
    <t>Reverse Linked List</t>
  </si>
  <si>
    <t>Docusign,Electronic Arts,TripAdvisor,Citrix,Zenefits,ByteDance,FactSet,Qualcomm,Intel,Visa,VMware,Walmart Labs,Snapchat,Paypal,Twitter,Expedia,Yelp,Nvidia,Oracle,Spotify,Cisco,Mathworks,Yandex,EBay,Baidu,Apple,Uber,Yahoo,Tencent,Bloomberg,Adobe,Facebook,Amazon,Microsoft,Alibaba,Goldman Sachs,Google</t>
  </si>
  <si>
    <t>Course Schedule</t>
  </si>
  <si>
    <t>Topological Sort,Graph,Breadth First Search,Depth First Search</t>
  </si>
  <si>
    <t>Cohesity,Nutanix,Zenefits,ByteDance,Salesforce,Paypal,Yelp,Oracle,Intuit,EBay,Apple,Uber,Yahoo,Bloomberg,Facebook,Amazon,LinkedIn,Microsoft,Goldman Sachs,Google</t>
  </si>
  <si>
    <t>Implement Trie (Prefix Tree)</t>
  </si>
  <si>
    <t>Trie,Design</t>
  </si>
  <si>
    <t>Nutanix,Quip (Salesforce),Square,Pinterest,Qualtrics,Walmart Labs,Twitter,Oracle,EBay,Apple,Uber,Bloomberg,Facebook,Amazon,Microsoft,Google</t>
  </si>
  <si>
    <t>Minimum Size Subarray Sum</t>
  </si>
  <si>
    <t>ByteDance,Oracle,Apple,SAP,Bloomberg,Facebook,Amazon,Microsoft,Goldman Sachs,Google</t>
  </si>
  <si>
    <t>Course Schedule II</t>
  </si>
  <si>
    <t>Nutanix,DoorDash,Pinterest,Palantir Technologies,Wayfair,Zenefits,Walmart Labs,Twitter,Oracle,Intuit,Apple,Uber,Bloomberg,Facebook,Amazon,Microsoft,Google</t>
  </si>
  <si>
    <t>Add and Search Word - Data structure design</t>
  </si>
  <si>
    <t>Trie,Design,Backtracking</t>
  </si>
  <si>
    <t>Salesforce,EBay,Apple,Airbnb,Uber,Facebook,Amazon,Microsoft,Google</t>
  </si>
  <si>
    <t>Word Search II</t>
  </si>
  <si>
    <t>Trie,Backtracking</t>
  </si>
  <si>
    <t>Houzz,Roblox,Salesforce,Citadel,Snapchat,Zillow,Oracle,Apple,Airbnb,Uber,Yahoo,Bloomberg,Facebook,Amazon,Microsoft,Google</t>
  </si>
  <si>
    <t>House Robber II</t>
  </si>
  <si>
    <t>Salesforce,EBay,Microsoft,Google</t>
  </si>
  <si>
    <t>Shortest Palindrome</t>
  </si>
  <si>
    <t>Pocket Gems,Oracle,Bloomberg,Adobe,Facebook,Amazon,Microsoft,Google</t>
  </si>
  <si>
    <t>Kth Largest Element in an Array</t>
  </si>
  <si>
    <t>Heap,Divide and Conquer</t>
  </si>
  <si>
    <t>Pocket Gems,Atlassian,Grab,ByteDance,Salesforce,VMware,Walmart Labs,Snapchat,JPMorgan,Expedia,Oracle,Spotify,EBay,Baidu,Apple,Airbnb,Uber,Yahoo,Tencent,Bloomberg,Adobe,Facebook,Amazon,LinkedIn,Microsoft,Alibaba,Goldman Sachs,Google</t>
  </si>
  <si>
    <t>Combination Sum III</t>
  </si>
  <si>
    <t>Bloomberg,Amazon,Microsoft</t>
  </si>
  <si>
    <t>Contains Duplicate</t>
  </si>
  <si>
    <t>Palantir Technologies,Oracle,Apple,Airbnb,Yahoo,Bloomberg,Adobe,Facebook,Amazon,Microsoft</t>
  </si>
  <si>
    <t>The Skyline Problem</t>
  </si>
  <si>
    <t>Line Sweep,Segment Tree,Binary Indexed Tree,Heap,Divide and Conquer</t>
  </si>
  <si>
    <t>Databricks,Houzz,Tableau,Salesforce,Twitter,Yelp,Apple,Uber,Adobe,Facebook,Amazon,Microsoft,Goldman Sachs,Google</t>
  </si>
  <si>
    <t>Contains Duplicate II</t>
  </si>
  <si>
    <t>Palantir Technologies,Apple,Airbnb,Bloomberg,Adobe,Amazon,Microsoft,Google</t>
  </si>
  <si>
    <t>Contains Duplicate III</t>
  </si>
  <si>
    <t>Ordered Map,Sort</t>
  </si>
  <si>
    <t>Palantir Technologies,Apple,Airbnb,Adobe,Microsoft,Google</t>
  </si>
  <si>
    <t>Maximal Square</t>
  </si>
  <si>
    <t>Two Sigma,VMware,Citadel,Oracle,Huawei,Apple,Airbnb,Uber,Bloomberg,Adobe,Facebook,Amazon,Microsoft,Google</t>
  </si>
  <si>
    <t>Count Complete Tree Nodes</t>
  </si>
  <si>
    <t>Tree,Binary Search</t>
  </si>
  <si>
    <t>ByteDance,Yahoo,Bloomberg,Facebook,Amazon,Microsoft,Google</t>
  </si>
  <si>
    <t>Rectangle Area</t>
  </si>
  <si>
    <t>Nvidia,Apple,Facebook,Microsoft</t>
  </si>
  <si>
    <t>Basic Calculator</t>
  </si>
  <si>
    <t>Stack,Math</t>
  </si>
  <si>
    <t>Jump Trading,Karat,Robinhood,Pinterest,Roblox,Snapchat,Indeed,Paypal,Intuit,Uber,Bloomberg,Adobe,Facebook,Amazon,Microsoft,Google</t>
  </si>
  <si>
    <t>Implement Stack using Queues</t>
  </si>
  <si>
    <t>Twilio,Citadel,Mathworks,Yahoo,Bloomberg,Amazon,Microsoft</t>
  </si>
  <si>
    <t>Invert Binary Tree</t>
  </si>
  <si>
    <t>Salesforce,VMware,Apple,Uber,Bloomberg,Facebook,Amazon,Microsoft,Google</t>
  </si>
  <si>
    <t>Basic Calculator II</t>
  </si>
  <si>
    <t>Reddit,DoorDash,IXL,Houzz,Atlassian,Tableau,Walmart Labs,Snapchat,Indeed,Paypal,Yelp,Oracle,Intuit,EBay,Apple,Airbnb,Uber,Tencent,Facebook,Amazon,Microsoft,Google</t>
  </si>
  <si>
    <t>Summary Ranges</t>
  </si>
  <si>
    <t>Capital One,Indeed,Yandex,Uber,Bloomberg,Facebook,Amazon,Microsoft,Google</t>
  </si>
  <si>
    <t>Majority Element II</t>
  </si>
  <si>
    <t>Zenefits,Apple,Uber,Bloomberg,Adobe,Facebook,Amazon,Microsoft,Google</t>
  </si>
  <si>
    <t>Kth Smallest Element in a BST</t>
  </si>
  <si>
    <t>TripleByte,Hulu,VMware,Affirm,Oracle,Apple,Uber,Bloomberg,Facebook,Amazon,Microsoft,Google</t>
  </si>
  <si>
    <t>Power of Two</t>
  </si>
  <si>
    <t>Bit Manipulation,Math</t>
  </si>
  <si>
    <t>Nvidia,Apple,Amazon,Microsoft,Google</t>
  </si>
  <si>
    <t>Implement Queue using Stacks</t>
  </si>
  <si>
    <t>Salesforce,Citadel,Oracle,Mathworks,Yandex,EBay,Apple,Uber,Yahoo,Bloomberg,Amazon,Microsoft,Google</t>
  </si>
  <si>
    <t>Number of Digit One</t>
  </si>
  <si>
    <t>Apple,Amazon</t>
  </si>
  <si>
    <t>Palindrome Linked List</t>
  </si>
  <si>
    <t>Nutanix,IXL,Grab,Intel,VMware,Snapchat,Apple,Bloomberg,Adobe,Facebook,Amazon,Microsoft,Google</t>
  </si>
  <si>
    <t>Lowest Common Ancestor of a Binary Search Tree</t>
  </si>
  <si>
    <t>Twitter,Oracle,Cisco,Uber,Bloomberg,Adobe,Facebook,Amazon,LinkedIn,Microsoft,Google</t>
  </si>
  <si>
    <t>Lowest Common Ancestor of a Binary Tree</t>
  </si>
  <si>
    <t>Pinterest,Atlassian,Splunk,ByteDance,Salesforce,Visa,Walmart Labs,Zillow,Paypal,Oracle,Intuit,EBay,Apple,Airbnb,Uber,Yahoo,Bloomberg,Adobe,Facebook,Amazon,LinkedIn,Microsoft,Google</t>
  </si>
  <si>
    <t>Delete Node in a Linked List</t>
  </si>
  <si>
    <t>Qualcomm,Cisco,Apple,Yahoo,Bloomberg,Adobe,Facebook,Amazon,Microsoft,Goldman Sachs,Google</t>
  </si>
  <si>
    <t>Product of Array Except Self</t>
  </si>
  <si>
    <t>Asana,Nutanix,Qualtrics,Evernote,Zenefits,Grab,Splunk,ByteDance,Tableau,Salesforce,Groupon,Intel,Visa,VMware,Walmart Labs,Snapchat,Paypal,Yelp,Oracle,Lyft,EBay,BlackRock,Apple,Uber,Yahoo,SAP,Bloomberg,Adobe,Facebook,Amazon,LinkedIn,Microsoft,Goldman Sachs,Google</t>
  </si>
  <si>
    <t>Sliding Window Maximum</t>
  </si>
  <si>
    <t>Sliding Window,Heap</t>
  </si>
  <si>
    <t>Nutanix,Pinterest,Databricks,Coursera,Zenefits,Roblox,ByteDance,VMware,Citadel,Twitter,Wish,Yelp,Oracle,Lyft,Apple,Uber,Bloomberg,Adobe,Facebook,Amazon,Microsoft,Alibaba,Google</t>
  </si>
  <si>
    <t>Search a 2D Matrix II</t>
  </si>
  <si>
    <t>Divide and Conquer,Binary Search</t>
  </si>
  <si>
    <t>ByteDance,Salesforce,Citadel,Walmart Labs,Paypal,Expedia,EBay,Baidu,Apple,Yahoo,Tencent,SAP,Bloomberg,Adobe,Facebook,Amazon,LinkedIn,Microsoft,Goldman Sachs,Google</t>
  </si>
  <si>
    <t>Different Ways to Add Parentheses</t>
  </si>
  <si>
    <t>Divide and Conquer</t>
  </si>
  <si>
    <t>Citadel,Facebook,Amazon,Google</t>
  </si>
  <si>
    <t>Valid Anagram</t>
  </si>
  <si>
    <t>Sort,Hash Table</t>
  </si>
  <si>
    <t>Docusign,Zulily,Snapchat,Paypal,ServiceNow,Expedia,Yelp,Oracle,Cisco,Apple,Uber,Yahoo,Morgan Stanley,Bloomberg,Facebook,Amazon,Microsoft,Goldman Sachs,Google</t>
  </si>
  <si>
    <t>Shortest Word Distance</t>
  </si>
  <si>
    <t>VMware,Paypal,Oracle,Uber,Amazon,LinkedIn,Microsoft,Google</t>
  </si>
  <si>
    <t>Shortest Word Distance II</t>
  </si>
  <si>
    <t>EBay,Uber,Amazon,LinkedIn</t>
  </si>
  <si>
    <t>Shortest Word Distance III</t>
  </si>
  <si>
    <t>LinkedIn</t>
  </si>
  <si>
    <t>Strobogrammatic Number</t>
  </si>
  <si>
    <t>Cisco,Facebook,Google</t>
  </si>
  <si>
    <t>Strobogrammatic Number II</t>
  </si>
  <si>
    <t>Recursion,Math</t>
  </si>
  <si>
    <t>Strobogrammatic Number III</t>
  </si>
  <si>
    <t>Group Shifted Strings</t>
  </si>
  <si>
    <t>Uber,Facebook,Amazon,Google</t>
  </si>
  <si>
    <t>Count Univalue Subtrees</t>
  </si>
  <si>
    <t>Box,EBay,Bloomberg,Facebook,Amazon,Google</t>
  </si>
  <si>
    <t>Flatten 2D Vector</t>
  </si>
  <si>
    <t>Zenefits,Salesforce,Twitter,Lyft,Apple,Airbnb,Uber,Facebook,Google</t>
  </si>
  <si>
    <t>Meeting Rooms</t>
  </si>
  <si>
    <t>Bloomberg,Facebook,Amazon,Microsoft,Google</t>
  </si>
  <si>
    <t>Meeting Rooms II</t>
  </si>
  <si>
    <t>Sort,Greedy,Heap</t>
  </si>
  <si>
    <t>Nutanix,Postmates,Citrix,Atlassian,Booking.com,Drawbridge,Visa,Quora,Walmart Labs,GoDaddy,Snapchat,Paypal,Expedia,Yelp,Oracle,Lyft,Cisco,EBay,Baidu,Apple,Uber,Bloomberg,Facebook,Amazon,Microsoft,Goldman Sachs,Google</t>
  </si>
  <si>
    <t>Factor Combinations</t>
  </si>
  <si>
    <t>Pinterest,Uber,LinkedIn,Google</t>
  </si>
  <si>
    <t>Verify Preorder Sequence in Binary Search Tree</t>
  </si>
  <si>
    <t>Zenefits,Walmart Labs,Mathworks,Uber</t>
  </si>
  <si>
    <t>Paint House</t>
  </si>
  <si>
    <t>Twitter,Apple,Tencent,LinkedIn,Microsoft</t>
  </si>
  <si>
    <t>Binary Tree Paths</t>
  </si>
  <si>
    <t>Add Digits</t>
  </si>
  <si>
    <t>Apple,Bloomberg,Adobe,Microsoft</t>
  </si>
  <si>
    <t>3Sum Smaller</t>
  </si>
  <si>
    <t>IBM,Mathworks,Google</t>
  </si>
  <si>
    <t>Single Number III</t>
  </si>
  <si>
    <t>Apple,Yahoo,Facebook,Amazon</t>
  </si>
  <si>
    <t>Graph Valid Tree</t>
  </si>
  <si>
    <t>Graph,Union Find,Breadth First Search,Depth First Search</t>
  </si>
  <si>
    <t>Pinterest,Zenefits,Salesforce,Adobe,Facebook,Amazon,LinkedIn,Google</t>
  </si>
  <si>
    <t>Trips and Users</t>
  </si>
  <si>
    <t>Uber,Amazon</t>
  </si>
  <si>
    <t>Ugly Number</t>
  </si>
  <si>
    <t>Ugly Number II</t>
  </si>
  <si>
    <t>Heap,Dynamic Programming,Math</t>
  </si>
  <si>
    <t>Oracle,Uber,Amazon,Google</t>
  </si>
  <si>
    <t>Paint House II</t>
  </si>
  <si>
    <t>Uber,Facebook,LinkedIn,Google</t>
  </si>
  <si>
    <t>Palindrome Permutation</t>
  </si>
  <si>
    <t>Apple,Uber,Bloomberg,Facebook,Amazon,Microsoft,Google</t>
  </si>
  <si>
    <t>Palindrome Permutation II</t>
  </si>
  <si>
    <t>Uber,Amazon,Google</t>
  </si>
  <si>
    <t>Missing Number</t>
  </si>
  <si>
    <t>Bit Manipulation,Math,Array</t>
  </si>
  <si>
    <t>Arista Networks,VMware,Zillow,ServiceNow,Oracle,IBM,Apple,Bloomberg,Adobe,Facebook,Amazon,Microsoft,Google</t>
  </si>
  <si>
    <t>Alien Dictionary</t>
  </si>
  <si>
    <t>Topological Sort,Graph</t>
  </si>
  <si>
    <t>Cohesity,DoorDash,Square,Pinterest,Pocket Gems,Flipkart,VMware,Walmart Labs,Snapchat,Twitter,Apple,Airbnb,Uber,Bloomberg,Facebook,Amazon,Microsoft,Google</t>
  </si>
  <si>
    <t>Closest Binary Search Tree Value</t>
  </si>
  <si>
    <t>Snapchat,Bloomberg,Facebook,Amazon,LinkedIn,Microsoft,Google</t>
  </si>
  <si>
    <t>Encode and Decode Strings</t>
  </si>
  <si>
    <t>Square,Twitter,Bloomberg,Microsoft,Google</t>
  </si>
  <si>
    <t>Closest Binary Search Tree Value II</t>
  </si>
  <si>
    <t>ForUsAll,Facebook,Amazon,LinkedIn,Google</t>
  </si>
  <si>
    <t>Integer to English Words</t>
  </si>
  <si>
    <t>Tesla,Nutanix,Square,Palantir Technologies,Citrix,Barclays,Coupang,Splunk,Capital One,Tableau,Visa,Walmart Labs,JPMorgan,Zillow,Paypal,Yelp,Oracle,Apple,Uber,Yahoo,SAP,Bloomberg,Facebook,Amazon,LinkedIn,Microsoft,Google</t>
  </si>
  <si>
    <t>H-Index</t>
  </si>
  <si>
    <t>TripAdvisor,Yahoo,Bloomberg,Adobe,Facebook,Google</t>
  </si>
  <si>
    <t>H-Index II</t>
  </si>
  <si>
    <t>Binary Search</t>
  </si>
  <si>
    <t>Facebook</t>
  </si>
  <si>
    <t>Paint Fence</t>
  </si>
  <si>
    <t>Find the Celebrity</t>
  </si>
  <si>
    <t>Square,Pinterest,Palantir Technologies,VMware,Apple,Uber,Facebook,Amazon,LinkedIn,Microsoft,Google</t>
  </si>
  <si>
    <t>First Bad Version</t>
  </si>
  <si>
    <t>Uber,Bloomberg,Adobe,Facebook,Amazon,Microsoft,Google</t>
  </si>
  <si>
    <t>Perfect Squares</t>
  </si>
  <si>
    <t>Breadth First Search,Dynamic Programming,Math</t>
  </si>
  <si>
    <t>GoDaddy,Lyft,Cisco,Yandex,EBay,Apple,Uber,Adobe,Facebook,Amazon,LinkedIn,Microsoft,Google</t>
  </si>
  <si>
    <t>Wiggle Sort</t>
  </si>
  <si>
    <t>Airbnb,Facebook,Amazon,Microsoft,Google</t>
  </si>
  <si>
    <t>Zigzag Iterator</t>
  </si>
  <si>
    <t>Cruise Automation,Yandex,Apple,Facebook,Amazon,Microsoft,Google</t>
  </si>
  <si>
    <t>Expression Add Operators</t>
  </si>
  <si>
    <t>ByteDance,Snapchat,Apple,Uber,Facebook,LinkedIn,Microsoft,Google</t>
  </si>
  <si>
    <t>Move Zeroes</t>
  </si>
  <si>
    <t>Cohesity,Nutanix,Dell,Qualcomm,Walmart Labs,Zillow,Paypal,Oracle,Lyft,Yandex,EBay,Apple,Uber,Yahoo,SAP,Bloomberg,Adobe,Facebook,Amazon,Microsoft,Goldman Sachs,Google</t>
  </si>
  <si>
    <t>Peeking Iterator</t>
  </si>
  <si>
    <t>Atlassian,Walmart Labs,Oracle,EBay,Apple,Yahoo,Facebook,Amazon,Microsoft,Google</t>
  </si>
  <si>
    <t>Inorder Successor in BST</t>
  </si>
  <si>
    <t>Quip (Salesforce),Pocket Gems,Palantir Technologies,Citadel,Zillow,Bloomberg,Facebook,Amazon,Microsoft,Google</t>
  </si>
  <si>
    <t>Walls and Gates</t>
  </si>
  <si>
    <t>ByteDance,Spotify,Uber,Bloomberg,Facebook,Amazon,Microsoft,Google</t>
  </si>
  <si>
    <t>Find the Duplicate Number</t>
  </si>
  <si>
    <t>Salesforce,VMware,Oracle,Intuit,EBay,Apple,Tencent,Morgan Stanley,Bloomberg,Adobe,Facebook,Amazon,Microsoft,Google</t>
  </si>
  <si>
    <t>Unique Word Abbreviation</t>
  </si>
  <si>
    <t>Game of Life</t>
  </si>
  <si>
    <t>Reddit,Evernote,Opendoor,Two Sigma,Booking.com,Dropbox,Snapchat,Zillow,Oracle,Uber,Bloomberg,Facebook,Amazon,Microsoft,Goldman Sachs,Google</t>
  </si>
  <si>
    <t>Word Pattern</t>
  </si>
  <si>
    <t>Capital One,Dropbox,Uber,Facebook,Amazon,Microsoft,Google</t>
  </si>
  <si>
    <t>Word Pattern II</t>
  </si>
  <si>
    <t>Pony.ai,Dropbox,Uber,Facebook</t>
  </si>
  <si>
    <t>Nim Game</t>
  </si>
  <si>
    <t>Minimax,Brainteaser</t>
  </si>
  <si>
    <t>Bloomberg,Adobe</t>
  </si>
  <si>
    <t>Flip Game</t>
  </si>
  <si>
    <t>Flip Game II</t>
  </si>
  <si>
    <t>Minimax,Backtracking</t>
  </si>
  <si>
    <t>Find Median from Data Stream</t>
  </si>
  <si>
    <t>Design,Heap</t>
  </si>
  <si>
    <t>Netflix,Pinterest,Qualtrics,Atlassian,ByteDance,Salesforce,VMware,Snapchat,Twitter,Expedia,Oracle,EBay,Apple,Uber,Yahoo,Bloomberg,Adobe,Facebook,Amazon,Microsoft,Goldman Sachs,Google</t>
  </si>
  <si>
    <t>Best Meeting Point</t>
  </si>
  <si>
    <t>Sort,Math</t>
  </si>
  <si>
    <t>Snapchat,Twitter,Facebook,Amazon,LinkedIn,Google</t>
  </si>
  <si>
    <t>Serialize and Deserialize Binary Tree</t>
  </si>
  <si>
    <t>Design,Tree</t>
  </si>
  <si>
    <t>Qualtrics,Tableau,Salesforce,Groupon,VMware,Citadel,Quora,Snapchat,Indeed,Expedia,Oracle,EBay,Apple,Uber,Yahoo,Bloomberg,Facebook,Amazon,LinkedIn,Microsoft,Google</t>
  </si>
  <si>
    <t>Binary Tree Longest Consecutive Sequence</t>
  </si>
  <si>
    <t>Bulls and Cows</t>
  </si>
  <si>
    <t>Zillow,Airbnb,Uber,Amazon,Microsoft,Google</t>
  </si>
  <si>
    <t>Longest Increasing Subsequence</t>
  </si>
  <si>
    <t>Atlassian,Salesforce,VMware,Oracle,EBay,Apple,Uber,Adobe,Facebook,Amazon,Microsoft,Google</t>
  </si>
  <si>
    <t>Remove Invalid Parentheses</t>
  </si>
  <si>
    <t>Breadth First Search,Depth First Search</t>
  </si>
  <si>
    <t>Pony.ai,Postmates,Houzz,Apple,Uber,Bloomberg,Facebook,Amazon,Google</t>
  </si>
  <si>
    <t>Smallest Rectangle Enclosing Black Pixels</t>
  </si>
  <si>
    <t>Range Sum Query - Immutable</t>
  </si>
  <si>
    <t>Palantir Technologies,Bloomberg,Facebook,Microsoft,Google</t>
  </si>
  <si>
    <t>Range Sum Query 2D - Immutable</t>
  </si>
  <si>
    <t>Houzz,VMware,Lyft,Apple,Facebook,Amazon,Microsoft,Google</t>
  </si>
  <si>
    <t>Number of Islands II</t>
  </si>
  <si>
    <t>Union Find</t>
  </si>
  <si>
    <t>Snapchat,Oracle,Uber,Facebook,Amazon,Microsoft,Google</t>
  </si>
  <si>
    <t>Additive Number</t>
  </si>
  <si>
    <t>Epic Systems</t>
  </si>
  <si>
    <t>Range Sum Query - Mutable</t>
  </si>
  <si>
    <t>Segment Tree,Binary Indexed Tree</t>
  </si>
  <si>
    <t>Twitter,Facebook,Amazon,Google</t>
  </si>
  <si>
    <t>Range Sum Query 2D - Mutable</t>
  </si>
  <si>
    <t>Facebook,Microsoft,Google</t>
  </si>
  <si>
    <t>Best Time to Buy and Sell Stock with Cooldown</t>
  </si>
  <si>
    <t>Apple,Amazon,Google</t>
  </si>
  <si>
    <t>Minimum Height Trees</t>
  </si>
  <si>
    <t>Graph,Breadth First Search</t>
  </si>
  <si>
    <t>Snapchat,Bloomberg,Facebook,Amazon,Google</t>
  </si>
  <si>
    <t>Sparse Matrix Multiplication</t>
  </si>
  <si>
    <t>Snapchat,Apple,Uber,Bloomberg,Facebook,Amazon,LinkedIn,Microsoft,Google</t>
  </si>
  <si>
    <t>Burst Balloons</t>
  </si>
  <si>
    <t>Dynamic Programming,Divide and Conquer</t>
  </si>
  <si>
    <t>Snapchat,Samsung,Adobe,Facebook,Amazon,Google</t>
  </si>
  <si>
    <t>Super Ugly Number</t>
  </si>
  <si>
    <t>Heap,Math</t>
  </si>
  <si>
    <t>Binary Tree Vertical Order Traversal</t>
  </si>
  <si>
    <t>Reddit,Databricks,ByteDance,Salesforce,Snapchat,Expedia,Wish,Oracle,Mathworks,Bloomberg,Adobe,Facebook,Amazon,Microsoft,Google</t>
  </si>
  <si>
    <t>Count of Smaller Numbers After Self</t>
  </si>
  <si>
    <t>Segment Tree,Binary Indexed Tree,Sort,Divide and Conquer,Binary Search</t>
  </si>
  <si>
    <t>Oracle,Apple,Uber,Bloomberg,Facebook,Amazon,Microsoft,Google</t>
  </si>
  <si>
    <t>Remove Duplicate Letters</t>
  </si>
  <si>
    <t>Greedy,Stack</t>
  </si>
  <si>
    <t>Nutanix,ByteDance,Apple,Yahoo,Adobe,Facebook,Amazon,Microsoft,Google</t>
  </si>
  <si>
    <t>Shortest Distance from All Buildings</t>
  </si>
  <si>
    <t>Zenefits,Splunk,ByteDance,Snapchat,Mathworks,Uber,Facebook,Amazon,Microsoft,Goldman Sachs,Google</t>
  </si>
  <si>
    <t>Maximum Product of Word Lengths</t>
  </si>
  <si>
    <t>Bulb Switcher</t>
  </si>
  <si>
    <t>Brainteaser,Math</t>
  </si>
  <si>
    <t>Mathworks,Facebook,Amazon</t>
  </si>
  <si>
    <t>Generalized Abbreviation</t>
  </si>
  <si>
    <t>Bit Manipulation,Backtracking</t>
  </si>
  <si>
    <t>Create Maximum Number</t>
  </si>
  <si>
    <t>Greedy,Dynamic Programming</t>
  </si>
  <si>
    <t>Coin Change</t>
  </si>
  <si>
    <t>Zappos,ByteDance,Capital One,Visa,VMware,Affirm,Walmart Labs,JPMorgan,Paypal,Oracle,Cisco,EBay,BlackRock,Apple,Airbnb,Uber,Yahoo,Bloomberg,Adobe,Facebook,Amazon,LinkedIn,Microsoft,Goldman Sachs,Google</t>
  </si>
  <si>
    <t>Number of Connected Components in an Undirected Graph</t>
  </si>
  <si>
    <t>Twitter,Facebook,Amazon,LinkedIn,Microsoft,Google</t>
  </si>
  <si>
    <t>Wiggle Sort II</t>
  </si>
  <si>
    <t>Akuna Capital,Airbnb,Facebook,Google</t>
  </si>
  <si>
    <t>Maximum Size Subarray Sum Equals k</t>
  </si>
  <si>
    <t>Palantir Technologies,Facebook,Amazon,Microsoft,Google</t>
  </si>
  <si>
    <t>Power of Three</t>
  </si>
  <si>
    <t>Hulu,Apple,Goldman Sachs,Google</t>
  </si>
  <si>
    <t>Count of Range Sum</t>
  </si>
  <si>
    <t>Odd Even Linked List</t>
  </si>
  <si>
    <t>Capital One,EBay,Bloomberg,Facebook,Amazon,Microsoft,Google</t>
  </si>
  <si>
    <t>Longest Increasing Path in a Matrix</t>
  </si>
  <si>
    <t>Memoization,Topological Sort,Depth First Search</t>
  </si>
  <si>
    <t>ByteDance,Snapchat,Apple,Uber,Bloomberg,Adobe,Facebook,Amazon,Microsoft,Google</t>
  </si>
  <si>
    <t>Patching Array</t>
  </si>
  <si>
    <t>Verify Preorder Serialization of a Binary Tree</t>
  </si>
  <si>
    <t>Reconstruct Itinerary</t>
  </si>
  <si>
    <t>Graph,Depth First Search</t>
  </si>
  <si>
    <t>Qualtrics,Twilio,Citadel,Snapchat,Yelp,Yandex,Apple,Uber,Bloomberg,Facebook,Amazon,Microsoft,Goldman Sachs,Google</t>
  </si>
  <si>
    <t>Largest BST Subtree</t>
  </si>
  <si>
    <t>Lyft,Apple,Facebook,Amazon,Microsoft,Google</t>
  </si>
  <si>
    <t>Increasing Triplet Subsequence</t>
  </si>
  <si>
    <t>Yahoo,Bloomberg,Facebook,Amazon,Google</t>
  </si>
  <si>
    <t>Self Crossing</t>
  </si>
  <si>
    <t>Palindrome Pairs</t>
  </si>
  <si>
    <t>Trie,String,Hash Table</t>
  </si>
  <si>
    <t>Square,Apple,Airbnb,Uber,Bloomberg,Adobe,Facebook,Amazon,Google</t>
  </si>
  <si>
    <t>House Robber III</t>
  </si>
  <si>
    <t>Counting Bits</t>
  </si>
  <si>
    <t>Bit Manipulation,Dynamic Programming</t>
  </si>
  <si>
    <t>Mathworks,Apple,Uber,Bloomberg,Facebook,Amazon,Microsoft</t>
  </si>
  <si>
    <t>Nested List Weight Sum</t>
  </si>
  <si>
    <t>Depth First Search</t>
  </si>
  <si>
    <t>Cloudera,Uber,Facebook,Amazon,LinkedIn</t>
  </si>
  <si>
    <t>Longest Substring with At Most K Distinct Characters</t>
  </si>
  <si>
    <t>Sliding Window,String,Hash Table</t>
  </si>
  <si>
    <t>AppDynamics,Coupang,Citadel,Snapchat,Wish,Oracle,Uber,Bloomberg,Facebook,Amazon,Microsoft,Google</t>
  </si>
  <si>
    <t>Flatten Nested List Iterator</t>
  </si>
  <si>
    <t>Pinterest,Atlassian,Splunk,VMware,Snapchat,Twitter,Oracle,Lyft,Apple,Airbnb,Uber,Bloomberg,Facebook,Amazon,LinkedIn,Microsoft,Google</t>
  </si>
  <si>
    <t>Power of Four</t>
  </si>
  <si>
    <t>Two Sigma,Uber</t>
  </si>
  <si>
    <t>Integer Break</t>
  </si>
  <si>
    <t>Dynamic Programming,Math</t>
  </si>
  <si>
    <t>Apple,Google</t>
  </si>
  <si>
    <t>Reverse String</t>
  </si>
  <si>
    <t>GoDaddy,Snapchat,Paypal,Oracle,Cisco,EBay,Apple,Uber,Bloomberg,Adobe,Facebook,Amazon,Microsoft,Goldman Sachs,Google</t>
  </si>
  <si>
    <t>Reverse Vowels of a String</t>
  </si>
  <si>
    <t>Moving Average from Data Stream</t>
  </si>
  <si>
    <t>Queue,Design</t>
  </si>
  <si>
    <t>AppDynamics,Indeed,Twitter,Uber,Bloomberg,Facebook,Amazon,Microsoft,Google</t>
  </si>
  <si>
    <t>Top K Frequent Elements</t>
  </si>
  <si>
    <t>Heap,Hash Table</t>
  </si>
  <si>
    <t>Hulu,Pocket Gems,ByteDance,Salesforce,VMware,Walmart Labs,Snapchat,Yelp,Oracle,Spotify,EBay,Apple,Uber,Yahoo,Bloomberg,Facebook,Amazon,LinkedIn,Microsoft,Goldman Sachs,Google</t>
  </si>
  <si>
    <t>Design Tic-Tac-Toe</t>
  </si>
  <si>
    <t>TripleByte,DoorDash,Salesforce,Apple,Uber,Bloomberg,Facebook,Amazon,Microsoft,Google</t>
  </si>
  <si>
    <t>Intersection of Two Arrays</t>
  </si>
  <si>
    <t>Sort,Binary Search,Two Pointers,Hash Table</t>
  </si>
  <si>
    <t>Two Sigma,ByteDance,Indeed,JPMorgan,Yelp,Oracle,Lyft,Apple,Uber,Facebook,Amazon,LinkedIn,Microsoft,Google</t>
  </si>
  <si>
    <t>Intersection of Two Arrays II</t>
  </si>
  <si>
    <t>Databricks,ByteDance,Salesforce,Oracle,Yandex,Apple,Uber,Bloomberg,Facebook,Amazon,LinkedIn,Microsoft,Google</t>
  </si>
  <si>
    <t>Android Unlock Patterns</t>
  </si>
  <si>
    <t>ByteDance,Apple,Amazon,Google</t>
  </si>
  <si>
    <t>Data Stream as Disjoint Intervals</t>
  </si>
  <si>
    <t>Ordered Map,Binary Search</t>
  </si>
  <si>
    <t>Design Snake Game</t>
  </si>
  <si>
    <t>Salesforce,Zillow,Uber,Facebook,Amazon,Google</t>
  </si>
  <si>
    <t>Russian Doll Envelopes</t>
  </si>
  <si>
    <t>Uber,Amazon,Microsoft,Google</t>
  </si>
  <si>
    <t>Design Twitter</t>
  </si>
  <si>
    <t>Design,Heap,Hash Table</t>
  </si>
  <si>
    <t>DoorDash,Twitter,Yelp,Amazon</t>
  </si>
  <si>
    <t>Line Reflection</t>
  </si>
  <si>
    <t>Count Numbers with Unique Digits</t>
  </si>
  <si>
    <t>Backtracking,Dynamic Programming,Math</t>
  </si>
  <si>
    <t>Rearrange String k Distance Apart</t>
  </si>
  <si>
    <t>Greedy,Heap,Hash Table</t>
  </si>
  <si>
    <t>EBay,Facebook,Amazon,Microsoft,Google</t>
  </si>
  <si>
    <t>Logger Rate Limiter</t>
  </si>
  <si>
    <t>Atlassian,Apple,Uber,Bloomberg,Amazon,LinkedIn,Google</t>
  </si>
  <si>
    <t>Sort Transformed Array</t>
  </si>
  <si>
    <t>Two Pointers,Math</t>
  </si>
  <si>
    <t>Bomb Enemy</t>
  </si>
  <si>
    <t>Design Hit Counter</t>
  </si>
  <si>
    <t>Netflix,Quip (Salesforce),Pinterest,Atlassian,Booking.com,Visa,Affirm,Dropbox,Snapchat,Indeed,Zillow,Oracle,Apple,Uber,Yahoo,Bloomberg,Amazon,LinkedIn,Microsoft,Google</t>
  </si>
  <si>
    <t>Max Sum of Rectangle No Larger Than K</t>
  </si>
  <si>
    <t>Queue,Dynamic Programming,Binary Search</t>
  </si>
  <si>
    <t>Nested List Weight Sum II</t>
  </si>
  <si>
    <t>DiDi,Facebook,LinkedIn</t>
  </si>
  <si>
    <t>Water and Jug Problem</t>
  </si>
  <si>
    <t>Lyft,Uber,Amazon,Microsoft,Google</t>
  </si>
  <si>
    <t>Find Leaves of Binary Tree</t>
  </si>
  <si>
    <t>Pocket Gems,Atlassian,EBay,Amazon,LinkedIn,Google</t>
  </si>
  <si>
    <t>Valid Perfect Square</t>
  </si>
  <si>
    <t>Amazon,LinkedIn,Microsoft,Google</t>
  </si>
  <si>
    <t>Largest Divisible Subset</t>
  </si>
  <si>
    <t>Adobe,Amazon,Google</t>
  </si>
  <si>
    <t>Plus One Linked List</t>
  </si>
  <si>
    <t>Range Addition</t>
  </si>
  <si>
    <t>Sum of Two Integers</t>
  </si>
  <si>
    <t>Hulu,Facebook,Amazon</t>
  </si>
  <si>
    <t>Super Pow</t>
  </si>
  <si>
    <t>Find K Pairs with Smallest Sums</t>
  </si>
  <si>
    <t>Heap</t>
  </si>
  <si>
    <t>Apple,Uber,Facebook,Amazon,LinkedIn,Microsoft,Google</t>
  </si>
  <si>
    <t>Guess Number Higher or Lower</t>
  </si>
  <si>
    <t>Guess Number Higher or Lower II</t>
  </si>
  <si>
    <t>Minimax,Dynamic Programming</t>
  </si>
  <si>
    <t>Adobe,Google</t>
  </si>
  <si>
    <t>Wiggle Subsequence</t>
  </si>
  <si>
    <t>Combination Sum IV</t>
  </si>
  <si>
    <t>Visa,Snapchat,Facebook,Amazon,Google</t>
  </si>
  <si>
    <t>Kth Smallest Element in a Sorted Matrix</t>
  </si>
  <si>
    <t>Heap,Binary Search</t>
  </si>
  <si>
    <t>Walmart Labs,Twitter,Apple,Uber,Yahoo,Bloomberg,Adobe,Facebook,Amazon,Microsoft,Google</t>
  </si>
  <si>
    <t>Design Phone Directory</t>
  </si>
  <si>
    <t>Design,Linked List</t>
  </si>
  <si>
    <t>Dropbox,Microsoft,Google</t>
  </si>
  <si>
    <t>Insert Delete GetRandom O(1)</t>
  </si>
  <si>
    <t>Design,Hash Table,Array</t>
  </si>
  <si>
    <t>Pinterest,Databricks,Pocket Gems,Pure Storage,Two Sigma,Flipkart,Twilio,Salesforce,VMware,Quora,Affirm,Walmart Labs,Indeed,Twitter,Yelp,Oracle,Yandex,Apple,Uber,Bloomberg,Adobe,Facebook,Amazon,LinkedIn,Microsoft,Goldman Sachs,Google</t>
  </si>
  <si>
    <t>Insert Delete GetRandom O(1) - Duplicates allowed</t>
  </si>
  <si>
    <t>Databricks,Affirm,Walmart Labs,Yelp,Apple,Uber,Facebook,Amazon,LinkedIn,Microsoft,Google</t>
  </si>
  <si>
    <t>Linked List Random Node</t>
  </si>
  <si>
    <t>Reservoir Sampling</t>
  </si>
  <si>
    <t>Ransom Note</t>
  </si>
  <si>
    <t>Spotify,Apple,Amazon,Microsoft</t>
  </si>
  <si>
    <t>Shuffle an Array</t>
  </si>
  <si>
    <t>TripAdvisor,Two Sigma,Salesforce,Cisco,Apple,Yahoo,Bloomberg,Facebook,Amazon,LinkedIn,Microsoft,Google</t>
  </si>
  <si>
    <t>Mini Parser</t>
  </si>
  <si>
    <t>Airbnb,Google</t>
  </si>
  <si>
    <t>Lexicographical Numbers</t>
  </si>
  <si>
    <t>Bloomberg,Adobe,Google</t>
  </si>
  <si>
    <t>First Unique Character in a String</t>
  </si>
  <si>
    <t>Zulily,Walmart Labs,JPMorgan,Zillow,ServiceNow,Huawei,Apple,Yahoo,Bloomberg,Adobe,Facebook,Amazon,LinkedIn,Microsoft,Goldman Sachs,Google</t>
  </si>
  <si>
    <t>Longest Absolute File Path</t>
  </si>
  <si>
    <t>Wish,Apple,Uber,Facebook,Amazon,Google</t>
  </si>
  <si>
    <t>Find the Difference</t>
  </si>
  <si>
    <t>Elimination Game</t>
  </si>
  <si>
    <t>Quora,Bloomberg,Amazon</t>
  </si>
  <si>
    <t>Perfect Rectangle</t>
  </si>
  <si>
    <t>Line Sweep</t>
  </si>
  <si>
    <t>Apple,Uber,Google</t>
  </si>
  <si>
    <t>Is Subsequence</t>
  </si>
  <si>
    <t>Greedy,Dynamic Programming,Binary Search</t>
  </si>
  <si>
    <t>Pinterest,Coursera,Bloomberg,Facebook,Amazon,Google</t>
  </si>
  <si>
    <t>UTF-8 Validation</t>
  </si>
  <si>
    <t>Palantir Technologies,Apple,Facebook,Amazon,Google</t>
  </si>
  <si>
    <t>Decode String</t>
  </si>
  <si>
    <t>Depth First Search,Stack</t>
  </si>
  <si>
    <t>AppDynamics,Hulu,Cruise Automation,Coupang,Atlassian,ByteDance,Salesforce,VMware,Snapchat,Yelp,Oracle,Cisco,Huawei,EBay,Apple,Yahoo,Tencent,Bloomberg,Facebook,Amazon,Microsoft,Google</t>
  </si>
  <si>
    <t>Longest Substring with At Least K Repeating Characters</t>
  </si>
  <si>
    <t>ByteDance,Baidu,Uber,Bloomberg,Adobe,Facebook,Amazon,Google</t>
  </si>
  <si>
    <t>Rotate Function</t>
  </si>
  <si>
    <t>Integer Replacement</t>
  </si>
  <si>
    <t>Baidu,Bloomberg,Amazon,Microsoft,Google</t>
  </si>
  <si>
    <t>Random Pick Index</t>
  </si>
  <si>
    <t>Uber,Facebook,Google</t>
  </si>
  <si>
    <t>Evaluate Division</t>
  </si>
  <si>
    <t>Graph,Union Find</t>
  </si>
  <si>
    <t>Uber,Bloomberg,Adobe,Facebook,Amazon,Google</t>
  </si>
  <si>
    <t>Nth Digit</t>
  </si>
  <si>
    <t>Binary Watch</t>
  </si>
  <si>
    <t>Remove K Digits</t>
  </si>
  <si>
    <t>Nutanix,ByteDance,VMware,Snapchat,Oracle,DiDi,Bloomberg,Adobe,Facebook,Amazon,Microsoft,Google</t>
  </si>
  <si>
    <t>Frog Jump</t>
  </si>
  <si>
    <t>Nutanix,ByteDance,Snapchat,Oracle,Apple,Facebook,Amazon,Microsoft,Google</t>
  </si>
  <si>
    <t>Sum of Left Leaves</t>
  </si>
  <si>
    <t>Expedia,Mathworks,Bloomberg,Adobe,Facebook,Amazon,Google</t>
  </si>
  <si>
    <t>Convert a Number to Hexadecimal</t>
  </si>
  <si>
    <t>Queue Reconstruction by Height</t>
  </si>
  <si>
    <t>Trapping Rain Water II</t>
  </si>
  <si>
    <t>Breadth First Search,Heap</t>
  </si>
  <si>
    <t>ByteDance,Twitter,Apple,Amazon,Microsoft,Google</t>
  </si>
  <si>
    <t>Valid Word Abbreviation</t>
  </si>
  <si>
    <t>Longest Palindrome</t>
  </si>
  <si>
    <t>Intuit,Amazon,Google</t>
  </si>
  <si>
    <t>Split Array Largest Sum</t>
  </si>
  <si>
    <t>Baidu,Facebook,Amazon,Google</t>
  </si>
  <si>
    <t>Minimum Unique Word Abbreviation</t>
  </si>
  <si>
    <t>Fizz Buzz</t>
  </si>
  <si>
    <t>Wayfair,Capital One,Salesforce,Oracle,Spotify,IBM,Cisco,Apple,Adobe,Amazon,LinkedIn,Microsoft,Google</t>
  </si>
  <si>
    <t>Arithmetic Slices</t>
  </si>
  <si>
    <t>Baidu,Aetion,Bloomberg,Facebook,Amazon,Microsoft</t>
  </si>
  <si>
    <t>Third Maximum Number</t>
  </si>
  <si>
    <t>Facebook,Amazon,Microsoft,Google</t>
  </si>
  <si>
    <t>Add Strings</t>
  </si>
  <si>
    <t>Square,ByteDance,Snapchat,Nvidia,Oracle,Apple,Airbnb,Bloomberg,Adobe,Facebook,Amazon,Microsoft,Alibaba,Google</t>
  </si>
  <si>
    <t>Partition Equal Subset Sum</t>
  </si>
  <si>
    <t>VMware,Paypal,EBay,Apple,Uber,Yahoo,Facebook,Amazon,Microsoft,Google</t>
  </si>
  <si>
    <t>Pacific Atlantic Water Flow</t>
  </si>
  <si>
    <t>Sentence Screen Fitting</t>
  </si>
  <si>
    <t>Robinhood,Google</t>
  </si>
  <si>
    <t>Battleships in a Board</t>
  </si>
  <si>
    <t>Apple,Facebook,Amazon,Microsoft,Google</t>
  </si>
  <si>
    <t>Strong Password Checker</t>
  </si>
  <si>
    <t>Uber,Adobe,Amazon,Google</t>
  </si>
  <si>
    <t>Maximum XOR of Two Numbers in an Array</t>
  </si>
  <si>
    <t>Trie,Bit Manipulation</t>
  </si>
  <si>
    <t>Valid Word Square</t>
  </si>
  <si>
    <t>Bloomberg,Google</t>
  </si>
  <si>
    <t>Reconstruct Original Digits from English</t>
  </si>
  <si>
    <t>Longest Repeating Character Replacement</t>
  </si>
  <si>
    <t>Sliding Window,Two Pointers</t>
  </si>
  <si>
    <t>Pocket Gems,Google</t>
  </si>
  <si>
    <t>Word Squares</t>
  </si>
  <si>
    <t>Oracle,Google</t>
  </si>
  <si>
    <t>Convert Binary Search Tree to Sorted Doubly Linked List</t>
  </si>
  <si>
    <t>Tree,Divide and Conquer,Linked List</t>
  </si>
  <si>
    <t>Databricks,VMware,Oracle,Lyft,Uber,Bloomberg,Facebook,Amazon,Microsoft,Google</t>
  </si>
  <si>
    <t>Construct Quad Tree</t>
  </si>
  <si>
    <t>Apple,Uber,Amazon,Microsoft,Google</t>
  </si>
  <si>
    <t>Serialize and Deserialize N-ary Tree</t>
  </si>
  <si>
    <t>Pinterest,EBay,Apple,Uber,Facebook,Amazon,LinkedIn,Microsoft,Google</t>
  </si>
  <si>
    <t>N-ary Tree Level Order Traversal</t>
  </si>
  <si>
    <t>Flatten a Multilevel Doubly Linked List</t>
  </si>
  <si>
    <t>Encode N-ary Tree to Binary Tree</t>
  </si>
  <si>
    <t>Microsoft</t>
  </si>
  <si>
    <t>All O`one Data Structure</t>
  </si>
  <si>
    <t>Uber,Bloomberg,Facebook,Amazon,LinkedIn,Microsoft,Google</t>
  </si>
  <si>
    <t>Minimum Genetic Mutation</t>
  </si>
  <si>
    <t>Twitter,Google</t>
  </si>
  <si>
    <t>Number of Segments in a String</t>
  </si>
  <si>
    <t>Non-overlapping Intervals</t>
  </si>
  <si>
    <t>Apple,Bloomberg,Facebook,Amazon,Microsoft</t>
  </si>
  <si>
    <t>Find Right Interval</t>
  </si>
  <si>
    <t>Path Sum III</t>
  </si>
  <si>
    <t>Quora,Zillow,Uber,Bloomberg,Facebook,Amazon,Microsoft</t>
  </si>
  <si>
    <t>Find All Anagrams in a String</t>
  </si>
  <si>
    <t>Robinhood,Oracle,Uber,Bloomberg,Facebook,Amazon,Microsoft,Goldman Sachs,Google</t>
  </si>
  <si>
    <t>Ternary Expression Parser</t>
  </si>
  <si>
    <t>Snapchat</t>
  </si>
  <si>
    <t>K-th Smallest in Lexicographical Order</t>
  </si>
  <si>
    <t>Hulu,ByteDance,Google</t>
  </si>
  <si>
    <t>Arranging Coins</t>
  </si>
  <si>
    <t>GoDaddy</t>
  </si>
  <si>
    <t>Find All Duplicates in an Array</t>
  </si>
  <si>
    <t>Pocket Gems,Lyft,Apple,Bloomberg,Facebook,Amazon,Microsoft,Google</t>
  </si>
  <si>
    <t>String Compression</t>
  </si>
  <si>
    <t>Akuna Capital,Wayfair,Redfin,Walmart Labs,GoDaddy,Snapchat,Zillow,Expedia,Yelp,Lyft,Yandex,EBay,Apple,Bloomberg,Facebook,Amazon,Microsoft,Goldman Sachs,Google</t>
  </si>
  <si>
    <t>Sequence Reconstruction</t>
  </si>
  <si>
    <t>Add Two Numbers II</t>
  </si>
  <si>
    <t>ByteDance,Oracle,Cisco,Apple,Uber,Bloomberg,Facebook,Amazon,Microsoft,Goldman Sachs,Google</t>
  </si>
  <si>
    <t>Arithmetic Slices II - Subsequence</t>
  </si>
  <si>
    <t>Baidu,Facebook,Alibaba</t>
  </si>
  <si>
    <t>Number of Boomerangs</t>
  </si>
  <si>
    <t>Find All Numbers Disappeared in an Array</t>
  </si>
  <si>
    <t>Apple,Adobe,Facebook,Microsoft,Google</t>
  </si>
  <si>
    <t>Serialize and Deserialize BST</t>
  </si>
  <si>
    <t>Qualtrics,Zillow,Oracle,Yandex,EBay,Uber,Facebook,Amazon,LinkedIn,Microsoft,Google</t>
  </si>
  <si>
    <t>Delete Node in a BST</t>
  </si>
  <si>
    <t>Oracle,Cisco,Apple,Uber,Yahoo,Bloomberg,Facebook,Amazon,LinkedIn,Microsoft,Google</t>
  </si>
  <si>
    <t>Sort Characters By Frequency</t>
  </si>
  <si>
    <t>Expedia,Uber,Yahoo,Bloomberg,Facebook,Amazon,LinkedIn,Google</t>
  </si>
  <si>
    <t>Minimum Number of Arrows to Burst Balloons</t>
  </si>
  <si>
    <t>Quora,Facebook,Amazon,Microsoft</t>
  </si>
  <si>
    <t>Minimum Moves to Equal Array Elements</t>
  </si>
  <si>
    <t>Coursera,Drawbridge,Indeed,Apple,Amazon</t>
  </si>
  <si>
    <t>4Sum II</t>
  </si>
  <si>
    <t>Binary Search,Hash Table</t>
  </si>
  <si>
    <t>Assign Cookies</t>
  </si>
  <si>
    <t>132 Pattern</t>
  </si>
  <si>
    <t>Oracle,Amazon</t>
  </si>
  <si>
    <t>Circular Array Loop</t>
  </si>
  <si>
    <t>Nutanix,Microsoft,Google</t>
  </si>
  <si>
    <t>Poor Pigs</t>
  </si>
  <si>
    <t>Repeated Substring Pattern</t>
  </si>
  <si>
    <t>LFU Cache</t>
  </si>
  <si>
    <t>Salesforce,VMware,Snapchat,Apple,Uber,Bloomberg,Adobe,Amazon,LinkedIn,Microsoft,Alibaba,Goldman Sachs,Google</t>
  </si>
  <si>
    <t>Hamming Distance</t>
  </si>
  <si>
    <t>Facebook,Amazon</t>
  </si>
  <si>
    <t>Minimum Moves to Equal Array Elements II</t>
  </si>
  <si>
    <t>Island Perimeter</t>
  </si>
  <si>
    <t>Apple,Bloomberg,Facebook,Amazon,Microsoft,Google</t>
  </si>
  <si>
    <t>Can I Win</t>
  </si>
  <si>
    <t>Optimal Account Balancing</t>
  </si>
  <si>
    <t>ByteDance,Uber,Amazon,Google</t>
  </si>
  <si>
    <t>Count The Repetitions</t>
  </si>
  <si>
    <t>Unique Substrings in Wraparound String</t>
  </si>
  <si>
    <t>MAQ Software,Google</t>
  </si>
  <si>
    <t>Validate IP Address</t>
  </si>
  <si>
    <t>Visa,VMware,Twitter,Uber,Facebook,Amazon,Microsoft,Google</t>
  </si>
  <si>
    <t>Convex Polygon</t>
  </si>
  <si>
    <t>Implement Rand10() Using Rand7()</t>
  </si>
  <si>
    <t>Rejection Sampling,Random</t>
  </si>
  <si>
    <t>ByteDance,Apple,Bloomberg,LinkedIn,Microsoft,Google</t>
  </si>
  <si>
    <t>Encode String with Shortest Length</t>
  </si>
  <si>
    <t>Concatenated Words</t>
  </si>
  <si>
    <t>Trie,Depth First Search,Dynamic Programming</t>
  </si>
  <si>
    <t>Audible,Apple,Facebook,Amazon,Microsoft</t>
  </si>
  <si>
    <t>Matchsticks to Square</t>
  </si>
  <si>
    <t>Rackspace,Amazon</t>
  </si>
  <si>
    <t>Ones and Zeroes</t>
  </si>
  <si>
    <t>Heaters</t>
  </si>
  <si>
    <t>Number Complement</t>
  </si>
  <si>
    <t>Cloudera</t>
  </si>
  <si>
    <t>Total Hamming Distance</t>
  </si>
  <si>
    <t>Generate Random Point in a Circle</t>
  </si>
  <si>
    <t>Rejection Sampling,Random,Math</t>
  </si>
  <si>
    <t>Leap Motion,Facebook</t>
  </si>
  <si>
    <t>Largest Palindrome Product</t>
  </si>
  <si>
    <t>Apple,Yahoo</t>
  </si>
  <si>
    <t>Sliding Window Median</t>
  </si>
  <si>
    <t>Sliding Window</t>
  </si>
  <si>
    <t>Snapchat,Oracle,Spotify,Apple,Facebook,Amazon,Google</t>
  </si>
  <si>
    <t>Magical String</t>
  </si>
  <si>
    <t>License Key Formatting</t>
  </si>
  <si>
    <t>Twitter,Amazon,Google</t>
  </si>
  <si>
    <t>Smallest Good Base</t>
  </si>
  <si>
    <t>Find Permutation</t>
  </si>
  <si>
    <t>Max Consecutive Ones</t>
  </si>
  <si>
    <t>Predict the Winner</t>
  </si>
  <si>
    <t>Apple,Uber,Amazon,Google</t>
  </si>
  <si>
    <t>Max Consecutive Ones II</t>
  </si>
  <si>
    <t>Two Pointers</t>
  </si>
  <si>
    <t>Yandex,Google</t>
  </si>
  <si>
    <t>Zuma Game</t>
  </si>
  <si>
    <t>Baidu,Bloomberg</t>
  </si>
  <si>
    <t>Robot Room Cleaner</t>
  </si>
  <si>
    <t>The Maze</t>
  </si>
  <si>
    <t>Twitter,Apple,Uber,Facebook,Amazon,Microsoft,Google</t>
  </si>
  <si>
    <t>Increasing Subsequences</t>
  </si>
  <si>
    <t>Yahoo,Facebook</t>
  </si>
  <si>
    <t>Construct the Rectangle</t>
  </si>
  <si>
    <t>Reverse Pairs</t>
  </si>
  <si>
    <t>Uber,Facebook,Amazon,Microsoft,Google</t>
  </si>
  <si>
    <t>Target Sum</t>
  </si>
  <si>
    <t>Depth First Search,Dynamic Programming</t>
  </si>
  <si>
    <t>Teemo Attacking</t>
  </si>
  <si>
    <t>Riot Games</t>
  </si>
  <si>
    <t>Next Greater Element I</t>
  </si>
  <si>
    <t>Twitter,Oracle,Bloomberg,Facebook,Amazon,Microsoft,Google</t>
  </si>
  <si>
    <t>Random Point in Non-overlapping Rectangles</t>
  </si>
  <si>
    <t>Random,Binary Search</t>
  </si>
  <si>
    <t>Diagonal Traverse</t>
  </si>
  <si>
    <t>Splunk,Quora,Walmart Labs,EBay,Apple,Facebook,Amazon,Microsoft,Google</t>
  </si>
  <si>
    <t>The Maze III</t>
  </si>
  <si>
    <t>Keyboard Row</t>
  </si>
  <si>
    <t>Mathworks</t>
  </si>
  <si>
    <t>Find Mode in Binary Search Tree</t>
  </si>
  <si>
    <t>IPO</t>
  </si>
  <si>
    <t>Greedy,Heap</t>
  </si>
  <si>
    <t>Next Greater Element II</t>
  </si>
  <si>
    <t>Oracle,Yahoo,Bloomberg,Facebook,Amazon,Microsoft,Google</t>
  </si>
  <si>
    <t>Base 7</t>
  </si>
  <si>
    <t>The Maze II</t>
  </si>
  <si>
    <t>Snapchat,Oracle,Facebook,Amazon,Google</t>
  </si>
  <si>
    <t>Relative Ranks</t>
  </si>
  <si>
    <t>Perfect Number</t>
  </si>
  <si>
    <t>Fallible,Amazon</t>
  </si>
  <si>
    <t>Most Frequent Subtree Sum</t>
  </si>
  <si>
    <t>Tree,Hash Table</t>
  </si>
  <si>
    <t>Fibonacci Number</t>
  </si>
  <si>
    <t>Barclays,Mathworks,Apple,Yahoo,SAP,Facebook,Amazon,Microsoft</t>
  </si>
  <si>
    <t>Inorder Successor in BST II</t>
  </si>
  <si>
    <t>Quip (Salesforce),Bloomberg,Microsoft,Google</t>
  </si>
  <si>
    <t>Game Play Analysis I</t>
  </si>
  <si>
    <t>GSN Games</t>
  </si>
  <si>
    <t>Game Play Analysis II</t>
  </si>
  <si>
    <t>Find Bottom Left Tree Value</t>
  </si>
  <si>
    <t>Freedom Trail</t>
  </si>
  <si>
    <t>Depth First Search,Dynamic Programming,Divide and Conquer</t>
  </si>
  <si>
    <t>Find Largest Value in Each Tree Row</t>
  </si>
  <si>
    <t>Apple,Facebook,Amazon,LinkedIn,Microsoft</t>
  </si>
  <si>
    <t>Longest Palindromic Subsequence</t>
  </si>
  <si>
    <t>Apple,Uber,Bloomberg,Facebook,Amazon,LinkedIn,Microsoft</t>
  </si>
  <si>
    <t>Super Washing Machines</t>
  </si>
  <si>
    <t>Coin Change 2</t>
  </si>
  <si>
    <t>IXL,Walmart Labs,Oracle,Apple,Uber,Yahoo,Bloomberg,Facebook,Amazon,Microsoft,Google</t>
  </si>
  <si>
    <t>Random Flip Matrix</t>
  </si>
  <si>
    <t>Random</t>
  </si>
  <si>
    <t>Detect Capital</t>
  </si>
  <si>
    <t>Longest Uncommon Subsequence I</t>
  </si>
  <si>
    <t>Longest Uncommon Subsequence II</t>
  </si>
  <si>
    <t>Continuous Subarray Sum</t>
  </si>
  <si>
    <t>Samsung,Facebook,Amazon,Microsoft,Google</t>
  </si>
  <si>
    <t>Longest Word in Dictionary through Deleting</t>
  </si>
  <si>
    <t>Sort,Two Pointers</t>
  </si>
  <si>
    <t>Goldman Sachs,Google</t>
  </si>
  <si>
    <t>Contiguous Array</t>
  </si>
  <si>
    <t>Robinhood,VMware,Quora,Apple,Adobe,Facebook,Amazon,Microsoft,Google</t>
  </si>
  <si>
    <t>Beautiful Arrangement</t>
  </si>
  <si>
    <t>Mathworks,Google</t>
  </si>
  <si>
    <t>Word Abbreviation</t>
  </si>
  <si>
    <t>Sort,String</t>
  </si>
  <si>
    <t>Grab,Snapchat,Uber,Google</t>
  </si>
  <si>
    <t>Random Pick with Weight</t>
  </si>
  <si>
    <t>TripAdvisor,DoorDash,Rubrik,Two Sigma,Twitter,Wish,Yelp,Apple,Uber,Facebook,Amazon,LinkedIn,Microsoft,Google</t>
  </si>
  <si>
    <t>Minesweeper</t>
  </si>
  <si>
    <t>LiveRamp,Cruise Automation,Oracle,Uber,Bloomberg,Facebook,Amazon,Microsoft,Google</t>
  </si>
  <si>
    <t>Minimum Absolute Difference in BST</t>
  </si>
  <si>
    <t>Lonely Pixel I</t>
  </si>
  <si>
    <t>Depth First Search,Array</t>
  </si>
  <si>
    <t>K-diff Pairs in an Array</t>
  </si>
  <si>
    <t>Twilio,Salesforce,Paypal,Twitter,Oracle,Bloomberg,Amazon,Microsoft</t>
  </si>
  <si>
    <t>Lonely Pixel II</t>
  </si>
  <si>
    <t>Game Play Analysis III</t>
  </si>
  <si>
    <t>Encode and Decode TinyURL</t>
  </si>
  <si>
    <t>Oracle,Uber,Bloomberg,Adobe,Facebook,Amazon,Microsoft,Google</t>
  </si>
  <si>
    <t>Construct Binary Tree from String</t>
  </si>
  <si>
    <t>Tree,String</t>
  </si>
  <si>
    <t>Complex Number Multiplication</t>
  </si>
  <si>
    <t>Convert BST to Greater Tree</t>
  </si>
  <si>
    <t>Minimum Time Difference</t>
  </si>
  <si>
    <t>Palantir Technologies,Amazon</t>
  </si>
  <si>
    <t>Single Element in a Sorted Array</t>
  </si>
  <si>
    <t>Atlassian,Apple,Facebook,Amazon,Microsoft,Google</t>
  </si>
  <si>
    <t>Reverse String II</t>
  </si>
  <si>
    <t>01 Matrix</t>
  </si>
  <si>
    <t>Diameter of Binary Tree</t>
  </si>
  <si>
    <t>Qualtrics,Atlassian,ByteDance,Intel,Oracle,Baidu,Apple,Tencent,Bloomberg,Adobe,Facebook,Amazon,Microsoft,Google</t>
  </si>
  <si>
    <t>Output Contest Matches</t>
  </si>
  <si>
    <t>Recursion,String</t>
  </si>
  <si>
    <t>Boundary of Binary Tree</t>
  </si>
  <si>
    <t>Atlassian,Audible,Oracle,EBay,Apple,Adobe,Amazon,Microsoft,Google</t>
  </si>
  <si>
    <t>Remove Boxes</t>
  </si>
  <si>
    <t>Tencent</t>
  </si>
  <si>
    <t>Friend Circles</t>
  </si>
  <si>
    <t>Union Find,Depth First Search</t>
  </si>
  <si>
    <t>Pocket Gems,Two Sigma,Atlassian,Deutsche Bank,Salesforce,Drawbridge,Twitter,Uber,Bloomberg,Adobe,Facebook,Amazon,LinkedIn,Microsoft,Google</t>
  </si>
  <si>
    <t>Split Array with Equal Sum</t>
  </si>
  <si>
    <t>Facebook,Alibaba</t>
  </si>
  <si>
    <t>Binary Tree Longest Consecutive Sequence II</t>
  </si>
  <si>
    <t>Game Play Analysis IV</t>
  </si>
  <si>
    <t>GSN Games,Facebook</t>
  </si>
  <si>
    <t>Student Attendance Record I</t>
  </si>
  <si>
    <t>Student Attendance Record II</t>
  </si>
  <si>
    <t>Uber,Google</t>
  </si>
  <si>
    <t>Optimal Division</t>
  </si>
  <si>
    <t>Brick Wall</t>
  </si>
  <si>
    <t>Oracle,Bloomberg,Facebook,Google</t>
  </si>
  <si>
    <t>Split Concatenated Strings</t>
  </si>
  <si>
    <t>Alibaba</t>
  </si>
  <si>
    <t>Next Greater Element III</t>
  </si>
  <si>
    <t>Houzz,Bloomberg,Facebook,Amazon,Microsoft</t>
  </si>
  <si>
    <t>Reverse Words in a String III</t>
  </si>
  <si>
    <t>Zappos,Salesforce,Snapchat,Paypal,Apple,Yahoo,Bloomberg,Amazon,Microsoft</t>
  </si>
  <si>
    <t>Logical OR of Two Binary Grids Represented as Quad-Trees</t>
  </si>
  <si>
    <t>Sumologic,Amazon,Google</t>
  </si>
  <si>
    <t>Maximum Depth of N-ary Tree</t>
  </si>
  <si>
    <t>SAP,Bloomberg,Amazon,Google</t>
  </si>
  <si>
    <t>Subarray Sum Equals K</t>
  </si>
  <si>
    <t>Twilio,Quora,Snapchat,Indeed,Expedia,Wish,Oracle,Yandex,EBay,Apple,Uber,Yahoo,Bloomberg,Adobe,Facebook,Amazon,LinkedIn,Microsoft,Goldman Sachs,Google</t>
  </si>
  <si>
    <t>Array Partition I</t>
  </si>
  <si>
    <t>Apple,Adobe,Amazon</t>
  </si>
  <si>
    <t>Longest Line of Consecutive One in Matrix</t>
  </si>
  <si>
    <t>Binary Tree Tilt</t>
  </si>
  <si>
    <t>Indeed</t>
  </si>
  <si>
    <t>Find the Closest Palindrome</t>
  </si>
  <si>
    <t>Nutanix,Pinterest,Yelp,Uber,Facebook,Amazon,Microsoft,Google</t>
  </si>
  <si>
    <t>Array Nesting</t>
  </si>
  <si>
    <t>Apple,Bloomberg</t>
  </si>
  <si>
    <t>Reshape the Matrix</t>
  </si>
  <si>
    <t>Permutation in String</t>
  </si>
  <si>
    <t>Lyft,Yandex,Uber,Yahoo,Bloomberg,Facebook,Amazon,Microsoft,Google</t>
  </si>
  <si>
    <t>Maximum Vacation Days</t>
  </si>
  <si>
    <t>Uber,Facebook,Microsoft,Google</t>
  </si>
  <si>
    <t>Median Employee Salary</t>
  </si>
  <si>
    <t>Managers with at Least 5 Direct Reports</t>
  </si>
  <si>
    <t>Bloomberg,Amazon</t>
  </si>
  <si>
    <t>Find Median Given Frequency of Numbers</t>
  </si>
  <si>
    <t>Pinterest</t>
  </si>
  <si>
    <t>Subtree of Another Tree</t>
  </si>
  <si>
    <t>EBay,Samsung,Bloomberg,Facebook,Amazon,Microsoft,Google</t>
  </si>
  <si>
    <t>Squirrel Simulation</t>
  </si>
  <si>
    <t>Square</t>
  </si>
  <si>
    <t>Winning Candidate</t>
  </si>
  <si>
    <t>Distribute Candies</t>
  </si>
  <si>
    <t>LiveRamp,Microsoft</t>
  </si>
  <si>
    <t>Out of Boundary Paths</t>
  </si>
  <si>
    <t>Baidu</t>
  </si>
  <si>
    <t>Employee Bonus</t>
  </si>
  <si>
    <t>Netsuite</t>
  </si>
  <si>
    <t>Get Highest Answer Rate Question</t>
  </si>
  <si>
    <t>Find Cumulative Salary of an Employee</t>
  </si>
  <si>
    <t>Count Student Number in Departments</t>
  </si>
  <si>
    <t>Twitter</t>
  </si>
  <si>
    <t>Shortest Unsorted Continuous Subarray</t>
  </si>
  <si>
    <t>LiveRamp,Redfin,Uber,Bloomberg,Amazon,Google</t>
  </si>
  <si>
    <t>Kill Process</t>
  </si>
  <si>
    <t>Queue,Tree</t>
  </si>
  <si>
    <t>Apple,Bloomberg,Amazon,Google</t>
  </si>
  <si>
    <t>Delete Operation for Two Strings</t>
  </si>
  <si>
    <t>Find Customer Referee</t>
  </si>
  <si>
    <t>Investments in 2016</t>
  </si>
  <si>
    <t>Customer Placing the Largest Number of Orders</t>
  </si>
  <si>
    <t>Twitter,Amazon</t>
  </si>
  <si>
    <t>Erect the Fence</t>
  </si>
  <si>
    <t>Geometry</t>
  </si>
  <si>
    <t>Design In-Memory File System</t>
  </si>
  <si>
    <t>Baidu,Airbnb,Amazon,Goldman Sachs</t>
  </si>
  <si>
    <t>N-ary Tree Preorder Traversal</t>
  </si>
  <si>
    <t>N-ary Tree Postorder Traversal</t>
  </si>
  <si>
    <t>Tag Validator</t>
  </si>
  <si>
    <t>Uber,Microsoft,Google</t>
  </si>
  <si>
    <t>Fraction Addition and Subtraction</t>
  </si>
  <si>
    <t>IXL,Goldman Sachs</t>
  </si>
  <si>
    <t>Valid Square</t>
  </si>
  <si>
    <t>Pure Storage,Facebook,Google</t>
  </si>
  <si>
    <t>Longest Harmonious Subsequence</t>
  </si>
  <si>
    <t>LiveRamp,Apple</t>
  </si>
  <si>
    <t>Big Countries</t>
  </si>
  <si>
    <t>Classes More Than 5 Students</t>
  </si>
  <si>
    <t>Friend Requests I: Overall Acceptance Rate</t>
  </si>
  <si>
    <t>Range Addition II</t>
  </si>
  <si>
    <t>IXL</t>
  </si>
  <si>
    <t>Minimum Index Sum of Two Lists</t>
  </si>
  <si>
    <t>Yelp,Oracle</t>
  </si>
  <si>
    <t>Non-negative Integers without Consecutive Ones</t>
  </si>
  <si>
    <t>Pocket Gems</t>
  </si>
  <si>
    <t>Human Traffic of Stadium</t>
  </si>
  <si>
    <t>Uber,Adobe,Amazon</t>
  </si>
  <si>
    <t>Friend Requests II: Who Has the Most Friends</t>
  </si>
  <si>
    <t>Consecutive Available Seats</t>
  </si>
  <si>
    <t>Design Compressed String Iterator</t>
  </si>
  <si>
    <t>Can Place Flowers</t>
  </si>
  <si>
    <t>Cisco,Yahoo,Amazon,LinkedIn</t>
  </si>
  <si>
    <t>Construct String from Binary Tree</t>
  </si>
  <si>
    <t>Sales Person</t>
  </si>
  <si>
    <t>Tree Node</t>
  </si>
  <si>
    <t>Find Duplicate File in System</t>
  </si>
  <si>
    <t>VMware,Dropbox,Oracle,Apple,Facebook,Amazon,Microsoft,Google</t>
  </si>
  <si>
    <t>Triangle Judgement</t>
  </si>
  <si>
    <t>Valid Triangle Number</t>
  </si>
  <si>
    <t>Expedia,Uber,Bloomberg,Facebook,Amazon,LinkedIn,Microsoft</t>
  </si>
  <si>
    <t>Shortest Distance in a Plane</t>
  </si>
  <si>
    <t>Shortest Distance in a Line</t>
  </si>
  <si>
    <t>Second Degree Follower</t>
  </si>
  <si>
    <t>Databricks,Facebook</t>
  </si>
  <si>
    <t>Average Salary: Departments VS Company</t>
  </si>
  <si>
    <t>Add Bold Tag in String</t>
  </si>
  <si>
    <t>Wish,Facebook,Google</t>
  </si>
  <si>
    <t>Merge Two Binary Trees</t>
  </si>
  <si>
    <t>Oracle,Huawei,Apple,Adobe,Amazon</t>
  </si>
  <si>
    <t>Students Report By Geography</t>
  </si>
  <si>
    <t>Biggest Single Number</t>
  </si>
  <si>
    <t>Not Boring Movies</t>
  </si>
  <si>
    <t>Task Scheduler</t>
  </si>
  <si>
    <t>Queue,Greedy,Array</t>
  </si>
  <si>
    <t>Nutanix,Pinterest,VMware,Oracle,Apple,Uber,Bloomberg,Facebook,Amazon,Microsoft,Google</t>
  </si>
  <si>
    <t>Design Circular Queue</t>
  </si>
  <si>
    <t>Cloudera,Splunk,Citadel,Oracle,Apple,Airbnb,Facebook,Amazon,Microsoft,Google</t>
  </si>
  <si>
    <t>Add One Row to Tree</t>
  </si>
  <si>
    <t>Gilt Groupe</t>
  </si>
  <si>
    <t>Maximum Distance in Arrays</t>
  </si>
  <si>
    <t>Yahoo</t>
  </si>
  <si>
    <t>Minimum Factorization</t>
  </si>
  <si>
    <t>Exchange Seats</t>
  </si>
  <si>
    <t>Swap Salary</t>
  </si>
  <si>
    <t>Maximum Product of Three Numbers</t>
  </si>
  <si>
    <t>Math,Array</t>
  </si>
  <si>
    <t>Symantec,Redfin,Intuit,Cisco,Apple,Bloomberg,Facebook,Amazon,Goldman Sachs</t>
  </si>
  <si>
    <t>K Inverse Pairs Array</t>
  </si>
  <si>
    <t>Works Applications</t>
  </si>
  <si>
    <t>Course Schedule III</t>
  </si>
  <si>
    <t>Works Applications,Microsoft,Google</t>
  </si>
  <si>
    <t>Design Excel Sum Formula</t>
  </si>
  <si>
    <t>Smallest Range Covering Elements from K Lists</t>
  </si>
  <si>
    <t>Pinterest,Snapchat,Lyft,Facebook,Amazon,Microsoft,Google</t>
  </si>
  <si>
    <t>Sum of Square Numbers</t>
  </si>
  <si>
    <t>Find the Derangement of An Array</t>
  </si>
  <si>
    <t>IXL,Amazon</t>
  </si>
  <si>
    <t>Design Log Storage System</t>
  </si>
  <si>
    <t>Design,String</t>
  </si>
  <si>
    <t>Snapchat,Twitter,Amazon,Google</t>
  </si>
  <si>
    <t>Exclusive Time of Functions</t>
  </si>
  <si>
    <t>Oracle,Apple,Uber,Facebook,Amazon,LinkedIn,Microsoft,Google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</si>
  <si>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</si>
  <si>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</si>
  <si>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</si>
  <si>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</si>
  <si>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</si>
  <si>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</si>
  <si>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Salesforce,Dropbox,Snapchat,Lyft,Apple,Uber,Bloomberg,Facebook,Amazon,Microsoft,Google</t>
  </si>
  <si>
    <t>Maximum Average Subarray I</t>
  </si>
  <si>
    <t>Microsoft,Google</t>
  </si>
  <si>
    <t>Maximum Average Subarray II</t>
  </si>
  <si>
    <t>Set Mismatch</t>
  </si>
  <si>
    <t>Maximum Length of Pair Chain</t>
  </si>
  <si>
    <t>Uber,Bloomberg,Facebook,Amazon</t>
  </si>
  <si>
    <t>Palindromic Substrings</t>
  </si>
  <si>
    <t>Coursera,Pure Storage,Atlassian,Roblox,VMware,Citadel,Twitter,Mathworks,Apple,Uber,SAP,Adobe,Facebook,Amazon,LinkedIn,Microsoft,Google</t>
  </si>
  <si>
    <t>Replace Words</t>
  </si>
  <si>
    <t>Trie,Hash Table</t>
  </si>
  <si>
    <t>Uber</t>
  </si>
  <si>
    <t>Dota2 Senate</t>
  </si>
  <si>
    <t>Valve</t>
  </si>
  <si>
    <t>2 Keys Keyboard</t>
  </si>
  <si>
    <t>4 Keys Keyboard</t>
  </si>
  <si>
    <t>Greedy,Dynamic Programming,Math</t>
  </si>
  <si>
    <t>Find Duplicate Subtrees</t>
  </si>
  <si>
    <t>Oracle,Lyft,Uber,Bloomberg,Facebook,Amazon,Microsoft,Google</t>
  </si>
  <si>
    <t>Two Sum IV - Input is a BST</t>
  </si>
  <si>
    <t>Snapchat,ServiceNow,Samsung,Facebook,Amazon,Microsoft,Google</t>
  </si>
  <si>
    <t>Maximum Binary Tree</t>
  </si>
  <si>
    <t>Print Binary Tree</t>
  </si>
  <si>
    <t>Poynt,Uber,Facebook,LinkedIn,Microsoft</t>
  </si>
  <si>
    <t>Coin Path</t>
  </si>
  <si>
    <t>Robot Return to Origin</t>
  </si>
  <si>
    <t>Amazon,Goldman Sachs,Google</t>
  </si>
  <si>
    <t>Find K Closest Elements</t>
  </si>
  <si>
    <t>Snapchat,EBay,Apple,Uber,Bloomberg,Facebook,Amazon,Microsoft,Google</t>
  </si>
  <si>
    <t>Split Array into Consecutive Subsequences</t>
  </si>
  <si>
    <t>Remove 9</t>
  </si>
  <si>
    <t>Houzz,Google</t>
  </si>
  <si>
    <t>Image Smoother</t>
  </si>
  <si>
    <t>Maximum Width of Binary Tree</t>
  </si>
  <si>
    <t>EBay,Uber,Bloomberg,Facebook,Amazon,Microsoft,Google</t>
  </si>
  <si>
    <t>Equal Tree Partition</t>
  </si>
  <si>
    <t>Strange Printer</t>
  </si>
  <si>
    <t>NetEase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</si>
  <si>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</si>
  <si>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</si>
  <si>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</si>
  <si>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</si>
  <si>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</si>
  <si>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Apple,Yahoo,Bloomberg,Adobe,Facebook,Microsoft,Google</t>
  </si>
  <si>
    <t>Maximum Swap</t>
  </si>
  <si>
    <t>ByteDance,Uber,Facebook,Microsoft</t>
  </si>
  <si>
    <t>Second Minimum Node In a Binary Tree</t>
  </si>
  <si>
    <t>Uber,Amazon,LinkedIn,Microsoft</t>
  </si>
  <si>
    <t>Bulb Switcher II</t>
  </si>
  <si>
    <t>Number of Longest Increasing Subsequence</t>
  </si>
  <si>
    <t>Bloomberg,Facebook,Amazon</t>
  </si>
  <si>
    <t>Longest Continuous Increasing Subsequence</t>
  </si>
  <si>
    <t>Cut Off Trees for Golf Event</t>
  </si>
  <si>
    <t>Implement Magic Dictionary</t>
  </si>
  <si>
    <t>Map Sum Pairs</t>
  </si>
  <si>
    <t>Trie</t>
  </si>
  <si>
    <t>Akuna Capital</t>
  </si>
  <si>
    <t>Valid Parenthesis String</t>
  </si>
  <si>
    <t>Bloomberg,Facebook,Amazon,Alibaba,Google</t>
  </si>
  <si>
    <t>24 Game</t>
  </si>
  <si>
    <t>Twitter,Uber,Facebook,Amazon,Microsoft,Google</t>
  </si>
  <si>
    <t>Valid Palindrome II</t>
  </si>
  <si>
    <t>Atlassian,Yahoo,Facebook,Microsoft,Google</t>
  </si>
  <si>
    <t>Next Closest Time</t>
  </si>
  <si>
    <t>Uber,Adobe,Facebook,Microsoft,Google</t>
  </si>
  <si>
    <t>Baseball Game</t>
  </si>
  <si>
    <t>K Empty Slots</t>
  </si>
  <si>
    <t>Ordered Map</t>
  </si>
  <si>
    <t>Redundant Connection</t>
  </si>
  <si>
    <t>Graph,Union Find,Tree</t>
  </si>
  <si>
    <t>Redundant Connection II</t>
  </si>
  <si>
    <t>Graph,Union Find,Depth First Search,Tree</t>
  </si>
  <si>
    <t>Repeated String Match</t>
  </si>
  <si>
    <t>Longest Univalue Path</t>
  </si>
  <si>
    <t>Recursion,Tree</t>
  </si>
  <si>
    <t>Knight Probability in Chessboard</t>
  </si>
  <si>
    <t>Apple,Facebook,Amazon,Microsoft,Goldman Sachs,Google</t>
  </si>
  <si>
    <t>Maximum Sum of 3 Non-Overlapping Subarrays</t>
  </si>
  <si>
    <t>Employee Importance</t>
  </si>
  <si>
    <t>Breadth First Search,Depth First Search,Hash Table</t>
  </si>
  <si>
    <t>Stickers to Spell Word</t>
  </si>
  <si>
    <t>IXL,Facebook</t>
  </si>
  <si>
    <t>Top K Frequent Words</t>
  </si>
  <si>
    <t>Trie,Heap,Hash Table</t>
  </si>
  <si>
    <t>TripAdvisor,Pocket Gems,Atlassian,Salesforce,VMware,Expedia,Yelp,Oracle,Apple,Uber,Bloomberg,Adobe,Facebook,Amazon,LinkedIn,Microsoft,Google</t>
  </si>
  <si>
    <t>Binary Number with Alternating Bits</t>
  </si>
  <si>
    <t>Number of Distinct Islands</t>
  </si>
  <si>
    <t>Depth First Search,Hash Table</t>
  </si>
  <si>
    <t>Oracle,Lyft,Apple,Uber,Bloomberg,Facebook,Amazon,Microsoft,Google</t>
  </si>
  <si>
    <t>Max Area of Island</t>
  </si>
  <si>
    <t>DoorDash,Qualtrics,Palantir Technologies,Cruise Automation,Twitch,ByteDance,Affirm,Walmart Labs,Zillow,Wish,Oracle,Intuit,Mathworks,Apple,Uber,Bloomberg,Adobe,Facebook,Amazon,Microsoft,Google</t>
  </si>
  <si>
    <t>Count Binary Substrings</t>
  </si>
  <si>
    <t>Helix</t>
  </si>
  <si>
    <t>Degree of an Array</t>
  </si>
  <si>
    <t>Robinhood,IXL,Citrix,GE Digital,Visa,VMware,Walmart Labs,Mathworks</t>
  </si>
  <si>
    <t>Partition to K Equal Sum Subsets</t>
  </si>
  <si>
    <t>Recursion,Dynamic Programming</t>
  </si>
  <si>
    <t>Pinterest,Houzz,VMware,EBay,Facebook,Amazon,LinkedIn,Microsoft,Google</t>
  </si>
  <si>
    <t>Falling Squares</t>
  </si>
  <si>
    <t>Ordered Map,Segment Tree</t>
  </si>
  <si>
    <t>Square,Uber,Amazon</t>
  </si>
  <si>
    <t>Search in a Binary Search Tree</t>
  </si>
  <si>
    <t>IBM,Adobe,Google</t>
  </si>
  <si>
    <t>Insert into a Binary Search Tree</t>
  </si>
  <si>
    <t>Atlassian,Facebook,Amazon,LinkedIn,Microsoft,Google</t>
  </si>
  <si>
    <t>Search in a Sorted Array of Unknown Size</t>
  </si>
  <si>
    <t>EBay,Amazon,Microsoft,Google</t>
  </si>
  <si>
    <t>Kth Largest Element in a Stream</t>
  </si>
  <si>
    <t>Nutanix,Walmart Labs,EBay,Apple,Bloomberg,Facebook,Amazon,Microsoft,Google</t>
  </si>
  <si>
    <t>Design HashSet</t>
  </si>
  <si>
    <t>Design HashMap</t>
  </si>
  <si>
    <t>Reddit,Atlassian,Dell,Tableau,Salesforce,VMware,Walmart Labs,Twitter,ServiceNow,Oracle,Apple,Uber,Adobe,Facebook,Amazon,LinkedIn,Microsoft,Goldman Sachs,Google</t>
  </si>
  <si>
    <t>Design Linked List</t>
  </si>
  <si>
    <t>Oracle,Amazon,Microsoft</t>
  </si>
  <si>
    <t>Insert into a Sorted Circular Linked List</t>
  </si>
  <si>
    <t>Quip (Salesforce),Bloomberg,Facebook,Amazon,Microsoft,Google</t>
  </si>
  <si>
    <t>To Lower Case</t>
  </si>
  <si>
    <t>Apple,Adobe,Google</t>
  </si>
  <si>
    <t>Random Pick with Blacklist</t>
  </si>
  <si>
    <t>Random,Sort,Binary Search,Hash Table</t>
  </si>
  <si>
    <t>Two Sigma,Uber,Facebook,Amazon,Google</t>
  </si>
  <si>
    <t>Number of Distinct Islands II</t>
  </si>
  <si>
    <t>Minimum ASCII Delete Sum for Two Strings</t>
  </si>
  <si>
    <t>TripleByte</t>
  </si>
  <si>
    <t>Subarray Product Less Than K</t>
  </si>
  <si>
    <t>Yatra,Akuna Capital,Coursera,Atlassian,Expedia,Google</t>
  </si>
  <si>
    <t>Best Time to Buy and Sell Stock with Transaction Fee</t>
  </si>
  <si>
    <t>Greedy,Dynamic Programming,Array</t>
  </si>
  <si>
    <t>Bloomberg,Facebook,Amazon,Google</t>
  </si>
  <si>
    <t>Range Module</t>
  </si>
  <si>
    <t>Machine Zone,Coupang,Oracle,Amazon,LinkedIn,Google</t>
  </si>
  <si>
    <t>Max Stack</t>
  </si>
  <si>
    <t>Pure Storage,Snapchat,Twitter,Lyft,Bloomberg,Facebook,Amazon,LinkedIn,Microsoft,Google</t>
  </si>
  <si>
    <t>1-bit and 2-bit Characters</t>
  </si>
  <si>
    <t>IXL,Quora,Microsoft,Google</t>
  </si>
  <si>
    <t>Maximum Length of Repeated Subarray</t>
  </si>
  <si>
    <t>Dynamic Programming,Binary Search,Hash Table,Array</t>
  </si>
  <si>
    <t>Pinterest,Citadel,Indeed,Intuit</t>
  </si>
  <si>
    <t>Find K-th Smallest Pair Distance</t>
  </si>
  <si>
    <t>Heap,Binary Search,Array</t>
  </si>
  <si>
    <t>Longest Word in Dictionary</t>
  </si>
  <si>
    <t>Pinterest,Amazon,Goldman Sachs,Google</t>
  </si>
  <si>
    <t>Accounts Merge</t>
  </si>
  <si>
    <t>Houzz,Oracle,Apple,Facebook,Amazon,LinkedIn,Microsoft,Google</t>
  </si>
  <si>
    <t>Remove Comments</t>
  </si>
  <si>
    <t>HBO,Qualtrics,Databricks,Oracle,Uber,Facebook,Amazon,Microsoft,Goldman Sachs,Google</t>
  </si>
  <si>
    <t>Candy Crush</t>
  </si>
  <si>
    <t>Rubrik,Twitch,Bloomberg,Facebook,Google</t>
  </si>
  <si>
    <t>Find Pivot Index</t>
  </si>
  <si>
    <t>Tesla,Coupang,Salesforce,GoDaddy,Indeed,Radius,Expedia,Baidu,Apple,Facebook,Amazon,Microsoft,Goldman Sachs,Google</t>
  </si>
  <si>
    <t>Split Linked List in Parts</t>
  </si>
  <si>
    <t>Number of Atoms</t>
  </si>
  <si>
    <t>Recursion,Stack,Hash Table</t>
  </si>
  <si>
    <t>Pinterest,ByteDance,Adobe,Facebook,Amazon,Google</t>
  </si>
  <si>
    <t>Minimum Window Subsequence</t>
  </si>
  <si>
    <t>Sliding Window,Dynamic Programming</t>
  </si>
  <si>
    <t>Houzz,EBay,Bloomberg,Amazon,Microsoft,Google</t>
  </si>
  <si>
    <t>Self Dividing Numbers</t>
  </si>
  <si>
    <t>Epic Systems,Tesla,Adobe</t>
  </si>
  <si>
    <t>My Calendar I</t>
  </si>
  <si>
    <t>Intuit,Apple,Uber,Amazon,Microsoft,Google</t>
  </si>
  <si>
    <t>Count Different Palindromic Subsequences</t>
  </si>
  <si>
    <t>Pure Storage,LinkedIn,Google</t>
  </si>
  <si>
    <t>My Calendar II</t>
  </si>
  <si>
    <t>My Calendar III</t>
  </si>
  <si>
    <t>Flood Fill</t>
  </si>
  <si>
    <t>Qualtrics,Palantir Technologies,VMware,Snapchat,Apple,Uber,Bloomberg,Facebook,Amazon,Microsoft,Google</t>
  </si>
  <si>
    <t>Sentence Similarity</t>
  </si>
  <si>
    <t>Asteroid Collision</t>
  </si>
  <si>
    <t>Visa,Paypal,Lyft,EBay,Uber,Amazon,Microsoft,Google</t>
  </si>
  <si>
    <t>Parse Lisp Expression</t>
  </si>
  <si>
    <t>Affirm,Google</t>
  </si>
  <si>
    <t>Sentence Similarity II</t>
  </si>
  <si>
    <t>Bloomberg,Amazon,Google</t>
  </si>
  <si>
    <t>Monotone Increasing Digits</t>
  </si>
  <si>
    <t>SAP,Amazon</t>
  </si>
  <si>
    <t>Daily Temperatures</t>
  </si>
  <si>
    <t>Stack,Hash Table</t>
  </si>
  <si>
    <t>Zillow,Expedia,Nvidia,Cisco,Apple,Uber,Bloomberg,Adobe,Facebook,Amazon,LinkedIn,Microsoft,Goldman Sachs,Google</t>
  </si>
  <si>
    <t>Delete and Earn</t>
  </si>
  <si>
    <t>Akuna Capital,Pocket Gems,Uber</t>
  </si>
  <si>
    <t>Cherry Pickup</t>
  </si>
  <si>
    <t>Akuna Capital,Citrix,Flipkart,Oracle,Mathworks,Apple,Uber,Adobe,Amazon,Google</t>
  </si>
  <si>
    <t>Closest Leaf in a Binary Tree</t>
  </si>
  <si>
    <t>Databricks,Facebook,Amazon,Google</t>
  </si>
  <si>
    <t>Network Delay Time</t>
  </si>
  <si>
    <t>Graph,Breadth First Search,Depth First Search,Heap</t>
  </si>
  <si>
    <t>Akuna Capital,Amazon,Microsoft,Google</t>
  </si>
  <si>
    <t>Find Smallest Letter Greater Than Target</t>
  </si>
  <si>
    <t>Prefix and Suffix Search</t>
  </si>
  <si>
    <t>Min Cost Climbing Stairs</t>
  </si>
  <si>
    <t>Yahoo,Bloomberg,Amazon</t>
  </si>
  <si>
    <t>Largest Number At Least Twice of Others</t>
  </si>
  <si>
    <t>Shortest Completing Word</t>
  </si>
  <si>
    <t>Contain Virus</t>
  </si>
  <si>
    <t>Bloomberg</t>
  </si>
  <si>
    <t>Number Of Corner Rectangles</t>
  </si>
  <si>
    <t>IP to CIDR</t>
  </si>
  <si>
    <t>Airbnb</t>
  </si>
  <si>
    <t>Open the Lock</t>
  </si>
  <si>
    <t>Uber,Bloomberg,Facebook,Amazon,Google</t>
  </si>
  <si>
    <t>Cracking the Safe</t>
  </si>
  <si>
    <t>Depth First Search,Math</t>
  </si>
  <si>
    <t>Reach a Number</t>
  </si>
  <si>
    <t>InMobi</t>
  </si>
  <si>
    <t>Pour Water</t>
  </si>
  <si>
    <t>Robinhood,Airbnb</t>
  </si>
  <si>
    <t>Pyramid Transition Matrix</t>
  </si>
  <si>
    <t>Depth First Search,Bit Manipulation</t>
  </si>
  <si>
    <t>Airbnb,Amazon,Google</t>
  </si>
  <si>
    <t>Set Intersection Size At Least Two</t>
  </si>
  <si>
    <t>Drawbridge,Uber</t>
  </si>
  <si>
    <t>Bold Words in String</t>
  </si>
  <si>
    <t>Employee Free Time</t>
  </si>
  <si>
    <t>DoorDash,Postmates,Pinterest,Wayfair,Coupang,Intuit,Airbnb,Uber,Bloomberg,Facebook,Amazon,Microsoft,Google</t>
  </si>
  <si>
    <t>Find Anagram Mappings</t>
  </si>
  <si>
    <t>Special Binary String</t>
  </si>
  <si>
    <t>Quip (Salesforce),Coursera,Citrix,Visa</t>
  </si>
  <si>
    <t>Prime Number of Set Bits in Binary Representation</t>
  </si>
  <si>
    <t>Partition Labels</t>
  </si>
  <si>
    <t>Greedy,Two Pointers</t>
  </si>
  <si>
    <t>Largest Plus Sign</t>
  </si>
  <si>
    <t>Couples Holding Hands</t>
  </si>
  <si>
    <t>Graph,Union Find,Greedy</t>
  </si>
  <si>
    <t>Toeplitz Matrix</t>
  </si>
  <si>
    <t>Reorganize String</t>
  </si>
  <si>
    <t>Sort,Greedy,Heap,String</t>
  </si>
  <si>
    <t>Tesla,Twitch,Twitter,Oracle,Uber,Facebook,Amazon,Microsoft,Google</t>
  </si>
  <si>
    <t>Max Chunks To Make Sorted II</t>
  </si>
  <si>
    <t>Max Chunks To Make Sorted</t>
  </si>
  <si>
    <t>Basic Calculator IV</t>
  </si>
  <si>
    <t>Stack,String,Hash Table</t>
  </si>
  <si>
    <t>Pinterest,Indeed,Intuit,Amazon,Google</t>
  </si>
  <si>
    <t>Jewels and Stones</t>
  </si>
  <si>
    <t>Baidu,Apple,Yahoo,Adobe,Facebook,Amazon,Alibaba,Google</t>
  </si>
  <si>
    <t>Basic Calculator III</t>
  </si>
  <si>
    <t>Jingchi,Hulu,DoorDash,Pinterest,Pocket Gems,Houzz,Snapchat,Apple,Uber,Facebook,Amazon,Microsoft,Google</t>
  </si>
  <si>
    <t>Sliding Puzzle</t>
  </si>
  <si>
    <t>Airbnb,Uber,Facebook,Amazon,Microsoft,Google</t>
  </si>
  <si>
    <t>Minimize Max Distance to Gas Station</t>
  </si>
  <si>
    <t>Global and Local Inversions</t>
  </si>
  <si>
    <t>Split BST</t>
  </si>
  <si>
    <t>Coupang,Facebook,Amazon,Google</t>
  </si>
  <si>
    <t>Swap Adjacent in LR String</t>
  </si>
  <si>
    <t>Brainteaser</t>
  </si>
  <si>
    <t>ByteDance,Google</t>
  </si>
  <si>
    <t>Swim in Rising Water</t>
  </si>
  <si>
    <t>Union Find,Depth First Search,Heap,Binary Search</t>
  </si>
  <si>
    <t>K-th Symbol in Grammar</t>
  </si>
  <si>
    <t>Recursion</t>
  </si>
  <si>
    <t>Reaching Points</t>
  </si>
  <si>
    <t>Coursera,Salesforce,Quora,Twitter,Uber,Google</t>
  </si>
  <si>
    <t>Rabbits in Forest</t>
  </si>
  <si>
    <t>Wish</t>
  </si>
  <si>
    <t>Transform to Chessboard</t>
  </si>
  <si>
    <t>Minimum Distance Between BST Nodes</t>
  </si>
  <si>
    <t>Letter Case Permutation</t>
  </si>
  <si>
    <t>Yelp,Bloomberg,Facebook,Amazon,Microsoft</t>
  </si>
  <si>
    <t>Is Graph Bipartite?</t>
  </si>
  <si>
    <t>LiveRamp,Walmart Labs,EBay,Facebook,Amazon,LinkedIn,Microsoft,Google</t>
  </si>
  <si>
    <t>K-th Smallest Prime Fraction</t>
  </si>
  <si>
    <t>Pony.ai</t>
  </si>
  <si>
    <t>Cheapest Flights Within K Stops</t>
  </si>
  <si>
    <t>Breadth First Search,Heap,Dynamic Programming</t>
  </si>
  <si>
    <t>EBay,Airbnb,Bloomberg,Facebook,Amazon,Microsoft,Google</t>
  </si>
  <si>
    <t>Rotated Digits</t>
  </si>
  <si>
    <t>Escape The Ghosts</t>
  </si>
  <si>
    <t>Domino and Tromino Tiling</t>
  </si>
  <si>
    <t>Custom Sort String</t>
  </si>
  <si>
    <t>Number of Matching Subsequences</t>
  </si>
  <si>
    <t>Facebook,Amazon,Google</t>
  </si>
  <si>
    <t>Preimage Size of Factorial Zeroes Function</t>
  </si>
  <si>
    <t>Adobe,Amazon</t>
  </si>
  <si>
    <t>Valid Tic-Tac-Toe State</t>
  </si>
  <si>
    <t>Oracle,Yahoo,Facebook,Amazon,Microsoft,Google</t>
  </si>
  <si>
    <t>Number of Subarrays with Bounded Maximum</t>
  </si>
  <si>
    <t>Rotate String</t>
  </si>
  <si>
    <t>Oracle,EBay,Apple,Amazon,LinkedIn,Microsoft</t>
  </si>
  <si>
    <t>All Paths From Source to Target</t>
  </si>
  <si>
    <t>Walmart Labs,Bloomberg,Amazon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</si>
  <si>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</si>
  <si>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</si>
  <si>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</si>
  <si>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</si>
  <si>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</si>
  <si>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</si>
  <si>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</si>
  <si>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</si>
  <si>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</si>
  <si>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</si>
  <si>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</si>
  <si>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</si>
  <si>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</si>
  <si>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Garena</t>
  </si>
  <si>
    <t>Subdomain Visit Count</t>
  </si>
  <si>
    <t>Karat,Pinterest,Citrix,Wayfair,Roblox,Indeed,Intuit,Apple,Bloomberg,Amazon,Google</t>
  </si>
  <si>
    <t>Largest Triangle Area</t>
  </si>
  <si>
    <t>Largest Sum of Averages</t>
  </si>
  <si>
    <t>Binary Tree Pruning</t>
  </si>
  <si>
    <t>Hulu,Capital One,Twitter,Google</t>
  </si>
  <si>
    <t>Bus Routes</t>
  </si>
  <si>
    <t>DiDi,Uber,Amazon,Google</t>
  </si>
  <si>
    <t>Ambiguous Coordinates</t>
  </si>
  <si>
    <t>Linked List Components</t>
  </si>
  <si>
    <t>Race Car</t>
  </si>
  <si>
    <t>Heap,Dynamic Programming</t>
  </si>
  <si>
    <t>Most Common Word</t>
  </si>
  <si>
    <t>Oracle,Apple,Amazon,Microsoft,Google</t>
  </si>
  <si>
    <t>Short Encoding of Words</t>
  </si>
  <si>
    <t>Shortest Distance to a Character</t>
  </si>
  <si>
    <t>Atlassian,Apple,Bloomberg,Facebook,Google</t>
  </si>
  <si>
    <t>Card Flipping Game</t>
  </si>
  <si>
    <t>Binary Trees With Factors</t>
  </si>
  <si>
    <t>Goat Latin</t>
  </si>
  <si>
    <t>Friends Of Appropriate Ages</t>
  </si>
  <si>
    <t>Most Profit Assigning Work</t>
  </si>
  <si>
    <t>Nutanix,NetEase,Uber,Amazon</t>
  </si>
  <si>
    <t>Making A Large Island</t>
  </si>
  <si>
    <t>Count Unique Characters of All Substrings of a Given String</t>
  </si>
  <si>
    <t>ForUsAll,Twitch,Microsoft</t>
  </si>
  <si>
    <t>Consecutive Numbers Sum</t>
  </si>
  <si>
    <t>Roblox,Visa,VMware,Indeed,Uber</t>
  </si>
  <si>
    <t>Positions of Large Groups</t>
  </si>
  <si>
    <t>Masking Personal Information</t>
  </si>
  <si>
    <t>Flipping an Image</t>
  </si>
  <si>
    <t>Find And Replace in String</t>
  </si>
  <si>
    <t>LinkedIn,Microsoft,Google</t>
  </si>
  <si>
    <t>Sum of Distances in Tree</t>
  </si>
  <si>
    <t>Image Overlap</t>
  </si>
  <si>
    <t>Rectangle Overlap</t>
  </si>
  <si>
    <t>Oracle,Mathworks,Apple,Bloomberg,Adobe,Amazon,Microsoft,Goldman Sachs,Google</t>
  </si>
  <si>
    <t>New 21 Game</t>
  </si>
  <si>
    <t>Push Dominoes</t>
  </si>
  <si>
    <t>Dynamic Programming,Two Pointers</t>
  </si>
  <si>
    <t>Similar String Groups</t>
  </si>
  <si>
    <t>Graph,Union Find,Depth First Search</t>
  </si>
  <si>
    <t>Snapchat,Facebook,Amazon,Google</t>
  </si>
  <si>
    <t>Magic Squares In Grid</t>
  </si>
  <si>
    <t>Wayfair,Google</t>
  </si>
  <si>
    <t>Keys and Rooms</t>
  </si>
  <si>
    <t>Split Array into Fibonacci Sequence</t>
  </si>
  <si>
    <t>Greedy,Backtracking,String</t>
  </si>
  <si>
    <t>Guess the Word</t>
  </si>
  <si>
    <t>Minimax</t>
  </si>
  <si>
    <t>Backspace String Compare</t>
  </si>
  <si>
    <t>Stack,Two Pointers</t>
  </si>
  <si>
    <t>Atlassian,Oracle,Uber,Facebook,Amazon,Microsoft,Google</t>
  </si>
  <si>
    <t>Longest Mountain in Array</t>
  </si>
  <si>
    <t>Cohesity,Wish,Google</t>
  </si>
  <si>
    <t>Hand of Straights</t>
  </si>
  <si>
    <t>EBay,Bloomberg,Google</t>
  </si>
  <si>
    <t>Shortest Path Visiting All Nodes</t>
  </si>
  <si>
    <t>Breadth First Search,Dynamic Programming</t>
  </si>
  <si>
    <t>Meituan,Amazon,Google</t>
  </si>
  <si>
    <t>Shifting Letters</t>
  </si>
  <si>
    <t>Maximize Distance to Closest Person</t>
  </si>
  <si>
    <t>Rectangle Area II</t>
  </si>
  <si>
    <t>Line Sweep,Segment Tree</t>
  </si>
  <si>
    <t>Sumologic,Google</t>
  </si>
  <si>
    <t>Loud and Rich</t>
  </si>
  <si>
    <t>Peak Index in a Mountain Array</t>
  </si>
  <si>
    <t>Quora,Uber,Bloomberg,Facebook,Amazon,Microsoft,Google</t>
  </si>
  <si>
    <t>Car Fleet</t>
  </si>
  <si>
    <t>K-Similar Strings</t>
  </si>
  <si>
    <t>Exam Room</t>
  </si>
  <si>
    <t>Quip (Salesforce),Quora,Uber,Facebook,Amazon,Google</t>
  </si>
  <si>
    <t>Score of Parentheses</t>
  </si>
  <si>
    <t>Minimum Cost to Hire K Workers</t>
  </si>
  <si>
    <t>Mirror Reflection</t>
  </si>
  <si>
    <t>Buddy Strings</t>
  </si>
  <si>
    <t>Lemonade Change</t>
  </si>
  <si>
    <t>Atlassian,Amazon</t>
  </si>
  <si>
    <t>Score After Flipping Matrix</t>
  </si>
  <si>
    <t>IIT Bombay</t>
  </si>
  <si>
    <t>Shortest Subarray with Sum at Least K</t>
  </si>
  <si>
    <t>Queue,Binary Search</t>
  </si>
  <si>
    <t>Facebook,Amazon,Goldman Sachs,Google</t>
  </si>
  <si>
    <t>All Nodes Distance K in Binary Tree</t>
  </si>
  <si>
    <t>Hulu,ByteDance,Oracle,DiDi,Apple,Uber,Yahoo,Bloomberg,Facebook,Amazon,Microsoft,Google</t>
  </si>
  <si>
    <t>Shortest Path to Get All Keys</t>
  </si>
  <si>
    <t>Smallest Subtree with all the Deepest Nodes</t>
  </si>
  <si>
    <t>Prime Palindrome</t>
  </si>
  <si>
    <t>Transpose Matrix</t>
  </si>
  <si>
    <t>Intel,ServiceNow,Apple,Amazon</t>
  </si>
  <si>
    <t>Binary Gap</t>
  </si>
  <si>
    <t>Twitter,EBay</t>
  </si>
  <si>
    <t>Reordered Power of 2</t>
  </si>
  <si>
    <t>Advantage Shuffle</t>
  </si>
  <si>
    <t>Minimum Number of Refueling Stops</t>
  </si>
  <si>
    <t>Baidu,Amazon,Microsoft,Google</t>
  </si>
  <si>
    <t>Leaf-Similar Trees</t>
  </si>
  <si>
    <t>Atlassian,Facebook,Amazon,Microsoft,Google</t>
  </si>
  <si>
    <t>Length of Longest Fibonacci Subsequence</t>
  </si>
  <si>
    <t>Walmart Labs,Baidu,Amazon</t>
  </si>
  <si>
    <t>Walking Robot Simulation</t>
  </si>
  <si>
    <t>Jane Street</t>
  </si>
  <si>
    <t>Koko Eating Bananas</t>
  </si>
  <si>
    <t>Airbnb,Adobe,Facebook,Google</t>
  </si>
  <si>
    <t>Middle of the Linked List</t>
  </si>
  <si>
    <t>Walmart Labs,Paypal,Oracle,Cisco,Apple,Samsung,Adobe,Amazon,Microsoft,Goldman Sachs</t>
  </si>
  <si>
    <t>Stone Game</t>
  </si>
  <si>
    <t>Minimax,Dynamic Programming,Math</t>
  </si>
  <si>
    <t>Nth Magical Number</t>
  </si>
  <si>
    <t>Profitable Schemes</t>
  </si>
  <si>
    <t>Decoded String at Index</t>
  </si>
  <si>
    <t>National Instruments</t>
  </si>
  <si>
    <t>Boats to Save People</t>
  </si>
  <si>
    <t>FactSet,Amazon,Google</t>
  </si>
  <si>
    <t>Reachable Nodes In Subdivided Graph</t>
  </si>
  <si>
    <t>Projection Area of 3D Shapes</t>
  </si>
  <si>
    <t>Uncommon Words from Two Sentences</t>
  </si>
  <si>
    <t>Expedia,Facebook,Amazon,Microsoft</t>
  </si>
  <si>
    <t>Spiral Matrix III</t>
  </si>
  <si>
    <t>Dataminr,Facebook</t>
  </si>
  <si>
    <t>Possible Bipartition</t>
  </si>
  <si>
    <t>Apple,Facebook,Microsoft</t>
  </si>
  <si>
    <t>Super Egg Drop</t>
  </si>
  <si>
    <t>Dynamic Programming,Binary Search,Math</t>
  </si>
  <si>
    <t>Microsoft,Goldman Sachs,Google</t>
  </si>
  <si>
    <t>Fair Candy Swap</t>
  </si>
  <si>
    <t>Fidessa</t>
  </si>
  <si>
    <t>Construct Binary Tree from Preorder and Postorder Traversal</t>
  </si>
  <si>
    <t>Find and Replace Pattern</t>
  </si>
  <si>
    <t>Sum of Subsequence Widths</t>
  </si>
  <si>
    <t>Sapient</t>
  </si>
  <si>
    <t>Surface Area of 3D Shapes</t>
  </si>
  <si>
    <t>Geometry,Math</t>
  </si>
  <si>
    <t>Groups of Special-Equivalent Strings</t>
  </si>
  <si>
    <t>All Possible Full Binary Trees</t>
  </si>
  <si>
    <t>Maximum Frequency Stack</t>
  </si>
  <si>
    <t>Salesforce,Apple,Uber,Bloomberg,Amazon,Google</t>
  </si>
  <si>
    <t>Monotonic Array</t>
  </si>
  <si>
    <t>Increasing Order Search Tree</t>
  </si>
  <si>
    <t>Bitwise ORs of Subarrays</t>
  </si>
  <si>
    <t>Orderly Queue</t>
  </si>
  <si>
    <t>RLE Iterator</t>
  </si>
  <si>
    <t>Wish,Amazon,Google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</si>
  <si>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</si>
  <si>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</si>
  <si>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</si>
  <si>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</si>
  <si>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</si>
  <si>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VMware,Oracle,Cisco,Facebook,Amazon,Microsoft</t>
  </si>
  <si>
    <t>Super Palindromes</t>
  </si>
  <si>
    <t>Sum of Subarray Minimums</t>
  </si>
  <si>
    <t>Hulu,Apple,Microsoft</t>
  </si>
  <si>
    <t>Smallest Range I</t>
  </si>
  <si>
    <t>Snakes and Ladders</t>
  </si>
  <si>
    <t>Hulu,Apple,Uber,Amazon,Microsoft,Google</t>
  </si>
  <si>
    <t>Smallest Range II</t>
  </si>
  <si>
    <t>Greedy,Math</t>
  </si>
  <si>
    <t>Online Election</t>
  </si>
  <si>
    <t>Sort an Array</t>
  </si>
  <si>
    <t>Apple,Bloomberg,Amazon</t>
  </si>
  <si>
    <t>Cat and Mouse</t>
  </si>
  <si>
    <t>Minimax,Breadth First Search</t>
  </si>
  <si>
    <t>X of a Kind in a Deck of Cards</t>
  </si>
  <si>
    <t>Partition Array into Disjoint Intervals</t>
  </si>
  <si>
    <t>TandemG,Grab</t>
  </si>
  <si>
    <t>Word Subsets</t>
  </si>
  <si>
    <t>Reverse Only Letters</t>
  </si>
  <si>
    <t>Maximum Sum Circular Subarray</t>
  </si>
  <si>
    <t>Two Sigma,Uber,Facebook</t>
  </si>
  <si>
    <t>Complete Binary Tree Inserter</t>
  </si>
  <si>
    <t>Number of Music Playlists</t>
  </si>
  <si>
    <t>Coursera,Twitter,Google</t>
  </si>
  <si>
    <t>Minimum Add to Make Parentheses Valid</t>
  </si>
  <si>
    <t>ServiceNow,Facebook,Amazon</t>
  </si>
  <si>
    <t>Sort Array By Parity II</t>
  </si>
  <si>
    <t>3Sum With Multiplicity</t>
  </si>
  <si>
    <t>Quora</t>
  </si>
  <si>
    <t>Minimize Malware Spread</t>
  </si>
  <si>
    <t>Dropbox,Bloomberg,Google</t>
  </si>
  <si>
    <t>Long Pressed Name</t>
  </si>
  <si>
    <t>Flip String to Monotone Increasing</t>
  </si>
  <si>
    <t>Three Equal Parts</t>
  </si>
  <si>
    <t>Greedy,Binary Search,Math</t>
  </si>
  <si>
    <t>Hotstar</t>
  </si>
  <si>
    <t>Minimize Malware Spread II</t>
  </si>
  <si>
    <t>Dropbox</t>
  </si>
  <si>
    <t>Unique Email Addresses</t>
  </si>
  <si>
    <t>Adobe,Amazon,Microsoft,Google</t>
  </si>
  <si>
    <t>Binary Subarrays With Sum</t>
  </si>
  <si>
    <t>Two Pointers,Hash Table</t>
  </si>
  <si>
    <t>C3 IoT</t>
  </si>
  <si>
    <t>Minimum Falling Path Sum</t>
  </si>
  <si>
    <t>Apple,Amazon,Goldman Sachs,Google</t>
  </si>
  <si>
    <t>Beautiful Array</t>
  </si>
  <si>
    <t>Number of Recent Calls</t>
  </si>
  <si>
    <t>Queue</t>
  </si>
  <si>
    <t>Shortest Bridge</t>
  </si>
  <si>
    <t>McKinsey,Uber,Facebook,Microsoft,Google</t>
  </si>
  <si>
    <t>Knight Dialer</t>
  </si>
  <si>
    <t>Pinterest,Twilio,Box,Citadel,Facebook,Microsoft,Google</t>
  </si>
  <si>
    <t>Stamping The Sequence</t>
  </si>
  <si>
    <t>Greedy,String</t>
  </si>
  <si>
    <t>Reorder Data in Log Files</t>
  </si>
  <si>
    <t>Range Sum of BST</t>
  </si>
  <si>
    <t>Oracle,Apple,Facebook,Amazon,Microsoft,Google</t>
  </si>
  <si>
    <t>Minimum Area Rectangle</t>
  </si>
  <si>
    <t>Nvidia,Facebook,Amazon,Microsoft,Google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</si>
  <si>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</si>
  <si>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</si>
  <si>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</si>
  <si>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</si>
  <si>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</si>
  <si>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</si>
  <si>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IXL,Coursera,Twitter</t>
  </si>
  <si>
    <t>Validate Stack Sequences</t>
  </si>
  <si>
    <t>Most Stones Removed with Same Row or Column</t>
  </si>
  <si>
    <t>Bag of Tokens</t>
  </si>
  <si>
    <t>Largest Time for Given Digits</t>
  </si>
  <si>
    <t>LiveRamp,Google</t>
  </si>
  <si>
    <t>Reveal Cards In Increasing Order</t>
  </si>
  <si>
    <t>Flip Equivalent Binary Trees</t>
  </si>
  <si>
    <t>EBay,Amazon,Google</t>
  </si>
  <si>
    <t>Largest Component Size by Common Factor</t>
  </si>
  <si>
    <t>Union Find,Math</t>
  </si>
  <si>
    <t>Verifying an Alien Dictionary</t>
  </si>
  <si>
    <t>Airbnb,Facebook,Amazon,Microsoft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</si>
  <si>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</si>
  <si>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</si>
  <si>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</si>
  <si>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</si>
  <si>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</si>
  <si>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ByteDance,Oracle,Facebook,Amazon,Microsoft,Google</t>
  </si>
  <si>
    <t>Regions Cut By Slashes</t>
  </si>
  <si>
    <t>Delete Columns to Make Sorted III</t>
  </si>
  <si>
    <t>N-Repeated Element in Size 2N Array</t>
  </si>
  <si>
    <t>Akamai,Apple</t>
  </si>
  <si>
    <t>Maximum Width Ramp</t>
  </si>
  <si>
    <t>EBay,Google</t>
  </si>
  <si>
    <t>Minimum Area Rectangle II</t>
  </si>
  <si>
    <t>Least Operators to Express Number</t>
  </si>
  <si>
    <t>Univalued Binary Tree</t>
  </si>
  <si>
    <t>Twilio,Box,Oracle,Amazon,Google</t>
  </si>
  <si>
    <t>Vowel Spellchecker</t>
  </si>
  <si>
    <t>Thumbtack,Amazon</t>
  </si>
  <si>
    <t>Numbers With Same Consecutive Differences</t>
  </si>
  <si>
    <t>Flipkart</t>
  </si>
  <si>
    <t>Binary Tree Cameras</t>
  </si>
  <si>
    <t>Depth First Search,Tree,Dynamic Programming</t>
  </si>
  <si>
    <t>EBay,Uber,Facebook,Google</t>
  </si>
  <si>
    <t>Pancake Sorting</t>
  </si>
  <si>
    <t>Square,Uber,Facebook,Amazon,Microsoft</t>
  </si>
  <si>
    <t>Powerful Integers</t>
  </si>
  <si>
    <t>Flip Binary Tree To Match Preorder Traversal</t>
  </si>
  <si>
    <t>Equal Rational Numbers</t>
  </si>
  <si>
    <t>K Closest Points to Origin</t>
  </si>
  <si>
    <t>Sort,Heap,Divide and Conquer</t>
  </si>
  <si>
    <t>Asana,Visa,Paypal,Expedia,Oracle,EBay,Apple,Uber,Yahoo,Facebook,Amazon,LinkedIn,Microsoft,Goldman Sachs,Google</t>
  </si>
  <si>
    <t>Subarray Sums Divisible by K</t>
  </si>
  <si>
    <t>ByteDance,Twilio,Expedia,Yandex,Amazon</t>
  </si>
  <si>
    <t>Odd Even Jump</t>
  </si>
  <si>
    <t>Ordered Map,Stack,Dynamic Programming</t>
  </si>
  <si>
    <t>Largest Perimeter Triangle</t>
  </si>
  <si>
    <t>Squares of a Sorted Array</t>
  </si>
  <si>
    <t>Electronic Arts,Nutanix,Twitch,Splunk,ByteDance,VMware,Walmart Labs,Paypal,Oracle,EBay,Apple,Uber,Bloomberg,Adobe,Facebook,Amazon,Microsoft,Google</t>
  </si>
  <si>
    <t>Longest Turbulent Subarray</t>
  </si>
  <si>
    <t>Sliding Window,Dynamic Programming,Array</t>
  </si>
  <si>
    <t>Distribute Coins in Binary Tree</t>
  </si>
  <si>
    <t>Unique Paths III</t>
  </si>
  <si>
    <t>Depth First Search,Backtracking</t>
  </si>
  <si>
    <t>LimeBike,Amazon,Google</t>
  </si>
  <si>
    <t>Time Based Key-Value Store</t>
  </si>
  <si>
    <t>Flexport,Sumologic,Netflix,Square,Databricks,Atlassian,VMware,Zillow,Twitter,Lyft,Apple,Uber,Facebook,Amazon,LinkedIn,Microsoft,Google</t>
  </si>
  <si>
    <t>Triples with Bitwise AND Equal To Zero</t>
  </si>
  <si>
    <t>Flipkart,Google</t>
  </si>
  <si>
    <t>Minimum Cost For Tickets</t>
  </si>
  <si>
    <t>Grab,Uber,Facebook,Amazon,Google</t>
  </si>
  <si>
    <t>String Without AAA or BBB</t>
  </si>
  <si>
    <t>Zalando,Grab</t>
  </si>
  <si>
    <t>Sum of Even Numbers After Queries</t>
  </si>
  <si>
    <t>Interval List Intersections</t>
  </si>
  <si>
    <t>DoorDash,Cruise Automation,Snapchat,Oracle,Apple,Uber,Bloomberg,Facebook,Amazon,Google</t>
  </si>
  <si>
    <t>Vertical Order Traversal of a Binary Tree</t>
  </si>
  <si>
    <t>Reddit,Databricks,Samsung,Bloomberg,Adobe,Facebook,Amazon,LinkedIn,Microsoft,Google</t>
  </si>
  <si>
    <t>Smallest String Starting From Leaf</t>
  </si>
  <si>
    <t>Add to Array-Form of Integer</t>
  </si>
  <si>
    <t>Satisfiability of Equality Equations</t>
  </si>
  <si>
    <t>Sumologic</t>
  </si>
  <si>
    <t>Broken Calculator</t>
  </si>
  <si>
    <t>Nutanix</t>
  </si>
  <si>
    <t>Subarrays with K Different Integers</t>
  </si>
  <si>
    <t>Sliding Window,Two Pointers,Hash Table</t>
  </si>
  <si>
    <t>Uber,Amazon,Alibaba,Goldman Sachs,Google</t>
  </si>
  <si>
    <t>Cousins in Binary Tree</t>
  </si>
  <si>
    <t>Bloomberg,Adobe,Facebook,Amazon,Goldman Sachs</t>
  </si>
  <si>
    <t>Rotting Oranges</t>
  </si>
  <si>
    <t>Flipkart,Adobe,Amazon,Microsoft</t>
  </si>
  <si>
    <t>Minimum Number of K Consecutive Bit Flips</t>
  </si>
  <si>
    <t>Sliding Window,Greedy</t>
  </si>
  <si>
    <t>Akuna,Akuna Capital,Facebook,Amazon</t>
  </si>
  <si>
    <t>Number of Squareful Arrays</t>
  </si>
  <si>
    <t>Graph,Backtracking,Math</t>
  </si>
  <si>
    <t>Find the Town Judge</t>
  </si>
  <si>
    <t>Graph</t>
  </si>
  <si>
    <t>Arista,Facebook,Amazon,Google</t>
  </si>
  <si>
    <t>Maximum Binary Tree II</t>
  </si>
  <si>
    <t>Available Captures for Rook</t>
  </si>
  <si>
    <t>Minimum Cost to Merge Stones</t>
  </si>
  <si>
    <t>Grid Illumination</t>
  </si>
  <si>
    <t>Find Common Characters</t>
  </si>
  <si>
    <t>TripAdvisor,Bloomberg,Adobe,Amazon</t>
  </si>
  <si>
    <t>Check If Word Is Valid After Substitutions</t>
  </si>
  <si>
    <t>Max Consecutive Ones III</t>
  </si>
  <si>
    <t>Yandex,Facebook,Amazon,Microsoft</t>
  </si>
  <si>
    <t>Maximize Sum Of Array After K Negations</t>
  </si>
  <si>
    <t>Druva,Amazon</t>
  </si>
  <si>
    <t>Clumsy Factorial</t>
  </si>
  <si>
    <t>Minimum Domino Rotations For Equal Row</t>
  </si>
  <si>
    <t>Construct Binary Search Tree from Preorder Traversal</t>
  </si>
  <si>
    <t>Oracle,Facebook,Amazon,Microsoft</t>
  </si>
  <si>
    <t>Complement of Base 10 Integer</t>
  </si>
  <si>
    <t>Pairs of Songs With Total Durations Divisible by 60</t>
  </si>
  <si>
    <t>Pocket Gems,Visa,Dropbox,Adobe,Amazon,Goldman Sachs</t>
  </si>
  <si>
    <t>Capacity To Ship Packages Within D Days</t>
  </si>
  <si>
    <t>Numbers With Repeated Digits</t>
  </si>
  <si>
    <t>Partition Array Into Three Parts With Equal Sum</t>
  </si>
  <si>
    <t>Best Sightseeing Pair</t>
  </si>
  <si>
    <t>Wayfair</t>
  </si>
  <si>
    <t>Smallest Integer Divisible by K</t>
  </si>
  <si>
    <t>Binary String With Substrings Representing 1 To N</t>
  </si>
  <si>
    <t>Convert to Base -2</t>
  </si>
  <si>
    <t>Grab,Airbnb</t>
  </si>
  <si>
    <t>Binary Prefix Divisible By 5</t>
  </si>
  <si>
    <t>Next Greater Node In Linked List</t>
  </si>
  <si>
    <t>Stack,Linked List</t>
  </si>
  <si>
    <t>Uber,Facebook,Amazon,Microsoft</t>
  </si>
  <si>
    <t>Number of Enclaves</t>
  </si>
  <si>
    <t>Remove Outermost Parentheses</t>
  </si>
  <si>
    <t>Sum of Root To Leaf Binary Numbers</t>
  </si>
  <si>
    <t>Camelcase Matching</t>
  </si>
  <si>
    <t>Trie,String</t>
  </si>
  <si>
    <t>Video Stitching</t>
  </si>
  <si>
    <t>Divisor Game</t>
  </si>
  <si>
    <t>Visa,Google</t>
  </si>
  <si>
    <t>Maximum Difference Between Node and Ancestor</t>
  </si>
  <si>
    <t>Longest Arithmetic Sequence</t>
  </si>
  <si>
    <t>Snapdeal,Quora,Facebook,Amazon,Microsoft,Google</t>
  </si>
  <si>
    <t>Recover a Tree From Preorder Traversal</t>
  </si>
  <si>
    <t>Amazon,LinkedIn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</si>
  <si>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</si>
  <si>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</si>
  <si>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</si>
  <si>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</si>
  <si>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</si>
  <si>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</si>
  <si>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Booking</t>
  </si>
  <si>
    <t>Uncrossed Lines</t>
  </si>
  <si>
    <t>Escape a Large Maze</t>
  </si>
  <si>
    <t>Uipath,Google</t>
  </si>
  <si>
    <t>Valid Boomerang</t>
  </si>
  <si>
    <t>Binary Search Tree to Greater Sum Tree</t>
  </si>
  <si>
    <t>Binary Search Tree</t>
  </si>
  <si>
    <t>Apple,Uber,Amazon,Microsoft</t>
  </si>
  <si>
    <t>Minimum Score Triangulation of Polygon</t>
  </si>
  <si>
    <t>Moving Stones Until Consecutive II</t>
  </si>
  <si>
    <t>Sliding Window,Array</t>
  </si>
  <si>
    <t>Robot Bounded In Circle</t>
  </si>
  <si>
    <t>Qualtrics,Paypal,Twitter,Airbnb</t>
  </si>
  <si>
    <t>Flower Planting With No Adjacent</t>
  </si>
  <si>
    <t>Partition Array for Maximum Sum</t>
  </si>
  <si>
    <t>Longest Duplicate Substring</t>
  </si>
  <si>
    <t>Oracle,Apple,Amazon,Microsoft</t>
  </si>
  <si>
    <t>Customers Who Bought All Products</t>
  </si>
  <si>
    <t>Last Stone Weight</t>
  </si>
  <si>
    <t>Remove All Adjacent Duplicates In String</t>
  </si>
  <si>
    <t>PayTM,Paypal,Oracle,Bloomberg,Facebook,Amazon,Google</t>
  </si>
  <si>
    <t>Longest String Chain</t>
  </si>
  <si>
    <t>Dynamic Programming,Hash Table</t>
  </si>
  <si>
    <t>Akuna Capital,Two Sigma,VMware,Citadel,SAP,Amazon,Google</t>
  </si>
  <si>
    <t>Last Stone Weight II</t>
  </si>
  <si>
    <t>Actors and Directors Who Cooperated At Least Three Times</t>
  </si>
  <si>
    <t>Height Checker</t>
  </si>
  <si>
    <t>Salesforce,Amazon,Google</t>
  </si>
  <si>
    <t>Grumpy Bookstore Owner</t>
  </si>
  <si>
    <t>Previous Permutation With One Swap</t>
  </si>
  <si>
    <t>Quora,Facebook,Microsoft</t>
  </si>
  <si>
    <t>Distant Barcodes</t>
  </si>
  <si>
    <t>Sort,Heap</t>
  </si>
  <si>
    <t>Shortest Way to Form String</t>
  </si>
  <si>
    <t>Confusing Number</t>
  </si>
  <si>
    <t>Campus Bikes</t>
  </si>
  <si>
    <t>Sort,Greedy</t>
  </si>
  <si>
    <t>ByteDance,Facebook,Amazon,Google</t>
  </si>
  <si>
    <t>Minimize Rounding Error to Meet Target</t>
  </si>
  <si>
    <t>All Paths from Source Lead to Destination</t>
  </si>
  <si>
    <t>Missing Element in Sorted Array</t>
  </si>
  <si>
    <t>Lyft,Apple,Bloomberg,Facebook,Amazon,Google</t>
  </si>
  <si>
    <t>Lexicographically Smallest Equivalent String</t>
  </si>
  <si>
    <t>Longest Repeating Substring</t>
  </si>
  <si>
    <t>Number of Valid Subarrays</t>
  </si>
  <si>
    <t>Hulu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</si>
  <si>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</si>
  <si>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</si>
  <si>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</si>
  <si>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</si>
  <si>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</si>
  <si>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</si>
  <si>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</si>
  <si>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</si>
  <si>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Atlassian,Capital One</t>
  </si>
  <si>
    <t>Flip Columns For Maximum Number of Equal Rows</t>
  </si>
  <si>
    <t>Adding Two Negabinary Numbers</t>
  </si>
  <si>
    <t>Grab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</si>
  <si>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</si>
  <si>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</si>
  <si>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</si>
  <si>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</si>
  <si>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</si>
  <si>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</si>
  <si>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</si>
  <si>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</si>
  <si>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FactSet</t>
  </si>
  <si>
    <t>Sales Analysis I</t>
  </si>
  <si>
    <t>Sales Analysis II</t>
  </si>
  <si>
    <t>Sales Analysis III</t>
  </si>
  <si>
    <t>Sum of Digits in the Minimum Number</t>
  </si>
  <si>
    <t>High Five</t>
  </si>
  <si>
    <t>Sort,Hash Table,Array</t>
  </si>
  <si>
    <t>Amazon,Goldman Sachs</t>
  </si>
  <si>
    <t>Brace Expansion</t>
  </si>
  <si>
    <t>Confusing Number II</t>
  </si>
  <si>
    <t>Duplicate Zeros</t>
  </si>
  <si>
    <t>Largest Values From Labels</t>
  </si>
  <si>
    <t>Greedy,Hash Table</t>
  </si>
  <si>
    <t>Shortest Path in Binary Matrix</t>
  </si>
  <si>
    <t>Shortest Common Supersequence</t>
  </si>
  <si>
    <t>Statistics from a Large Sample</t>
  </si>
  <si>
    <t>Car Pooling</t>
  </si>
  <si>
    <t>Lyft,Facebook,Amazon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</si>
  <si>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</si>
  <si>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</si>
  <si>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</si>
  <si>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</si>
  <si>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</si>
  <si>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</si>
  <si>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Sliding Window,String</t>
  </si>
  <si>
    <t>The Earliest Moment When Everyone Become Friends</t>
  </si>
  <si>
    <t>Expedia</t>
  </si>
  <si>
    <t>Path With Maximum Minimum Value</t>
  </si>
  <si>
    <t>Distribute Candies to People</t>
  </si>
  <si>
    <t>Path In Zigzag Labelled Binary Tree</t>
  </si>
  <si>
    <t>Tree,Math</t>
  </si>
  <si>
    <t>Filling Bookcase Shelves</t>
  </si>
  <si>
    <t>Parsing A Boolean Expression</t>
  </si>
  <si>
    <t>Affinity</t>
  </si>
  <si>
    <t>New Users Daily Count</t>
  </si>
  <si>
    <t>Defanging an IP Address</t>
  </si>
  <si>
    <t>Apple,Yahoo,Adobe,Facebook,Amazon,Google</t>
  </si>
  <si>
    <t>Corporate Flight Bookings</t>
  </si>
  <si>
    <t>Goldman Sachs</t>
  </si>
  <si>
    <t>Delete Nodes And Return Forest</t>
  </si>
  <si>
    <t>Maximum Nesting Depth of Two Valid Parentheses Strings</t>
  </si>
  <si>
    <t>Greedy,Binary Search</t>
  </si>
  <si>
    <t>Bloomreach</t>
  </si>
  <si>
    <t>Highest Grade For Each Student</t>
  </si>
  <si>
    <t>Coursera</t>
  </si>
  <si>
    <t>Reported Posts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</si>
  <si>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</si>
  <si>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</si>
  <si>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</si>
  <si>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</si>
  <si>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</si>
  <si>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DE Shaw,EBay,Amazon,Microsoft,Google</t>
  </si>
  <si>
    <t>Lowest Common Ancestor of Deepest Leaves</t>
  </si>
  <si>
    <t>Longest Well-Performing Interval</t>
  </si>
  <si>
    <t>Infosys</t>
  </si>
  <si>
    <t>Smallest Sufficient Team</t>
  </si>
  <si>
    <t>Active Businesses</t>
  </si>
  <si>
    <t>Yelp</t>
  </si>
  <si>
    <t>User Purchase Platform</t>
  </si>
  <si>
    <t>Number of Equivalent Domino Pairs</t>
  </si>
  <si>
    <t>Shortest Path with Alternating Colors</t>
  </si>
  <si>
    <t>Minimum Cost Tree From Leaf Values</t>
  </si>
  <si>
    <t>Tree,Stack,Dynamic Programming</t>
  </si>
  <si>
    <t>Mathworks,Amazon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</si>
  <si>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</si>
  <si>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</si>
  <si>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</si>
  <si>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</si>
  <si>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</si>
  <si>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</si>
  <si>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Graph,Depth First Search,Dynamic Programming</t>
  </si>
  <si>
    <t>N-th Tribonacci Number</t>
  </si>
  <si>
    <t>Coursera,Facebook</t>
  </si>
  <si>
    <t>Alphabet Board Path</t>
  </si>
  <si>
    <t>Zulily,Google</t>
  </si>
  <si>
    <t>Largest 1-Bordered Square</t>
  </si>
  <si>
    <t>Samsung,Amazon</t>
  </si>
  <si>
    <t>Stone Game II</t>
  </si>
  <si>
    <t>ByteDance(Toutiao),Google</t>
  </si>
  <si>
    <t>User Activity for the Past 30 Days I</t>
  </si>
  <si>
    <t>User Activity for the Past 30 Days II</t>
  </si>
  <si>
    <t>Longest Common Subsequence</t>
  </si>
  <si>
    <t>ByteDance,Tencent,Amazon,Microsoft,Google</t>
  </si>
  <si>
    <t>Decrease Elements To Make Array Zigzag</t>
  </si>
  <si>
    <t>Binary Tree Coloring Game</t>
  </si>
  <si>
    <t>Snapshot Array</t>
  </si>
  <si>
    <t>Snapchat,Apple,Uber,Facebook,Amazon,Google</t>
  </si>
  <si>
    <t>Longest Chunked Palindrome Decomposition</t>
  </si>
  <si>
    <t>Rolling Hash,Dynamic Programming</t>
  </si>
  <si>
    <t>Article Views I</t>
  </si>
  <si>
    <t>Article Views II</t>
  </si>
  <si>
    <t>Check If a Number Is Majority Element in a Sorted Array</t>
  </si>
  <si>
    <t>Salesforce</t>
  </si>
  <si>
    <t>Minimum Swaps to Group All 1's Together</t>
  </si>
  <si>
    <t>Analyze User Website Visit Pattern</t>
  </si>
  <si>
    <t>String Transforms Into Another String</t>
  </si>
  <si>
    <t>Day of the Year</t>
  </si>
  <si>
    <t>Zscaler</t>
  </si>
  <si>
    <t>Number of Dice Rolls With Target Sum</t>
  </si>
  <si>
    <t>Swap For Longest Repeated Character Substring</t>
  </si>
  <si>
    <t>Nutanix,Microsoft</t>
  </si>
  <si>
    <t>Online Majority Element In Subarray</t>
  </si>
  <si>
    <t>Segment Tree,Binary Search,Array</t>
  </si>
  <si>
    <t>Nutanix,Google</t>
  </si>
  <si>
    <t>Market Analysis I</t>
  </si>
  <si>
    <t>Poshmark</t>
  </si>
  <si>
    <t>Market Analysis II</t>
  </si>
  <si>
    <t>Find Words That Can Be Formed by Characters</t>
  </si>
  <si>
    <t>Maximum Level Sum of a Binary Tree</t>
  </si>
  <si>
    <t>As Far from Land as Possible</t>
  </si>
  <si>
    <t>Uipath,Amazon</t>
  </si>
  <si>
    <t>Last Substring in Lexicographical Order</t>
  </si>
  <si>
    <t>Suffix Array,String</t>
  </si>
  <si>
    <t>Two Sigma,Roblox,Mathworks</t>
  </si>
  <si>
    <t>Product Price at a Given Date</t>
  </si>
  <si>
    <t>Single-Row Keyboard</t>
  </si>
  <si>
    <t>Design File System</t>
  </si>
  <si>
    <t>Airbnb,Amazon</t>
  </si>
  <si>
    <t>Minimum Cost to Connect Sticks</t>
  </si>
  <si>
    <t>Optimize Water Distribution in a Village</t>
  </si>
  <si>
    <t>Yahoo,Google</t>
  </si>
  <si>
    <t>Invalid Transactions</t>
  </si>
  <si>
    <t>String,Array</t>
  </si>
  <si>
    <t>Compare Strings by Frequency of the Smallest Character</t>
  </si>
  <si>
    <t>Remove Zero Sum Consecutive Nodes from Linked List</t>
  </si>
  <si>
    <t>Dinner Plate Stacks</t>
  </si>
  <si>
    <t>ByteDance,Amazon</t>
  </si>
  <si>
    <t>Immediate Food Delivery I</t>
  </si>
  <si>
    <t>DoorDash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</si>
  <si>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</si>
  <si>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</si>
  <si>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</si>
  <si>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</si>
  <si>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</si>
  <si>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</si>
  <si>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</si>
  <si>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Virtu Financial</t>
  </si>
  <si>
    <t>Before and After Puzzle</t>
  </si>
  <si>
    <t>Clutter</t>
  </si>
  <si>
    <t>Shortest Distance to Target Color</t>
  </si>
  <si>
    <t>Maximum Number of Ones</t>
  </si>
  <si>
    <t>Qualcomm</t>
  </si>
  <si>
    <t>Distance Between Bus Stops</t>
  </si>
  <si>
    <t>Day of the Week</t>
  </si>
  <si>
    <t>United Health Group,Microsoft</t>
  </si>
  <si>
    <t>Maximum Subarray Sum with One Deletion</t>
  </si>
  <si>
    <t>Two Sigma</t>
  </si>
  <si>
    <t>Make Array Strictly Increasing</t>
  </si>
  <si>
    <t>Maximum Number of Balloons</t>
  </si>
  <si>
    <t>Tesla,Wayfair</t>
  </si>
  <si>
    <t>Reverse Substrings Between Each Pair of Parentheses</t>
  </si>
  <si>
    <t>K-Concatenation Maximum Sum</t>
  </si>
  <si>
    <t>Critical Connections in a Network</t>
  </si>
  <si>
    <t>Monthly Transactions I</t>
  </si>
  <si>
    <t>Wayfair,Wish</t>
  </si>
  <si>
    <t>Tournament Winners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</si>
  <si>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</si>
  <si>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</si>
  <si>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</si>
  <si>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</si>
  <si>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</si>
  <si>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Audible</t>
  </si>
  <si>
    <t>Ugly Number III</t>
  </si>
  <si>
    <t>American Express</t>
  </si>
  <si>
    <t>Smallest String With Swaps</t>
  </si>
  <si>
    <t>PHONEPE,ByteDance,Amazon</t>
  </si>
  <si>
    <t>Sort Items by Groups Respecting Dependencies</t>
  </si>
  <si>
    <t>Topological Sort,Graph,Depth First Search</t>
  </si>
  <si>
    <t>Last Person to Fit in the Elevator</t>
  </si>
  <si>
    <t>Monthly Transactions II</t>
  </si>
  <si>
    <t>Design Skiplist</t>
  </si>
  <si>
    <t>Pure Storage,Twitter,EBay,Microsoft,Google</t>
  </si>
  <si>
    <t>Unique Number of Occurrences</t>
  </si>
  <si>
    <t>Get Equal Substrings Within Budget</t>
  </si>
  <si>
    <t>Traveloka</t>
  </si>
  <si>
    <t>Remove All Adjacent Duplicates in String II</t>
  </si>
  <si>
    <t>FactSet,VMware,Bloomberg,Facebook,Google</t>
  </si>
  <si>
    <t>Minimum Moves to Reach Target with Rotations</t>
  </si>
  <si>
    <t>Kakao</t>
  </si>
  <si>
    <t>Queries Quality and Percentage</t>
  </si>
  <si>
    <t>Team Scores in Football Tournament</t>
  </si>
  <si>
    <t>Wayfair,Oracle</t>
  </si>
  <si>
    <t>Intersection of Three Sorted Arrays</t>
  </si>
  <si>
    <t>TripAdvisor,Facebook</t>
  </si>
  <si>
    <t>Two Sum BSTs</t>
  </si>
  <si>
    <t>Stepping Numbers</t>
  </si>
  <si>
    <t>Epic Systems,Amazon</t>
  </si>
  <si>
    <t>Valid Palindrome III</t>
  </si>
  <si>
    <t>Play with Chips</t>
  </si>
  <si>
    <t>Greedy,Math,Array</t>
  </si>
  <si>
    <t>Morgan Stanley</t>
  </si>
  <si>
    <t>Longest Arithmetic Subsequence of Given Difference</t>
  </si>
  <si>
    <t>Path with Maximum Gold</t>
  </si>
  <si>
    <t>Count Vowels Permutation</t>
  </si>
  <si>
    <t>C3.ai</t>
  </si>
  <si>
    <t>Split a String in Balanced Strings</t>
  </si>
  <si>
    <t>Queens That Can Attack the King</t>
  </si>
  <si>
    <t>Media.net</t>
  </si>
  <si>
    <t>Dice Roll Simulation</t>
  </si>
  <si>
    <t>Akuna Capital,Atlassian,Bloomberg,Google</t>
  </si>
  <si>
    <t>Maximum Equal Frequency</t>
  </si>
  <si>
    <t>Report Contiguous Dates</t>
  </si>
  <si>
    <t>Airplane Seat Assignment Probability</t>
  </si>
  <si>
    <t>Brainteaser,Dynamic Programming,Math</t>
  </si>
  <si>
    <t>Microstrategy</t>
  </si>
  <si>
    <t>Missing Number In Arithmetic Progression</t>
  </si>
  <si>
    <t>Meeting Scheduler</t>
  </si>
  <si>
    <t>Pramp,DoorDash,Paypal,Apple,Uber,Amazon,Google</t>
  </si>
  <si>
    <t>Toss Strange Coins</t>
  </si>
  <si>
    <t>Twitch</t>
  </si>
  <si>
    <t>Divide Chocolate</t>
  </si>
  <si>
    <t>Check If It Is a Straight Line</t>
  </si>
  <si>
    <t>Geometry,Math,Array</t>
  </si>
  <si>
    <t>Palantir</t>
  </si>
  <si>
    <t>Remove Sub-Folders from the Filesystem</t>
  </si>
  <si>
    <t>Replace the Substring for Balanced String</t>
  </si>
  <si>
    <t>Accolite</t>
  </si>
  <si>
    <t>Maximum Profit in Job Scheduling</t>
  </si>
  <si>
    <t>Sort,Dynamic Programming,Binary Search</t>
  </si>
  <si>
    <t>Pony.ai,Airbnb,Google</t>
  </si>
  <si>
    <t>Web Crawler</t>
  </si>
  <si>
    <t>Dropbox,Oracle,Facebook,Amazon,Microsoft</t>
  </si>
  <si>
    <t>Find Positive Integer Solution for a Given Equation</t>
  </si>
  <si>
    <t>Circular Permutation in Binary Representation</t>
  </si>
  <si>
    <t>Walmart</t>
  </si>
  <si>
    <t>Maximum Length of a Concatenated String with Unique Characters</t>
  </si>
  <si>
    <t>Honey,Microsoft</t>
  </si>
  <si>
    <t>Tiling a Rectangle with the Fewest Squares</t>
  </si>
  <si>
    <t>Number of Comments per Post</t>
  </si>
  <si>
    <t>Array Transformation</t>
  </si>
  <si>
    <t>Design A Leaderboard</t>
  </si>
  <si>
    <t>Design,Sort,Hash Table</t>
  </si>
  <si>
    <t>Wayfair,Bloomberg</t>
  </si>
  <si>
    <t>Tree Diameter</t>
  </si>
  <si>
    <t>Palindrome Removal</t>
  </si>
  <si>
    <t>Minimum Swaps to Make Strings Equal</t>
  </si>
  <si>
    <t>JP Morgan Chase,Amazon</t>
  </si>
  <si>
    <t>Count Number of Nice Subarrays</t>
  </si>
  <si>
    <t>Roblox,Amazon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</si>
  <si>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</si>
  <si>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</si>
  <si>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</si>
  <si>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</si>
  <si>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</si>
  <si>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</si>
  <si>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</si>
  <si>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</si>
  <si>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</si>
  <si>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</si>
  <si>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Cruise Automation</t>
  </si>
  <si>
    <t>Handshakes That Don't Cross</t>
  </si>
  <si>
    <t>Shift 2D Grid</t>
  </si>
  <si>
    <t>Find Elements in a Contaminated Binary Tree</t>
  </si>
  <si>
    <t>Greatest Sum Divisible by Three</t>
  </si>
  <si>
    <t>DE Shaw,ByteDance</t>
  </si>
  <si>
    <t>Minimum Moves to Move a Box to Their Target Location</t>
  </si>
  <si>
    <t>Page Recommendations</t>
  </si>
  <si>
    <t>Print Immutable Linked List in Reverse</t>
  </si>
  <si>
    <t>Minimum Time Visiting All Points</t>
  </si>
  <si>
    <t>Geometry,Array</t>
  </si>
  <si>
    <t>Media.net,Amazon</t>
  </si>
  <si>
    <t>Count Servers that Communicate</t>
  </si>
  <si>
    <t>Graph,Array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</si>
  <si>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</si>
  <si>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</si>
  <si>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</si>
  <si>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</si>
  <si>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</si>
  <si>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Line Sweep,Math</t>
  </si>
  <si>
    <t>Delete Tree Nodes</t>
  </si>
  <si>
    <t>Number of Ships in a Rectangle</t>
  </si>
  <si>
    <t>Find Winner on a Tic Tac Toe Game</t>
  </si>
  <si>
    <t>Zoho,Facebook,Amazon</t>
  </si>
  <si>
    <t>Number of Burgers with No Waste of Ingredients</t>
  </si>
  <si>
    <t>DeliveryHero</t>
  </si>
  <si>
    <t>Count Square Submatrices with All Ones</t>
  </si>
  <si>
    <t>Palindrome Partitioning III</t>
  </si>
  <si>
    <t>Apple,Uber</t>
  </si>
  <si>
    <t>Students and Examinations</t>
  </si>
  <si>
    <t>Roblox</t>
  </si>
  <si>
    <t>Subtract the Product and Sum of Digits of an Integer</t>
  </si>
  <si>
    <t>Quora,Uber,Google</t>
  </si>
  <si>
    <t>Group the People Given the Group Size They Belong To</t>
  </si>
  <si>
    <t>Find the Smallest Divisor Given a Threshold</t>
  </si>
  <si>
    <t>ByteDance,Salesforce,Expedia</t>
  </si>
  <si>
    <t>Minimum Number of Flips to Convert Binary Matrix to Zero Matrix</t>
  </si>
  <si>
    <t>Find the Start and End Number of Continuous Ranges</t>
  </si>
  <si>
    <t>Iterator for Combination</t>
  </si>
  <si>
    <t>Design,Backtracking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</si>
  <si>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</si>
  <si>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</si>
  <si>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</si>
  <si>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</si>
  <si>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Bit Manipulation,Linked List</t>
  </si>
  <si>
    <t>Roblox,ServiceNow,Cisco</t>
  </si>
  <si>
    <t>Sequential Digits</t>
  </si>
  <si>
    <t>F5 Networks</t>
  </si>
  <si>
    <t>Maximum Side Length of a Square with Sum Less than or Equal to Threshold</t>
  </si>
  <si>
    <t>Shortest Path in a Grid with Obstacles Elimination</t>
  </si>
  <si>
    <t>DiDi,Google</t>
  </si>
  <si>
    <t>Weather Type in Each Country</t>
  </si>
  <si>
    <t>Point72</t>
  </si>
  <si>
    <t>Find Numbers with Even Number of Digits</t>
  </si>
  <si>
    <t>Divide Array in Sets of K Consecutive Numbers</t>
  </si>
  <si>
    <t>Maximum Number of Occurrences of a Substring</t>
  </si>
  <si>
    <t>Bit Manipulation,String</t>
  </si>
  <si>
    <t>Roblox,Paypal,Bloomberg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</si>
  <si>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</si>
  <si>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</si>
  <si>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</si>
  <si>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</si>
  <si>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Samsung</t>
  </si>
  <si>
    <t>Deepest Leaves Sum</t>
  </si>
  <si>
    <t>Find the Team Size</t>
  </si>
  <si>
    <t>Find N Unique Integers Sum up to Zero</t>
  </si>
  <si>
    <t>Facebook,Microsoft</t>
  </si>
  <si>
    <t>All Elements in Two Binary Search Trees</t>
  </si>
  <si>
    <t>Tree,Sort</t>
  </si>
  <si>
    <t>Oracle,Facebook,Amazon</t>
  </si>
  <si>
    <t>Jump Game III</t>
  </si>
  <si>
    <t>Verbal Arithmetic Puzzle</t>
  </si>
  <si>
    <t>Atlassian</t>
  </si>
  <si>
    <t>Running Total for Different Genders</t>
  </si>
  <si>
    <t>Decrypt String from Alphabet to Integer Mapping</t>
  </si>
  <si>
    <t>Quip (Salesforce)</t>
  </si>
  <si>
    <t>XOR Queries of a Subarray</t>
  </si>
  <si>
    <t>Airtel</t>
  </si>
  <si>
    <t>Get Watched Videos by Your Friends</t>
  </si>
  <si>
    <t>Breadth First Search,String,Hash Table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</si>
  <si>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</si>
  <si>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</si>
  <si>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</si>
  <si>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</si>
  <si>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</si>
  <si>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Rolling Hash,String</t>
  </si>
  <si>
    <t>Convert Integer to the Sum of Two No-Zero Integers</t>
  </si>
  <si>
    <t>HRT</t>
  </si>
  <si>
    <t>Minimum Flips to Make a OR b Equal to c</t>
  </si>
  <si>
    <t>Number of Operations to Make Network Connected</t>
  </si>
  <si>
    <t>Akuna Capital,Mathworks</t>
  </si>
  <si>
    <t>Minimum Distance to Type a Word Using Two Fingers</t>
  </si>
  <si>
    <t>Restaurant Growth</t>
  </si>
  <si>
    <t>Ads Performance</t>
  </si>
  <si>
    <t>Maximum 69 Number</t>
  </si>
  <si>
    <t>Print Words Vertically</t>
  </si>
  <si>
    <t>Delete Leaves With a Given Value</t>
  </si>
  <si>
    <t>Minimum Number of Taps to Open to Water a Garden</t>
  </si>
  <si>
    <t>Akuna Capital,Twitter,Google</t>
  </si>
  <si>
    <t>List the Products Ordered in a Period</t>
  </si>
  <si>
    <t>Break a Palindrome</t>
  </si>
  <si>
    <t>Roblox,VMware,JPMorgan,Expedia</t>
  </si>
  <si>
    <t>Sort the Matrix Diagonally</t>
  </si>
  <si>
    <t>Reverse Subarray To Maximize Array Value</t>
  </si>
  <si>
    <t>Codenation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</si>
  <si>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</si>
  <si>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</si>
  <si>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</si>
  <si>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</si>
  <si>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</si>
  <si>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Turvo</t>
  </si>
  <si>
    <t>Number of Transactions per Visit</t>
  </si>
  <si>
    <t>MachineZone,Machine Zone</t>
  </si>
  <si>
    <t>The K Weakest Rows in a Matrix</t>
  </si>
  <si>
    <t>Reduce Array Size to The Half</t>
  </si>
  <si>
    <t>Maximum Product of Splitted Binary Tree</t>
  </si>
  <si>
    <t>ByteDance,Microsoft</t>
  </si>
  <si>
    <t>Jump Game V</t>
  </si>
  <si>
    <t>Movie Rating</t>
  </si>
  <si>
    <t>SAP</t>
  </si>
  <si>
    <t>Number of Steps to Reduce a Number to Zero</t>
  </si>
  <si>
    <t>HRT,Google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</si>
  <si>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</si>
  <si>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</si>
  <si>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</si>
  <si>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</si>
  <si>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</si>
  <si>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</si>
  <si>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</si>
  <si>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</si>
  <si>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</si>
  <si>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</si>
  <si>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Design,Array</t>
  </si>
  <si>
    <t>Maximum Number of Events That Can Be Attended</t>
  </si>
  <si>
    <t>Segment Tree,Sort,Greedy</t>
  </si>
  <si>
    <t>Visa</t>
  </si>
  <si>
    <t>Construct Target Array With Multiple Sums</t>
  </si>
  <si>
    <t>Activity Participants</t>
  </si>
  <si>
    <t>IBM</t>
  </si>
  <si>
    <t>Sort Integers by The Number of 1 Bits</t>
  </si>
  <si>
    <t>Bit Manipulation,Sort</t>
  </si>
  <si>
    <t>Mapbox</t>
  </si>
  <si>
    <t>Apply Discount Every n Orders</t>
  </si>
  <si>
    <t>Number of Substrings Containing All Three Characters</t>
  </si>
  <si>
    <t>DE Shaw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</si>
  <si>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</si>
  <si>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</si>
  <si>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</si>
  <si>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</si>
  <si>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</si>
  <si>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</si>
  <si>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</si>
  <si>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</si>
  <si>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</si>
  <si>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Tree,Dynamic Programming,Linked List</t>
  </si>
  <si>
    <t>SoundHound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</si>
  <si>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</si>
  <si>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</si>
  <si>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</si>
  <si>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</si>
  <si>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</si>
  <si>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Sumerge</t>
  </si>
  <si>
    <t>Maximum Sum BST in Binary Tree</t>
  </si>
  <si>
    <t>Binary Search Tree,Dynamic Programming</t>
  </si>
  <si>
    <t>Generate a String With Characters That Have Odd Counts</t>
  </si>
  <si>
    <t>DiDi</t>
  </si>
  <si>
    <t>Bulb Switcher III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</si>
  <si>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</si>
  <si>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</si>
  <si>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</si>
  <si>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</si>
  <si>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</si>
  <si>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Oracle</t>
  </si>
  <si>
    <t>Design a Stack With Increment Operation</t>
  </si>
  <si>
    <t>Endurance</t>
  </si>
  <si>
    <t>Balance a Binary Search Tree</t>
  </si>
  <si>
    <t>Maximum Performance of a Team</t>
  </si>
  <si>
    <t>Citrix</t>
  </si>
  <si>
    <t>Total Sales Amount by Year</t>
  </si>
  <si>
    <t>Find the Distance Value Between Two Arrays</t>
  </si>
  <si>
    <t>Cinema Seat Allocation</t>
  </si>
  <si>
    <t>Sort Integers by The Power Value</t>
  </si>
  <si>
    <t>Graph,Sort</t>
  </si>
  <si>
    <t>Pizza With 3n Slices</t>
  </si>
  <si>
    <t>Create Target Array in the Given Order</t>
  </si>
  <si>
    <t>Four Divisors</t>
  </si>
  <si>
    <t>Capital One</t>
  </si>
  <si>
    <t>Check if There is a Valid Path in a Grid</t>
  </si>
  <si>
    <t>Robinhood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</si>
  <si>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</si>
  <si>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</si>
  <si>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</si>
  <si>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</si>
  <si>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</si>
  <si>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</si>
  <si>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Dunzo</t>
  </si>
  <si>
    <t>Customers Who Bought Products A and B but Not C</t>
  </si>
  <si>
    <t>Count Largest Group</t>
  </si>
  <si>
    <t>Mercari</t>
  </si>
  <si>
    <t>Construct K Palindrome Strings</t>
  </si>
  <si>
    <t>Circle and Rectangle Overlapping</t>
  </si>
  <si>
    <t>Reducing Dishes</t>
  </si>
  <si>
    <t>OT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</si>
  <si>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</si>
  <si>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</si>
  <si>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</si>
  <si>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</si>
  <si>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</si>
  <si>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</si>
  <si>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</si>
  <si>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</si>
  <si>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脳 3 Grid</t>
  </si>
  <si>
    <t>Hackerrank,Facebook</t>
  </si>
  <si>
    <t>Find the Quiet Students in All Exams</t>
  </si>
  <si>
    <t>Minimum Value to Get Positive Step by Step Sum</t>
  </si>
  <si>
    <t>Swiggy</t>
  </si>
  <si>
    <t>Find the Minimum Number of Fibonacci Numbers Whose Sum Is K</t>
  </si>
  <si>
    <t>The k-th Lexicographical String of All Happy Strings of Length n</t>
  </si>
  <si>
    <t>Restore The Array</t>
  </si>
  <si>
    <t>Postman</t>
  </si>
  <si>
    <t>Reformat The String</t>
  </si>
  <si>
    <t>Display Table of Food Orders in a Restaurant</t>
  </si>
  <si>
    <t>JP Morgan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</si>
  <si>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</si>
  <si>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</si>
  <si>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</si>
  <si>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</si>
  <si>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</si>
  <si>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</si>
  <si>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</si>
  <si>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</si>
  <si>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DRW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</si>
  <si>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</si>
  <si>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</si>
  <si>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</si>
  <si>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</si>
  <si>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23&amp;me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</si>
  <si>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</si>
  <si>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</si>
  <si>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</si>
  <si>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</si>
  <si>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MindTickle</t>
  </si>
  <si>
    <t>Create a Session Bar Chart</t>
  </si>
  <si>
    <t>Destination City</t>
  </si>
  <si>
    <t>Check If All 1's Are at Least Length K Places Away</t>
  </si>
  <si>
    <t>United Health Group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</si>
  <si>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</si>
  <si>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</si>
  <si>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</si>
  <si>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</si>
  <si>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</si>
  <si>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</si>
  <si>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</si>
  <si>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</si>
  <si>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</si>
  <si>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</si>
  <si>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</si>
  <si>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</si>
  <si>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</si>
  <si>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</si>
  <si>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</si>
  <si>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</si>
  <si>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</si>
  <si>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</si>
  <si>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</si>
  <si>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</si>
  <si>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Depth First Search,Tree,Bit Manipulation</t>
  </si>
  <si>
    <t>Max Dot Product of Two Subsequences</t>
  </si>
  <si>
    <t>Rectangles Area</t>
  </si>
  <si>
    <t>Make Two Arrays Equal by Reversing Sub-arrays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</si>
  <si>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</si>
  <si>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</si>
  <si>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</si>
  <si>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</si>
  <si>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</si>
  <si>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BNY Mellon</t>
  </si>
  <si>
    <t>Reorder Routes to Make All Paths Lead to the City Zero</t>
  </si>
  <si>
    <t>Probability of a Two Boxes Having The Same Number of Distinct Balls</t>
  </si>
  <si>
    <t>Calculate Salaries</t>
  </si>
  <si>
    <t>Startup</t>
  </si>
  <si>
    <t>Find All The Lonely Nodes</t>
  </si>
  <si>
    <t>Shuffle the Array</t>
  </si>
  <si>
    <t>The k Strongest Values in an Array</t>
  </si>
  <si>
    <t>Design Browser History</t>
  </si>
  <si>
    <t>Paint House III</t>
  </si>
  <si>
    <t>Paypal</t>
  </si>
  <si>
    <t>Delete N Nodes After M Nodes of a Linked List</t>
  </si>
  <si>
    <t>Final Prices With a Special Discount in a Shop</t>
  </si>
  <si>
    <t>Dream11</t>
  </si>
  <si>
    <t>Subrectangle Queries</t>
  </si>
  <si>
    <t>Nuro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</si>
  <si>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</si>
  <si>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</si>
  <si>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</si>
  <si>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</si>
  <si>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</si>
  <si>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Dosh</t>
  </si>
  <si>
    <t>Minimum Number of Days to Make m Bouquets</t>
  </si>
  <si>
    <t>Kth Ancestor of a Tree Node</t>
  </si>
  <si>
    <t>Group Sold Products By The Date</t>
  </si>
  <si>
    <t>Clone Binary Tree With Random Pointer</t>
  </si>
  <si>
    <t>Breadth First Search,Depth First Search,Tree,Hash Table</t>
  </si>
  <si>
    <t>分类类别</t>
  </si>
  <si>
    <t>顺序</t>
  </si>
  <si>
    <t>此分类表来源：https://cspiration.com/leetcodeClassification</t>
  </si>
  <si>
    <t>*</t>
  </si>
  <si>
    <t>LinkedList</t>
  </si>
  <si>
    <t>Matrix</t>
  </si>
  <si>
    <t>DFS &amp; BFS</t>
  </si>
  <si>
    <t>PriorityQueue</t>
  </si>
  <si>
    <t>Topological Sort</t>
  </si>
  <si>
    <t>A-1</t>
  </si>
  <si>
    <t>Two Number Sum</t>
  </si>
  <si>
    <t>A-2</t>
  </si>
  <si>
    <t>Validate Subsequence</t>
  </si>
  <si>
    <t>A-3</t>
  </si>
  <si>
    <t>Three Number Sum</t>
  </si>
  <si>
    <t>A-4</t>
  </si>
  <si>
    <t>Smallest Difference</t>
  </si>
  <si>
    <t>A-5</t>
  </si>
  <si>
    <t>Move Element To End</t>
  </si>
  <si>
    <t>A-6</t>
  </si>
  <si>
    <t>A-7</t>
  </si>
  <si>
    <t>Spiral Traverse</t>
  </si>
  <si>
    <t>A-8</t>
  </si>
  <si>
    <t>Longest Peak</t>
  </si>
  <si>
    <t>A-9</t>
  </si>
  <si>
    <t>Four Number Sum</t>
  </si>
  <si>
    <t>A-10</t>
  </si>
  <si>
    <t>Subarray Sort</t>
  </si>
  <si>
    <t>A-11</t>
  </si>
  <si>
    <t>Largest Range</t>
  </si>
  <si>
    <t>A-12</t>
  </si>
  <si>
    <t>Min Rewards</t>
  </si>
  <si>
    <t>A-13</t>
  </si>
  <si>
    <t>Zigzag Traverse</t>
  </si>
  <si>
    <t>A-14</t>
  </si>
  <si>
    <t>Very Hard</t>
  </si>
  <si>
    <t>Apartment Hunting</t>
  </si>
  <si>
    <t>A-15</t>
  </si>
  <si>
    <t>Calendar Matching</t>
  </si>
  <si>
    <t>A-16</t>
  </si>
  <si>
    <t>Binary Search Trees</t>
  </si>
  <si>
    <t>Find Closest Value In BST</t>
  </si>
  <si>
    <t>A-17</t>
  </si>
  <si>
    <t>BST Construction</t>
  </si>
  <si>
    <t>A-18</t>
  </si>
  <si>
    <t>Validate BST</t>
  </si>
  <si>
    <t>A-19</t>
  </si>
  <si>
    <t>BST Traversal</t>
  </si>
  <si>
    <t>A-20</t>
  </si>
  <si>
    <t>Min Height BST</t>
  </si>
  <si>
    <t>A-21</t>
  </si>
  <si>
    <t>Same BSTs</t>
  </si>
  <si>
    <t>A-22</t>
  </si>
  <si>
    <t>Extremely Hard</t>
  </si>
  <si>
    <t>Right Smaller Than</t>
  </si>
  <si>
    <t>A-23</t>
  </si>
  <si>
    <t>Binary Trees</t>
  </si>
  <si>
    <t>Branch Sums</t>
  </si>
  <si>
    <t>A-24</t>
  </si>
  <si>
    <t>Node Depths</t>
  </si>
  <si>
    <t>A-25</t>
  </si>
  <si>
    <t>A-26</t>
  </si>
  <si>
    <t>Max Path Sum In Binary Tree</t>
  </si>
  <si>
    <t>A-27</t>
  </si>
  <si>
    <t>Iterative In-order Traversal</t>
  </si>
  <si>
    <t>A-28</t>
  </si>
  <si>
    <t>Flatten Binary Tree</t>
  </si>
  <si>
    <t>A-29</t>
  </si>
  <si>
    <t>Right Sibling Tree</t>
  </si>
  <si>
    <t>A-30</t>
  </si>
  <si>
    <t>All Kinds Of Node Depths</t>
  </si>
  <si>
    <t>A-31</t>
  </si>
  <si>
    <t>Max Subset Sum No Adjacent</t>
  </si>
  <si>
    <t>A-32</t>
  </si>
  <si>
    <t>Number Of Ways To Make Change</t>
  </si>
  <si>
    <t>A-33</t>
  </si>
  <si>
    <t>Min Number Of Coins For Change</t>
  </si>
  <si>
    <t>A-34</t>
  </si>
  <si>
    <t>Levenshtein Distance</t>
  </si>
  <si>
    <t>A-35</t>
  </si>
  <si>
    <t>Max Sum Increasing Subsequence</t>
  </si>
  <si>
    <t>A-36</t>
  </si>
  <si>
    <t>A-37</t>
  </si>
  <si>
    <t>Min Number Of Jumps</t>
  </si>
  <si>
    <t>A-38</t>
  </si>
  <si>
    <t>Water Area</t>
  </si>
  <si>
    <t>A-39</t>
  </si>
  <si>
    <t>Knapsack Problem</t>
  </si>
  <si>
    <t>A-40</t>
  </si>
  <si>
    <t>Disk Stacking</t>
  </si>
  <si>
    <t>A-41</t>
  </si>
  <si>
    <t>Numbers In Pi</t>
  </si>
  <si>
    <t>A-42</t>
  </si>
  <si>
    <t>Max Profit With K Transactions</t>
  </si>
  <si>
    <t>A-43</t>
  </si>
  <si>
    <t>Palindrome Partitioning Min Cuts</t>
  </si>
  <si>
    <t>A-44</t>
  </si>
  <si>
    <t>A-45</t>
  </si>
  <si>
    <t>A-46</t>
  </si>
  <si>
    <t>Square of Zeroes</t>
  </si>
  <si>
    <t>A-47</t>
  </si>
  <si>
    <t>Famous Algorithms</t>
  </si>
  <si>
    <t>Kadane's Algorithm</t>
  </si>
  <si>
    <t>A-48</t>
  </si>
  <si>
    <t>A-49</t>
  </si>
  <si>
    <t>Knuth—Morris—Pratt Algorithm</t>
  </si>
  <si>
    <t>A-50</t>
  </si>
  <si>
    <t>Graphs</t>
  </si>
  <si>
    <t>Depth-first Search</t>
  </si>
  <si>
    <t>A-51</t>
  </si>
  <si>
    <t>Single Cycle Check</t>
  </si>
  <si>
    <t>A-52</t>
  </si>
  <si>
    <t>Breadth-first Search</t>
  </si>
  <si>
    <t>A-53</t>
  </si>
  <si>
    <t>River Sizes</t>
  </si>
  <si>
    <t>A-54</t>
  </si>
  <si>
    <t>Youngest Common Ancestor</t>
  </si>
  <si>
    <t>A-55</t>
  </si>
  <si>
    <t>Boggle Board</t>
  </si>
  <si>
    <t>A-56</t>
  </si>
  <si>
    <t>Rectangle Mania</t>
  </si>
  <si>
    <t>A-57</t>
  </si>
  <si>
    <t>Airport Connections</t>
  </si>
  <si>
    <t>A-58</t>
  </si>
  <si>
    <t>Heaps</t>
  </si>
  <si>
    <t>Min Heap Construction</t>
  </si>
  <si>
    <t>A-59</t>
  </si>
  <si>
    <t>Continuous Median</t>
  </si>
  <si>
    <t>A-60</t>
  </si>
  <si>
    <t>Merge Sorted Arrays</t>
  </si>
  <si>
    <t>A-61</t>
  </si>
  <si>
    <t>Linked Lists</t>
  </si>
  <si>
    <t>Linked List Construction</t>
  </si>
  <si>
    <t>A-62</t>
  </si>
  <si>
    <t>Remove Kth Node From End</t>
  </si>
  <si>
    <t>A-63</t>
  </si>
  <si>
    <t>Find Loop</t>
  </si>
  <si>
    <t>A-64</t>
  </si>
  <si>
    <t>A-65</t>
  </si>
  <si>
    <t>Merge Linked Lists</t>
  </si>
  <si>
    <t>A-66</t>
  </si>
  <si>
    <t>Shift Linked List</t>
  </si>
  <si>
    <t>A-67</t>
  </si>
  <si>
    <t>A-68</t>
  </si>
  <si>
    <t>Rearrange Linked List</t>
  </si>
  <si>
    <t>A-69</t>
  </si>
  <si>
    <t>Nth Fibonacci</t>
  </si>
  <si>
    <t>A-70</t>
  </si>
  <si>
    <t>Product Sum</t>
  </si>
  <si>
    <t>A-71</t>
  </si>
  <si>
    <t>A-72</t>
  </si>
  <si>
    <t>Powerset</t>
  </si>
  <si>
    <t>A-73</t>
  </si>
  <si>
    <t>Lowest Common Manager</t>
  </si>
  <si>
    <t>A-74</t>
  </si>
  <si>
    <t>Interweaving Strings</t>
  </si>
  <si>
    <t>A-75</t>
  </si>
  <si>
    <t>Number Of Binary Tree Topologies</t>
  </si>
  <si>
    <t>A-76</t>
  </si>
  <si>
    <t>Searching</t>
  </si>
  <si>
    <t>A-77</t>
  </si>
  <si>
    <t>Find Three Largest Numbers</t>
  </si>
  <si>
    <t>A-78</t>
  </si>
  <si>
    <t>Search In Sorted Matrix</t>
  </si>
  <si>
    <t>A-79</t>
  </si>
  <si>
    <t>Shifted Binary Search</t>
  </si>
  <si>
    <t>A-80</t>
  </si>
  <si>
    <t>Search For Range</t>
  </si>
  <si>
    <t>A-81</t>
  </si>
  <si>
    <t>Quickselect</t>
  </si>
  <si>
    <t>A-82</t>
  </si>
  <si>
    <t>Sorting</t>
  </si>
  <si>
    <t>Bubble Sort</t>
  </si>
  <si>
    <t>A-83</t>
  </si>
  <si>
    <t>Insertion Sort</t>
  </si>
  <si>
    <t>A-84</t>
  </si>
  <si>
    <t>Selection Sort</t>
  </si>
  <si>
    <t>A-85</t>
  </si>
  <si>
    <t>Quick Sort</t>
  </si>
  <si>
    <t>A-86</t>
  </si>
  <si>
    <t>Heap Sort</t>
  </si>
  <si>
    <t>A-87</t>
  </si>
  <si>
    <t>Merge Sort</t>
  </si>
  <si>
    <t>A-88</t>
  </si>
  <si>
    <t>Stacks</t>
  </si>
  <si>
    <t>Min Max Stack Construction</t>
  </si>
  <si>
    <t>A-89</t>
  </si>
  <si>
    <t>Balanced Brackets</t>
  </si>
  <si>
    <t>A-90</t>
  </si>
  <si>
    <t>Shorten Path</t>
  </si>
  <si>
    <t>A-91</t>
  </si>
  <si>
    <t>Strings</t>
  </si>
  <si>
    <t>Palindrome Check</t>
  </si>
  <si>
    <t>A-92</t>
  </si>
  <si>
    <t>Caesar Cipher Encryptor</t>
  </si>
  <si>
    <t>A-93</t>
  </si>
  <si>
    <t>A-94</t>
  </si>
  <si>
    <t>A-95</t>
  </si>
  <si>
    <t>Longest Substring Without Duplication</t>
  </si>
  <si>
    <t>A-96</t>
  </si>
  <si>
    <t>Underscorify Substring</t>
  </si>
  <si>
    <t>A-97</t>
  </si>
  <si>
    <t>Pattern Matcher</t>
  </si>
  <si>
    <t>A-98</t>
  </si>
  <si>
    <t>Smallest Substring Containing</t>
  </si>
  <si>
    <t>A-99</t>
  </si>
  <si>
    <t>Tries</t>
  </si>
  <si>
    <t>Suffix Trie Construction</t>
  </si>
  <si>
    <t>A-100</t>
  </si>
  <si>
    <t>Multi String Search</t>
  </si>
  <si>
    <r>
      <rPr>
        <b/>
        <sz val="10"/>
        <rFont val="微软雅黑"/>
        <family val="2"/>
        <charset val="134"/>
      </rPr>
      <t>请至</t>
    </r>
    <r>
      <rPr>
        <b/>
        <sz val="10"/>
        <rFont val="Arial"/>
        <family val="2"/>
      </rPr>
      <t>Coder-1</t>
    </r>
    <r>
      <rPr>
        <b/>
        <sz val="10"/>
        <rFont val="微软雅黑"/>
        <family val="2"/>
        <charset val="134"/>
      </rPr>
      <t>中填写姓名</t>
    </r>
    <phoneticPr fontId="18" type="noConversion"/>
  </si>
  <si>
    <t>傅关丞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</si>
</sst>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4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sz val="10"/>
      <color theme="1"/>
      <name val="Arial"/>
    </font>
    <font>
      <b/>
      <sz val="10"/>
      <color rgb="FF212529"/>
      <name val="-apple-system"/>
    </font>
    <font>
      <b/>
      <sz val="24"/>
      <color theme="1"/>
      <name val="Arial"/>
      <family val="2"/>
    </font>
    <font>
      <sz val="12"/>
      <color theme="1"/>
      <name val="Arial"/>
      <family val="2"/>
    </font>
    <font>
      <sz val="10"/>
      <color rgb="FF212529"/>
      <name val="Arial"/>
      <family val="2"/>
    </font>
    <font>
      <b/>
      <sz val="10"/>
      <color rgb="FF212529"/>
      <name val="Arial"/>
      <family val="2"/>
    </font>
    <font>
      <b/>
      <sz val="11"/>
      <color rgb="FF000000"/>
      <name val="等线"/>
      <family val="3"/>
      <charset val="134"/>
    </font>
    <font>
      <u/>
      <sz val="10"/>
      <color rgb="FF0000FF"/>
      <name val="Arial"/>
      <family val="2"/>
    </font>
    <font>
      <sz val="10"/>
      <color rgb="FF212529"/>
      <name val="-apple-system"/>
    </font>
    <font>
      <sz val="11"/>
      <color rgb="FF000000"/>
      <name val="等线"/>
      <family val="3"/>
      <charset val="134"/>
    </font>
    <font>
      <u/>
      <sz val="11"/>
      <color rgb="FF000000"/>
      <name val="等线"/>
      <family val="3"/>
      <charset val="134"/>
    </font>
    <font>
      <u/>
      <sz val="11"/>
      <color rgb="FF000000"/>
      <name val="等线"/>
      <family val="3"/>
      <charset val="134"/>
    </font>
    <font>
      <u/>
      <sz val="10"/>
      <color rgb="FF333333"/>
      <name val="-apple-system"/>
    </font>
    <font>
      <u/>
      <sz val="10"/>
      <color rgb="FF0000FF"/>
      <name val="Arial"/>
      <family val="2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Arial"/>
      <family val="2"/>
    </font>
    <font>
      <b/>
      <sz val="10"/>
      <name val="Arial"/>
      <family val="2"/>
      <charset val="134"/>
    </font>
    <font>
      <sz val="11"/>
      <color rgb="FF006100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2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</cellStyleXfs>
  <cellXfs count="8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176" fontId="3" fillId="0" borderId="0" xfId="0" applyNumberFormat="1" applyFont="1" applyAlignment="1"/>
    <xf numFmtId="176" fontId="1" fillId="0" borderId="0" xfId="0" applyNumberFormat="1" applyFont="1" applyAlignment="1"/>
    <xf numFmtId="0" fontId="1" fillId="0" borderId="0" xfId="0" applyFont="1"/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7" xfId="0" applyFont="1" applyBorder="1" applyAlignment="1"/>
    <xf numFmtId="0" fontId="3" fillId="0" borderId="8" xfId="0" applyFont="1" applyBorder="1" applyAlignment="1"/>
    <xf numFmtId="0" fontId="2" fillId="2" borderId="9" xfId="0" applyFont="1" applyFill="1" applyBorder="1" applyAlignment="1"/>
    <xf numFmtId="0" fontId="3" fillId="0" borderId="10" xfId="0" applyFont="1" applyBorder="1" applyAlignment="1"/>
    <xf numFmtId="0" fontId="2" fillId="2" borderId="8" xfId="0" applyFont="1" applyFill="1" applyBorder="1" applyAlignment="1"/>
    <xf numFmtId="0" fontId="4" fillId="0" borderId="11" xfId="0" applyFont="1" applyBorder="1"/>
    <xf numFmtId="0" fontId="3" fillId="0" borderId="12" xfId="0" applyFont="1" applyBorder="1" applyAlignment="1"/>
    <xf numFmtId="0" fontId="2" fillId="2" borderId="13" xfId="0" applyFont="1" applyFill="1" applyBorder="1"/>
    <xf numFmtId="0" fontId="3" fillId="0" borderId="14" xfId="0" applyFont="1" applyBorder="1" applyAlignment="1"/>
    <xf numFmtId="0" fontId="2" fillId="2" borderId="15" xfId="0" applyFont="1" applyFill="1" applyBorder="1"/>
    <xf numFmtId="0" fontId="4" fillId="0" borderId="14" xfId="0" applyFont="1" applyBorder="1"/>
    <xf numFmtId="0" fontId="3" fillId="0" borderId="15" xfId="0" applyFont="1" applyBorder="1" applyAlignment="1"/>
    <xf numFmtId="0" fontId="4" fillId="2" borderId="13" xfId="0" applyFont="1" applyFill="1" applyBorder="1" applyAlignment="1">
      <alignment horizontal="left" vertical="center"/>
    </xf>
    <xf numFmtId="0" fontId="4" fillId="2" borderId="13" xfId="0" applyFont="1" applyFill="1" applyBorder="1" applyAlignment="1"/>
    <xf numFmtId="0" fontId="4" fillId="0" borderId="15" xfId="0" applyFont="1" applyBorder="1"/>
    <xf numFmtId="0" fontId="4" fillId="0" borderId="16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/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17" fillId="0" borderId="0" xfId="0" applyFont="1" applyAlignment="1"/>
    <xf numFmtId="0" fontId="12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/>
    </xf>
    <xf numFmtId="0" fontId="12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13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21" fillId="2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3" borderId="0" xfId="1" applyAlignment="1">
      <alignment horizontal="center" vertical="center"/>
    </xf>
    <xf numFmtId="0" fontId="23" fillId="4" borderId="0" xfId="2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3">
    <cellStyle name="常规" xfId="0" builtinId="0"/>
    <cellStyle name="好" xfId="1" builtinId="26"/>
    <cellStyle name="适中" xfId="2" builtinId="28"/>
  </cellStyles>
  <dxfs count="4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rotate-image/description/" TargetMode="External"/><Relationship Id="rId18" Type="http://schemas.openxmlformats.org/officeDocument/2006/relationships/hyperlink" Target="https://leetcode.com/problems/word-search/description/" TargetMode="External"/><Relationship Id="rId26" Type="http://schemas.openxmlformats.org/officeDocument/2006/relationships/hyperlink" Target="https://leetcode.com/problems/min-stack/description/" TargetMode="External"/><Relationship Id="rId39" Type="http://schemas.openxmlformats.org/officeDocument/2006/relationships/hyperlink" Target="https://leetcode.com/problems/water-and-jug-problem/description/" TargetMode="External"/><Relationship Id="rId21" Type="http://schemas.openxmlformats.org/officeDocument/2006/relationships/hyperlink" Target="https://leetcode.com/problems/convert-sorted-list-to-binary-search-tree/description/" TargetMode="External"/><Relationship Id="rId34" Type="http://schemas.openxmlformats.org/officeDocument/2006/relationships/hyperlink" Target="https://leetcode.com/problems/move-zeroes/description/" TargetMode="External"/><Relationship Id="rId42" Type="http://schemas.openxmlformats.org/officeDocument/2006/relationships/hyperlink" Target="https://leetcode.com/problems/string-compression/description/" TargetMode="External"/><Relationship Id="rId47" Type="http://schemas.openxmlformats.org/officeDocument/2006/relationships/hyperlink" Target="https://leetcode.com/problems/number-of-distinct-islands/description/" TargetMode="External"/><Relationship Id="rId50" Type="http://schemas.openxmlformats.org/officeDocument/2006/relationships/hyperlink" Target="https://leetcode.com/problems/time-based-key-value-store/description/" TargetMode="External"/><Relationship Id="rId7" Type="http://schemas.openxmlformats.org/officeDocument/2006/relationships/hyperlink" Target="https://leetcode.com/problems/valid-parentheses/description/" TargetMode="External"/><Relationship Id="rId2" Type="http://schemas.openxmlformats.org/officeDocument/2006/relationships/hyperlink" Target="https://leetcode.com/problems/add-two-numbers/description/" TargetMode="External"/><Relationship Id="rId16" Type="http://schemas.openxmlformats.org/officeDocument/2006/relationships/hyperlink" Target="https://leetcode.com/problems/minimum-window-substring/description/" TargetMode="External"/><Relationship Id="rId29" Type="http://schemas.openxmlformats.org/officeDocument/2006/relationships/hyperlink" Target="https://leetcode.com/problems/number-of-islands/description/" TargetMode="External"/><Relationship Id="rId11" Type="http://schemas.openxmlformats.org/officeDocument/2006/relationships/hyperlink" Target="https://leetcode.com/problems/swap-nodes-in-pairs/description/" TargetMode="External"/><Relationship Id="rId24" Type="http://schemas.openxmlformats.org/officeDocument/2006/relationships/hyperlink" Target="https://leetcode.com/problems/word-ladder/description/" TargetMode="External"/><Relationship Id="rId32" Type="http://schemas.openxmlformats.org/officeDocument/2006/relationships/hyperlink" Target="https://leetcode.com/problems/meeting-rooms-ii/description/" TargetMode="External"/><Relationship Id="rId37" Type="http://schemas.openxmlformats.org/officeDocument/2006/relationships/hyperlink" Target="https://leetcode.com/problems/flatten-nested-list-iterator/description/" TargetMode="External"/><Relationship Id="rId40" Type="http://schemas.openxmlformats.org/officeDocument/2006/relationships/hyperlink" Target="https://leetcode.com/problems/convert-binary-search-tree-to-sorted-doubly-linked-list/description/" TargetMode="External"/><Relationship Id="rId45" Type="http://schemas.openxmlformats.org/officeDocument/2006/relationships/hyperlink" Target="https://leetcode.com/problems/design-search-autocomplete-system/description/" TargetMode="External"/><Relationship Id="rId5" Type="http://schemas.openxmlformats.org/officeDocument/2006/relationships/hyperlink" Target="https://leetcode.com/problems/container-with-most-water/description/" TargetMode="External"/><Relationship Id="rId15" Type="http://schemas.openxmlformats.org/officeDocument/2006/relationships/hyperlink" Target="https://leetcode.com/problems/sqrtx/description/" TargetMode="External"/><Relationship Id="rId23" Type="http://schemas.openxmlformats.org/officeDocument/2006/relationships/hyperlink" Target="https://leetcode.com/problems/word-ladder-ii/description/" TargetMode="External"/><Relationship Id="rId28" Type="http://schemas.openxmlformats.org/officeDocument/2006/relationships/hyperlink" Target="https://leetcode.com/problems/find-peak-element/description/" TargetMode="External"/><Relationship Id="rId36" Type="http://schemas.openxmlformats.org/officeDocument/2006/relationships/hyperlink" Target="https://leetcode.com/problems/largest-bst-subtree/description/" TargetMode="External"/><Relationship Id="rId49" Type="http://schemas.openxmlformats.org/officeDocument/2006/relationships/hyperlink" Target="https://leetcode.com/problems/asteroid-collision/description/" TargetMode="External"/><Relationship Id="rId10" Type="http://schemas.openxmlformats.org/officeDocument/2006/relationships/hyperlink" Target="https://leetcode.com/problems/merge-k-sorted-lists/description/" TargetMode="External"/><Relationship Id="rId19" Type="http://schemas.openxmlformats.org/officeDocument/2006/relationships/hyperlink" Target="https://leetcode.com/problems/merge-sorted-array/description/" TargetMode="External"/><Relationship Id="rId31" Type="http://schemas.openxmlformats.org/officeDocument/2006/relationships/hyperlink" Target="https://leetcode.com/problems/sliding-window-maximum/description/" TargetMode="External"/><Relationship Id="rId44" Type="http://schemas.openxmlformats.org/officeDocument/2006/relationships/hyperlink" Target="https://leetcode.com/problems/smallest-range-covering-elements-from-k-lists/description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regular-expression-matching/description/" TargetMode="External"/><Relationship Id="rId9" Type="http://schemas.openxmlformats.org/officeDocument/2006/relationships/hyperlink" Target="https://leetcode.com/problems/generate-parentheses/description/" TargetMode="External"/><Relationship Id="rId14" Type="http://schemas.openxmlformats.org/officeDocument/2006/relationships/hyperlink" Target="https://leetcode.com/problems/text-justification/description/" TargetMode="External"/><Relationship Id="rId22" Type="http://schemas.openxmlformats.org/officeDocument/2006/relationships/hyperlink" Target="https://leetcode.com/problems/best-time-to-buy-and-sell-stock/description/" TargetMode="External"/><Relationship Id="rId27" Type="http://schemas.openxmlformats.org/officeDocument/2006/relationships/hyperlink" Target="https://leetcode.com/problems/read-n-characters-given-read4-ii-call-multiple-times/description/" TargetMode="External"/><Relationship Id="rId30" Type="http://schemas.openxmlformats.org/officeDocument/2006/relationships/hyperlink" Target="https://leetcode.com/problems/product-of-array-except-self/description/" TargetMode="External"/><Relationship Id="rId35" Type="http://schemas.openxmlformats.org/officeDocument/2006/relationships/hyperlink" Target="https://leetcode.com/problems/range-sum-query-2d-immutable/description/" TargetMode="External"/><Relationship Id="rId43" Type="http://schemas.openxmlformats.org/officeDocument/2006/relationships/hyperlink" Target="https://leetcode.com/problems/permutation-in-string/description/" TargetMode="External"/><Relationship Id="rId48" Type="http://schemas.openxmlformats.org/officeDocument/2006/relationships/hyperlink" Target="https://leetcode.com/problems/max-stack/description/" TargetMode="External"/><Relationship Id="rId8" Type="http://schemas.openxmlformats.org/officeDocument/2006/relationships/hyperlink" Target="https://leetcode.com/problems/merge-two-sorted-lists/description/" TargetMode="External"/><Relationship Id="rId51" Type="http://schemas.openxmlformats.org/officeDocument/2006/relationships/hyperlink" Target="https://leetcode.com/problems/missing-element-in-sorted-array/description/" TargetMode="External"/><Relationship Id="rId3" Type="http://schemas.openxmlformats.org/officeDocument/2006/relationships/hyperlink" Target="https://leetcode.com/problems/reverse-integer/description/" TargetMode="External"/><Relationship Id="rId12" Type="http://schemas.openxmlformats.org/officeDocument/2006/relationships/hyperlink" Target="https://leetcode.com/problems/trapping-rain-water/description/" TargetMode="External"/><Relationship Id="rId17" Type="http://schemas.openxmlformats.org/officeDocument/2006/relationships/hyperlink" Target="https://leetcode.com/problems/subsets/description/" TargetMode="External"/><Relationship Id="rId25" Type="http://schemas.openxmlformats.org/officeDocument/2006/relationships/hyperlink" Target="https://leetcode.com/problems/lru-cache/description/" TargetMode="External"/><Relationship Id="rId33" Type="http://schemas.openxmlformats.org/officeDocument/2006/relationships/hyperlink" Target="https://leetcode.com/problems/perfect-squares/description/" TargetMode="External"/><Relationship Id="rId38" Type="http://schemas.openxmlformats.org/officeDocument/2006/relationships/hyperlink" Target="https://leetcode.com/problems/intersection-of-two-arrays/description/" TargetMode="External"/><Relationship Id="rId46" Type="http://schemas.openxmlformats.org/officeDocument/2006/relationships/hyperlink" Target="https://leetcode.com/problems/find-duplicate-subtrees/description/" TargetMode="External"/><Relationship Id="rId20" Type="http://schemas.openxmlformats.org/officeDocument/2006/relationships/hyperlink" Target="https://leetcode.com/problems/decode-ways/description/" TargetMode="External"/><Relationship Id="rId41" Type="http://schemas.openxmlformats.org/officeDocument/2006/relationships/hyperlink" Target="https://leetcode.com/problems/find-all-duplicates-in-an-array/description/" TargetMode="External"/><Relationship Id="rId1" Type="http://schemas.openxmlformats.org/officeDocument/2006/relationships/hyperlink" Target="https://leetcode.com/problems/two-sum/description/" TargetMode="External"/><Relationship Id="rId6" Type="http://schemas.openxmlformats.org/officeDocument/2006/relationships/hyperlink" Target="https://leetcode.com/problems/letter-combinations-of-a-phone-number/description/" TargetMode="External"/></Relationships>
</file>

<file path=xl/worksheets/_rels/sheet7.xml.rels><?xml version="1.0" encoding="UTF-8" standalone="yes"?>
<Relationships xmlns="http://schemas.openxmlformats.org/package/2006/relationships"><Relationship Id="rId21" Type="http://schemas.openxmlformats.org/officeDocument/2006/relationships/hyperlink" Target="https://leetcode.com/problems/merge-two-sorted-lists/description/" TargetMode="External"/><Relationship Id="rId170" Type="http://schemas.openxmlformats.org/officeDocument/2006/relationships/hyperlink" Target="https://leetcode.com/problems/two-sum-iii-data-structure-design/description/" TargetMode="External"/><Relationship Id="rId268" Type="http://schemas.openxmlformats.org/officeDocument/2006/relationships/hyperlink" Target="https://leetcode.com/problems/missing-number/description/" TargetMode="External"/><Relationship Id="rId475" Type="http://schemas.openxmlformats.org/officeDocument/2006/relationships/hyperlink" Target="https://leetcode.com/problems/heaters/description/" TargetMode="External"/><Relationship Id="rId682" Type="http://schemas.openxmlformats.org/officeDocument/2006/relationships/hyperlink" Target="https://leetcode.com/problems/baseball-game/description/" TargetMode="External"/><Relationship Id="rId128" Type="http://schemas.openxmlformats.org/officeDocument/2006/relationships/hyperlink" Target="https://leetcode.com/problems/longest-consecutive-sequence/description/" TargetMode="External"/><Relationship Id="rId335" Type="http://schemas.openxmlformats.org/officeDocument/2006/relationships/hyperlink" Target="https://leetcode.com/problems/self-crossing/description/" TargetMode="External"/><Relationship Id="rId542" Type="http://schemas.openxmlformats.org/officeDocument/2006/relationships/hyperlink" Target="https://leetcode.com/problems/01-matrix/description/" TargetMode="External"/><Relationship Id="rId987" Type="http://schemas.openxmlformats.org/officeDocument/2006/relationships/hyperlink" Target="https://leetcode.com/problems/interval-list-intersections/description/" TargetMode="External"/><Relationship Id="rId1172" Type="http://schemas.openxmlformats.org/officeDocument/2006/relationships/hyperlink" Target="https://leetcode.com/problems/prime-arrangements/description/" TargetMode="External"/><Relationship Id="rId402" Type="http://schemas.openxmlformats.org/officeDocument/2006/relationships/hyperlink" Target="https://leetcode.com/problems/remove-k-digits/description/" TargetMode="External"/><Relationship Id="rId847" Type="http://schemas.openxmlformats.org/officeDocument/2006/relationships/hyperlink" Target="https://leetcode.com/problems/hand-of-straights/description/" TargetMode="External"/><Relationship Id="rId1032" Type="http://schemas.openxmlformats.org/officeDocument/2006/relationships/hyperlink" Target="https://leetcode.com/problems/maximum-sum-of-two-non-overlapping-subarrays/description/" TargetMode="External"/><Relationship Id="rId1477" Type="http://schemas.openxmlformats.org/officeDocument/2006/relationships/hyperlink" Target="https://leetcode.com/problems/minimum-number-of-days-to-make-m-bouquets/description/" TargetMode="External"/><Relationship Id="rId707" Type="http://schemas.openxmlformats.org/officeDocument/2006/relationships/hyperlink" Target="https://leetcode.com/problems/design-linked-list/description/" TargetMode="External"/><Relationship Id="rId914" Type="http://schemas.openxmlformats.org/officeDocument/2006/relationships/hyperlink" Target="https://leetcode.com/problems/cat-and-mouse/description/" TargetMode="External"/><Relationship Id="rId1337" Type="http://schemas.openxmlformats.org/officeDocument/2006/relationships/hyperlink" Target="https://leetcode.com/problems/number-of-sub-arrays-of-size-k-and-average-greater-than-or-equal-to-threshold/description/" TargetMode="External"/><Relationship Id="rId43" Type="http://schemas.openxmlformats.org/officeDocument/2006/relationships/hyperlink" Target="https://leetcode.com/problems/multiply-strings/description/" TargetMode="External"/><Relationship Id="rId1404" Type="http://schemas.openxmlformats.org/officeDocument/2006/relationships/hyperlink" Target="https://leetcode.com/problems/html-entity-parser/description/" TargetMode="External"/><Relationship Id="rId192" Type="http://schemas.openxmlformats.org/officeDocument/2006/relationships/hyperlink" Target="https://leetcode.com/problems/word-frequency/description/" TargetMode="External"/><Relationship Id="rId497" Type="http://schemas.openxmlformats.org/officeDocument/2006/relationships/hyperlink" Target="https://leetcode.com/problems/random-point-in-non-overlapping-rectangles/description/" TargetMode="External"/><Relationship Id="rId357" Type="http://schemas.openxmlformats.org/officeDocument/2006/relationships/hyperlink" Target="https://leetcode.com/problems/count-numbers-with-unique-digits/description/" TargetMode="External"/><Relationship Id="rId1194" Type="http://schemas.openxmlformats.org/officeDocument/2006/relationships/hyperlink" Target="https://leetcode.com/problems/minimum-time-to-build-blocks/description/" TargetMode="External"/><Relationship Id="rId217" Type="http://schemas.openxmlformats.org/officeDocument/2006/relationships/hyperlink" Target="https://leetcode.com/problems/contains-duplicate/description/" TargetMode="External"/><Relationship Id="rId564" Type="http://schemas.openxmlformats.org/officeDocument/2006/relationships/hyperlink" Target="https://leetcode.com/problems/find-the-closest-palindrome/description/" TargetMode="External"/><Relationship Id="rId771" Type="http://schemas.openxmlformats.org/officeDocument/2006/relationships/hyperlink" Target="https://leetcode.com/problems/jewels-and-stones/description/" TargetMode="External"/><Relationship Id="rId869" Type="http://schemas.openxmlformats.org/officeDocument/2006/relationships/hyperlink" Target="https://leetcode.com/problems/binary-gap/description/" TargetMode="External"/><Relationship Id="rId424" Type="http://schemas.openxmlformats.org/officeDocument/2006/relationships/hyperlink" Target="https://leetcode.com/problems/longest-repeating-character-replacement/description/" TargetMode="External"/><Relationship Id="rId631" Type="http://schemas.openxmlformats.org/officeDocument/2006/relationships/hyperlink" Target="https://leetcode.com/problems/design-excel-sum-formula/description/" TargetMode="External"/><Relationship Id="rId729" Type="http://schemas.openxmlformats.org/officeDocument/2006/relationships/hyperlink" Target="https://leetcode.com/problems/my-calendar-i/description/" TargetMode="External"/><Relationship Id="rId1054" Type="http://schemas.openxmlformats.org/officeDocument/2006/relationships/hyperlink" Target="https://leetcode.com/problems/previous-permutation-with-one-swap/description/" TargetMode="External"/><Relationship Id="rId1261" Type="http://schemas.openxmlformats.org/officeDocument/2006/relationships/hyperlink" Target="https://leetcode.com/problems/minimum-time-visiting-all-points/description/" TargetMode="External"/><Relationship Id="rId1359" Type="http://schemas.openxmlformats.org/officeDocument/2006/relationships/hyperlink" Target="https://leetcode.com/problems/how-many-numbers-are-smaller-than-the-current-number/description/" TargetMode="External"/><Relationship Id="rId936" Type="http://schemas.openxmlformats.org/officeDocument/2006/relationships/hyperlink" Target="https://leetcode.com/problems/knight-dialer/description/" TargetMode="External"/><Relationship Id="rId1121" Type="http://schemas.openxmlformats.org/officeDocument/2006/relationships/hyperlink" Target="https://leetcode.com/problems/longest-well-performing-interval/description/" TargetMode="External"/><Relationship Id="rId1219" Type="http://schemas.openxmlformats.org/officeDocument/2006/relationships/hyperlink" Target="http://media.net/" TargetMode="External"/><Relationship Id="rId65" Type="http://schemas.openxmlformats.org/officeDocument/2006/relationships/hyperlink" Target="https://leetcode.com/problems/valid-number/description/" TargetMode="External"/><Relationship Id="rId1426" Type="http://schemas.openxmlformats.org/officeDocument/2006/relationships/hyperlink" Target="https://leetcode.com/problems/kids-with-the-greatest-number-of-candies/description/" TargetMode="External"/><Relationship Id="rId281" Type="http://schemas.openxmlformats.org/officeDocument/2006/relationships/hyperlink" Target="https://leetcode.com/problems/zigzag-iterator/description/" TargetMode="External"/><Relationship Id="rId141" Type="http://schemas.openxmlformats.org/officeDocument/2006/relationships/hyperlink" Target="https://leetcode.com/problems/linked-list-cycle/description/" TargetMode="External"/><Relationship Id="rId379" Type="http://schemas.openxmlformats.org/officeDocument/2006/relationships/hyperlink" Target="https://leetcode.com/problems/design-phone-directory/description/" TargetMode="External"/><Relationship Id="rId586" Type="http://schemas.openxmlformats.org/officeDocument/2006/relationships/hyperlink" Target="https://leetcode.com/problems/customer-placing-the-largest-number-of-orders/description/" TargetMode="External"/><Relationship Id="rId793" Type="http://schemas.openxmlformats.org/officeDocument/2006/relationships/hyperlink" Target="https://leetcode.com/problems/number-of-matching-subsequences/description/" TargetMode="External"/><Relationship Id="rId7" Type="http://schemas.openxmlformats.org/officeDocument/2006/relationships/hyperlink" Target="https://leetcode.com/problems/reverse-integer/description/" TargetMode="External"/><Relationship Id="rId239" Type="http://schemas.openxmlformats.org/officeDocument/2006/relationships/hyperlink" Target="https://leetcode.com/problems/sliding-window-maximum/description/" TargetMode="External"/><Relationship Id="rId446" Type="http://schemas.openxmlformats.org/officeDocument/2006/relationships/hyperlink" Target="https://leetcode.com/problems/arithmetic-slices-ii-subsequence/description/" TargetMode="External"/><Relationship Id="rId653" Type="http://schemas.openxmlformats.org/officeDocument/2006/relationships/hyperlink" Target="https://leetcode.com/problems/two-sum-iv-input-is-a-bst/description/" TargetMode="External"/><Relationship Id="rId1076" Type="http://schemas.openxmlformats.org/officeDocument/2006/relationships/hyperlink" Target="https://leetcode.com/problems/project-employees-i/description/" TargetMode="External"/><Relationship Id="rId1283" Type="http://schemas.openxmlformats.org/officeDocument/2006/relationships/hyperlink" Target="https://leetcode.com/problems/minimum-falling-path-sum-ii/description/" TargetMode="External"/><Relationship Id="rId306" Type="http://schemas.openxmlformats.org/officeDocument/2006/relationships/hyperlink" Target="https://leetcode.com/problems/additive-number/description/" TargetMode="External"/><Relationship Id="rId860" Type="http://schemas.openxmlformats.org/officeDocument/2006/relationships/hyperlink" Target="https://leetcode.com/problems/buddy-strings/description/" TargetMode="External"/><Relationship Id="rId958" Type="http://schemas.openxmlformats.org/officeDocument/2006/relationships/hyperlink" Target="https://leetcode.com/problems/prison-cells-after-n-days/description/" TargetMode="External"/><Relationship Id="rId1143" Type="http://schemas.openxmlformats.org/officeDocument/2006/relationships/hyperlink" Target="https://leetcode.com/problems/snapshot-array/description/" TargetMode="External"/><Relationship Id="rId87" Type="http://schemas.openxmlformats.org/officeDocument/2006/relationships/hyperlink" Target="https://leetcode.com/problems/scramble-string/description/" TargetMode="External"/><Relationship Id="rId513" Type="http://schemas.openxmlformats.org/officeDocument/2006/relationships/hyperlink" Target="https://leetcode.com/problems/find-bottom-left-tree-value/description/" TargetMode="External"/><Relationship Id="rId720" Type="http://schemas.openxmlformats.org/officeDocument/2006/relationships/hyperlink" Target="https://leetcode.com/problems/longest-word-in-dictionary/description/" TargetMode="External"/><Relationship Id="rId818" Type="http://schemas.openxmlformats.org/officeDocument/2006/relationships/hyperlink" Target="https://leetcode.com/problems/linked-list-components/description/" TargetMode="External"/><Relationship Id="rId1350" Type="http://schemas.openxmlformats.org/officeDocument/2006/relationships/hyperlink" Target="https://leetcode.com/problems/sort-integers-by-the-number-of-1-bits/description/" TargetMode="External"/><Relationship Id="rId1448" Type="http://schemas.openxmlformats.org/officeDocument/2006/relationships/hyperlink" Target="https://leetcode.com/problems/maximum-number-of-darts-inside-of-a-circular-dartboard/description/" TargetMode="External"/><Relationship Id="rId1003" Type="http://schemas.openxmlformats.org/officeDocument/2006/relationships/hyperlink" Target="https://leetcode.com/problems/find-common-characters/description/" TargetMode="External"/><Relationship Id="rId1210" Type="http://schemas.openxmlformats.org/officeDocument/2006/relationships/hyperlink" Target="https://leetcode.com/problems/stepping-numbers/description/" TargetMode="External"/><Relationship Id="rId1308" Type="http://schemas.openxmlformats.org/officeDocument/2006/relationships/hyperlink" Target="https://leetcode.com/problems/matrix-block-sum/description/" TargetMode="External"/><Relationship Id="rId14" Type="http://schemas.openxmlformats.org/officeDocument/2006/relationships/hyperlink" Target="https://leetcode.com/problems/longest-common-prefix/description/" TargetMode="External"/><Relationship Id="rId163" Type="http://schemas.openxmlformats.org/officeDocument/2006/relationships/hyperlink" Target="https://leetcode.com/problems/missing-ranges/description/" TargetMode="External"/><Relationship Id="rId370" Type="http://schemas.openxmlformats.org/officeDocument/2006/relationships/hyperlink" Target="https://leetcode.com/problems/range-addition/description/" TargetMode="External"/><Relationship Id="rId230" Type="http://schemas.openxmlformats.org/officeDocument/2006/relationships/hyperlink" Target="https://leetcode.com/problems/kth-smallest-element-in-a-bst/description/" TargetMode="External"/><Relationship Id="rId468" Type="http://schemas.openxmlformats.org/officeDocument/2006/relationships/hyperlink" Target="https://leetcode.com/problems/validate-ip-address/description/" TargetMode="External"/><Relationship Id="rId675" Type="http://schemas.openxmlformats.org/officeDocument/2006/relationships/hyperlink" Target="https://leetcode.com/problems/cut-off-trees-for-golf-event/description/" TargetMode="External"/><Relationship Id="rId882" Type="http://schemas.openxmlformats.org/officeDocument/2006/relationships/hyperlink" Target="https://leetcode.com/problems/boats-to-save-people/description/" TargetMode="External"/><Relationship Id="rId1098" Type="http://schemas.openxmlformats.org/officeDocument/2006/relationships/hyperlink" Target="https://leetcode.com/problems/game-play-analysis-v/description/" TargetMode="External"/><Relationship Id="rId328" Type="http://schemas.openxmlformats.org/officeDocument/2006/relationships/hyperlink" Target="https://leetcode.com/problems/odd-even-linked-list/description/" TargetMode="External"/><Relationship Id="rId535" Type="http://schemas.openxmlformats.org/officeDocument/2006/relationships/hyperlink" Target="https://leetcode.com/problems/encode-and-decode-tinyurl/description/" TargetMode="External"/><Relationship Id="rId742" Type="http://schemas.openxmlformats.org/officeDocument/2006/relationships/hyperlink" Target="https://leetcode.com/problems/closest-leaf-in-a-binary-tree/description/" TargetMode="External"/><Relationship Id="rId1165" Type="http://schemas.openxmlformats.org/officeDocument/2006/relationships/hyperlink" Target="https://leetcode.com/problems/optimize-water-distribution-in-a-village/description/" TargetMode="External"/><Relationship Id="rId1372" Type="http://schemas.openxmlformats.org/officeDocument/2006/relationships/hyperlink" Target="https://leetcode.com/problems/replace-employee-id-with-the-unique-identifier/description/" TargetMode="External"/><Relationship Id="rId602" Type="http://schemas.openxmlformats.org/officeDocument/2006/relationships/hyperlink" Target="https://leetcode.com/problems/friend-requests-ii-who-has-the-most-friends/description/" TargetMode="External"/><Relationship Id="rId1025" Type="http://schemas.openxmlformats.org/officeDocument/2006/relationships/hyperlink" Target="https://leetcode.com/problems/video-stitching/description/" TargetMode="External"/><Relationship Id="rId1232" Type="http://schemas.openxmlformats.org/officeDocument/2006/relationships/hyperlink" Target="https://leetcode.com/problems/web-crawler/description/" TargetMode="External"/><Relationship Id="rId907" Type="http://schemas.openxmlformats.org/officeDocument/2006/relationships/hyperlink" Target="https://leetcode.com/problems/super-palindromes/description/" TargetMode="External"/><Relationship Id="rId36" Type="http://schemas.openxmlformats.org/officeDocument/2006/relationships/hyperlink" Target="https://leetcode.com/problems/valid-sudoku/description/" TargetMode="External"/><Relationship Id="rId185" Type="http://schemas.openxmlformats.org/officeDocument/2006/relationships/hyperlink" Target="https://leetcode.com/problems/department-top-three-salaries/description/" TargetMode="External"/><Relationship Id="rId392" Type="http://schemas.openxmlformats.org/officeDocument/2006/relationships/hyperlink" Target="https://leetcode.com/problems/is-subsequence/description/" TargetMode="External"/><Relationship Id="rId697" Type="http://schemas.openxmlformats.org/officeDocument/2006/relationships/hyperlink" Target="https://leetcode.com/problems/degree-of-an-array/description/" TargetMode="External"/><Relationship Id="rId252" Type="http://schemas.openxmlformats.org/officeDocument/2006/relationships/hyperlink" Target="https://leetcode.com/problems/meeting-rooms/description/" TargetMode="External"/><Relationship Id="rId1187" Type="http://schemas.openxmlformats.org/officeDocument/2006/relationships/hyperlink" Target="https://leetcode.com/problems/k-concatenation-maximum-sum/description/" TargetMode="External"/><Relationship Id="rId112" Type="http://schemas.openxmlformats.org/officeDocument/2006/relationships/hyperlink" Target="https://leetcode.com/problems/path-sum/description/" TargetMode="External"/><Relationship Id="rId557" Type="http://schemas.openxmlformats.org/officeDocument/2006/relationships/hyperlink" Target="https://leetcode.com/problems/reverse-words-in-a-string-iii/description/" TargetMode="External"/><Relationship Id="rId764" Type="http://schemas.openxmlformats.org/officeDocument/2006/relationships/hyperlink" Target="https://leetcode.com/problems/largest-plus-sign/description/" TargetMode="External"/><Relationship Id="rId971" Type="http://schemas.openxmlformats.org/officeDocument/2006/relationships/hyperlink" Target="https://leetcode.com/problems/powerful-integers/description/" TargetMode="External"/><Relationship Id="rId1394" Type="http://schemas.openxmlformats.org/officeDocument/2006/relationships/hyperlink" Target="https://leetcode.com/problems/construct-k-palindrome-strings/description/" TargetMode="External"/><Relationship Id="rId417" Type="http://schemas.openxmlformats.org/officeDocument/2006/relationships/hyperlink" Target="https://leetcode.com/problems/pacific-atlantic-water-flow/description/" TargetMode="External"/><Relationship Id="rId624" Type="http://schemas.openxmlformats.org/officeDocument/2006/relationships/hyperlink" Target="https://leetcode.com/problems/maximum-distance-in-arrays/description/" TargetMode="External"/><Relationship Id="rId831" Type="http://schemas.openxmlformats.org/officeDocument/2006/relationships/hyperlink" Target="https://leetcode.com/problems/positions-of-large-groups/description/" TargetMode="External"/><Relationship Id="rId1047" Type="http://schemas.openxmlformats.org/officeDocument/2006/relationships/hyperlink" Target="https://leetcode.com/problems/last-stone-weight/description/" TargetMode="External"/><Relationship Id="rId1254" Type="http://schemas.openxmlformats.org/officeDocument/2006/relationships/hyperlink" Target="https://leetcode.com/problems/handshakes-that-dont-cross/description/" TargetMode="External"/><Relationship Id="rId1461" Type="http://schemas.openxmlformats.org/officeDocument/2006/relationships/hyperlink" Target="https://leetcode.com/problems/reorder-routes-to-make-all-paths-lead-to-the-city-zero/description/" TargetMode="External"/><Relationship Id="rId929" Type="http://schemas.openxmlformats.org/officeDocument/2006/relationships/hyperlink" Target="https://leetcode.com/problems/minimize-malware-spread-ii/description/" TargetMode="External"/><Relationship Id="rId1114" Type="http://schemas.openxmlformats.org/officeDocument/2006/relationships/hyperlink" Target="https://leetcode.com/problems/reported-posts/description/" TargetMode="External"/><Relationship Id="rId1321" Type="http://schemas.openxmlformats.org/officeDocument/2006/relationships/hyperlink" Target="https://leetcode.com/problems/list-the-products-ordered-in-a-period/description/" TargetMode="External"/><Relationship Id="rId58" Type="http://schemas.openxmlformats.org/officeDocument/2006/relationships/hyperlink" Target="https://leetcode.com/problems/length-of-last-word/description/" TargetMode="External"/><Relationship Id="rId1419" Type="http://schemas.openxmlformats.org/officeDocument/2006/relationships/hyperlink" Target="https://leetcode.com/problems/diagonal-traverse-ii/description/" TargetMode="External"/><Relationship Id="rId274" Type="http://schemas.openxmlformats.org/officeDocument/2006/relationships/hyperlink" Target="https://leetcode.com/problems/h-index/description/" TargetMode="External"/><Relationship Id="rId481" Type="http://schemas.openxmlformats.org/officeDocument/2006/relationships/hyperlink" Target="https://leetcode.com/problems/magical-string/description/" TargetMode="External"/><Relationship Id="rId134" Type="http://schemas.openxmlformats.org/officeDocument/2006/relationships/hyperlink" Target="https://leetcode.com/problems/gas-station/description/" TargetMode="External"/><Relationship Id="rId579" Type="http://schemas.openxmlformats.org/officeDocument/2006/relationships/hyperlink" Target="https://leetcode.com/problems/find-cumulative-salary-of-an-employee/description/" TargetMode="External"/><Relationship Id="rId786" Type="http://schemas.openxmlformats.org/officeDocument/2006/relationships/hyperlink" Target="https://leetcode.com/problems/k-th-smallest-prime-fraction/description/" TargetMode="External"/><Relationship Id="rId993" Type="http://schemas.openxmlformats.org/officeDocument/2006/relationships/hyperlink" Target="https://leetcode.com/problems/subarrays-with-k-different-integers/description/" TargetMode="External"/><Relationship Id="rId341" Type="http://schemas.openxmlformats.org/officeDocument/2006/relationships/hyperlink" Target="https://leetcode.com/problems/flatten-nested-list-iterator/description/" TargetMode="External"/><Relationship Id="rId439" Type="http://schemas.openxmlformats.org/officeDocument/2006/relationships/hyperlink" Target="https://leetcode.com/problems/ternary-expression-parser/description/" TargetMode="External"/><Relationship Id="rId646" Type="http://schemas.openxmlformats.org/officeDocument/2006/relationships/hyperlink" Target="https://leetcode.com/problems/maximum-length-of-pair-chain/description/" TargetMode="External"/><Relationship Id="rId1069" Type="http://schemas.openxmlformats.org/officeDocument/2006/relationships/hyperlink" Target="https://leetcode.com/problems/product-sales-analysis-i/description/" TargetMode="External"/><Relationship Id="rId1276" Type="http://schemas.openxmlformats.org/officeDocument/2006/relationships/hyperlink" Target="https://leetcode.com/problems/group-the-people-given-the-group-size-they-belong-to/description/" TargetMode="External"/><Relationship Id="rId201" Type="http://schemas.openxmlformats.org/officeDocument/2006/relationships/hyperlink" Target="https://leetcode.com/problems/bitwise-and-of-numbers-range/description/" TargetMode="External"/><Relationship Id="rId506" Type="http://schemas.openxmlformats.org/officeDocument/2006/relationships/hyperlink" Target="https://leetcode.com/problems/relative-ranks/description/" TargetMode="External"/><Relationship Id="rId853" Type="http://schemas.openxmlformats.org/officeDocument/2006/relationships/hyperlink" Target="https://leetcode.com/problems/peak-index-in-a-mountain-array/description/" TargetMode="External"/><Relationship Id="rId1136" Type="http://schemas.openxmlformats.org/officeDocument/2006/relationships/hyperlink" Target="https://leetcode.com/problems/largest-1-bordered-square/description/" TargetMode="External"/><Relationship Id="rId713" Type="http://schemas.openxmlformats.org/officeDocument/2006/relationships/hyperlink" Target="https://leetcode.com/problems/subarray-product-less-than-k/description/" TargetMode="External"/><Relationship Id="rId920" Type="http://schemas.openxmlformats.org/officeDocument/2006/relationships/hyperlink" Target="https://leetcode.com/problems/complete-binary-tree-inserter/description/" TargetMode="External"/><Relationship Id="rId1343" Type="http://schemas.openxmlformats.org/officeDocument/2006/relationships/hyperlink" Target="https://leetcode.com/problems/maximum-students-taking-exam/description/" TargetMode="External"/><Relationship Id="rId1203" Type="http://schemas.openxmlformats.org/officeDocument/2006/relationships/hyperlink" Target="https://leetcode.com/problems/get-equal-substrings-within-budget/description/" TargetMode="External"/><Relationship Id="rId1410" Type="http://schemas.openxmlformats.org/officeDocument/2006/relationships/hyperlink" Target="https://leetcode.com/problems/restore-the-array/description/" TargetMode="External"/><Relationship Id="rId296" Type="http://schemas.openxmlformats.org/officeDocument/2006/relationships/hyperlink" Target="https://leetcode.com/problems/best-meeting-point/description/" TargetMode="External"/><Relationship Id="rId156" Type="http://schemas.openxmlformats.org/officeDocument/2006/relationships/hyperlink" Target="https://leetcode.com/problems/binary-tree-upside-down/description/" TargetMode="External"/><Relationship Id="rId363" Type="http://schemas.openxmlformats.org/officeDocument/2006/relationships/hyperlink" Target="https://leetcode.com/problems/max-sum-of-rectangle-no-larger-than-k/description/" TargetMode="External"/><Relationship Id="rId570" Type="http://schemas.openxmlformats.org/officeDocument/2006/relationships/hyperlink" Target="https://leetcode.com/problems/managers-with-at-least-5-direct-reports/description/" TargetMode="External"/><Relationship Id="rId223" Type="http://schemas.openxmlformats.org/officeDocument/2006/relationships/hyperlink" Target="https://leetcode.com/problems/rectangle-area/description/" TargetMode="External"/><Relationship Id="rId430" Type="http://schemas.openxmlformats.org/officeDocument/2006/relationships/hyperlink" Target="https://leetcode.com/problems/flatten-a-multilevel-doubly-linked-list/description/" TargetMode="External"/><Relationship Id="rId668" Type="http://schemas.openxmlformats.org/officeDocument/2006/relationships/hyperlink" Target="https://leetcode.com/problems/kth-smallest-number-in-multiplication-table/description/" TargetMode="External"/><Relationship Id="rId875" Type="http://schemas.openxmlformats.org/officeDocument/2006/relationships/hyperlink" Target="https://leetcode.com/problems/walking-robot-simulation/description/" TargetMode="External"/><Relationship Id="rId1060" Type="http://schemas.openxmlformats.org/officeDocument/2006/relationships/hyperlink" Target="https://leetcode.com/problems/all-paths-from-source-lead-to-destination/description/" TargetMode="External"/><Relationship Id="rId1298" Type="http://schemas.openxmlformats.org/officeDocument/2006/relationships/hyperlink" Target="https://leetcode.com/problems/find-n-unique-integers-sum-up-to-zero/description/" TargetMode="External"/><Relationship Id="rId528" Type="http://schemas.openxmlformats.org/officeDocument/2006/relationships/hyperlink" Target="https://leetcode.com/problems/random-pick-with-weight/description/" TargetMode="External"/><Relationship Id="rId735" Type="http://schemas.openxmlformats.org/officeDocument/2006/relationships/hyperlink" Target="https://leetcode.com/problems/asteroid-collision/description/" TargetMode="External"/><Relationship Id="rId942" Type="http://schemas.openxmlformats.org/officeDocument/2006/relationships/hyperlink" Target="https://leetcode.com/problems/valid-mountain-array/description/" TargetMode="External"/><Relationship Id="rId1158" Type="http://schemas.openxmlformats.org/officeDocument/2006/relationships/hyperlink" Target="https://leetcode.com/problems/maximum-level-sum-of-a-binary-tree/description/" TargetMode="External"/><Relationship Id="rId1365" Type="http://schemas.openxmlformats.org/officeDocument/2006/relationships/hyperlink" Target="https://leetcode.com/problems/find-the-longest-substring-containing-vowels-in-even-counts/description/" TargetMode="External"/><Relationship Id="rId1018" Type="http://schemas.openxmlformats.org/officeDocument/2006/relationships/hyperlink" Target="https://leetcode.com/problems/convert-to-base-2/description/" TargetMode="External"/><Relationship Id="rId1225" Type="http://schemas.openxmlformats.org/officeDocument/2006/relationships/hyperlink" Target="https://leetcode.com/problems/meeting-scheduler/description/" TargetMode="External"/><Relationship Id="rId1432" Type="http://schemas.openxmlformats.org/officeDocument/2006/relationships/hyperlink" Target="https://leetcode.com/problems/check-if-all-1s-are-at-least-length-k-places-away/description/" TargetMode="External"/><Relationship Id="rId71" Type="http://schemas.openxmlformats.org/officeDocument/2006/relationships/hyperlink" Target="https://leetcode.com/problems/simplify-path/description/" TargetMode="External"/><Relationship Id="rId802" Type="http://schemas.openxmlformats.org/officeDocument/2006/relationships/hyperlink" Target="https://leetcode.com/problems/minimum-swaps-to-make-sequences-increasing/description/" TargetMode="External"/><Relationship Id="rId29" Type="http://schemas.openxmlformats.org/officeDocument/2006/relationships/hyperlink" Target="https://leetcode.com/problems/divide-two-integers/description/" TargetMode="External"/><Relationship Id="rId178" Type="http://schemas.openxmlformats.org/officeDocument/2006/relationships/hyperlink" Target="https://leetcode.com/problems/rank-scores/description/" TargetMode="External"/><Relationship Id="rId385" Type="http://schemas.openxmlformats.org/officeDocument/2006/relationships/hyperlink" Target="https://leetcode.com/problems/mini-parser/description/" TargetMode="External"/><Relationship Id="rId592" Type="http://schemas.openxmlformats.org/officeDocument/2006/relationships/hyperlink" Target="https://leetcode.com/problems/fraction-addition-and-subtraction/description/" TargetMode="External"/><Relationship Id="rId245" Type="http://schemas.openxmlformats.org/officeDocument/2006/relationships/hyperlink" Target="https://leetcode.com/problems/shortest-word-distance-iii/description/" TargetMode="External"/><Relationship Id="rId452" Type="http://schemas.openxmlformats.org/officeDocument/2006/relationships/hyperlink" Target="https://leetcode.com/problems/minimum-number-of-arrows-to-burst-balloons/description/" TargetMode="External"/><Relationship Id="rId897" Type="http://schemas.openxmlformats.org/officeDocument/2006/relationships/hyperlink" Target="https://leetcode.com/problems/monotonic-array/description/" TargetMode="External"/><Relationship Id="rId1082" Type="http://schemas.openxmlformats.org/officeDocument/2006/relationships/hyperlink" Target="https://leetcode.com/problems/smallest-subsequence-of-distinct-characters/description/" TargetMode="External"/><Relationship Id="rId105" Type="http://schemas.openxmlformats.org/officeDocument/2006/relationships/hyperlink" Target="https://leetcode.com/problems/construct-binary-tree-from-preorder-and-inorder-traversal/description/" TargetMode="External"/><Relationship Id="rId312" Type="http://schemas.openxmlformats.org/officeDocument/2006/relationships/hyperlink" Target="https://leetcode.com/problems/burst-balloons/description/" TargetMode="External"/><Relationship Id="rId757" Type="http://schemas.openxmlformats.org/officeDocument/2006/relationships/hyperlink" Target="https://leetcode.com/problems/set-intersection-size-at-least-two/description/" TargetMode="External"/><Relationship Id="rId964" Type="http://schemas.openxmlformats.org/officeDocument/2006/relationships/hyperlink" Target="https://leetcode.com/problems/minimum-area-rectangle-ii/description/" TargetMode="External"/><Relationship Id="rId1387" Type="http://schemas.openxmlformats.org/officeDocument/2006/relationships/hyperlink" Target="https://leetcode.com/problems/capital-gainloss/description/" TargetMode="External"/><Relationship Id="rId93" Type="http://schemas.openxmlformats.org/officeDocument/2006/relationships/hyperlink" Target="https://leetcode.com/problems/restore-ip-addresses/description/" TargetMode="External"/><Relationship Id="rId617" Type="http://schemas.openxmlformats.org/officeDocument/2006/relationships/hyperlink" Target="https://leetcode.com/problems/merge-two-binary-trees/description/" TargetMode="External"/><Relationship Id="rId824" Type="http://schemas.openxmlformats.org/officeDocument/2006/relationships/hyperlink" Target="https://leetcode.com/problems/binary-trees-with-factors/description/" TargetMode="External"/><Relationship Id="rId1247" Type="http://schemas.openxmlformats.org/officeDocument/2006/relationships/hyperlink" Target="https://leetcode.com/problems/cells-with-odd-values-in-a-matrix/description/" TargetMode="External"/><Relationship Id="rId1454" Type="http://schemas.openxmlformats.org/officeDocument/2006/relationships/hyperlink" Target="https://leetcode.com/problems/rectangles-area/description/" TargetMode="External"/><Relationship Id="rId1107" Type="http://schemas.openxmlformats.org/officeDocument/2006/relationships/hyperlink" Target="https://leetcode.com/problems/parsing-a-boolean-expression/description/" TargetMode="External"/><Relationship Id="rId1314" Type="http://schemas.openxmlformats.org/officeDocument/2006/relationships/hyperlink" Target="https://leetcode.com/problems/minimum-distance-to-type-a-word-using-two-fingers/description/" TargetMode="External"/><Relationship Id="rId20" Type="http://schemas.openxmlformats.org/officeDocument/2006/relationships/hyperlink" Target="https://leetcode.com/problems/valid-parentheses/description/" TargetMode="External"/><Relationship Id="rId267" Type="http://schemas.openxmlformats.org/officeDocument/2006/relationships/hyperlink" Target="https://leetcode.com/problems/palindrome-permutation-ii/description/" TargetMode="External"/><Relationship Id="rId474" Type="http://schemas.openxmlformats.org/officeDocument/2006/relationships/hyperlink" Target="https://leetcode.com/problems/ones-and-zeroes/description/" TargetMode="External"/><Relationship Id="rId127" Type="http://schemas.openxmlformats.org/officeDocument/2006/relationships/hyperlink" Target="https://leetcode.com/problems/word-ladder/description/" TargetMode="External"/><Relationship Id="rId681" Type="http://schemas.openxmlformats.org/officeDocument/2006/relationships/hyperlink" Target="https://leetcode.com/problems/next-closest-time/description/" TargetMode="External"/><Relationship Id="rId779" Type="http://schemas.openxmlformats.org/officeDocument/2006/relationships/hyperlink" Target="https://leetcode.com/problems/k-th-symbol-in-grammar/description/" TargetMode="External"/><Relationship Id="rId986" Type="http://schemas.openxmlformats.org/officeDocument/2006/relationships/hyperlink" Target="https://leetcode.com/problems/sum-of-even-numbers-after-queries/description/" TargetMode="External"/><Relationship Id="rId334" Type="http://schemas.openxmlformats.org/officeDocument/2006/relationships/hyperlink" Target="https://leetcode.com/problems/increasing-triplet-subsequence/description/" TargetMode="External"/><Relationship Id="rId541" Type="http://schemas.openxmlformats.org/officeDocument/2006/relationships/hyperlink" Target="https://leetcode.com/problems/reverse-string-ii/description/" TargetMode="External"/><Relationship Id="rId639" Type="http://schemas.openxmlformats.org/officeDocument/2006/relationships/hyperlink" Target="https://leetcode.com/problems/decode-ways-ii/description/" TargetMode="External"/><Relationship Id="rId1171" Type="http://schemas.openxmlformats.org/officeDocument/2006/relationships/hyperlink" Target="https://leetcode.com/problems/immediate-food-delivery-ii/description/" TargetMode="External"/><Relationship Id="rId1269" Type="http://schemas.openxmlformats.org/officeDocument/2006/relationships/hyperlink" Target="https://leetcode.com/problems/number-of-ships-in-a-rectangle/description/" TargetMode="External"/><Relationship Id="rId1476" Type="http://schemas.openxmlformats.org/officeDocument/2006/relationships/hyperlink" Target="https://leetcode.com/problems/least-number-of-unique-integers-after-k-removals/description/" TargetMode="External"/><Relationship Id="rId401" Type="http://schemas.openxmlformats.org/officeDocument/2006/relationships/hyperlink" Target="https://leetcode.com/problems/binary-watch/description/" TargetMode="External"/><Relationship Id="rId846" Type="http://schemas.openxmlformats.org/officeDocument/2006/relationships/hyperlink" Target="https://leetcode.com/problems/longest-mountain-in-array/description/" TargetMode="External"/><Relationship Id="rId1031" Type="http://schemas.openxmlformats.org/officeDocument/2006/relationships/hyperlink" Target="https://leetcode.com/problems/matrix-cells-in-distance-order/description/" TargetMode="External"/><Relationship Id="rId1129" Type="http://schemas.openxmlformats.org/officeDocument/2006/relationships/hyperlink" Target="https://leetcode.com/problems/reported-posts-ii/description/" TargetMode="External"/><Relationship Id="rId706" Type="http://schemas.openxmlformats.org/officeDocument/2006/relationships/hyperlink" Target="https://leetcode.com/problems/design-hashmap/description/" TargetMode="External"/><Relationship Id="rId913" Type="http://schemas.openxmlformats.org/officeDocument/2006/relationships/hyperlink" Target="https://leetcode.com/problems/sort-an-array/description/" TargetMode="External"/><Relationship Id="rId1336" Type="http://schemas.openxmlformats.org/officeDocument/2006/relationships/hyperlink" Target="https://leetcode.com/problems/number-of-steps-to-reduce-a-number-to-zero/description/" TargetMode="External"/><Relationship Id="rId42" Type="http://schemas.openxmlformats.org/officeDocument/2006/relationships/hyperlink" Target="https://leetcode.com/problems/trapping-rain-water/description/" TargetMode="External"/><Relationship Id="rId1403" Type="http://schemas.openxmlformats.org/officeDocument/2006/relationships/hyperlink" Target="https://leetcode.com/problems/queries-on-a-permutation-with-key/description/" TargetMode="External"/><Relationship Id="rId191" Type="http://schemas.openxmlformats.org/officeDocument/2006/relationships/hyperlink" Target="https://leetcode.com/problems/number-of-1-bits/description/" TargetMode="External"/><Relationship Id="rId289" Type="http://schemas.openxmlformats.org/officeDocument/2006/relationships/hyperlink" Target="https://leetcode.com/problems/game-of-life/description/" TargetMode="External"/><Relationship Id="rId496" Type="http://schemas.openxmlformats.org/officeDocument/2006/relationships/hyperlink" Target="https://leetcode.com/problems/next-greater-element-i/description/" TargetMode="External"/><Relationship Id="rId149" Type="http://schemas.openxmlformats.org/officeDocument/2006/relationships/hyperlink" Target="https://leetcode.com/problems/max-points-on-a-line/description/" TargetMode="External"/><Relationship Id="rId356" Type="http://schemas.openxmlformats.org/officeDocument/2006/relationships/hyperlink" Target="https://leetcode.com/problems/line-reflection/description/" TargetMode="External"/><Relationship Id="rId563" Type="http://schemas.openxmlformats.org/officeDocument/2006/relationships/hyperlink" Target="https://leetcode.com/problems/binary-tree-tilt/description/" TargetMode="External"/><Relationship Id="rId770" Type="http://schemas.openxmlformats.org/officeDocument/2006/relationships/hyperlink" Target="https://leetcode.com/problems/basic-calculator-iv/description/" TargetMode="External"/><Relationship Id="rId1193" Type="http://schemas.openxmlformats.org/officeDocument/2006/relationships/hyperlink" Target="https://leetcode.com/problems/find-smallest-common-element-in-all-rows/description/" TargetMode="External"/><Relationship Id="rId216" Type="http://schemas.openxmlformats.org/officeDocument/2006/relationships/hyperlink" Target="https://leetcode.com/problems/combination-sum-iii/description/" TargetMode="External"/><Relationship Id="rId423" Type="http://schemas.openxmlformats.org/officeDocument/2006/relationships/hyperlink" Target="https://leetcode.com/problems/reconstruct-original-digits-from-english/description/" TargetMode="External"/><Relationship Id="rId868" Type="http://schemas.openxmlformats.org/officeDocument/2006/relationships/hyperlink" Target="https://leetcode.com/problems/transpose-matrix/description/" TargetMode="External"/><Relationship Id="rId1053" Type="http://schemas.openxmlformats.org/officeDocument/2006/relationships/hyperlink" Target="https://leetcode.com/problems/grumpy-bookstore-owner/description/" TargetMode="External"/><Relationship Id="rId1260" Type="http://schemas.openxmlformats.org/officeDocument/2006/relationships/hyperlink" Target="https://leetcode.com/problems/print-immutable-linked-list-in-reverse/description/" TargetMode="External"/><Relationship Id="rId630" Type="http://schemas.openxmlformats.org/officeDocument/2006/relationships/hyperlink" Target="https://leetcode.com/problems/course-schedule-iii/description/" TargetMode="External"/><Relationship Id="rId728" Type="http://schemas.openxmlformats.org/officeDocument/2006/relationships/hyperlink" Target="https://leetcode.com/problems/self-dividing-numbers/description/" TargetMode="External"/><Relationship Id="rId935" Type="http://schemas.openxmlformats.org/officeDocument/2006/relationships/hyperlink" Target="https://leetcode.com/problems/shortest-bridge/description/" TargetMode="External"/><Relationship Id="rId1358" Type="http://schemas.openxmlformats.org/officeDocument/2006/relationships/hyperlink" Target="https://leetcode.com/problems/number-of-trusted-contacts-of-a-customer/description/" TargetMode="External"/><Relationship Id="rId64" Type="http://schemas.openxmlformats.org/officeDocument/2006/relationships/hyperlink" Target="https://leetcode.com/problems/minimum-path-sum/description/" TargetMode="External"/><Relationship Id="rId1120" Type="http://schemas.openxmlformats.org/officeDocument/2006/relationships/hyperlink" Target="https://leetcode.com/problems/lowest-common-ancestor-of-deepest-leaves/description/" TargetMode="External"/><Relationship Id="rId1218" Type="http://schemas.openxmlformats.org/officeDocument/2006/relationships/hyperlink" Target="https://leetcode.com/problems/queens-that-can-attack-the-king/description/" TargetMode="External"/><Relationship Id="rId1425" Type="http://schemas.openxmlformats.org/officeDocument/2006/relationships/hyperlink" Target="https://leetcode.com/problems/check-if-a-string-is-a-valid-sequence-from-root-to-leaves-path-in-a-binary-tree/description/" TargetMode="External"/><Relationship Id="rId280" Type="http://schemas.openxmlformats.org/officeDocument/2006/relationships/hyperlink" Target="https://leetcode.com/problems/wiggle-sort/description/" TargetMode="External"/><Relationship Id="rId140" Type="http://schemas.openxmlformats.org/officeDocument/2006/relationships/hyperlink" Target="https://leetcode.com/problems/word-break-ii/description/" TargetMode="External"/><Relationship Id="rId378" Type="http://schemas.openxmlformats.org/officeDocument/2006/relationships/hyperlink" Target="https://leetcode.com/problems/kth-smallest-element-in-a-sorted-matrix/description/" TargetMode="External"/><Relationship Id="rId585" Type="http://schemas.openxmlformats.org/officeDocument/2006/relationships/hyperlink" Target="https://leetcode.com/problems/investments-in-2016/description/" TargetMode="External"/><Relationship Id="rId792" Type="http://schemas.openxmlformats.org/officeDocument/2006/relationships/hyperlink" Target="https://leetcode.com/problems/custom-sort-string/description/" TargetMode="External"/><Relationship Id="rId6" Type="http://schemas.openxmlformats.org/officeDocument/2006/relationships/hyperlink" Target="https://leetcode.com/problems/zigzag-conversion/description/" TargetMode="External"/><Relationship Id="rId238" Type="http://schemas.openxmlformats.org/officeDocument/2006/relationships/hyperlink" Target="https://leetcode.com/problems/product-of-array-except-self/description/" TargetMode="External"/><Relationship Id="rId445" Type="http://schemas.openxmlformats.org/officeDocument/2006/relationships/hyperlink" Target="https://leetcode.com/problems/add-two-numbers-ii/description/" TargetMode="External"/><Relationship Id="rId652" Type="http://schemas.openxmlformats.org/officeDocument/2006/relationships/hyperlink" Target="https://leetcode.com/problems/find-duplicate-subtrees/description/" TargetMode="External"/><Relationship Id="rId1075" Type="http://schemas.openxmlformats.org/officeDocument/2006/relationships/hyperlink" Target="https://leetcode.com/problems/number-of-submatrices-that-sum-to-target/description/" TargetMode="External"/><Relationship Id="rId1282" Type="http://schemas.openxmlformats.org/officeDocument/2006/relationships/hyperlink" Target="https://leetcode.com/problems/remove-covered-intervals/description/" TargetMode="External"/><Relationship Id="rId305" Type="http://schemas.openxmlformats.org/officeDocument/2006/relationships/hyperlink" Target="https://leetcode.com/problems/number-of-islands-ii/description/" TargetMode="External"/><Relationship Id="rId512" Type="http://schemas.openxmlformats.org/officeDocument/2006/relationships/hyperlink" Target="https://leetcode.com/problems/game-play-analysis-ii/description/" TargetMode="External"/><Relationship Id="rId957" Type="http://schemas.openxmlformats.org/officeDocument/2006/relationships/hyperlink" Target="https://leetcode.com/problems/tallest-billboard/description/" TargetMode="External"/><Relationship Id="rId1142" Type="http://schemas.openxmlformats.org/officeDocument/2006/relationships/hyperlink" Target="https://leetcode.com/problems/binary-tree-coloring-game/description/" TargetMode="External"/><Relationship Id="rId86" Type="http://schemas.openxmlformats.org/officeDocument/2006/relationships/hyperlink" Target="https://leetcode.com/problems/partition-list/description/" TargetMode="External"/><Relationship Id="rId817" Type="http://schemas.openxmlformats.org/officeDocument/2006/relationships/hyperlink" Target="https://leetcode.com/problems/ambiguous-coordinates/description/" TargetMode="External"/><Relationship Id="rId1002" Type="http://schemas.openxmlformats.org/officeDocument/2006/relationships/hyperlink" Target="https://leetcode.com/problems/grid-illumination/description/" TargetMode="External"/><Relationship Id="rId1447" Type="http://schemas.openxmlformats.org/officeDocument/2006/relationships/hyperlink" Target="https://leetcode.com/problems/people-whose-list-of-favorite-companies-is-not-a-subset-of-another-list/description/" TargetMode="External"/><Relationship Id="rId1307" Type="http://schemas.openxmlformats.org/officeDocument/2006/relationships/hyperlink" Target="https://leetcode.com/problems/decompress-run-length-encoded-list/description/" TargetMode="External"/><Relationship Id="rId13" Type="http://schemas.openxmlformats.org/officeDocument/2006/relationships/hyperlink" Target="https://leetcode.com/problems/roman-to-integer/description/" TargetMode="External"/><Relationship Id="rId162" Type="http://schemas.openxmlformats.org/officeDocument/2006/relationships/hyperlink" Target="https://leetcode.com/problems/find-peak-element/description/" TargetMode="External"/><Relationship Id="rId467" Type="http://schemas.openxmlformats.org/officeDocument/2006/relationships/hyperlink" Target="https://leetcode.com/problems/unique-substrings-in-wraparound-string/description/" TargetMode="External"/><Relationship Id="rId1097" Type="http://schemas.openxmlformats.org/officeDocument/2006/relationships/hyperlink" Target="https://leetcode.com/problems/brace-expansion-ii/description/" TargetMode="External"/><Relationship Id="rId674" Type="http://schemas.openxmlformats.org/officeDocument/2006/relationships/hyperlink" Target="https://leetcode.com/problems/longest-continuous-increasing-subsequence/description/" TargetMode="External"/><Relationship Id="rId881" Type="http://schemas.openxmlformats.org/officeDocument/2006/relationships/hyperlink" Target="https://leetcode.com/problems/decoded-string-at-index/description/" TargetMode="External"/><Relationship Id="rId979" Type="http://schemas.openxmlformats.org/officeDocument/2006/relationships/hyperlink" Target="https://leetcode.com/problems/longest-turbulent-subarray/description/" TargetMode="External"/><Relationship Id="rId327" Type="http://schemas.openxmlformats.org/officeDocument/2006/relationships/hyperlink" Target="https://leetcode.com/problems/count-of-range-sum/description/" TargetMode="External"/><Relationship Id="rId534" Type="http://schemas.openxmlformats.org/officeDocument/2006/relationships/hyperlink" Target="https://leetcode.com/problems/game-play-analysis-iii/description/" TargetMode="External"/><Relationship Id="rId741" Type="http://schemas.openxmlformats.org/officeDocument/2006/relationships/hyperlink" Target="https://leetcode.com/problems/cherry-pickup/description/" TargetMode="External"/><Relationship Id="rId839" Type="http://schemas.openxmlformats.org/officeDocument/2006/relationships/hyperlink" Target="https://leetcode.com/problems/push-dominoes/description/" TargetMode="External"/><Relationship Id="rId1164" Type="http://schemas.openxmlformats.org/officeDocument/2006/relationships/hyperlink" Target="https://leetcode.com/problems/minimum-cost-to-connect-sticks/description/" TargetMode="External"/><Relationship Id="rId1371" Type="http://schemas.openxmlformats.org/officeDocument/2006/relationships/hyperlink" Target="https://leetcode.com/problems/frog-position-after-t-seconds/description/" TargetMode="External"/><Relationship Id="rId1469" Type="http://schemas.openxmlformats.org/officeDocument/2006/relationships/hyperlink" Target="https://leetcode.com/problems/delete-n-nodes-after-m-nodes-of-a-linked-list/description/" TargetMode="External"/><Relationship Id="rId601" Type="http://schemas.openxmlformats.org/officeDocument/2006/relationships/hyperlink" Target="https://leetcode.com/problems/human-traffic-of-stadium/description/" TargetMode="External"/><Relationship Id="rId1024" Type="http://schemas.openxmlformats.org/officeDocument/2006/relationships/hyperlink" Target="https://leetcode.com/problems/camelcase-matching/description/" TargetMode="External"/><Relationship Id="rId1231" Type="http://schemas.openxmlformats.org/officeDocument/2006/relationships/hyperlink" Target="https://leetcode.com/problems/maximum-profit-in-job-scheduling/description/" TargetMode="External"/><Relationship Id="rId906" Type="http://schemas.openxmlformats.org/officeDocument/2006/relationships/hyperlink" Target="https://leetcode.com/problems/sort-array-by-parity/description/" TargetMode="External"/><Relationship Id="rId1329" Type="http://schemas.openxmlformats.org/officeDocument/2006/relationships/hyperlink" Target="https://leetcode.com/problems/minimum-difficulty-of-a-job-schedule/description/" TargetMode="External"/><Relationship Id="rId35" Type="http://schemas.openxmlformats.org/officeDocument/2006/relationships/hyperlink" Target="https://leetcode.com/problems/search-insert-position/description/" TargetMode="External"/><Relationship Id="rId184" Type="http://schemas.openxmlformats.org/officeDocument/2006/relationships/hyperlink" Target="https://leetcode.com/problems/department-highest-salary/description/" TargetMode="External"/><Relationship Id="rId391" Type="http://schemas.openxmlformats.org/officeDocument/2006/relationships/hyperlink" Target="https://leetcode.com/problems/perfect-rectangle/description/" TargetMode="External"/><Relationship Id="rId251" Type="http://schemas.openxmlformats.org/officeDocument/2006/relationships/hyperlink" Target="https://leetcode.com/problems/flatten-2d-vector/description/" TargetMode="External"/><Relationship Id="rId489" Type="http://schemas.openxmlformats.org/officeDocument/2006/relationships/hyperlink" Target="https://leetcode.com/problems/robot-room-cleaner/description/" TargetMode="External"/><Relationship Id="rId696" Type="http://schemas.openxmlformats.org/officeDocument/2006/relationships/hyperlink" Target="https://leetcode.com/problems/count-binary-substrings/description/" TargetMode="External"/><Relationship Id="rId349" Type="http://schemas.openxmlformats.org/officeDocument/2006/relationships/hyperlink" Target="https://leetcode.com/problems/intersection-of-two-arrays/description/" TargetMode="External"/><Relationship Id="rId556" Type="http://schemas.openxmlformats.org/officeDocument/2006/relationships/hyperlink" Target="https://leetcode.com/problems/next-greater-element-iii/description/" TargetMode="External"/><Relationship Id="rId763" Type="http://schemas.openxmlformats.org/officeDocument/2006/relationships/hyperlink" Target="https://leetcode.com/problems/partition-labels/description/" TargetMode="External"/><Relationship Id="rId1186" Type="http://schemas.openxmlformats.org/officeDocument/2006/relationships/hyperlink" Target="https://leetcode.com/problems/reverse-substrings-between-each-pair-of-parentheses/description/" TargetMode="External"/><Relationship Id="rId1393" Type="http://schemas.openxmlformats.org/officeDocument/2006/relationships/hyperlink" Target="https://leetcode.com/problems/count-largest-group/description/" TargetMode="External"/><Relationship Id="rId111" Type="http://schemas.openxmlformats.org/officeDocument/2006/relationships/hyperlink" Target="https://leetcode.com/problems/minimum-depth-of-binary-tree/description/" TargetMode="External"/><Relationship Id="rId209" Type="http://schemas.openxmlformats.org/officeDocument/2006/relationships/hyperlink" Target="https://leetcode.com/problems/minimum-size-subarray-sum/description/" TargetMode="External"/><Relationship Id="rId416" Type="http://schemas.openxmlformats.org/officeDocument/2006/relationships/hyperlink" Target="https://leetcode.com/problems/partition-equal-subset-sum/description/" TargetMode="External"/><Relationship Id="rId970" Type="http://schemas.openxmlformats.org/officeDocument/2006/relationships/hyperlink" Target="https://leetcode.com/problems/pancake-sorting/description/" TargetMode="External"/><Relationship Id="rId1046" Type="http://schemas.openxmlformats.org/officeDocument/2006/relationships/hyperlink" Target="https://leetcode.com/problems/customers-who-bought-all-products/description/" TargetMode="External"/><Relationship Id="rId1253" Type="http://schemas.openxmlformats.org/officeDocument/2006/relationships/hyperlink" Target="https://leetcode.com/problems/synonymous-sentences/description/" TargetMode="External"/><Relationship Id="rId623" Type="http://schemas.openxmlformats.org/officeDocument/2006/relationships/hyperlink" Target="https://leetcode.com/problems/add-one-row-to-tree/description/" TargetMode="External"/><Relationship Id="rId830" Type="http://schemas.openxmlformats.org/officeDocument/2006/relationships/hyperlink" Target="https://leetcode.com/problems/consecutive-numbers-sum/description/" TargetMode="External"/><Relationship Id="rId928" Type="http://schemas.openxmlformats.org/officeDocument/2006/relationships/hyperlink" Target="https://leetcode.com/problems/three-equal-parts/description/" TargetMode="External"/><Relationship Id="rId1460" Type="http://schemas.openxmlformats.org/officeDocument/2006/relationships/hyperlink" Target="https://leetcode.com/problems/maximum-area-of-a-piece-of-cake-after-horizontal-and-vertical-cuts/description/" TargetMode="External"/><Relationship Id="rId57" Type="http://schemas.openxmlformats.org/officeDocument/2006/relationships/hyperlink" Target="https://leetcode.com/problems/insert-interval/description/" TargetMode="External"/><Relationship Id="rId1113" Type="http://schemas.openxmlformats.org/officeDocument/2006/relationships/hyperlink" Target="https://leetcode.com/problems/highest-grade-for-each-student/description/" TargetMode="External"/><Relationship Id="rId1320" Type="http://schemas.openxmlformats.org/officeDocument/2006/relationships/hyperlink" Target="https://leetcode.com/problems/minimum-number-of-taps-to-open-to-water-a-garden/description/" TargetMode="External"/><Relationship Id="rId1418" Type="http://schemas.openxmlformats.org/officeDocument/2006/relationships/hyperlink" Target="https://leetcode.com/problems/maximum-points-you-can-obtain-from-cards/description/" TargetMode="External"/><Relationship Id="rId273" Type="http://schemas.openxmlformats.org/officeDocument/2006/relationships/hyperlink" Target="https://leetcode.com/problems/integer-to-english-words/description/" TargetMode="External"/><Relationship Id="rId480" Type="http://schemas.openxmlformats.org/officeDocument/2006/relationships/hyperlink" Target="https://leetcode.com/problems/sliding-window-median/description/" TargetMode="External"/><Relationship Id="rId133" Type="http://schemas.openxmlformats.org/officeDocument/2006/relationships/hyperlink" Target="https://leetcode.com/problems/clone-graph/description/" TargetMode="External"/><Relationship Id="rId340" Type="http://schemas.openxmlformats.org/officeDocument/2006/relationships/hyperlink" Target="https://leetcode.com/problems/longest-substring-with-at-most-k-distinct-characters/description/" TargetMode="External"/><Relationship Id="rId578" Type="http://schemas.openxmlformats.org/officeDocument/2006/relationships/hyperlink" Target="https://leetcode.com/problems/get-highest-answer-rate-question/description/" TargetMode="External"/><Relationship Id="rId785" Type="http://schemas.openxmlformats.org/officeDocument/2006/relationships/hyperlink" Target="https://leetcode.com/problems/is-graph-bipartite/description/" TargetMode="External"/><Relationship Id="rId992" Type="http://schemas.openxmlformats.org/officeDocument/2006/relationships/hyperlink" Target="https://leetcode.com/problems/broken-calculator/description/" TargetMode="External"/><Relationship Id="rId200" Type="http://schemas.openxmlformats.org/officeDocument/2006/relationships/hyperlink" Target="https://leetcode.com/problems/number-of-islands/description/" TargetMode="External"/><Relationship Id="rId438" Type="http://schemas.openxmlformats.org/officeDocument/2006/relationships/hyperlink" Target="https://leetcode.com/problems/find-all-anagrams-in-a-string/description/" TargetMode="External"/><Relationship Id="rId645" Type="http://schemas.openxmlformats.org/officeDocument/2006/relationships/hyperlink" Target="https://leetcode.com/problems/set-mismatch/description/" TargetMode="External"/><Relationship Id="rId852" Type="http://schemas.openxmlformats.org/officeDocument/2006/relationships/hyperlink" Target="https://leetcode.com/problems/loud-and-rich/description/" TargetMode="External"/><Relationship Id="rId1068" Type="http://schemas.openxmlformats.org/officeDocument/2006/relationships/hyperlink" Target="https://leetcode.com/problems/digit-count-in-range/description/" TargetMode="External"/><Relationship Id="rId1275" Type="http://schemas.openxmlformats.org/officeDocument/2006/relationships/hyperlink" Target="https://leetcode.com/problems/subtract-the-product-and-sum-of-digits-of-an-integer/description/" TargetMode="External"/><Relationship Id="rId505" Type="http://schemas.openxmlformats.org/officeDocument/2006/relationships/hyperlink" Target="https://leetcode.com/problems/the-maze-ii/description/" TargetMode="External"/><Relationship Id="rId712" Type="http://schemas.openxmlformats.org/officeDocument/2006/relationships/hyperlink" Target="https://leetcode.com/problems/minimum-ascii-delete-sum-for-two-strings/description/" TargetMode="External"/><Relationship Id="rId1135" Type="http://schemas.openxmlformats.org/officeDocument/2006/relationships/hyperlink" Target="https://leetcode.com/problems/alphabet-board-path/description/" TargetMode="External"/><Relationship Id="rId1342" Type="http://schemas.openxmlformats.org/officeDocument/2006/relationships/hyperlink" Target="https://leetcode.com/problems/tweet-counts-per-frequency/description/" TargetMode="External"/><Relationship Id="rId79" Type="http://schemas.openxmlformats.org/officeDocument/2006/relationships/hyperlink" Target="https://leetcode.com/problems/word-search/description/" TargetMode="External"/><Relationship Id="rId1202" Type="http://schemas.openxmlformats.org/officeDocument/2006/relationships/hyperlink" Target="https://leetcode.com/problems/unique-number-of-occurrences/description/" TargetMode="External"/><Relationship Id="rId295" Type="http://schemas.openxmlformats.org/officeDocument/2006/relationships/hyperlink" Target="https://leetcode.com/problems/find-median-from-data-stream/description/" TargetMode="External"/><Relationship Id="rId155" Type="http://schemas.openxmlformats.org/officeDocument/2006/relationships/hyperlink" Target="https://leetcode.com/problems/min-stack/description/" TargetMode="External"/><Relationship Id="rId362" Type="http://schemas.openxmlformats.org/officeDocument/2006/relationships/hyperlink" Target="https://leetcode.com/problems/design-hit-counter/description/" TargetMode="External"/><Relationship Id="rId1297" Type="http://schemas.openxmlformats.org/officeDocument/2006/relationships/hyperlink" Target="https://leetcode.com/problems/find-the-team-size/description/" TargetMode="External"/><Relationship Id="rId222" Type="http://schemas.openxmlformats.org/officeDocument/2006/relationships/hyperlink" Target="https://leetcode.com/problems/count-complete-tree-nodes/description/" TargetMode="External"/><Relationship Id="rId667" Type="http://schemas.openxmlformats.org/officeDocument/2006/relationships/hyperlink" Target="https://leetcode.com/problems/beautiful-arrangement-ii/description/" TargetMode="External"/><Relationship Id="rId874" Type="http://schemas.openxmlformats.org/officeDocument/2006/relationships/hyperlink" Target="https://leetcode.com/problems/length-of-longest-fibonacci-subsequence/description/" TargetMode="External"/><Relationship Id="rId527" Type="http://schemas.openxmlformats.org/officeDocument/2006/relationships/hyperlink" Target="https://leetcode.com/problems/word-abbreviation/description/" TargetMode="External"/><Relationship Id="rId734" Type="http://schemas.openxmlformats.org/officeDocument/2006/relationships/hyperlink" Target="https://leetcode.com/problems/sentence-similarity/description/" TargetMode="External"/><Relationship Id="rId941" Type="http://schemas.openxmlformats.org/officeDocument/2006/relationships/hyperlink" Target="https://leetcode.com/problems/distinct-subsequences-ii/description/" TargetMode="External"/><Relationship Id="rId1157" Type="http://schemas.openxmlformats.org/officeDocument/2006/relationships/hyperlink" Target="https://leetcode.com/problems/find-words-that-can-be-formed-by-characters/description/" TargetMode="External"/><Relationship Id="rId1364" Type="http://schemas.openxmlformats.org/officeDocument/2006/relationships/hyperlink" Target="https://leetcode.com/problems/increasing-decreasing-string/description/" TargetMode="External"/><Relationship Id="rId70" Type="http://schemas.openxmlformats.org/officeDocument/2006/relationships/hyperlink" Target="https://leetcode.com/problems/climbing-stairs/description/" TargetMode="External"/><Relationship Id="rId801" Type="http://schemas.openxmlformats.org/officeDocument/2006/relationships/hyperlink" Target="https://leetcode.com/problems/similar-rgb-color/description/" TargetMode="External"/><Relationship Id="rId1017" Type="http://schemas.openxmlformats.org/officeDocument/2006/relationships/hyperlink" Target="https://leetcode.com/problems/binary-string-with-substrings-representing-1-to-n/description/" TargetMode="External"/><Relationship Id="rId1224" Type="http://schemas.openxmlformats.org/officeDocument/2006/relationships/hyperlink" Target="https://leetcode.com/problems/missing-number-in-arithmetic-progression/description/" TargetMode="External"/><Relationship Id="rId1431" Type="http://schemas.openxmlformats.org/officeDocument/2006/relationships/hyperlink" Target="https://leetcode.com/problems/destination-city/description/" TargetMode="External"/><Relationship Id="rId28" Type="http://schemas.openxmlformats.org/officeDocument/2006/relationships/hyperlink" Target="https://leetcode.com/problems/implement-strstr/description/" TargetMode="External"/><Relationship Id="rId177" Type="http://schemas.openxmlformats.org/officeDocument/2006/relationships/hyperlink" Target="https://leetcode.com/problems/nth-highest-salary/description/" TargetMode="External"/><Relationship Id="rId384" Type="http://schemas.openxmlformats.org/officeDocument/2006/relationships/hyperlink" Target="https://leetcode.com/problems/shuffle-an-array/description/" TargetMode="External"/><Relationship Id="rId591" Type="http://schemas.openxmlformats.org/officeDocument/2006/relationships/hyperlink" Target="https://leetcode.com/problems/tag-validator/description/" TargetMode="External"/><Relationship Id="rId244" Type="http://schemas.openxmlformats.org/officeDocument/2006/relationships/hyperlink" Target="https://leetcode.com/problems/shortest-word-distance-ii/description/" TargetMode="External"/><Relationship Id="rId689" Type="http://schemas.openxmlformats.org/officeDocument/2006/relationships/hyperlink" Target="https://leetcode.com/problems/maximum-sum-of-3-non-overlapping-subarrays/description/" TargetMode="External"/><Relationship Id="rId896" Type="http://schemas.openxmlformats.org/officeDocument/2006/relationships/hyperlink" Target="https://leetcode.com/problems/maximum-frequency-stack/description/" TargetMode="External"/><Relationship Id="rId1081" Type="http://schemas.openxmlformats.org/officeDocument/2006/relationships/hyperlink" Target="https://leetcode.com/problems/insufficient-nodes-in-root-to-leaf-paths/description/" TargetMode="External"/><Relationship Id="rId451" Type="http://schemas.openxmlformats.org/officeDocument/2006/relationships/hyperlink" Target="https://leetcode.com/problems/sort-characters-by-frequency/description/" TargetMode="External"/><Relationship Id="rId549" Type="http://schemas.openxmlformats.org/officeDocument/2006/relationships/hyperlink" Target="https://leetcode.com/problems/binary-tree-longest-consecutive-sequence-ii/description/" TargetMode="External"/><Relationship Id="rId756" Type="http://schemas.openxmlformats.org/officeDocument/2006/relationships/hyperlink" Target="https://leetcode.com/problems/pyramid-transition-matrix/description/" TargetMode="External"/><Relationship Id="rId1179" Type="http://schemas.openxmlformats.org/officeDocument/2006/relationships/hyperlink" Target="https://leetcode.com/problems/shortest-distance-to-target-color/description/" TargetMode="External"/><Relationship Id="rId1386" Type="http://schemas.openxmlformats.org/officeDocument/2006/relationships/hyperlink" Target="https://leetcode.com/problems/longest-happy-prefix/description/" TargetMode="External"/><Relationship Id="rId104" Type="http://schemas.openxmlformats.org/officeDocument/2006/relationships/hyperlink" Target="https://leetcode.com/problems/maximum-depth-of-binary-tree/description/" TargetMode="External"/><Relationship Id="rId311" Type="http://schemas.openxmlformats.org/officeDocument/2006/relationships/hyperlink" Target="https://leetcode.com/problems/sparse-matrix-multiplication/description/" TargetMode="External"/><Relationship Id="rId409" Type="http://schemas.openxmlformats.org/officeDocument/2006/relationships/hyperlink" Target="https://leetcode.com/problems/longest-palindrome/description/" TargetMode="External"/><Relationship Id="rId963" Type="http://schemas.openxmlformats.org/officeDocument/2006/relationships/hyperlink" Target="https://leetcode.com/problems/maximum-width-ramp/description/" TargetMode="External"/><Relationship Id="rId1039" Type="http://schemas.openxmlformats.org/officeDocument/2006/relationships/hyperlink" Target="https://leetcode.com/problems/binary-search-tree-to-greater-sum-tree/description/" TargetMode="External"/><Relationship Id="rId1246" Type="http://schemas.openxmlformats.org/officeDocument/2006/relationships/hyperlink" Target="https://leetcode.com/problems/average-selling-price/description/" TargetMode="External"/><Relationship Id="rId92" Type="http://schemas.openxmlformats.org/officeDocument/2006/relationships/hyperlink" Target="https://leetcode.com/problems/reverse-linked-list-ii/description/" TargetMode="External"/><Relationship Id="rId616" Type="http://schemas.openxmlformats.org/officeDocument/2006/relationships/hyperlink" Target="https://leetcode.com/problems/add-bold-tag-in-string/description/" TargetMode="External"/><Relationship Id="rId823" Type="http://schemas.openxmlformats.org/officeDocument/2006/relationships/hyperlink" Target="https://leetcode.com/problems/card-flipping-game/description/" TargetMode="External"/><Relationship Id="rId1453" Type="http://schemas.openxmlformats.org/officeDocument/2006/relationships/hyperlink" Target="https://leetcode.com/problems/max-dot-product-of-two-subsequences/description/" TargetMode="External"/><Relationship Id="rId255" Type="http://schemas.openxmlformats.org/officeDocument/2006/relationships/hyperlink" Target="https://leetcode.com/problems/verify-preorder-sequence-in-binary-search-tree/description/" TargetMode="External"/><Relationship Id="rId462" Type="http://schemas.openxmlformats.org/officeDocument/2006/relationships/hyperlink" Target="https://leetcode.com/problems/minimum-moves-to-equal-array-elements-ii/description/" TargetMode="External"/><Relationship Id="rId1092" Type="http://schemas.openxmlformats.org/officeDocument/2006/relationships/hyperlink" Target="https://leetcode.com/problems/shortest-path-in-binary-matrix/description/" TargetMode="External"/><Relationship Id="rId1106" Type="http://schemas.openxmlformats.org/officeDocument/2006/relationships/hyperlink" Target="https://leetcode.com/problems/filling-bookcase-shelves/description/" TargetMode="External"/><Relationship Id="rId1313" Type="http://schemas.openxmlformats.org/officeDocument/2006/relationships/hyperlink" Target="https://leetcode.com/problems/number-of-operations-to-make-network-connected/description/" TargetMode="External"/><Relationship Id="rId1397" Type="http://schemas.openxmlformats.org/officeDocument/2006/relationships/hyperlink" Target="https://leetcode.com/problems/minimum-subsequence-in-non-increasing-order/description/" TargetMode="External"/><Relationship Id="rId115" Type="http://schemas.openxmlformats.org/officeDocument/2006/relationships/hyperlink" Target="https://leetcode.com/problems/distinct-subsequences/description/" TargetMode="External"/><Relationship Id="rId322" Type="http://schemas.openxmlformats.org/officeDocument/2006/relationships/hyperlink" Target="https://leetcode.com/problems/coin-change/description/" TargetMode="External"/><Relationship Id="rId767" Type="http://schemas.openxmlformats.org/officeDocument/2006/relationships/hyperlink" Target="https://leetcode.com/problems/reorganize-string/description/" TargetMode="External"/><Relationship Id="rId974" Type="http://schemas.openxmlformats.org/officeDocument/2006/relationships/hyperlink" Target="https://leetcode.com/problems/k-closest-points-to-origin/description/" TargetMode="External"/><Relationship Id="rId199" Type="http://schemas.openxmlformats.org/officeDocument/2006/relationships/hyperlink" Target="https://leetcode.com/problems/binary-tree-right-side-view/description/" TargetMode="External"/><Relationship Id="rId627" Type="http://schemas.openxmlformats.org/officeDocument/2006/relationships/hyperlink" Target="https://leetcode.com/problems/swap-salary/description/" TargetMode="External"/><Relationship Id="rId834" Type="http://schemas.openxmlformats.org/officeDocument/2006/relationships/hyperlink" Target="https://leetcode.com/problems/find-and-replace-in-string/description/" TargetMode="External"/><Relationship Id="rId1257" Type="http://schemas.openxmlformats.org/officeDocument/2006/relationships/hyperlink" Target="https://leetcode.com/problems/greatest-sum-divisible-by-three/description/" TargetMode="External"/><Relationship Id="rId1464" Type="http://schemas.openxmlformats.org/officeDocument/2006/relationships/hyperlink" Target="https://leetcode.com/problems/find-all-the-lonely-nodes/description/" TargetMode="External"/><Relationship Id="rId266" Type="http://schemas.openxmlformats.org/officeDocument/2006/relationships/hyperlink" Target="https://leetcode.com/problems/palindrome-permutation/description/" TargetMode="External"/><Relationship Id="rId473" Type="http://schemas.openxmlformats.org/officeDocument/2006/relationships/hyperlink" Target="https://leetcode.com/problems/matchsticks-to-square/description/" TargetMode="External"/><Relationship Id="rId680" Type="http://schemas.openxmlformats.org/officeDocument/2006/relationships/hyperlink" Target="https://leetcode.com/problems/valid-palindrome-ii/description/" TargetMode="External"/><Relationship Id="rId901" Type="http://schemas.openxmlformats.org/officeDocument/2006/relationships/hyperlink" Target="https://leetcode.com/problems/rle-iterator/description/" TargetMode="External"/><Relationship Id="rId1117" Type="http://schemas.openxmlformats.org/officeDocument/2006/relationships/hyperlink" Target="https://leetcode.com/problems/maximum-average-subtree/description/" TargetMode="External"/><Relationship Id="rId1324" Type="http://schemas.openxmlformats.org/officeDocument/2006/relationships/hyperlink" Target="https://leetcode.com/problems/reverse-subarray-to-maximize-array-value/description/" TargetMode="External"/><Relationship Id="rId30" Type="http://schemas.openxmlformats.org/officeDocument/2006/relationships/hyperlink" Target="https://leetcode.com/problems/substring-with-concatenation-of-all-words/description/" TargetMode="External"/><Relationship Id="rId126" Type="http://schemas.openxmlformats.org/officeDocument/2006/relationships/hyperlink" Target="https://leetcode.com/problems/word-ladder-ii/description/" TargetMode="External"/><Relationship Id="rId333" Type="http://schemas.openxmlformats.org/officeDocument/2006/relationships/hyperlink" Target="https://leetcode.com/problems/largest-bst-subtree/description/" TargetMode="External"/><Relationship Id="rId540" Type="http://schemas.openxmlformats.org/officeDocument/2006/relationships/hyperlink" Target="https://leetcode.com/problems/single-element-in-a-sorted-array/description/" TargetMode="External"/><Relationship Id="rId778" Type="http://schemas.openxmlformats.org/officeDocument/2006/relationships/hyperlink" Target="https://leetcode.com/problems/swim-in-rising-water/description/" TargetMode="External"/><Relationship Id="rId985" Type="http://schemas.openxmlformats.org/officeDocument/2006/relationships/hyperlink" Target="https://leetcode.com/problems/string-without-aaa-or-bbb/description/" TargetMode="External"/><Relationship Id="rId1170" Type="http://schemas.openxmlformats.org/officeDocument/2006/relationships/hyperlink" Target="https://leetcode.com/problems/immediate-food-delivery-i/description/" TargetMode="External"/><Relationship Id="rId638" Type="http://schemas.openxmlformats.org/officeDocument/2006/relationships/hyperlink" Target="https://leetcode.com/problems/shopping-offers/description/" TargetMode="External"/><Relationship Id="rId845" Type="http://schemas.openxmlformats.org/officeDocument/2006/relationships/hyperlink" Target="https://leetcode.com/problems/backspace-string-compare/description/" TargetMode="External"/><Relationship Id="rId1030" Type="http://schemas.openxmlformats.org/officeDocument/2006/relationships/hyperlink" Target="https://leetcode.com/problems/two-city-scheduling/description/" TargetMode="External"/><Relationship Id="rId1268" Type="http://schemas.openxmlformats.org/officeDocument/2006/relationships/hyperlink" Target="https://leetcode.com/problems/delete-tree-nodes/description/" TargetMode="External"/><Relationship Id="rId1475" Type="http://schemas.openxmlformats.org/officeDocument/2006/relationships/hyperlink" Target="https://leetcode.com/problems/running-sum-of-1d-array/description/" TargetMode="External"/><Relationship Id="rId277" Type="http://schemas.openxmlformats.org/officeDocument/2006/relationships/hyperlink" Target="https://leetcode.com/problems/find-the-celebrity/description/" TargetMode="External"/><Relationship Id="rId400" Type="http://schemas.openxmlformats.org/officeDocument/2006/relationships/hyperlink" Target="https://leetcode.com/problems/nth-digit/description/" TargetMode="External"/><Relationship Id="rId484" Type="http://schemas.openxmlformats.org/officeDocument/2006/relationships/hyperlink" Target="https://leetcode.com/problems/find-permutation/description/" TargetMode="External"/><Relationship Id="rId705" Type="http://schemas.openxmlformats.org/officeDocument/2006/relationships/hyperlink" Target="https://leetcode.com/problems/design-hashset/description/" TargetMode="External"/><Relationship Id="rId1128" Type="http://schemas.openxmlformats.org/officeDocument/2006/relationships/hyperlink" Target="https://leetcode.com/problems/maximum-of-absolute-value-expression/description/" TargetMode="External"/><Relationship Id="rId1335" Type="http://schemas.openxmlformats.org/officeDocument/2006/relationships/hyperlink" Target="https://leetcode.com/problems/movie-rating/description/" TargetMode="External"/><Relationship Id="rId137" Type="http://schemas.openxmlformats.org/officeDocument/2006/relationships/hyperlink" Target="https://leetcode.com/problems/single-number-ii/description/" TargetMode="External"/><Relationship Id="rId344" Type="http://schemas.openxmlformats.org/officeDocument/2006/relationships/hyperlink" Target="https://leetcode.com/problems/reverse-string/description/" TargetMode="External"/><Relationship Id="rId691" Type="http://schemas.openxmlformats.org/officeDocument/2006/relationships/hyperlink" Target="https://leetcode.com/problems/stickers-to-spell-word/description/" TargetMode="External"/><Relationship Id="rId789" Type="http://schemas.openxmlformats.org/officeDocument/2006/relationships/hyperlink" Target="https://leetcode.com/problems/rotated-digits/description/" TargetMode="External"/><Relationship Id="rId912" Type="http://schemas.openxmlformats.org/officeDocument/2006/relationships/hyperlink" Target="https://leetcode.com/problems/online-election/description/" TargetMode="External"/><Relationship Id="rId996" Type="http://schemas.openxmlformats.org/officeDocument/2006/relationships/hyperlink" Target="https://leetcode.com/problems/minimum-number-of-k-consecutive-bit-flips/description/" TargetMode="External"/><Relationship Id="rId41" Type="http://schemas.openxmlformats.org/officeDocument/2006/relationships/hyperlink" Target="https://leetcode.com/problems/first-missing-positive/description/" TargetMode="External"/><Relationship Id="rId551" Type="http://schemas.openxmlformats.org/officeDocument/2006/relationships/hyperlink" Target="https://leetcode.com/problems/student-attendance-record-i/description/" TargetMode="External"/><Relationship Id="rId649" Type="http://schemas.openxmlformats.org/officeDocument/2006/relationships/hyperlink" Target="https://leetcode.com/problems/dota2-senate/description/" TargetMode="External"/><Relationship Id="rId856" Type="http://schemas.openxmlformats.org/officeDocument/2006/relationships/hyperlink" Target="https://leetcode.com/problems/exam-room/description/" TargetMode="External"/><Relationship Id="rId1181" Type="http://schemas.openxmlformats.org/officeDocument/2006/relationships/hyperlink" Target="https://leetcode.com/problems/distance-between-bus-stops/description/" TargetMode="External"/><Relationship Id="rId1279" Type="http://schemas.openxmlformats.org/officeDocument/2006/relationships/hyperlink" Target="https://leetcode.com/problems/find-the-start-and-end-number-of-continuous-ranges/description/" TargetMode="External"/><Relationship Id="rId1402" Type="http://schemas.openxmlformats.org/officeDocument/2006/relationships/hyperlink" Target="https://leetcode.com/problems/string-matching-in-an-array/description/" TargetMode="External"/><Relationship Id="rId190" Type="http://schemas.openxmlformats.org/officeDocument/2006/relationships/hyperlink" Target="https://leetcode.com/problems/reverse-bits/description/" TargetMode="External"/><Relationship Id="rId204" Type="http://schemas.openxmlformats.org/officeDocument/2006/relationships/hyperlink" Target="https://leetcode.com/problems/count-primes/description/" TargetMode="External"/><Relationship Id="rId288" Type="http://schemas.openxmlformats.org/officeDocument/2006/relationships/hyperlink" Target="https://leetcode.com/problems/unique-word-abbreviation/description/" TargetMode="External"/><Relationship Id="rId411" Type="http://schemas.openxmlformats.org/officeDocument/2006/relationships/hyperlink" Target="https://leetcode.com/problems/minimum-unique-word-abbreviation/description/" TargetMode="External"/><Relationship Id="rId509" Type="http://schemas.openxmlformats.org/officeDocument/2006/relationships/hyperlink" Target="https://leetcode.com/problems/fibonacci-number/description/" TargetMode="External"/><Relationship Id="rId1041" Type="http://schemas.openxmlformats.org/officeDocument/2006/relationships/hyperlink" Target="https://leetcode.com/problems/moving-stones-until-consecutive-ii/description/" TargetMode="External"/><Relationship Id="rId1139" Type="http://schemas.openxmlformats.org/officeDocument/2006/relationships/hyperlink" Target="https://leetcode.com/problems/user-activity-for-the-past-30-days-ii/description/" TargetMode="External"/><Relationship Id="rId1346" Type="http://schemas.openxmlformats.org/officeDocument/2006/relationships/hyperlink" Target="https://leetcode.com/problems/product-of-the-last-k-numbers/description/" TargetMode="External"/><Relationship Id="rId495" Type="http://schemas.openxmlformats.org/officeDocument/2006/relationships/hyperlink" Target="https://leetcode.com/problems/teemo-attacking/description/" TargetMode="External"/><Relationship Id="rId716" Type="http://schemas.openxmlformats.org/officeDocument/2006/relationships/hyperlink" Target="https://leetcode.com/problems/max-stack/description/" TargetMode="External"/><Relationship Id="rId923" Type="http://schemas.openxmlformats.org/officeDocument/2006/relationships/hyperlink" Target="https://leetcode.com/problems/sort-array-by-parity-ii/description/" TargetMode="External"/><Relationship Id="rId52" Type="http://schemas.openxmlformats.org/officeDocument/2006/relationships/hyperlink" Target="https://leetcode.com/problems/n-queens-ii/description/" TargetMode="External"/><Relationship Id="rId148" Type="http://schemas.openxmlformats.org/officeDocument/2006/relationships/hyperlink" Target="https://leetcode.com/problems/sort-list/description/" TargetMode="External"/><Relationship Id="rId355" Type="http://schemas.openxmlformats.org/officeDocument/2006/relationships/hyperlink" Target="https://leetcode.com/problems/design-twitter/description/" TargetMode="External"/><Relationship Id="rId562" Type="http://schemas.openxmlformats.org/officeDocument/2006/relationships/hyperlink" Target="https://leetcode.com/problems/longest-line-of-consecutive-one-in-matrix/description/" TargetMode="External"/><Relationship Id="rId1192" Type="http://schemas.openxmlformats.org/officeDocument/2006/relationships/hyperlink" Target="https://leetcode.com/problems/minimum-knight-moves/description/" TargetMode="External"/><Relationship Id="rId1206" Type="http://schemas.openxmlformats.org/officeDocument/2006/relationships/hyperlink" Target="https://leetcode.com/problems/queries-quality-and-percentage/description/" TargetMode="External"/><Relationship Id="rId1413" Type="http://schemas.openxmlformats.org/officeDocument/2006/relationships/hyperlink" Target="https://leetcode.com/problems/minimum-number-of-frogs-croaking/description/" TargetMode="External"/><Relationship Id="rId215" Type="http://schemas.openxmlformats.org/officeDocument/2006/relationships/hyperlink" Target="https://leetcode.com/problems/kth-largest-element-in-an-array/description/" TargetMode="External"/><Relationship Id="rId422" Type="http://schemas.openxmlformats.org/officeDocument/2006/relationships/hyperlink" Target="https://leetcode.com/problems/valid-word-square/description/" TargetMode="External"/><Relationship Id="rId867" Type="http://schemas.openxmlformats.org/officeDocument/2006/relationships/hyperlink" Target="https://leetcode.com/problems/prime-palindrome/description/" TargetMode="External"/><Relationship Id="rId1052" Type="http://schemas.openxmlformats.org/officeDocument/2006/relationships/hyperlink" Target="https://leetcode.com/problems/height-checker/description/" TargetMode="External"/><Relationship Id="rId299" Type="http://schemas.openxmlformats.org/officeDocument/2006/relationships/hyperlink" Target="https://leetcode.com/problems/bulls-and-cows/description/" TargetMode="External"/><Relationship Id="rId727" Type="http://schemas.openxmlformats.org/officeDocument/2006/relationships/hyperlink" Target="https://leetcode.com/problems/minimum-window-subsequence/description/" TargetMode="External"/><Relationship Id="rId934" Type="http://schemas.openxmlformats.org/officeDocument/2006/relationships/hyperlink" Target="https://leetcode.com/problems/number-of-recent-calls/description/" TargetMode="External"/><Relationship Id="rId1357" Type="http://schemas.openxmlformats.org/officeDocument/2006/relationships/hyperlink" Target="https://leetcode.com/problems/largest-multiple-of-three/description/" TargetMode="External"/><Relationship Id="rId63" Type="http://schemas.openxmlformats.org/officeDocument/2006/relationships/hyperlink" Target="https://leetcode.com/problems/unique-paths-ii/description/" TargetMode="External"/><Relationship Id="rId159" Type="http://schemas.openxmlformats.org/officeDocument/2006/relationships/hyperlink" Target="https://leetcode.com/problems/longest-substring-with-at-most-two-distinct-characters/description/" TargetMode="External"/><Relationship Id="rId366" Type="http://schemas.openxmlformats.org/officeDocument/2006/relationships/hyperlink" Target="https://leetcode.com/problems/find-leaves-of-binary-tree/description/" TargetMode="External"/><Relationship Id="rId573" Type="http://schemas.openxmlformats.org/officeDocument/2006/relationships/hyperlink" Target="https://leetcode.com/problems/squirrel-simulation/description/" TargetMode="External"/><Relationship Id="rId780" Type="http://schemas.openxmlformats.org/officeDocument/2006/relationships/hyperlink" Target="https://leetcode.com/problems/reaching-points/description/" TargetMode="External"/><Relationship Id="rId1217" Type="http://schemas.openxmlformats.org/officeDocument/2006/relationships/hyperlink" Target="https://leetcode.com/problems/split-a-string-in-balanced-strings/description/" TargetMode="External"/><Relationship Id="rId1424" Type="http://schemas.openxmlformats.org/officeDocument/2006/relationships/hyperlink" Target="https://leetcode.com/problems/first-unique-number/description/" TargetMode="External"/><Relationship Id="rId226" Type="http://schemas.openxmlformats.org/officeDocument/2006/relationships/hyperlink" Target="https://leetcode.com/problems/invert-binary-tree/description/" TargetMode="External"/><Relationship Id="rId433" Type="http://schemas.openxmlformats.org/officeDocument/2006/relationships/hyperlink" Target="https://leetcode.com/problems/minimum-genetic-mutation/description/" TargetMode="External"/><Relationship Id="rId878" Type="http://schemas.openxmlformats.org/officeDocument/2006/relationships/hyperlink" Target="https://leetcode.com/problems/stone-game/description/" TargetMode="External"/><Relationship Id="rId1063" Type="http://schemas.openxmlformats.org/officeDocument/2006/relationships/hyperlink" Target="https://leetcode.com/problems/longest-repeating-substring/description/" TargetMode="External"/><Relationship Id="rId1270" Type="http://schemas.openxmlformats.org/officeDocument/2006/relationships/hyperlink" Target="https://leetcode.com/problems/find-winner-on-a-tic-tac-toe-game/description/" TargetMode="External"/><Relationship Id="rId640" Type="http://schemas.openxmlformats.org/officeDocument/2006/relationships/hyperlink" Target="https://leetcode.com/problems/solve-the-equation/description/" TargetMode="External"/><Relationship Id="rId738" Type="http://schemas.openxmlformats.org/officeDocument/2006/relationships/hyperlink" Target="https://leetcode.com/problems/monotone-increasing-digits/description/" TargetMode="External"/><Relationship Id="rId945" Type="http://schemas.openxmlformats.org/officeDocument/2006/relationships/hyperlink" Target="https://leetcode.com/problems/delete-columns-to-make-sorted/description/" TargetMode="External"/><Relationship Id="rId1368" Type="http://schemas.openxmlformats.org/officeDocument/2006/relationships/hyperlink" Target="https://leetcode.com/problems/generate-a-string-with-characters-that-have-odd-counts/description/" TargetMode="External"/><Relationship Id="rId74" Type="http://schemas.openxmlformats.org/officeDocument/2006/relationships/hyperlink" Target="https://leetcode.com/problems/search-a-2d-matrix/description/" TargetMode="External"/><Relationship Id="rId377" Type="http://schemas.openxmlformats.org/officeDocument/2006/relationships/hyperlink" Target="https://leetcode.com/problems/combination-sum-iv/description/" TargetMode="External"/><Relationship Id="rId500" Type="http://schemas.openxmlformats.org/officeDocument/2006/relationships/hyperlink" Target="https://leetcode.com/problems/keyboard-row/description/" TargetMode="External"/><Relationship Id="rId584" Type="http://schemas.openxmlformats.org/officeDocument/2006/relationships/hyperlink" Target="https://leetcode.com/problems/find-customer-referee/description/" TargetMode="External"/><Relationship Id="rId805" Type="http://schemas.openxmlformats.org/officeDocument/2006/relationships/hyperlink" Target="https://leetcode.com/problems/unique-morse-code-words/description/" TargetMode="External"/><Relationship Id="rId1130" Type="http://schemas.openxmlformats.org/officeDocument/2006/relationships/hyperlink" Target="https://leetcode.com/problems/largest-unique-number/description/" TargetMode="External"/><Relationship Id="rId1228" Type="http://schemas.openxmlformats.org/officeDocument/2006/relationships/hyperlink" Target="https://leetcode.com/problems/check-if-it-is-a-straight-line/description/" TargetMode="External"/><Relationship Id="rId1435" Type="http://schemas.openxmlformats.org/officeDocument/2006/relationships/hyperlink" Target="https://leetcode.com/problems/evaluate-boolean-expression/description/" TargetMode="External"/><Relationship Id="rId5" Type="http://schemas.openxmlformats.org/officeDocument/2006/relationships/hyperlink" Target="https://leetcode.com/problems/longest-palindromic-substring/description/" TargetMode="External"/><Relationship Id="rId237" Type="http://schemas.openxmlformats.org/officeDocument/2006/relationships/hyperlink" Target="https://leetcode.com/problems/delete-node-in-a-linked-list/description/" TargetMode="External"/><Relationship Id="rId791" Type="http://schemas.openxmlformats.org/officeDocument/2006/relationships/hyperlink" Target="https://leetcode.com/problems/domino-and-tromino-tiling/description/" TargetMode="External"/><Relationship Id="rId889" Type="http://schemas.openxmlformats.org/officeDocument/2006/relationships/hyperlink" Target="https://leetcode.com/problems/fair-candy-swap/description/" TargetMode="External"/><Relationship Id="rId1074" Type="http://schemas.openxmlformats.org/officeDocument/2006/relationships/hyperlink" Target="https://leetcode.com/problems/adding-two-negabinary-numbers/description/" TargetMode="External"/><Relationship Id="rId444" Type="http://schemas.openxmlformats.org/officeDocument/2006/relationships/hyperlink" Target="https://leetcode.com/problems/sequence-reconstruction/description/" TargetMode="External"/><Relationship Id="rId651" Type="http://schemas.openxmlformats.org/officeDocument/2006/relationships/hyperlink" Target="https://leetcode.com/problems/4-keys-keyboard/description/" TargetMode="External"/><Relationship Id="rId749" Type="http://schemas.openxmlformats.org/officeDocument/2006/relationships/hyperlink" Target="https://leetcode.com/problems/contain-virus/description/" TargetMode="External"/><Relationship Id="rId1281" Type="http://schemas.openxmlformats.org/officeDocument/2006/relationships/hyperlink" Target="https://leetcode.com/problems/element-appearing-more-than-25-in-sorted-array/description/" TargetMode="External"/><Relationship Id="rId1379" Type="http://schemas.openxmlformats.org/officeDocument/2006/relationships/hyperlink" Target="https://leetcode.com/problems/find-the-distance-value-between-two-arrays/description/" TargetMode="External"/><Relationship Id="rId290" Type="http://schemas.openxmlformats.org/officeDocument/2006/relationships/hyperlink" Target="https://leetcode.com/problems/word-pattern/description/" TargetMode="External"/><Relationship Id="rId304" Type="http://schemas.openxmlformats.org/officeDocument/2006/relationships/hyperlink" Target="https://leetcode.com/problems/range-sum-query-2d-immutable/description/" TargetMode="External"/><Relationship Id="rId388" Type="http://schemas.openxmlformats.org/officeDocument/2006/relationships/hyperlink" Target="https://leetcode.com/problems/longest-absolute-file-path/description/" TargetMode="External"/><Relationship Id="rId511" Type="http://schemas.openxmlformats.org/officeDocument/2006/relationships/hyperlink" Target="https://leetcode.com/problems/game-play-analysis-i/description/" TargetMode="External"/><Relationship Id="rId609" Type="http://schemas.openxmlformats.org/officeDocument/2006/relationships/hyperlink" Target="https://leetcode.com/problems/find-duplicate-file-in-system/description/" TargetMode="External"/><Relationship Id="rId956" Type="http://schemas.openxmlformats.org/officeDocument/2006/relationships/hyperlink" Target="https://leetcode.com/problems/delete-columns-to-make-sorted-ii/description/" TargetMode="External"/><Relationship Id="rId1141" Type="http://schemas.openxmlformats.org/officeDocument/2006/relationships/hyperlink" Target="https://leetcode.com/problems/decrease-elements-to-make-array-zigzag/description/" TargetMode="External"/><Relationship Id="rId1239" Type="http://schemas.openxmlformats.org/officeDocument/2006/relationships/hyperlink" Target="https://leetcode.com/problems/design-a-leaderboard/description/" TargetMode="External"/><Relationship Id="rId85" Type="http://schemas.openxmlformats.org/officeDocument/2006/relationships/hyperlink" Target="https://leetcode.com/problems/maximal-rectangle/description/" TargetMode="External"/><Relationship Id="rId150" Type="http://schemas.openxmlformats.org/officeDocument/2006/relationships/hyperlink" Target="https://leetcode.com/problems/evaluate-reverse-polish-notation/description/" TargetMode="External"/><Relationship Id="rId595" Type="http://schemas.openxmlformats.org/officeDocument/2006/relationships/hyperlink" Target="https://leetcode.com/problems/big-countries/description/" TargetMode="External"/><Relationship Id="rId816" Type="http://schemas.openxmlformats.org/officeDocument/2006/relationships/hyperlink" Target="https://leetcode.com/problems/bus-routes/description/" TargetMode="External"/><Relationship Id="rId1001" Type="http://schemas.openxmlformats.org/officeDocument/2006/relationships/hyperlink" Target="https://leetcode.com/problems/minimum-cost-to-merge-stones/description/" TargetMode="External"/><Relationship Id="rId1446" Type="http://schemas.openxmlformats.org/officeDocument/2006/relationships/hyperlink" Target="https://leetcode.com/problems/rearrange-words-in-a-sentence/description/" TargetMode="External"/><Relationship Id="rId248" Type="http://schemas.openxmlformats.org/officeDocument/2006/relationships/hyperlink" Target="https://leetcode.com/problems/strobogrammatic-number-iii/description/" TargetMode="External"/><Relationship Id="rId455" Type="http://schemas.openxmlformats.org/officeDocument/2006/relationships/hyperlink" Target="https://leetcode.com/problems/assign-cookies/description/" TargetMode="External"/><Relationship Id="rId662" Type="http://schemas.openxmlformats.org/officeDocument/2006/relationships/hyperlink" Target="https://leetcode.com/problems/maximum-width-of-binary-tree/description/" TargetMode="External"/><Relationship Id="rId1085" Type="http://schemas.openxmlformats.org/officeDocument/2006/relationships/hyperlink" Target="https://leetcode.com/problems/sales-analysis-iii/description/" TargetMode="External"/><Relationship Id="rId1292" Type="http://schemas.openxmlformats.org/officeDocument/2006/relationships/hyperlink" Target="https://leetcode.com/problems/maximum-candies-you-can-get-from-boxes/description/" TargetMode="External"/><Relationship Id="rId1306" Type="http://schemas.openxmlformats.org/officeDocument/2006/relationships/hyperlink" Target="https://leetcode.com/problems/minimum-insertion-steps-to-make-a-string-palindrome/description/" TargetMode="External"/><Relationship Id="rId12" Type="http://schemas.openxmlformats.org/officeDocument/2006/relationships/hyperlink" Target="https://leetcode.com/problems/integer-to-roman/description/" TargetMode="External"/><Relationship Id="rId108" Type="http://schemas.openxmlformats.org/officeDocument/2006/relationships/hyperlink" Target="https://leetcode.com/problems/convert-sorted-array-to-binary-search-tree/description/" TargetMode="External"/><Relationship Id="rId315" Type="http://schemas.openxmlformats.org/officeDocument/2006/relationships/hyperlink" Target="https://leetcode.com/problems/count-of-smaller-numbers-after-self/description/" TargetMode="External"/><Relationship Id="rId522" Type="http://schemas.openxmlformats.org/officeDocument/2006/relationships/hyperlink" Target="https://leetcode.com/problems/longest-uncommon-subsequence-ii/description/" TargetMode="External"/><Relationship Id="rId967" Type="http://schemas.openxmlformats.org/officeDocument/2006/relationships/hyperlink" Target="https://leetcode.com/problems/vowel-spellchecker/description/" TargetMode="External"/><Relationship Id="rId1152" Type="http://schemas.openxmlformats.org/officeDocument/2006/relationships/hyperlink" Target="https://leetcode.com/problems/number-of-dice-rolls-with-target-sum/description/" TargetMode="External"/><Relationship Id="rId96" Type="http://schemas.openxmlformats.org/officeDocument/2006/relationships/hyperlink" Target="https://leetcode.com/problems/unique-binary-search-trees/description/" TargetMode="External"/><Relationship Id="rId161" Type="http://schemas.openxmlformats.org/officeDocument/2006/relationships/hyperlink" Target="https://leetcode.com/problems/one-edit-distance/description/" TargetMode="External"/><Relationship Id="rId399" Type="http://schemas.openxmlformats.org/officeDocument/2006/relationships/hyperlink" Target="https://leetcode.com/problems/evaluate-division/description/" TargetMode="External"/><Relationship Id="rId827" Type="http://schemas.openxmlformats.org/officeDocument/2006/relationships/hyperlink" Target="https://leetcode.com/problems/most-profit-assigning-work/description/" TargetMode="External"/><Relationship Id="rId1012" Type="http://schemas.openxmlformats.org/officeDocument/2006/relationships/hyperlink" Target="https://leetcode.com/problems/capacity-to-ship-packages-within-d-days/description/" TargetMode="External"/><Relationship Id="rId1457" Type="http://schemas.openxmlformats.org/officeDocument/2006/relationships/hyperlink" Target="https://leetcode.com/problems/course-schedule-iv/description/" TargetMode="External"/><Relationship Id="rId259" Type="http://schemas.openxmlformats.org/officeDocument/2006/relationships/hyperlink" Target="https://leetcode.com/problems/3sum-smaller/description/" TargetMode="External"/><Relationship Id="rId466" Type="http://schemas.openxmlformats.org/officeDocument/2006/relationships/hyperlink" Target="https://leetcode.com/problems/count-the-repetitions/description/" TargetMode="External"/><Relationship Id="rId673" Type="http://schemas.openxmlformats.org/officeDocument/2006/relationships/hyperlink" Target="https://leetcode.com/problems/number-of-longest-increasing-subsequence/description/" TargetMode="External"/><Relationship Id="rId880" Type="http://schemas.openxmlformats.org/officeDocument/2006/relationships/hyperlink" Target="https://leetcode.com/problems/profitable-schemes/description/" TargetMode="External"/><Relationship Id="rId1096" Type="http://schemas.openxmlformats.org/officeDocument/2006/relationships/hyperlink" Target="https://leetcode.com/problems/find-in-mountain-array/description/" TargetMode="External"/><Relationship Id="rId1317" Type="http://schemas.openxmlformats.org/officeDocument/2006/relationships/hyperlink" Target="https://leetcode.com/problems/maximum-69-number/description/" TargetMode="External"/><Relationship Id="rId23" Type="http://schemas.openxmlformats.org/officeDocument/2006/relationships/hyperlink" Target="https://leetcode.com/problems/merge-k-sorted-lists/description/" TargetMode="External"/><Relationship Id="rId119" Type="http://schemas.openxmlformats.org/officeDocument/2006/relationships/hyperlink" Target="https://leetcode.com/problems/pascals-triangle-ii/description/" TargetMode="External"/><Relationship Id="rId326" Type="http://schemas.openxmlformats.org/officeDocument/2006/relationships/hyperlink" Target="https://leetcode.com/problems/power-of-three/description/" TargetMode="External"/><Relationship Id="rId533" Type="http://schemas.openxmlformats.org/officeDocument/2006/relationships/hyperlink" Target="https://leetcode.com/problems/lonely-pixel-ii/description/" TargetMode="External"/><Relationship Id="rId978" Type="http://schemas.openxmlformats.org/officeDocument/2006/relationships/hyperlink" Target="https://leetcode.com/problems/squares-of-a-sorted-array/description/" TargetMode="External"/><Relationship Id="rId1163" Type="http://schemas.openxmlformats.org/officeDocument/2006/relationships/hyperlink" Target="https://leetcode.com/problems/design-file-system/description/" TargetMode="External"/><Relationship Id="rId1370" Type="http://schemas.openxmlformats.org/officeDocument/2006/relationships/hyperlink" Target="https://leetcode.com/problems/time-needed-to-inform-all-employees/description/" TargetMode="External"/><Relationship Id="rId740" Type="http://schemas.openxmlformats.org/officeDocument/2006/relationships/hyperlink" Target="https://leetcode.com/problems/delete-and-earn/description/" TargetMode="External"/><Relationship Id="rId838" Type="http://schemas.openxmlformats.org/officeDocument/2006/relationships/hyperlink" Target="https://leetcode.com/problems/new-21-game/description/" TargetMode="External"/><Relationship Id="rId1023" Type="http://schemas.openxmlformats.org/officeDocument/2006/relationships/hyperlink" Target="https://leetcode.com/problems/sum-of-root-to-leaf-binary-numbers/description/" TargetMode="External"/><Relationship Id="rId1468" Type="http://schemas.openxmlformats.org/officeDocument/2006/relationships/hyperlink" Target="https://leetcode.com/problems/paint-house-iii/description/" TargetMode="External"/><Relationship Id="rId172" Type="http://schemas.openxmlformats.org/officeDocument/2006/relationships/hyperlink" Target="https://leetcode.com/problems/factorial-trailing-zeroes/description/" TargetMode="External"/><Relationship Id="rId477" Type="http://schemas.openxmlformats.org/officeDocument/2006/relationships/hyperlink" Target="https://leetcode.com/problems/total-hamming-distance/description/" TargetMode="External"/><Relationship Id="rId600" Type="http://schemas.openxmlformats.org/officeDocument/2006/relationships/hyperlink" Target="https://leetcode.com/problems/non-negative-integers-without-consecutive-ones/description/" TargetMode="External"/><Relationship Id="rId684" Type="http://schemas.openxmlformats.org/officeDocument/2006/relationships/hyperlink" Target="https://leetcode.com/problems/redundant-connection/description/" TargetMode="External"/><Relationship Id="rId1230" Type="http://schemas.openxmlformats.org/officeDocument/2006/relationships/hyperlink" Target="https://leetcode.com/problems/replace-the-substring-for-balanced-string/description/" TargetMode="External"/><Relationship Id="rId1328" Type="http://schemas.openxmlformats.org/officeDocument/2006/relationships/hyperlink" Target="https://leetcode.com/problems/find-the-city-with-the-smallest-number-of-neighbors-at-a-threshold-distance/description/" TargetMode="External"/><Relationship Id="rId337" Type="http://schemas.openxmlformats.org/officeDocument/2006/relationships/hyperlink" Target="https://leetcode.com/problems/house-robber-iii/description/" TargetMode="External"/><Relationship Id="rId891" Type="http://schemas.openxmlformats.org/officeDocument/2006/relationships/hyperlink" Target="https://leetcode.com/problems/find-and-replace-pattern/description/" TargetMode="External"/><Relationship Id="rId905" Type="http://schemas.openxmlformats.org/officeDocument/2006/relationships/hyperlink" Target="https://leetcode.com/problems/fruit-into-baskets/description/" TargetMode="External"/><Relationship Id="rId989" Type="http://schemas.openxmlformats.org/officeDocument/2006/relationships/hyperlink" Target="https://leetcode.com/problems/smallest-string-starting-from-leaf/description/" TargetMode="External"/><Relationship Id="rId34" Type="http://schemas.openxmlformats.org/officeDocument/2006/relationships/hyperlink" Target="https://leetcode.com/problems/find-first-and-last-position-of-element-in-sorted-array/description/" TargetMode="External"/><Relationship Id="rId544" Type="http://schemas.openxmlformats.org/officeDocument/2006/relationships/hyperlink" Target="https://leetcode.com/problems/output-contest-matches/description/" TargetMode="External"/><Relationship Id="rId751" Type="http://schemas.openxmlformats.org/officeDocument/2006/relationships/hyperlink" Target="https://leetcode.com/problems/ip-to-cidr/description/" TargetMode="External"/><Relationship Id="rId849" Type="http://schemas.openxmlformats.org/officeDocument/2006/relationships/hyperlink" Target="https://leetcode.com/problems/shifting-letters/description/" TargetMode="External"/><Relationship Id="rId1174" Type="http://schemas.openxmlformats.org/officeDocument/2006/relationships/hyperlink" Target="https://leetcode.com/problems/can-make-palindrome-from-substring/description/" TargetMode="External"/><Relationship Id="rId1381" Type="http://schemas.openxmlformats.org/officeDocument/2006/relationships/hyperlink" Target="https://leetcode.com/problems/sort-integers-by-the-power-value/description/" TargetMode="External"/><Relationship Id="rId1479" Type="http://schemas.openxmlformats.org/officeDocument/2006/relationships/hyperlink" Target="https://leetcode.com/problems/group-sold-products-by-the-date/description/" TargetMode="External"/><Relationship Id="rId183" Type="http://schemas.openxmlformats.org/officeDocument/2006/relationships/hyperlink" Target="https://leetcode.com/problems/customers-who-never-order/description/" TargetMode="External"/><Relationship Id="rId390" Type="http://schemas.openxmlformats.org/officeDocument/2006/relationships/hyperlink" Target="https://leetcode.com/problems/elimination-game/description/" TargetMode="External"/><Relationship Id="rId404" Type="http://schemas.openxmlformats.org/officeDocument/2006/relationships/hyperlink" Target="https://leetcode.com/problems/sum-of-left-leaves/description/" TargetMode="External"/><Relationship Id="rId611" Type="http://schemas.openxmlformats.org/officeDocument/2006/relationships/hyperlink" Target="https://leetcode.com/problems/valid-triangle-number/description/" TargetMode="External"/><Relationship Id="rId1034" Type="http://schemas.openxmlformats.org/officeDocument/2006/relationships/hyperlink" Target="https://leetcode.com/problems/moving-stones-until-consecutive/description/" TargetMode="External"/><Relationship Id="rId1241" Type="http://schemas.openxmlformats.org/officeDocument/2006/relationships/hyperlink" Target="https://leetcode.com/problems/palindrome-removal/description/" TargetMode="External"/><Relationship Id="rId1339" Type="http://schemas.openxmlformats.org/officeDocument/2006/relationships/hyperlink" Target="https://leetcode.com/problems/jump-game-iv/description/" TargetMode="External"/><Relationship Id="rId250" Type="http://schemas.openxmlformats.org/officeDocument/2006/relationships/hyperlink" Target="https://leetcode.com/problems/count-univalue-subtrees/description/" TargetMode="External"/><Relationship Id="rId488" Type="http://schemas.openxmlformats.org/officeDocument/2006/relationships/hyperlink" Target="https://leetcode.com/problems/zuma-game/description/" TargetMode="External"/><Relationship Id="rId695" Type="http://schemas.openxmlformats.org/officeDocument/2006/relationships/hyperlink" Target="https://leetcode.com/problems/max-area-of-island/description/" TargetMode="External"/><Relationship Id="rId709" Type="http://schemas.openxmlformats.org/officeDocument/2006/relationships/hyperlink" Target="https://leetcode.com/problems/to-lower-case/description/" TargetMode="External"/><Relationship Id="rId916" Type="http://schemas.openxmlformats.org/officeDocument/2006/relationships/hyperlink" Target="https://leetcode.com/problems/partition-array-into-disjoint-intervals/description/" TargetMode="External"/><Relationship Id="rId1101" Type="http://schemas.openxmlformats.org/officeDocument/2006/relationships/hyperlink" Target="https://leetcode.com/problems/find-k-length-substrings-with-no-repeated-characters/description/" TargetMode="External"/><Relationship Id="rId45" Type="http://schemas.openxmlformats.org/officeDocument/2006/relationships/hyperlink" Target="https://leetcode.com/problems/jump-game-ii/description/" TargetMode="External"/><Relationship Id="rId110" Type="http://schemas.openxmlformats.org/officeDocument/2006/relationships/hyperlink" Target="https://leetcode.com/problems/balanced-binary-tree/description/" TargetMode="External"/><Relationship Id="rId348" Type="http://schemas.openxmlformats.org/officeDocument/2006/relationships/hyperlink" Target="https://leetcode.com/problems/design-tic-tac-toe/description/" TargetMode="External"/><Relationship Id="rId555" Type="http://schemas.openxmlformats.org/officeDocument/2006/relationships/hyperlink" Target="https://leetcode.com/problems/split-concatenated-strings/description/" TargetMode="External"/><Relationship Id="rId762" Type="http://schemas.openxmlformats.org/officeDocument/2006/relationships/hyperlink" Target="https://leetcode.com/problems/prime-number-of-set-bits-in-binary-representation/description/" TargetMode="External"/><Relationship Id="rId1185" Type="http://schemas.openxmlformats.org/officeDocument/2006/relationships/hyperlink" Target="https://leetcode.com/problems/maximum-number-of-balloons/description/" TargetMode="External"/><Relationship Id="rId1392" Type="http://schemas.openxmlformats.org/officeDocument/2006/relationships/hyperlink" Target="https://leetcode.com/problems/customers-who-bought-products-a-and-b-but-not-c/description/" TargetMode="External"/><Relationship Id="rId1406" Type="http://schemas.openxmlformats.org/officeDocument/2006/relationships/hyperlink" Target="https://leetcode.com/problems/find-the-quiet-students-in-all-exams/description/" TargetMode="External"/><Relationship Id="rId194" Type="http://schemas.openxmlformats.org/officeDocument/2006/relationships/hyperlink" Target="https://leetcode.com/problems/transpose-file/description/" TargetMode="External"/><Relationship Id="rId208" Type="http://schemas.openxmlformats.org/officeDocument/2006/relationships/hyperlink" Target="https://leetcode.com/problems/implement-trie-prefix-tree/description/" TargetMode="External"/><Relationship Id="rId415" Type="http://schemas.openxmlformats.org/officeDocument/2006/relationships/hyperlink" Target="https://leetcode.com/problems/add-strings/description/" TargetMode="External"/><Relationship Id="rId622" Type="http://schemas.openxmlformats.org/officeDocument/2006/relationships/hyperlink" Target="https://leetcode.com/problems/design-circular-queue/description/" TargetMode="External"/><Relationship Id="rId1045" Type="http://schemas.openxmlformats.org/officeDocument/2006/relationships/hyperlink" Target="https://leetcode.com/problems/longest-duplicate-substring/description/" TargetMode="External"/><Relationship Id="rId1252" Type="http://schemas.openxmlformats.org/officeDocument/2006/relationships/hyperlink" Target="https://leetcode.com/problems/smallest-common-region/description/" TargetMode="External"/><Relationship Id="rId261" Type="http://schemas.openxmlformats.org/officeDocument/2006/relationships/hyperlink" Target="https://leetcode.com/problems/graph-valid-tree/description/" TargetMode="External"/><Relationship Id="rId499" Type="http://schemas.openxmlformats.org/officeDocument/2006/relationships/hyperlink" Target="https://leetcode.com/problems/the-maze-iii/description/" TargetMode="External"/><Relationship Id="rId927" Type="http://schemas.openxmlformats.org/officeDocument/2006/relationships/hyperlink" Target="https://leetcode.com/problems/flip-string-to-monotone-increasing/description/" TargetMode="External"/><Relationship Id="rId1112" Type="http://schemas.openxmlformats.org/officeDocument/2006/relationships/hyperlink" Target="https://leetcode.com/problems/maximum-nesting-depth-of-two-valid-parentheses-strings/description/" TargetMode="External"/><Relationship Id="rId56" Type="http://schemas.openxmlformats.org/officeDocument/2006/relationships/hyperlink" Target="https://leetcode.com/problems/merge-intervals/description/" TargetMode="External"/><Relationship Id="rId359" Type="http://schemas.openxmlformats.org/officeDocument/2006/relationships/hyperlink" Target="https://leetcode.com/problems/logger-rate-limiter/description/" TargetMode="External"/><Relationship Id="rId566" Type="http://schemas.openxmlformats.org/officeDocument/2006/relationships/hyperlink" Target="https://leetcode.com/problems/reshape-the-matrix/description/" TargetMode="External"/><Relationship Id="rId773" Type="http://schemas.openxmlformats.org/officeDocument/2006/relationships/hyperlink" Target="https://leetcode.com/problems/sliding-puzzle/description/" TargetMode="External"/><Relationship Id="rId1196" Type="http://schemas.openxmlformats.org/officeDocument/2006/relationships/hyperlink" Target="https://leetcode.com/problems/ugly-number-iii/description/" TargetMode="External"/><Relationship Id="rId1417" Type="http://schemas.openxmlformats.org/officeDocument/2006/relationships/hyperlink" Target="https://leetcode.com/problems/maximum-score-after-splitting-a-string/description/" TargetMode="External"/><Relationship Id="rId121" Type="http://schemas.openxmlformats.org/officeDocument/2006/relationships/hyperlink" Target="https://leetcode.com/problems/best-time-to-buy-and-sell-stock/description/" TargetMode="External"/><Relationship Id="rId219" Type="http://schemas.openxmlformats.org/officeDocument/2006/relationships/hyperlink" Target="https://leetcode.com/problems/contains-duplicate-ii/description/" TargetMode="External"/><Relationship Id="rId426" Type="http://schemas.openxmlformats.org/officeDocument/2006/relationships/hyperlink" Target="https://leetcode.com/problems/convert-binary-search-tree-to-sorted-doubly-linked-list/description/" TargetMode="External"/><Relationship Id="rId633" Type="http://schemas.openxmlformats.org/officeDocument/2006/relationships/hyperlink" Target="https://leetcode.com/problems/sum-of-square-numbers/description/" TargetMode="External"/><Relationship Id="rId980" Type="http://schemas.openxmlformats.org/officeDocument/2006/relationships/hyperlink" Target="https://leetcode.com/problems/distribute-coins-in-binary-tree/description/" TargetMode="External"/><Relationship Id="rId1056" Type="http://schemas.openxmlformats.org/officeDocument/2006/relationships/hyperlink" Target="https://leetcode.com/problems/shortest-way-to-form-string/description/" TargetMode="External"/><Relationship Id="rId1263" Type="http://schemas.openxmlformats.org/officeDocument/2006/relationships/hyperlink" Target="https://leetcode.com/problems/search-suggestions-system/description/" TargetMode="External"/><Relationship Id="rId840" Type="http://schemas.openxmlformats.org/officeDocument/2006/relationships/hyperlink" Target="https://leetcode.com/problems/similar-string-groups/description/" TargetMode="External"/><Relationship Id="rId938" Type="http://schemas.openxmlformats.org/officeDocument/2006/relationships/hyperlink" Target="https://leetcode.com/problems/reorder-data-in-log-files/description/" TargetMode="External"/><Relationship Id="rId1470" Type="http://schemas.openxmlformats.org/officeDocument/2006/relationships/hyperlink" Target="https://leetcode.com/problems/final-prices-with-a-special-discount-in-a-shop/description/" TargetMode="External"/><Relationship Id="rId67" Type="http://schemas.openxmlformats.org/officeDocument/2006/relationships/hyperlink" Target="https://leetcode.com/problems/add-binary/description/" TargetMode="External"/><Relationship Id="rId272" Type="http://schemas.openxmlformats.org/officeDocument/2006/relationships/hyperlink" Target="https://leetcode.com/problems/closest-binary-search-tree-value-ii/description/" TargetMode="External"/><Relationship Id="rId577" Type="http://schemas.openxmlformats.org/officeDocument/2006/relationships/hyperlink" Target="https://leetcode.com/problems/employee-bonus/description/" TargetMode="External"/><Relationship Id="rId700" Type="http://schemas.openxmlformats.org/officeDocument/2006/relationships/hyperlink" Target="https://leetcode.com/problems/search-in-a-binary-search-tree/description/" TargetMode="External"/><Relationship Id="rId1123" Type="http://schemas.openxmlformats.org/officeDocument/2006/relationships/hyperlink" Target="https://leetcode.com/problems/active-businesses/description/" TargetMode="External"/><Relationship Id="rId1330" Type="http://schemas.openxmlformats.org/officeDocument/2006/relationships/hyperlink" Target="https://leetcode.com/problems/number-of-transactions-per-visit/description/" TargetMode="External"/><Relationship Id="rId1428" Type="http://schemas.openxmlformats.org/officeDocument/2006/relationships/hyperlink" Target="https://leetcode.com/problems/check-if-a-string-can-break-another-string/description/" TargetMode="External"/><Relationship Id="rId132" Type="http://schemas.openxmlformats.org/officeDocument/2006/relationships/hyperlink" Target="https://leetcode.com/problems/palindrome-partitioning-ii/description/" TargetMode="External"/><Relationship Id="rId784" Type="http://schemas.openxmlformats.org/officeDocument/2006/relationships/hyperlink" Target="https://leetcode.com/problems/letter-case-permutation/description/" TargetMode="External"/><Relationship Id="rId991" Type="http://schemas.openxmlformats.org/officeDocument/2006/relationships/hyperlink" Target="https://leetcode.com/problems/satisfiability-of-equality-equations/description/" TargetMode="External"/><Relationship Id="rId1067" Type="http://schemas.openxmlformats.org/officeDocument/2006/relationships/hyperlink" Target="https://leetcode.com/problems/campus-bikes-ii/description/" TargetMode="External"/><Relationship Id="rId437" Type="http://schemas.openxmlformats.org/officeDocument/2006/relationships/hyperlink" Target="https://leetcode.com/problems/path-sum-iii/description/" TargetMode="External"/><Relationship Id="rId644" Type="http://schemas.openxmlformats.org/officeDocument/2006/relationships/hyperlink" Target="https://leetcode.com/problems/maximum-average-subarray-ii/description/" TargetMode="External"/><Relationship Id="rId851" Type="http://schemas.openxmlformats.org/officeDocument/2006/relationships/hyperlink" Target="https://leetcode.com/problems/rectangle-area-ii/description/" TargetMode="External"/><Relationship Id="rId1274" Type="http://schemas.openxmlformats.org/officeDocument/2006/relationships/hyperlink" Target="https://leetcode.com/problems/students-and-examinations/description/" TargetMode="External"/><Relationship Id="rId283" Type="http://schemas.openxmlformats.org/officeDocument/2006/relationships/hyperlink" Target="https://leetcode.com/problems/move-zeroes/description/" TargetMode="External"/><Relationship Id="rId490" Type="http://schemas.openxmlformats.org/officeDocument/2006/relationships/hyperlink" Target="https://leetcode.com/problems/the-maze/description/" TargetMode="External"/><Relationship Id="rId504" Type="http://schemas.openxmlformats.org/officeDocument/2006/relationships/hyperlink" Target="https://leetcode.com/problems/base-7/description/" TargetMode="External"/><Relationship Id="rId711" Type="http://schemas.openxmlformats.org/officeDocument/2006/relationships/hyperlink" Target="https://leetcode.com/problems/number-of-distinct-islands-ii/description/" TargetMode="External"/><Relationship Id="rId949" Type="http://schemas.openxmlformats.org/officeDocument/2006/relationships/hyperlink" Target="https://leetcode.com/problems/bag-of-tokens/description/" TargetMode="External"/><Relationship Id="rId1134" Type="http://schemas.openxmlformats.org/officeDocument/2006/relationships/hyperlink" Target="https://leetcode.com/problems/n-th-tribonacci-number/description/" TargetMode="External"/><Relationship Id="rId1341" Type="http://schemas.openxmlformats.org/officeDocument/2006/relationships/hyperlink" Target="https://leetcode.com/problems/minimum-number-of-steps-to-make-two-strings-anagram/description/" TargetMode="External"/><Relationship Id="rId78" Type="http://schemas.openxmlformats.org/officeDocument/2006/relationships/hyperlink" Target="https://leetcode.com/problems/subsets/description/" TargetMode="External"/><Relationship Id="rId143" Type="http://schemas.openxmlformats.org/officeDocument/2006/relationships/hyperlink" Target="https://leetcode.com/problems/reorder-list/description/" TargetMode="External"/><Relationship Id="rId350" Type="http://schemas.openxmlformats.org/officeDocument/2006/relationships/hyperlink" Target="https://leetcode.com/problems/intersection-of-two-arrays-ii/description/" TargetMode="External"/><Relationship Id="rId588" Type="http://schemas.openxmlformats.org/officeDocument/2006/relationships/hyperlink" Target="https://leetcode.com/problems/design-in-memory-file-system/description/" TargetMode="External"/><Relationship Id="rId795" Type="http://schemas.openxmlformats.org/officeDocument/2006/relationships/hyperlink" Target="https://leetcode.com/problems/valid-tic-tac-toe-state/description/" TargetMode="External"/><Relationship Id="rId809" Type="http://schemas.openxmlformats.org/officeDocument/2006/relationships/hyperlink" Target="https://leetcode.com/problems/soup-servings/description/" TargetMode="External"/><Relationship Id="rId1201" Type="http://schemas.openxmlformats.org/officeDocument/2006/relationships/hyperlink" Target="https://leetcode.com/problems/design-skiplist/description/" TargetMode="External"/><Relationship Id="rId1439" Type="http://schemas.openxmlformats.org/officeDocument/2006/relationships/hyperlink" Target="https://leetcode.com/problems/number-of-ways-of-cutting-a-pizza/description/" TargetMode="External"/><Relationship Id="rId9" Type="http://schemas.openxmlformats.org/officeDocument/2006/relationships/hyperlink" Target="https://leetcode.com/problems/palindrome-number/description/" TargetMode="External"/><Relationship Id="rId210" Type="http://schemas.openxmlformats.org/officeDocument/2006/relationships/hyperlink" Target="https://leetcode.com/problems/course-schedule-ii/description/" TargetMode="External"/><Relationship Id="rId448" Type="http://schemas.openxmlformats.org/officeDocument/2006/relationships/hyperlink" Target="https://leetcode.com/problems/find-all-numbers-disappeared-in-an-array/description/" TargetMode="External"/><Relationship Id="rId655" Type="http://schemas.openxmlformats.org/officeDocument/2006/relationships/hyperlink" Target="https://leetcode.com/problems/print-binary-tree/description/" TargetMode="External"/><Relationship Id="rId862" Type="http://schemas.openxmlformats.org/officeDocument/2006/relationships/hyperlink" Target="https://leetcode.com/problems/score-after-flipping-matrix/description/" TargetMode="External"/><Relationship Id="rId1078" Type="http://schemas.openxmlformats.org/officeDocument/2006/relationships/hyperlink" Target="https://leetcode.com/problems/project-employees-iii/description/" TargetMode="External"/><Relationship Id="rId1285" Type="http://schemas.openxmlformats.org/officeDocument/2006/relationships/hyperlink" Target="https://leetcode.com/problems/sequential-digits/description/" TargetMode="External"/><Relationship Id="rId294" Type="http://schemas.openxmlformats.org/officeDocument/2006/relationships/hyperlink" Target="https://leetcode.com/problems/flip-game-ii/description/" TargetMode="External"/><Relationship Id="rId308" Type="http://schemas.openxmlformats.org/officeDocument/2006/relationships/hyperlink" Target="https://leetcode.com/problems/range-sum-query-2d-mutable/description/" TargetMode="External"/><Relationship Id="rId515" Type="http://schemas.openxmlformats.org/officeDocument/2006/relationships/hyperlink" Target="https://leetcode.com/problems/find-largest-value-in-each-tree-row/description/" TargetMode="External"/><Relationship Id="rId722" Type="http://schemas.openxmlformats.org/officeDocument/2006/relationships/hyperlink" Target="https://leetcode.com/problems/remove-comments/description/" TargetMode="External"/><Relationship Id="rId1145" Type="http://schemas.openxmlformats.org/officeDocument/2006/relationships/hyperlink" Target="https://leetcode.com/problems/article-views-i/description/" TargetMode="External"/><Relationship Id="rId1352" Type="http://schemas.openxmlformats.org/officeDocument/2006/relationships/hyperlink" Target="https://leetcode.com/problems/number-of-substrings-containing-all-three-characters/description/" TargetMode="External"/><Relationship Id="rId89" Type="http://schemas.openxmlformats.org/officeDocument/2006/relationships/hyperlink" Target="https://leetcode.com/problems/gray-code/description/" TargetMode="External"/><Relationship Id="rId154" Type="http://schemas.openxmlformats.org/officeDocument/2006/relationships/hyperlink" Target="https://leetcode.com/problems/find-minimum-in-rotated-sorted-array-ii/description/" TargetMode="External"/><Relationship Id="rId361" Type="http://schemas.openxmlformats.org/officeDocument/2006/relationships/hyperlink" Target="https://leetcode.com/problems/bomb-enemy/description/" TargetMode="External"/><Relationship Id="rId599" Type="http://schemas.openxmlformats.org/officeDocument/2006/relationships/hyperlink" Target="https://leetcode.com/problems/minimum-index-sum-of-two-lists/description/" TargetMode="External"/><Relationship Id="rId1005" Type="http://schemas.openxmlformats.org/officeDocument/2006/relationships/hyperlink" Target="https://leetcode.com/problems/max-consecutive-ones-iii/description/" TargetMode="External"/><Relationship Id="rId1212" Type="http://schemas.openxmlformats.org/officeDocument/2006/relationships/hyperlink" Target="https://leetcode.com/problems/play-with-chips/description/" TargetMode="External"/><Relationship Id="rId459" Type="http://schemas.openxmlformats.org/officeDocument/2006/relationships/hyperlink" Target="https://leetcode.com/problems/repeated-substring-pattern/description/" TargetMode="External"/><Relationship Id="rId666" Type="http://schemas.openxmlformats.org/officeDocument/2006/relationships/hyperlink" Target="https://leetcode.com/problems/path-sum-iv/description/" TargetMode="External"/><Relationship Id="rId873" Type="http://schemas.openxmlformats.org/officeDocument/2006/relationships/hyperlink" Target="https://leetcode.com/problems/leaf-similar-trees/description/" TargetMode="External"/><Relationship Id="rId1089" Type="http://schemas.openxmlformats.org/officeDocument/2006/relationships/hyperlink" Target="https://leetcode.com/problems/confusing-number-ii/description/" TargetMode="External"/><Relationship Id="rId1296" Type="http://schemas.openxmlformats.org/officeDocument/2006/relationships/hyperlink" Target="https://leetcode.com/problems/deepest-leaves-sum/description/" TargetMode="External"/><Relationship Id="rId16" Type="http://schemas.openxmlformats.org/officeDocument/2006/relationships/hyperlink" Target="https://leetcode.com/problems/3sum-closest/description/" TargetMode="External"/><Relationship Id="rId221" Type="http://schemas.openxmlformats.org/officeDocument/2006/relationships/hyperlink" Target="https://leetcode.com/problems/maximal-square/description/" TargetMode="External"/><Relationship Id="rId319" Type="http://schemas.openxmlformats.org/officeDocument/2006/relationships/hyperlink" Target="https://leetcode.com/problems/bulb-switcher/description/" TargetMode="External"/><Relationship Id="rId526" Type="http://schemas.openxmlformats.org/officeDocument/2006/relationships/hyperlink" Target="https://leetcode.com/problems/beautiful-arrangement/description/" TargetMode="External"/><Relationship Id="rId1156" Type="http://schemas.openxmlformats.org/officeDocument/2006/relationships/hyperlink" Target="https://leetcode.com/problems/market-analysis-ii/description/" TargetMode="External"/><Relationship Id="rId1363" Type="http://schemas.openxmlformats.org/officeDocument/2006/relationships/hyperlink" Target="https://leetcode.com/problems/get-the-second-most-recent-activity/description/" TargetMode="External"/><Relationship Id="rId733" Type="http://schemas.openxmlformats.org/officeDocument/2006/relationships/hyperlink" Target="https://leetcode.com/problems/flood-fill/description/" TargetMode="External"/><Relationship Id="rId940" Type="http://schemas.openxmlformats.org/officeDocument/2006/relationships/hyperlink" Target="https://leetcode.com/problems/minimum-area-rectangle/description/" TargetMode="External"/><Relationship Id="rId1016" Type="http://schemas.openxmlformats.org/officeDocument/2006/relationships/hyperlink" Target="https://leetcode.com/problems/smallest-integer-divisible-by-k/description/" TargetMode="External"/><Relationship Id="rId165" Type="http://schemas.openxmlformats.org/officeDocument/2006/relationships/hyperlink" Target="https://leetcode.com/problems/compare-version-numbers/description/" TargetMode="External"/><Relationship Id="rId372" Type="http://schemas.openxmlformats.org/officeDocument/2006/relationships/hyperlink" Target="https://leetcode.com/problems/super-pow/description/" TargetMode="External"/><Relationship Id="rId677" Type="http://schemas.openxmlformats.org/officeDocument/2006/relationships/hyperlink" Target="https://leetcode.com/problems/map-sum-pairs/description/" TargetMode="External"/><Relationship Id="rId800" Type="http://schemas.openxmlformats.org/officeDocument/2006/relationships/hyperlink" Target="https://leetcode.com/problems/champagne-tower/description/" TargetMode="External"/><Relationship Id="rId1223" Type="http://schemas.openxmlformats.org/officeDocument/2006/relationships/hyperlink" Target="https://leetcode.com/problems/airplane-seat-assignment-probability/description/" TargetMode="External"/><Relationship Id="rId1430" Type="http://schemas.openxmlformats.org/officeDocument/2006/relationships/hyperlink" Target="https://leetcode.com/problems/create-a-session-bar-chart/description/" TargetMode="External"/><Relationship Id="rId232" Type="http://schemas.openxmlformats.org/officeDocument/2006/relationships/hyperlink" Target="https://leetcode.com/problems/implement-queue-using-stacks/description/" TargetMode="External"/><Relationship Id="rId884" Type="http://schemas.openxmlformats.org/officeDocument/2006/relationships/hyperlink" Target="https://leetcode.com/problems/projection-area-of-3d-shapes/description/" TargetMode="External"/><Relationship Id="rId27" Type="http://schemas.openxmlformats.org/officeDocument/2006/relationships/hyperlink" Target="https://leetcode.com/problems/remove-element/description/" TargetMode="External"/><Relationship Id="rId537" Type="http://schemas.openxmlformats.org/officeDocument/2006/relationships/hyperlink" Target="https://leetcode.com/problems/complex-number-multiplication/description/" TargetMode="External"/><Relationship Id="rId744" Type="http://schemas.openxmlformats.org/officeDocument/2006/relationships/hyperlink" Target="https://leetcode.com/problems/find-smallest-letter-greater-than-target/description/" TargetMode="External"/><Relationship Id="rId951" Type="http://schemas.openxmlformats.org/officeDocument/2006/relationships/hyperlink" Target="https://leetcode.com/problems/reveal-cards-in-increasing-order/description/" TargetMode="External"/><Relationship Id="rId1167" Type="http://schemas.openxmlformats.org/officeDocument/2006/relationships/hyperlink" Target="https://leetcode.com/problems/compare-strings-by-frequency-of-the-smallest-character/description/" TargetMode="External"/><Relationship Id="rId1374" Type="http://schemas.openxmlformats.org/officeDocument/2006/relationships/hyperlink" Target="https://leetcode.com/problems/lucky-numbers-in-a-matrix/description/" TargetMode="External"/><Relationship Id="rId80" Type="http://schemas.openxmlformats.org/officeDocument/2006/relationships/hyperlink" Target="https://leetcode.com/problems/remove-duplicates-from-sorted-array-ii/description/" TargetMode="External"/><Relationship Id="rId176" Type="http://schemas.openxmlformats.org/officeDocument/2006/relationships/hyperlink" Target="https://leetcode.com/problems/second-highest-salary/description/" TargetMode="External"/><Relationship Id="rId383" Type="http://schemas.openxmlformats.org/officeDocument/2006/relationships/hyperlink" Target="https://leetcode.com/problems/ransom-note/description/" TargetMode="External"/><Relationship Id="rId590" Type="http://schemas.openxmlformats.org/officeDocument/2006/relationships/hyperlink" Target="https://leetcode.com/problems/n-ary-tree-postorder-traversal/description/" TargetMode="External"/><Relationship Id="rId604" Type="http://schemas.openxmlformats.org/officeDocument/2006/relationships/hyperlink" Target="https://leetcode.com/problems/design-compressed-string-iterator/description/" TargetMode="External"/><Relationship Id="rId811" Type="http://schemas.openxmlformats.org/officeDocument/2006/relationships/hyperlink" Target="https://leetcode.com/problems/chalkboard-xor-game/description/" TargetMode="External"/><Relationship Id="rId1027" Type="http://schemas.openxmlformats.org/officeDocument/2006/relationships/hyperlink" Target="https://leetcode.com/problems/maximum-difference-between-node-and-ancestor/description/" TargetMode="External"/><Relationship Id="rId1234" Type="http://schemas.openxmlformats.org/officeDocument/2006/relationships/hyperlink" Target="https://leetcode.com/problems/circular-permutation-in-binary-representation/description/" TargetMode="External"/><Relationship Id="rId1441" Type="http://schemas.openxmlformats.org/officeDocument/2006/relationships/hyperlink" Target="https://leetcode.com/problems/consecutive-characters/description/" TargetMode="External"/><Relationship Id="rId243" Type="http://schemas.openxmlformats.org/officeDocument/2006/relationships/hyperlink" Target="https://leetcode.com/problems/shortest-word-distance/description/" TargetMode="External"/><Relationship Id="rId450" Type="http://schemas.openxmlformats.org/officeDocument/2006/relationships/hyperlink" Target="https://leetcode.com/problems/delete-node-in-a-bst/description/" TargetMode="External"/><Relationship Id="rId688" Type="http://schemas.openxmlformats.org/officeDocument/2006/relationships/hyperlink" Target="https://leetcode.com/problems/knight-probability-in-chessboard/description/" TargetMode="External"/><Relationship Id="rId895" Type="http://schemas.openxmlformats.org/officeDocument/2006/relationships/hyperlink" Target="https://leetcode.com/problems/all-possible-full-binary-trees/description/" TargetMode="External"/><Relationship Id="rId909" Type="http://schemas.openxmlformats.org/officeDocument/2006/relationships/hyperlink" Target="https://leetcode.com/problems/smallest-range-i/description/" TargetMode="External"/><Relationship Id="rId1080" Type="http://schemas.openxmlformats.org/officeDocument/2006/relationships/hyperlink" Target="https://leetcode.com/problems/letter-tile-possibilities/description/" TargetMode="External"/><Relationship Id="rId1301" Type="http://schemas.openxmlformats.org/officeDocument/2006/relationships/hyperlink" Target="https://leetcode.com/problems/verbal-arithmetic-puzzle/description/" TargetMode="External"/><Relationship Id="rId38" Type="http://schemas.openxmlformats.org/officeDocument/2006/relationships/hyperlink" Target="https://leetcode.com/problems/count-and-say/description/" TargetMode="External"/><Relationship Id="rId103" Type="http://schemas.openxmlformats.org/officeDocument/2006/relationships/hyperlink" Target="https://leetcode.com/problems/binary-tree-zigzag-level-order-traversal/description/" TargetMode="External"/><Relationship Id="rId310" Type="http://schemas.openxmlformats.org/officeDocument/2006/relationships/hyperlink" Target="https://leetcode.com/problems/minimum-height-trees/description/" TargetMode="External"/><Relationship Id="rId548" Type="http://schemas.openxmlformats.org/officeDocument/2006/relationships/hyperlink" Target="https://leetcode.com/problems/split-array-with-equal-sum/description/" TargetMode="External"/><Relationship Id="rId755" Type="http://schemas.openxmlformats.org/officeDocument/2006/relationships/hyperlink" Target="https://leetcode.com/problems/pour-water/description/" TargetMode="External"/><Relationship Id="rId962" Type="http://schemas.openxmlformats.org/officeDocument/2006/relationships/hyperlink" Target="https://leetcode.com/problems/n-repeated-element-in-size-2n-array/description/" TargetMode="External"/><Relationship Id="rId1178" Type="http://schemas.openxmlformats.org/officeDocument/2006/relationships/hyperlink" Target="https://leetcode.com/problems/before-and-after-puzzle/description/" TargetMode="External"/><Relationship Id="rId1385" Type="http://schemas.openxmlformats.org/officeDocument/2006/relationships/hyperlink" Target="https://leetcode.com/problems/check-if-there-is-a-valid-path-in-a-grid/description/" TargetMode="External"/><Relationship Id="rId91" Type="http://schemas.openxmlformats.org/officeDocument/2006/relationships/hyperlink" Target="https://leetcode.com/problems/decode-ways/description/" TargetMode="External"/><Relationship Id="rId187" Type="http://schemas.openxmlformats.org/officeDocument/2006/relationships/hyperlink" Target="https://leetcode.com/problems/repeated-dna-sequences/description/" TargetMode="External"/><Relationship Id="rId394" Type="http://schemas.openxmlformats.org/officeDocument/2006/relationships/hyperlink" Target="https://leetcode.com/problems/decode-string/description/" TargetMode="External"/><Relationship Id="rId408" Type="http://schemas.openxmlformats.org/officeDocument/2006/relationships/hyperlink" Target="https://leetcode.com/problems/valid-word-abbreviation/description/" TargetMode="External"/><Relationship Id="rId615" Type="http://schemas.openxmlformats.org/officeDocument/2006/relationships/hyperlink" Target="https://leetcode.com/problems/average-salary-departments-vs-company/description/" TargetMode="External"/><Relationship Id="rId822" Type="http://schemas.openxmlformats.org/officeDocument/2006/relationships/hyperlink" Target="https://leetcode.com/problems/shortest-distance-to-a-character/description/" TargetMode="External"/><Relationship Id="rId1038" Type="http://schemas.openxmlformats.org/officeDocument/2006/relationships/hyperlink" Target="https://leetcode.com/problems/valid-boomerang/description/" TargetMode="External"/><Relationship Id="rId1245" Type="http://schemas.openxmlformats.org/officeDocument/2006/relationships/hyperlink" Target="https://leetcode.com/problems/check-if-it-is-a-good-array/description/" TargetMode="External"/><Relationship Id="rId1452" Type="http://schemas.openxmlformats.org/officeDocument/2006/relationships/hyperlink" Target="https://leetcode.com/problems/pseudo-palindromic-paths-in-a-binary-tree/description/" TargetMode="External"/><Relationship Id="rId254" Type="http://schemas.openxmlformats.org/officeDocument/2006/relationships/hyperlink" Target="https://leetcode.com/problems/factor-combinations/description/" TargetMode="External"/><Relationship Id="rId699" Type="http://schemas.openxmlformats.org/officeDocument/2006/relationships/hyperlink" Target="https://leetcode.com/problems/falling-squares/description/" TargetMode="External"/><Relationship Id="rId1091" Type="http://schemas.openxmlformats.org/officeDocument/2006/relationships/hyperlink" Target="https://leetcode.com/problems/largest-values-from-labels/description/" TargetMode="External"/><Relationship Id="rId1105" Type="http://schemas.openxmlformats.org/officeDocument/2006/relationships/hyperlink" Target="https://leetcode.com/problems/path-in-zigzag-labelled-binary-tree/description/" TargetMode="External"/><Relationship Id="rId1312" Type="http://schemas.openxmlformats.org/officeDocument/2006/relationships/hyperlink" Target="https://leetcode.com/problems/minimum-flips-to-make-a-or-b-equal-to-c/description/" TargetMode="External"/><Relationship Id="rId49" Type="http://schemas.openxmlformats.org/officeDocument/2006/relationships/hyperlink" Target="https://leetcode.com/problems/group-anagrams/description/" TargetMode="External"/><Relationship Id="rId114" Type="http://schemas.openxmlformats.org/officeDocument/2006/relationships/hyperlink" Target="https://leetcode.com/problems/flatten-binary-tree-to-linked-list/description/" TargetMode="External"/><Relationship Id="rId461" Type="http://schemas.openxmlformats.org/officeDocument/2006/relationships/hyperlink" Target="https://leetcode.com/problems/hamming-distance/description/" TargetMode="External"/><Relationship Id="rId559" Type="http://schemas.openxmlformats.org/officeDocument/2006/relationships/hyperlink" Target="https://leetcode.com/problems/maximum-depth-of-n-ary-tree/description/" TargetMode="External"/><Relationship Id="rId766" Type="http://schemas.openxmlformats.org/officeDocument/2006/relationships/hyperlink" Target="https://leetcode.com/problems/toeplitz-matrix/description/" TargetMode="External"/><Relationship Id="rId1189" Type="http://schemas.openxmlformats.org/officeDocument/2006/relationships/hyperlink" Target="https://leetcode.com/problems/monthly-transactions-i/description/" TargetMode="External"/><Relationship Id="rId1396" Type="http://schemas.openxmlformats.org/officeDocument/2006/relationships/hyperlink" Target="https://leetcode.com/problems/reducing-dishes/description/" TargetMode="External"/><Relationship Id="rId198" Type="http://schemas.openxmlformats.org/officeDocument/2006/relationships/hyperlink" Target="https://leetcode.com/problems/house-robber/description/" TargetMode="External"/><Relationship Id="rId321" Type="http://schemas.openxmlformats.org/officeDocument/2006/relationships/hyperlink" Target="https://leetcode.com/problems/create-maximum-number/description/" TargetMode="External"/><Relationship Id="rId419" Type="http://schemas.openxmlformats.org/officeDocument/2006/relationships/hyperlink" Target="https://leetcode.com/problems/battleships-in-a-board/description/" TargetMode="External"/><Relationship Id="rId626" Type="http://schemas.openxmlformats.org/officeDocument/2006/relationships/hyperlink" Target="https://leetcode.com/problems/exchange-seats/description/" TargetMode="External"/><Relationship Id="rId973" Type="http://schemas.openxmlformats.org/officeDocument/2006/relationships/hyperlink" Target="https://leetcode.com/problems/equal-rational-numbers/description/" TargetMode="External"/><Relationship Id="rId1049" Type="http://schemas.openxmlformats.org/officeDocument/2006/relationships/hyperlink" Target="https://leetcode.com/problems/longest-string-chain/description/" TargetMode="External"/><Relationship Id="rId1256" Type="http://schemas.openxmlformats.org/officeDocument/2006/relationships/hyperlink" Target="https://leetcode.com/problems/find-elements-in-a-contaminated-binary-tree/description/" TargetMode="External"/><Relationship Id="rId833" Type="http://schemas.openxmlformats.org/officeDocument/2006/relationships/hyperlink" Target="https://leetcode.com/problems/flipping-an-image/description/" TargetMode="External"/><Relationship Id="rId1116" Type="http://schemas.openxmlformats.org/officeDocument/2006/relationships/hyperlink" Target="https://leetcode.com/problems/remove-vowels-from-a-string/description/" TargetMode="External"/><Relationship Id="rId1463" Type="http://schemas.openxmlformats.org/officeDocument/2006/relationships/hyperlink" Target="https://leetcode.com/problems/calculate-salaries/description/" TargetMode="External"/><Relationship Id="rId265" Type="http://schemas.openxmlformats.org/officeDocument/2006/relationships/hyperlink" Target="https://leetcode.com/problems/paint-house-ii/description/" TargetMode="External"/><Relationship Id="rId472" Type="http://schemas.openxmlformats.org/officeDocument/2006/relationships/hyperlink" Target="https://leetcode.com/problems/concatenated-words/description/" TargetMode="External"/><Relationship Id="rId900" Type="http://schemas.openxmlformats.org/officeDocument/2006/relationships/hyperlink" Target="https://leetcode.com/problems/orderly-queue/description/" TargetMode="External"/><Relationship Id="rId1323" Type="http://schemas.openxmlformats.org/officeDocument/2006/relationships/hyperlink" Target="https://leetcode.com/problems/sort-the-matrix-diagonally/description/" TargetMode="External"/><Relationship Id="rId125" Type="http://schemas.openxmlformats.org/officeDocument/2006/relationships/hyperlink" Target="https://leetcode.com/problems/valid-palindrome/description/" TargetMode="External"/><Relationship Id="rId332" Type="http://schemas.openxmlformats.org/officeDocument/2006/relationships/hyperlink" Target="https://leetcode.com/problems/reconstruct-itinerary/description/" TargetMode="External"/><Relationship Id="rId777" Type="http://schemas.openxmlformats.org/officeDocument/2006/relationships/hyperlink" Target="https://leetcode.com/problems/swap-adjacent-in-lr-string/description/" TargetMode="External"/><Relationship Id="rId984" Type="http://schemas.openxmlformats.org/officeDocument/2006/relationships/hyperlink" Target="https://leetcode.com/problems/minimum-cost-for-tickets/description/" TargetMode="External"/><Relationship Id="rId637" Type="http://schemas.openxmlformats.org/officeDocument/2006/relationships/hyperlink" Target="https://leetcode.com/problems/average-of-levels-in-binary-tree/description/" TargetMode="External"/><Relationship Id="rId844" Type="http://schemas.openxmlformats.org/officeDocument/2006/relationships/hyperlink" Target="https://leetcode.com/problems/guess-the-word/description/" TargetMode="External"/><Relationship Id="rId1267" Type="http://schemas.openxmlformats.org/officeDocument/2006/relationships/hyperlink" Target="https://leetcode.com/problems/remove-interval/description/" TargetMode="External"/><Relationship Id="rId1474" Type="http://schemas.openxmlformats.org/officeDocument/2006/relationships/hyperlink" Target="https://leetcode.com/problems/sales-by-day-of-the-week/description/" TargetMode="External"/><Relationship Id="rId276" Type="http://schemas.openxmlformats.org/officeDocument/2006/relationships/hyperlink" Target="https://leetcode.com/problems/paint-fence/description/" TargetMode="External"/><Relationship Id="rId483" Type="http://schemas.openxmlformats.org/officeDocument/2006/relationships/hyperlink" Target="https://leetcode.com/problems/smallest-good-base/description/" TargetMode="External"/><Relationship Id="rId690" Type="http://schemas.openxmlformats.org/officeDocument/2006/relationships/hyperlink" Target="https://leetcode.com/problems/employee-importance/description/" TargetMode="External"/><Relationship Id="rId704" Type="http://schemas.openxmlformats.org/officeDocument/2006/relationships/hyperlink" Target="https://leetcode.com/problems/binary-search/description/" TargetMode="External"/><Relationship Id="rId911" Type="http://schemas.openxmlformats.org/officeDocument/2006/relationships/hyperlink" Target="https://leetcode.com/problems/smallest-range-ii/description/" TargetMode="External"/><Relationship Id="rId1127" Type="http://schemas.openxmlformats.org/officeDocument/2006/relationships/hyperlink" Target="https://leetcode.com/problems/minimum-cost-tree-from-leaf-values/description/" TargetMode="External"/><Relationship Id="rId1334" Type="http://schemas.openxmlformats.org/officeDocument/2006/relationships/hyperlink" Target="https://leetcode.com/problems/jump-game-v/description/" TargetMode="External"/><Relationship Id="rId40" Type="http://schemas.openxmlformats.org/officeDocument/2006/relationships/hyperlink" Target="https://leetcode.com/problems/combination-sum-ii/description/" TargetMode="External"/><Relationship Id="rId136" Type="http://schemas.openxmlformats.org/officeDocument/2006/relationships/hyperlink" Target="https://leetcode.com/problems/single-number/description/" TargetMode="External"/><Relationship Id="rId343" Type="http://schemas.openxmlformats.org/officeDocument/2006/relationships/hyperlink" Target="https://leetcode.com/problems/integer-break/description/" TargetMode="External"/><Relationship Id="rId550" Type="http://schemas.openxmlformats.org/officeDocument/2006/relationships/hyperlink" Target="https://leetcode.com/problems/game-play-analysis-iv/description/" TargetMode="External"/><Relationship Id="rId788" Type="http://schemas.openxmlformats.org/officeDocument/2006/relationships/hyperlink" Target="https://leetcode.com/problems/cheapest-flights-within-k-stops/description/" TargetMode="External"/><Relationship Id="rId995" Type="http://schemas.openxmlformats.org/officeDocument/2006/relationships/hyperlink" Target="https://leetcode.com/problems/rotting-oranges/description/" TargetMode="External"/><Relationship Id="rId1180" Type="http://schemas.openxmlformats.org/officeDocument/2006/relationships/hyperlink" Target="https://leetcode.com/problems/maximum-number-of-ones/description/" TargetMode="External"/><Relationship Id="rId1401" Type="http://schemas.openxmlformats.org/officeDocument/2006/relationships/hyperlink" Target="https://leetcode.com/problems/top-travellers/description/" TargetMode="External"/><Relationship Id="rId203" Type="http://schemas.openxmlformats.org/officeDocument/2006/relationships/hyperlink" Target="https://leetcode.com/problems/remove-linked-list-elements/description/" TargetMode="External"/><Relationship Id="rId648" Type="http://schemas.openxmlformats.org/officeDocument/2006/relationships/hyperlink" Target="https://leetcode.com/problems/replace-words/description/" TargetMode="External"/><Relationship Id="rId855" Type="http://schemas.openxmlformats.org/officeDocument/2006/relationships/hyperlink" Target="https://leetcode.com/problems/k-similar-strings/description/" TargetMode="External"/><Relationship Id="rId1040" Type="http://schemas.openxmlformats.org/officeDocument/2006/relationships/hyperlink" Target="https://leetcode.com/problems/minimum-score-triangulation-of-polygon/description/" TargetMode="External"/><Relationship Id="rId1278" Type="http://schemas.openxmlformats.org/officeDocument/2006/relationships/hyperlink" Target="https://leetcode.com/problems/minimum-number-of-flips-to-convert-binary-matrix-to-zero-matrix/description/" TargetMode="External"/><Relationship Id="rId287" Type="http://schemas.openxmlformats.org/officeDocument/2006/relationships/hyperlink" Target="https://leetcode.com/problems/find-the-duplicate-number/description/" TargetMode="External"/><Relationship Id="rId410" Type="http://schemas.openxmlformats.org/officeDocument/2006/relationships/hyperlink" Target="https://leetcode.com/problems/split-array-largest-sum/description/" TargetMode="External"/><Relationship Id="rId494" Type="http://schemas.openxmlformats.org/officeDocument/2006/relationships/hyperlink" Target="https://leetcode.com/problems/target-sum/description/" TargetMode="External"/><Relationship Id="rId508" Type="http://schemas.openxmlformats.org/officeDocument/2006/relationships/hyperlink" Target="https://leetcode.com/problems/most-frequent-subtree-sum/description/" TargetMode="External"/><Relationship Id="rId715" Type="http://schemas.openxmlformats.org/officeDocument/2006/relationships/hyperlink" Target="https://leetcode.com/problems/range-module/description/" TargetMode="External"/><Relationship Id="rId922" Type="http://schemas.openxmlformats.org/officeDocument/2006/relationships/hyperlink" Target="https://leetcode.com/problems/minimum-add-to-make-parentheses-valid/description/" TargetMode="External"/><Relationship Id="rId1138" Type="http://schemas.openxmlformats.org/officeDocument/2006/relationships/hyperlink" Target="https://leetcode.com/problems/user-activity-for-the-past-30-days-i/description/" TargetMode="External"/><Relationship Id="rId1345" Type="http://schemas.openxmlformats.org/officeDocument/2006/relationships/hyperlink" Target="https://leetcode.com/problems/count-negative-numbers-in-a-sorted-matrix/description/" TargetMode="External"/><Relationship Id="rId147" Type="http://schemas.openxmlformats.org/officeDocument/2006/relationships/hyperlink" Target="https://leetcode.com/problems/insertion-sort-list/description/" TargetMode="External"/><Relationship Id="rId354" Type="http://schemas.openxmlformats.org/officeDocument/2006/relationships/hyperlink" Target="https://leetcode.com/problems/russian-doll-envelopes/description/" TargetMode="External"/><Relationship Id="rId799" Type="http://schemas.openxmlformats.org/officeDocument/2006/relationships/hyperlink" Target="https://leetcode.com/problems/smallest-rotation-with-highest-score/description/" TargetMode="External"/><Relationship Id="rId1191" Type="http://schemas.openxmlformats.org/officeDocument/2006/relationships/hyperlink" Target="https://leetcode.com/problems/how-many-apples-can-you-put-into-the-basket/description/" TargetMode="External"/><Relationship Id="rId1205" Type="http://schemas.openxmlformats.org/officeDocument/2006/relationships/hyperlink" Target="https://leetcode.com/problems/minimum-moves-to-reach-target-with-rotations/description/" TargetMode="External"/><Relationship Id="rId51" Type="http://schemas.openxmlformats.org/officeDocument/2006/relationships/hyperlink" Target="https://leetcode.com/problems/n-queens/description/" TargetMode="External"/><Relationship Id="rId561" Type="http://schemas.openxmlformats.org/officeDocument/2006/relationships/hyperlink" Target="https://leetcode.com/problems/array-partition-i/description/" TargetMode="External"/><Relationship Id="rId659" Type="http://schemas.openxmlformats.org/officeDocument/2006/relationships/hyperlink" Target="https://leetcode.com/problems/split-array-into-consecutive-subsequences/description/" TargetMode="External"/><Relationship Id="rId866" Type="http://schemas.openxmlformats.org/officeDocument/2006/relationships/hyperlink" Target="https://leetcode.com/problems/smallest-subtree-with-all-the-deepest-nodes/description/" TargetMode="External"/><Relationship Id="rId1289" Type="http://schemas.openxmlformats.org/officeDocument/2006/relationships/hyperlink" Target="https://leetcode.com/problems/find-numbers-with-even-number-of-digits/description/" TargetMode="External"/><Relationship Id="rId1412" Type="http://schemas.openxmlformats.org/officeDocument/2006/relationships/hyperlink" Target="https://leetcode.com/problems/display-table-of-food-orders-in-a-restaurant/description/" TargetMode="External"/><Relationship Id="rId214" Type="http://schemas.openxmlformats.org/officeDocument/2006/relationships/hyperlink" Target="https://leetcode.com/problems/shortest-palindrome/description/" TargetMode="External"/><Relationship Id="rId298" Type="http://schemas.openxmlformats.org/officeDocument/2006/relationships/hyperlink" Target="https://leetcode.com/problems/binary-tree-longest-consecutive-sequence/description/" TargetMode="External"/><Relationship Id="rId421" Type="http://schemas.openxmlformats.org/officeDocument/2006/relationships/hyperlink" Target="https://leetcode.com/problems/maximum-xor-of-two-numbers-in-an-array/description/" TargetMode="External"/><Relationship Id="rId519" Type="http://schemas.openxmlformats.org/officeDocument/2006/relationships/hyperlink" Target="https://leetcode.com/problems/random-flip-matrix/description/" TargetMode="External"/><Relationship Id="rId1051" Type="http://schemas.openxmlformats.org/officeDocument/2006/relationships/hyperlink" Target="https://leetcode.com/problems/actors-and-directors-who-cooperated-at-least-three-times/description/" TargetMode="External"/><Relationship Id="rId1149" Type="http://schemas.openxmlformats.org/officeDocument/2006/relationships/hyperlink" Target="https://leetcode.com/problems/analyze-user-website-visit-pattern/description/" TargetMode="External"/><Relationship Id="rId1356" Type="http://schemas.openxmlformats.org/officeDocument/2006/relationships/hyperlink" Target="https://leetcode.com/problems/closest-divisors/description/" TargetMode="External"/><Relationship Id="rId158" Type="http://schemas.openxmlformats.org/officeDocument/2006/relationships/hyperlink" Target="https://leetcode.com/problems/read-n-characters-given-read4-ii-call-multiple-times/description/" TargetMode="External"/><Relationship Id="rId726" Type="http://schemas.openxmlformats.org/officeDocument/2006/relationships/hyperlink" Target="https://leetcode.com/problems/number-of-atoms/description/" TargetMode="External"/><Relationship Id="rId933" Type="http://schemas.openxmlformats.org/officeDocument/2006/relationships/hyperlink" Target="https://leetcode.com/problems/beautiful-array/description/" TargetMode="External"/><Relationship Id="rId1009" Type="http://schemas.openxmlformats.org/officeDocument/2006/relationships/hyperlink" Target="https://leetcode.com/problems/construct-binary-search-tree-from-preorder-traversal/description/" TargetMode="External"/><Relationship Id="rId62" Type="http://schemas.openxmlformats.org/officeDocument/2006/relationships/hyperlink" Target="https://leetcode.com/problems/unique-paths/description/" TargetMode="External"/><Relationship Id="rId365" Type="http://schemas.openxmlformats.org/officeDocument/2006/relationships/hyperlink" Target="https://leetcode.com/problems/water-and-jug-problem/description/" TargetMode="External"/><Relationship Id="rId572" Type="http://schemas.openxmlformats.org/officeDocument/2006/relationships/hyperlink" Target="https://leetcode.com/problems/subtree-of-another-tree/description/" TargetMode="External"/><Relationship Id="rId1216" Type="http://schemas.openxmlformats.org/officeDocument/2006/relationships/hyperlink" Target="http://c3.ai/" TargetMode="External"/><Relationship Id="rId1423" Type="http://schemas.openxmlformats.org/officeDocument/2006/relationships/hyperlink" Target="https://leetcode.com/problems/leftmost-column-with-at-least-a-one/description/" TargetMode="External"/><Relationship Id="rId225" Type="http://schemas.openxmlformats.org/officeDocument/2006/relationships/hyperlink" Target="https://leetcode.com/problems/implement-stack-using-queues/description/" TargetMode="External"/><Relationship Id="rId432" Type="http://schemas.openxmlformats.org/officeDocument/2006/relationships/hyperlink" Target="https://leetcode.com/problems/all-oone-data-structure/description/" TargetMode="External"/><Relationship Id="rId877" Type="http://schemas.openxmlformats.org/officeDocument/2006/relationships/hyperlink" Target="https://leetcode.com/problems/middle-of-the-linked-list/description/" TargetMode="External"/><Relationship Id="rId1062" Type="http://schemas.openxmlformats.org/officeDocument/2006/relationships/hyperlink" Target="https://leetcode.com/problems/lexicographically-smallest-equivalent-string/description/" TargetMode="External"/><Relationship Id="rId737" Type="http://schemas.openxmlformats.org/officeDocument/2006/relationships/hyperlink" Target="https://leetcode.com/problems/sentence-similarity-ii/description/" TargetMode="External"/><Relationship Id="rId944" Type="http://schemas.openxmlformats.org/officeDocument/2006/relationships/hyperlink" Target="https://leetcode.com/problems/find-the-shortest-superstring/description/" TargetMode="External"/><Relationship Id="rId1367" Type="http://schemas.openxmlformats.org/officeDocument/2006/relationships/hyperlink" Target="https://leetcode.com/problems/maximum-sum-bst-in-binary-tree/description/" TargetMode="External"/><Relationship Id="rId73" Type="http://schemas.openxmlformats.org/officeDocument/2006/relationships/hyperlink" Target="https://leetcode.com/problems/set-matrix-zeroes/description/" TargetMode="External"/><Relationship Id="rId169" Type="http://schemas.openxmlformats.org/officeDocument/2006/relationships/hyperlink" Target="https://leetcode.com/problems/majority-element/description/" TargetMode="External"/><Relationship Id="rId376" Type="http://schemas.openxmlformats.org/officeDocument/2006/relationships/hyperlink" Target="https://leetcode.com/problems/wiggle-subsequence/description/" TargetMode="External"/><Relationship Id="rId583" Type="http://schemas.openxmlformats.org/officeDocument/2006/relationships/hyperlink" Target="https://leetcode.com/problems/delete-operation-for-two-strings/description/" TargetMode="External"/><Relationship Id="rId790" Type="http://schemas.openxmlformats.org/officeDocument/2006/relationships/hyperlink" Target="https://leetcode.com/problems/escape-the-ghosts/description/" TargetMode="External"/><Relationship Id="rId804" Type="http://schemas.openxmlformats.org/officeDocument/2006/relationships/hyperlink" Target="https://leetcode.com/problems/bricks-falling-when-hit/description/" TargetMode="External"/><Relationship Id="rId1227" Type="http://schemas.openxmlformats.org/officeDocument/2006/relationships/hyperlink" Target="https://leetcode.com/problems/divide-chocolate/description/" TargetMode="External"/><Relationship Id="rId1434" Type="http://schemas.openxmlformats.org/officeDocument/2006/relationships/hyperlink" Target="https://leetcode.com/problems/find-the-kth-smallest-sum-of-a-matrix-with-sorted-rows/description/" TargetMode="External"/><Relationship Id="rId4" Type="http://schemas.openxmlformats.org/officeDocument/2006/relationships/hyperlink" Target="https://leetcode.com/problems/median-of-two-sorted-arrays/description/" TargetMode="External"/><Relationship Id="rId236" Type="http://schemas.openxmlformats.org/officeDocument/2006/relationships/hyperlink" Target="https://leetcode.com/problems/lowest-common-ancestor-of-a-binary-tree/description/" TargetMode="External"/><Relationship Id="rId443" Type="http://schemas.openxmlformats.org/officeDocument/2006/relationships/hyperlink" Target="https://leetcode.com/problems/string-compression/description/" TargetMode="External"/><Relationship Id="rId650" Type="http://schemas.openxmlformats.org/officeDocument/2006/relationships/hyperlink" Target="https://leetcode.com/problems/2-keys-keyboard/description/" TargetMode="External"/><Relationship Id="rId888" Type="http://schemas.openxmlformats.org/officeDocument/2006/relationships/hyperlink" Target="https://leetcode.com/problems/super-egg-drop/description/" TargetMode="External"/><Relationship Id="rId1073" Type="http://schemas.openxmlformats.org/officeDocument/2006/relationships/hyperlink" Target="https://leetcode.com/problems/flip-columns-for-maximum-number-of-equal-rows/description/" TargetMode="External"/><Relationship Id="rId1280" Type="http://schemas.openxmlformats.org/officeDocument/2006/relationships/hyperlink" Target="https://leetcode.com/problems/iterator-for-combination/description/" TargetMode="External"/><Relationship Id="rId303" Type="http://schemas.openxmlformats.org/officeDocument/2006/relationships/hyperlink" Target="https://leetcode.com/problems/range-sum-query-immutable/description/" TargetMode="External"/><Relationship Id="rId748" Type="http://schemas.openxmlformats.org/officeDocument/2006/relationships/hyperlink" Target="https://leetcode.com/problems/shortest-completing-word/description/" TargetMode="External"/><Relationship Id="rId955" Type="http://schemas.openxmlformats.org/officeDocument/2006/relationships/hyperlink" Target="https://leetcode.com/problems/array-of-doubled-pairs/description/" TargetMode="External"/><Relationship Id="rId1140" Type="http://schemas.openxmlformats.org/officeDocument/2006/relationships/hyperlink" Target="https://leetcode.com/problems/longest-common-subsequence/description/" TargetMode="External"/><Relationship Id="rId1378" Type="http://schemas.openxmlformats.org/officeDocument/2006/relationships/hyperlink" Target="https://leetcode.com/problems/total-sales-amount-by-year/description/" TargetMode="External"/><Relationship Id="rId84" Type="http://schemas.openxmlformats.org/officeDocument/2006/relationships/hyperlink" Target="https://leetcode.com/problems/largest-rectangle-in-histogram/description/" TargetMode="External"/><Relationship Id="rId387" Type="http://schemas.openxmlformats.org/officeDocument/2006/relationships/hyperlink" Target="https://leetcode.com/problems/first-unique-character-in-a-string/description/" TargetMode="External"/><Relationship Id="rId510" Type="http://schemas.openxmlformats.org/officeDocument/2006/relationships/hyperlink" Target="https://leetcode.com/problems/inorder-successor-in-bst-ii/description/" TargetMode="External"/><Relationship Id="rId594" Type="http://schemas.openxmlformats.org/officeDocument/2006/relationships/hyperlink" Target="https://leetcode.com/problems/longest-harmonious-subsequence/description/" TargetMode="External"/><Relationship Id="rId608" Type="http://schemas.openxmlformats.org/officeDocument/2006/relationships/hyperlink" Target="https://leetcode.com/problems/tree-node/description/" TargetMode="External"/><Relationship Id="rId815" Type="http://schemas.openxmlformats.org/officeDocument/2006/relationships/hyperlink" Target="https://leetcode.com/problems/binary-tree-pruning/description/" TargetMode="External"/><Relationship Id="rId1238" Type="http://schemas.openxmlformats.org/officeDocument/2006/relationships/hyperlink" Target="https://leetcode.com/problems/array-transformation/description/" TargetMode="External"/><Relationship Id="rId1445" Type="http://schemas.openxmlformats.org/officeDocument/2006/relationships/hyperlink" Target="https://leetcode.com/problems/number-of-students-doing-homework-at-a-given-time/description/" TargetMode="External"/><Relationship Id="rId247" Type="http://schemas.openxmlformats.org/officeDocument/2006/relationships/hyperlink" Target="https://leetcode.com/problems/strobogrammatic-number-ii/description/" TargetMode="External"/><Relationship Id="rId899" Type="http://schemas.openxmlformats.org/officeDocument/2006/relationships/hyperlink" Target="https://leetcode.com/problems/bitwise-ors-of-subarrays/description/" TargetMode="External"/><Relationship Id="rId1000" Type="http://schemas.openxmlformats.org/officeDocument/2006/relationships/hyperlink" Target="https://leetcode.com/problems/available-captures-for-rook/description/" TargetMode="External"/><Relationship Id="rId1084" Type="http://schemas.openxmlformats.org/officeDocument/2006/relationships/hyperlink" Target="https://leetcode.com/problems/sales-analysis-ii/description/" TargetMode="External"/><Relationship Id="rId1305" Type="http://schemas.openxmlformats.org/officeDocument/2006/relationships/hyperlink" Target="https://leetcode.com/problems/get-watched-videos-by-your-friends/description/" TargetMode="External"/><Relationship Id="rId107" Type="http://schemas.openxmlformats.org/officeDocument/2006/relationships/hyperlink" Target="https://leetcode.com/problems/binary-tree-level-order-traversal-ii/description/" TargetMode="External"/><Relationship Id="rId454" Type="http://schemas.openxmlformats.org/officeDocument/2006/relationships/hyperlink" Target="https://leetcode.com/problems/4sum-ii/description/" TargetMode="External"/><Relationship Id="rId661" Type="http://schemas.openxmlformats.org/officeDocument/2006/relationships/hyperlink" Target="https://leetcode.com/problems/image-smoother/description/" TargetMode="External"/><Relationship Id="rId759" Type="http://schemas.openxmlformats.org/officeDocument/2006/relationships/hyperlink" Target="https://leetcode.com/problems/employee-free-time/description/" TargetMode="External"/><Relationship Id="rId966" Type="http://schemas.openxmlformats.org/officeDocument/2006/relationships/hyperlink" Target="https://leetcode.com/problems/univalued-binary-tree/description/" TargetMode="External"/><Relationship Id="rId1291" Type="http://schemas.openxmlformats.org/officeDocument/2006/relationships/hyperlink" Target="https://leetcode.com/problems/maximum-number-of-occurrences-of-a-substring/description/" TargetMode="External"/><Relationship Id="rId1389" Type="http://schemas.openxmlformats.org/officeDocument/2006/relationships/hyperlink" Target="https://leetcode.com/problems/count-number-of-teams/description/" TargetMode="External"/><Relationship Id="rId11" Type="http://schemas.openxmlformats.org/officeDocument/2006/relationships/hyperlink" Target="https://leetcode.com/problems/container-with-most-water/description/" TargetMode="External"/><Relationship Id="rId314" Type="http://schemas.openxmlformats.org/officeDocument/2006/relationships/hyperlink" Target="https://leetcode.com/problems/binary-tree-vertical-order-traversal/description/" TargetMode="External"/><Relationship Id="rId398" Type="http://schemas.openxmlformats.org/officeDocument/2006/relationships/hyperlink" Target="https://leetcode.com/problems/random-pick-index/description/" TargetMode="External"/><Relationship Id="rId521" Type="http://schemas.openxmlformats.org/officeDocument/2006/relationships/hyperlink" Target="https://leetcode.com/problems/longest-uncommon-subsequence-i/description/" TargetMode="External"/><Relationship Id="rId619" Type="http://schemas.openxmlformats.org/officeDocument/2006/relationships/hyperlink" Target="https://leetcode.com/problems/biggest-single-number/description/" TargetMode="External"/><Relationship Id="rId1151" Type="http://schemas.openxmlformats.org/officeDocument/2006/relationships/hyperlink" Target="https://leetcode.com/problems/day-of-the-year/description/" TargetMode="External"/><Relationship Id="rId1249" Type="http://schemas.openxmlformats.org/officeDocument/2006/relationships/hyperlink" Target="https://leetcode.com/problems/number-of-closed-islands/description/" TargetMode="External"/><Relationship Id="rId95" Type="http://schemas.openxmlformats.org/officeDocument/2006/relationships/hyperlink" Target="https://leetcode.com/problems/unique-binary-search-trees-ii/description/" TargetMode="External"/><Relationship Id="rId160" Type="http://schemas.openxmlformats.org/officeDocument/2006/relationships/hyperlink" Target="https://leetcode.com/problems/intersection-of-two-linked-lists/description/" TargetMode="External"/><Relationship Id="rId826" Type="http://schemas.openxmlformats.org/officeDocument/2006/relationships/hyperlink" Target="https://leetcode.com/problems/friends-of-appropriate-ages/description/" TargetMode="External"/><Relationship Id="rId1011" Type="http://schemas.openxmlformats.org/officeDocument/2006/relationships/hyperlink" Target="https://leetcode.com/problems/pairs-of-songs-with-total-durations-divisible-by-60/description/" TargetMode="External"/><Relationship Id="rId1109" Type="http://schemas.openxmlformats.org/officeDocument/2006/relationships/hyperlink" Target="https://leetcode.com/problems/defanging-an-ip-address/description/" TargetMode="External"/><Relationship Id="rId1456" Type="http://schemas.openxmlformats.org/officeDocument/2006/relationships/hyperlink" Target="https://leetcode.com/problems/check-if-a-string-contains-all-binary-codes-of-size-k/description/" TargetMode="External"/><Relationship Id="rId258" Type="http://schemas.openxmlformats.org/officeDocument/2006/relationships/hyperlink" Target="https://leetcode.com/problems/add-digits/description/" TargetMode="External"/><Relationship Id="rId465" Type="http://schemas.openxmlformats.org/officeDocument/2006/relationships/hyperlink" Target="https://leetcode.com/problems/optimal-account-balancing/description/" TargetMode="External"/><Relationship Id="rId672" Type="http://schemas.openxmlformats.org/officeDocument/2006/relationships/hyperlink" Target="https://leetcode.com/problems/bulb-switcher-ii/description/" TargetMode="External"/><Relationship Id="rId1095" Type="http://schemas.openxmlformats.org/officeDocument/2006/relationships/hyperlink" Target="https://leetcode.com/problems/car-pooling/description/" TargetMode="External"/><Relationship Id="rId1316" Type="http://schemas.openxmlformats.org/officeDocument/2006/relationships/hyperlink" Target="https://leetcode.com/problems/ads-performance/description/" TargetMode="External"/><Relationship Id="rId22" Type="http://schemas.openxmlformats.org/officeDocument/2006/relationships/hyperlink" Target="https://leetcode.com/problems/generate-parentheses/description/" TargetMode="External"/><Relationship Id="rId118" Type="http://schemas.openxmlformats.org/officeDocument/2006/relationships/hyperlink" Target="https://leetcode.com/problems/pascals-triangle/description/" TargetMode="External"/><Relationship Id="rId325" Type="http://schemas.openxmlformats.org/officeDocument/2006/relationships/hyperlink" Target="https://leetcode.com/problems/maximum-size-subarray-sum-equals-k/description/" TargetMode="External"/><Relationship Id="rId532" Type="http://schemas.openxmlformats.org/officeDocument/2006/relationships/hyperlink" Target="https://leetcode.com/problems/k-diff-pairs-in-an-array/description/" TargetMode="External"/><Relationship Id="rId977" Type="http://schemas.openxmlformats.org/officeDocument/2006/relationships/hyperlink" Target="https://leetcode.com/problems/largest-perimeter-triangle/description/" TargetMode="External"/><Relationship Id="rId1162" Type="http://schemas.openxmlformats.org/officeDocument/2006/relationships/hyperlink" Target="https://leetcode.com/problems/single-row-keyboard/description/" TargetMode="External"/><Relationship Id="rId171" Type="http://schemas.openxmlformats.org/officeDocument/2006/relationships/hyperlink" Target="https://leetcode.com/problems/excel-sheet-column-number/description/" TargetMode="External"/><Relationship Id="rId837" Type="http://schemas.openxmlformats.org/officeDocument/2006/relationships/hyperlink" Target="https://leetcode.com/problems/rectangle-overlap/description/" TargetMode="External"/><Relationship Id="rId1022" Type="http://schemas.openxmlformats.org/officeDocument/2006/relationships/hyperlink" Target="https://leetcode.com/problems/remove-outermost-parentheses/description/" TargetMode="External"/><Relationship Id="rId1467" Type="http://schemas.openxmlformats.org/officeDocument/2006/relationships/hyperlink" Target="https://leetcode.com/problems/design-browser-history/description/" TargetMode="External"/><Relationship Id="rId269" Type="http://schemas.openxmlformats.org/officeDocument/2006/relationships/hyperlink" Target="https://leetcode.com/problems/alien-dictionary/description/" TargetMode="External"/><Relationship Id="rId476" Type="http://schemas.openxmlformats.org/officeDocument/2006/relationships/hyperlink" Target="https://leetcode.com/problems/number-complement/description/" TargetMode="External"/><Relationship Id="rId683" Type="http://schemas.openxmlformats.org/officeDocument/2006/relationships/hyperlink" Target="https://leetcode.com/problems/k-empty-slots/description/" TargetMode="External"/><Relationship Id="rId890" Type="http://schemas.openxmlformats.org/officeDocument/2006/relationships/hyperlink" Target="https://leetcode.com/problems/construct-binary-tree-from-preorder-and-postorder-traversal/description/" TargetMode="External"/><Relationship Id="rId904" Type="http://schemas.openxmlformats.org/officeDocument/2006/relationships/hyperlink" Target="https://leetcode.com/problems/valid-permutations-for-di-sequence/description/" TargetMode="External"/><Relationship Id="rId1327" Type="http://schemas.openxmlformats.org/officeDocument/2006/relationships/hyperlink" Target="https://leetcode.com/problems/filter-restaurants-by-vegan-friendly-price-and-distance/description/" TargetMode="External"/><Relationship Id="rId33" Type="http://schemas.openxmlformats.org/officeDocument/2006/relationships/hyperlink" Target="https://leetcode.com/problems/search-in-rotated-sorted-array/description/" TargetMode="External"/><Relationship Id="rId129" Type="http://schemas.openxmlformats.org/officeDocument/2006/relationships/hyperlink" Target="https://leetcode.com/problems/sum-root-to-leaf-numbers/description/" TargetMode="External"/><Relationship Id="rId336" Type="http://schemas.openxmlformats.org/officeDocument/2006/relationships/hyperlink" Target="https://leetcode.com/problems/palindrome-pairs/description/" TargetMode="External"/><Relationship Id="rId543" Type="http://schemas.openxmlformats.org/officeDocument/2006/relationships/hyperlink" Target="https://leetcode.com/problems/diameter-of-binary-tree/description/" TargetMode="External"/><Relationship Id="rId988" Type="http://schemas.openxmlformats.org/officeDocument/2006/relationships/hyperlink" Target="https://leetcode.com/problems/vertical-order-traversal-of-a-binary-tree/description/" TargetMode="External"/><Relationship Id="rId1173" Type="http://schemas.openxmlformats.org/officeDocument/2006/relationships/hyperlink" Target="https://leetcode.com/problems/diet-plan-performance/description/" TargetMode="External"/><Relationship Id="rId1380" Type="http://schemas.openxmlformats.org/officeDocument/2006/relationships/hyperlink" Target="https://leetcode.com/problems/cinema-seat-allocation/description/" TargetMode="External"/><Relationship Id="rId182" Type="http://schemas.openxmlformats.org/officeDocument/2006/relationships/hyperlink" Target="https://leetcode.com/problems/duplicate-emails/description/" TargetMode="External"/><Relationship Id="rId403" Type="http://schemas.openxmlformats.org/officeDocument/2006/relationships/hyperlink" Target="https://leetcode.com/problems/frog-jump/description/" TargetMode="External"/><Relationship Id="rId750" Type="http://schemas.openxmlformats.org/officeDocument/2006/relationships/hyperlink" Target="https://leetcode.com/problems/number-of-corner-rectangles/description/" TargetMode="External"/><Relationship Id="rId848" Type="http://schemas.openxmlformats.org/officeDocument/2006/relationships/hyperlink" Target="https://leetcode.com/problems/shortest-path-visiting-all-nodes/description/" TargetMode="External"/><Relationship Id="rId1033" Type="http://schemas.openxmlformats.org/officeDocument/2006/relationships/hyperlink" Target="https://leetcode.com/problems/stream-of-characters/description/" TargetMode="External"/><Relationship Id="rId1478" Type="http://schemas.openxmlformats.org/officeDocument/2006/relationships/hyperlink" Target="https://leetcode.com/problems/kth-ancestor-of-a-tree-node/description/" TargetMode="External"/><Relationship Id="rId487" Type="http://schemas.openxmlformats.org/officeDocument/2006/relationships/hyperlink" Target="https://leetcode.com/problems/max-consecutive-ones-ii/description/" TargetMode="External"/><Relationship Id="rId610" Type="http://schemas.openxmlformats.org/officeDocument/2006/relationships/hyperlink" Target="https://leetcode.com/problems/triangle-judgement/description/" TargetMode="External"/><Relationship Id="rId694" Type="http://schemas.openxmlformats.org/officeDocument/2006/relationships/hyperlink" Target="https://leetcode.com/problems/number-of-distinct-islands/description/" TargetMode="External"/><Relationship Id="rId708" Type="http://schemas.openxmlformats.org/officeDocument/2006/relationships/hyperlink" Target="https://leetcode.com/problems/insert-into-a-sorted-circular-linked-list/description/" TargetMode="External"/><Relationship Id="rId915" Type="http://schemas.openxmlformats.org/officeDocument/2006/relationships/hyperlink" Target="https://leetcode.com/problems/x-of-a-kind-in-a-deck-of-cards/description/" TargetMode="External"/><Relationship Id="rId1240" Type="http://schemas.openxmlformats.org/officeDocument/2006/relationships/hyperlink" Target="https://leetcode.com/problems/tree-diameter/description/" TargetMode="External"/><Relationship Id="rId1338" Type="http://schemas.openxmlformats.org/officeDocument/2006/relationships/hyperlink" Target="https://leetcode.com/problems/angle-between-hands-of-a-clock/description/" TargetMode="External"/><Relationship Id="rId347" Type="http://schemas.openxmlformats.org/officeDocument/2006/relationships/hyperlink" Target="https://leetcode.com/problems/top-k-frequent-elements/description/" TargetMode="External"/><Relationship Id="rId999" Type="http://schemas.openxmlformats.org/officeDocument/2006/relationships/hyperlink" Target="https://leetcode.com/problems/maximum-binary-tree-ii/description/" TargetMode="External"/><Relationship Id="rId1100" Type="http://schemas.openxmlformats.org/officeDocument/2006/relationships/hyperlink" Target="https://leetcode.com/problems/two-sum-less-than-k/description/" TargetMode="External"/><Relationship Id="rId1184" Type="http://schemas.openxmlformats.org/officeDocument/2006/relationships/hyperlink" Target="https://leetcode.com/problems/make-array-strictly-increasing/description/" TargetMode="External"/><Relationship Id="rId1405" Type="http://schemas.openxmlformats.org/officeDocument/2006/relationships/hyperlink" Target="https://leetcode.com/problems/number-of-ways-to-paint-n-3-grid/description/" TargetMode="External"/><Relationship Id="rId44" Type="http://schemas.openxmlformats.org/officeDocument/2006/relationships/hyperlink" Target="https://leetcode.com/problems/wildcard-matching/description/" TargetMode="External"/><Relationship Id="rId554" Type="http://schemas.openxmlformats.org/officeDocument/2006/relationships/hyperlink" Target="https://leetcode.com/problems/brick-wall/description/" TargetMode="External"/><Relationship Id="rId761" Type="http://schemas.openxmlformats.org/officeDocument/2006/relationships/hyperlink" Target="https://leetcode.com/problems/special-binary-string/description/" TargetMode="External"/><Relationship Id="rId859" Type="http://schemas.openxmlformats.org/officeDocument/2006/relationships/hyperlink" Target="https://leetcode.com/problems/mirror-reflection/description/" TargetMode="External"/><Relationship Id="rId1391" Type="http://schemas.openxmlformats.org/officeDocument/2006/relationships/hyperlink" Target="https://leetcode.com/problems/find-all-good-strings/description/" TargetMode="External"/><Relationship Id="rId193" Type="http://schemas.openxmlformats.org/officeDocument/2006/relationships/hyperlink" Target="https://leetcode.com/problems/valid-phone-numbers/description/" TargetMode="External"/><Relationship Id="rId207" Type="http://schemas.openxmlformats.org/officeDocument/2006/relationships/hyperlink" Target="https://leetcode.com/problems/course-schedule/description/" TargetMode="External"/><Relationship Id="rId414" Type="http://schemas.openxmlformats.org/officeDocument/2006/relationships/hyperlink" Target="https://leetcode.com/problems/third-maximum-number/description/" TargetMode="External"/><Relationship Id="rId498" Type="http://schemas.openxmlformats.org/officeDocument/2006/relationships/hyperlink" Target="https://leetcode.com/problems/diagonal-traverse/description/" TargetMode="External"/><Relationship Id="rId621" Type="http://schemas.openxmlformats.org/officeDocument/2006/relationships/hyperlink" Target="https://leetcode.com/problems/task-scheduler/description/" TargetMode="External"/><Relationship Id="rId1044" Type="http://schemas.openxmlformats.org/officeDocument/2006/relationships/hyperlink" Target="https://leetcode.com/problems/partition-array-for-maximum-sum/description/" TargetMode="External"/><Relationship Id="rId1251" Type="http://schemas.openxmlformats.org/officeDocument/2006/relationships/hyperlink" Target="https://leetcode.com/problems/encode-number/description/" TargetMode="External"/><Relationship Id="rId1349" Type="http://schemas.openxmlformats.org/officeDocument/2006/relationships/hyperlink" Target="https://leetcode.com/problems/activity-participants/description/" TargetMode="External"/><Relationship Id="rId260" Type="http://schemas.openxmlformats.org/officeDocument/2006/relationships/hyperlink" Target="https://leetcode.com/problems/single-number-iii/description/" TargetMode="External"/><Relationship Id="rId719" Type="http://schemas.openxmlformats.org/officeDocument/2006/relationships/hyperlink" Target="https://leetcode.com/problems/find-k-th-smallest-pair-distance/description/" TargetMode="External"/><Relationship Id="rId926" Type="http://schemas.openxmlformats.org/officeDocument/2006/relationships/hyperlink" Target="https://leetcode.com/problems/long-pressed-name/description/" TargetMode="External"/><Relationship Id="rId1111" Type="http://schemas.openxmlformats.org/officeDocument/2006/relationships/hyperlink" Target="https://leetcode.com/problems/delete-nodes-and-return-forest/description/" TargetMode="External"/><Relationship Id="rId55" Type="http://schemas.openxmlformats.org/officeDocument/2006/relationships/hyperlink" Target="https://leetcode.com/problems/jump-game/description/" TargetMode="External"/><Relationship Id="rId120" Type="http://schemas.openxmlformats.org/officeDocument/2006/relationships/hyperlink" Target="https://leetcode.com/problems/triangle/description/" TargetMode="External"/><Relationship Id="rId358" Type="http://schemas.openxmlformats.org/officeDocument/2006/relationships/hyperlink" Target="https://leetcode.com/problems/rearrange-string-k-distance-apart/description/" TargetMode="External"/><Relationship Id="rId565" Type="http://schemas.openxmlformats.org/officeDocument/2006/relationships/hyperlink" Target="https://leetcode.com/problems/array-nesting/description/" TargetMode="External"/><Relationship Id="rId772" Type="http://schemas.openxmlformats.org/officeDocument/2006/relationships/hyperlink" Target="https://leetcode.com/problems/basic-calculator-iii/description/" TargetMode="External"/><Relationship Id="rId1195" Type="http://schemas.openxmlformats.org/officeDocument/2006/relationships/hyperlink" Target="https://leetcode.com/problems/minimum-absolute-difference/description/" TargetMode="External"/><Relationship Id="rId1209" Type="http://schemas.openxmlformats.org/officeDocument/2006/relationships/hyperlink" Target="https://leetcode.com/problems/two-sum-bsts/description/" TargetMode="External"/><Relationship Id="rId1416" Type="http://schemas.openxmlformats.org/officeDocument/2006/relationships/hyperlink" Target="https://leetcode.com/problems/npv-queries/description/" TargetMode="External"/><Relationship Id="rId218" Type="http://schemas.openxmlformats.org/officeDocument/2006/relationships/hyperlink" Target="https://leetcode.com/problems/the-skyline-problem/description/" TargetMode="External"/><Relationship Id="rId425" Type="http://schemas.openxmlformats.org/officeDocument/2006/relationships/hyperlink" Target="https://leetcode.com/problems/word-squares/description/" TargetMode="External"/><Relationship Id="rId632" Type="http://schemas.openxmlformats.org/officeDocument/2006/relationships/hyperlink" Target="https://leetcode.com/problems/smallest-range-covering-elements-from-k-lists/description/" TargetMode="External"/><Relationship Id="rId1055" Type="http://schemas.openxmlformats.org/officeDocument/2006/relationships/hyperlink" Target="https://leetcode.com/problems/distant-barcodes/description/" TargetMode="External"/><Relationship Id="rId1262" Type="http://schemas.openxmlformats.org/officeDocument/2006/relationships/hyperlink" Target="https://leetcode.com/problems/count-servers-that-communicate/description/" TargetMode="External"/><Relationship Id="rId271" Type="http://schemas.openxmlformats.org/officeDocument/2006/relationships/hyperlink" Target="https://leetcode.com/problems/encode-and-decode-strings/description/" TargetMode="External"/><Relationship Id="rId937" Type="http://schemas.openxmlformats.org/officeDocument/2006/relationships/hyperlink" Target="https://leetcode.com/problems/stamping-the-sequence/description/" TargetMode="External"/><Relationship Id="rId1122" Type="http://schemas.openxmlformats.org/officeDocument/2006/relationships/hyperlink" Target="https://leetcode.com/problems/smallest-sufficient-team/description/" TargetMode="External"/><Relationship Id="rId66" Type="http://schemas.openxmlformats.org/officeDocument/2006/relationships/hyperlink" Target="https://leetcode.com/problems/plus-one/description/" TargetMode="External"/><Relationship Id="rId131" Type="http://schemas.openxmlformats.org/officeDocument/2006/relationships/hyperlink" Target="https://leetcode.com/problems/palindrome-partitioning/description/" TargetMode="External"/><Relationship Id="rId369" Type="http://schemas.openxmlformats.org/officeDocument/2006/relationships/hyperlink" Target="https://leetcode.com/problems/plus-one-linked-list/description/" TargetMode="External"/><Relationship Id="rId576" Type="http://schemas.openxmlformats.org/officeDocument/2006/relationships/hyperlink" Target="https://leetcode.com/problems/out-of-boundary-paths/description/" TargetMode="External"/><Relationship Id="rId783" Type="http://schemas.openxmlformats.org/officeDocument/2006/relationships/hyperlink" Target="https://leetcode.com/problems/minimum-distance-between-bst-nodes/description/" TargetMode="External"/><Relationship Id="rId990" Type="http://schemas.openxmlformats.org/officeDocument/2006/relationships/hyperlink" Target="https://leetcode.com/problems/add-to-array-form-of-integer/description/" TargetMode="External"/><Relationship Id="rId1427" Type="http://schemas.openxmlformats.org/officeDocument/2006/relationships/hyperlink" Target="https://leetcode.com/problems/max-difference-you-can-get-from-changing-an-integer/description/" TargetMode="External"/><Relationship Id="rId229" Type="http://schemas.openxmlformats.org/officeDocument/2006/relationships/hyperlink" Target="https://leetcode.com/problems/majority-element-ii/description/" TargetMode="External"/><Relationship Id="rId436" Type="http://schemas.openxmlformats.org/officeDocument/2006/relationships/hyperlink" Target="https://leetcode.com/problems/find-right-interval/description/" TargetMode="External"/><Relationship Id="rId643" Type="http://schemas.openxmlformats.org/officeDocument/2006/relationships/hyperlink" Target="https://leetcode.com/problems/maximum-average-subarray-i/description/" TargetMode="External"/><Relationship Id="rId1066" Type="http://schemas.openxmlformats.org/officeDocument/2006/relationships/hyperlink" Target="https://leetcode.com/problems/index-pairs-of-a-string/description/" TargetMode="External"/><Relationship Id="rId1273" Type="http://schemas.openxmlformats.org/officeDocument/2006/relationships/hyperlink" Target="https://leetcode.com/problems/palindrome-partitioning-iii/description/" TargetMode="External"/><Relationship Id="rId1480" Type="http://schemas.openxmlformats.org/officeDocument/2006/relationships/hyperlink" Target="https://leetcode.com/problems/clone-binary-tree-with-random-pointer/description/" TargetMode="External"/><Relationship Id="rId850" Type="http://schemas.openxmlformats.org/officeDocument/2006/relationships/hyperlink" Target="https://leetcode.com/problems/maximize-distance-to-closest-person/description/" TargetMode="External"/><Relationship Id="rId948" Type="http://schemas.openxmlformats.org/officeDocument/2006/relationships/hyperlink" Target="https://leetcode.com/problems/most-stones-removed-with-same-row-or-column/description/" TargetMode="External"/><Relationship Id="rId1133" Type="http://schemas.openxmlformats.org/officeDocument/2006/relationships/hyperlink" Target="https://leetcode.com/problems/parallel-courses/description/" TargetMode="External"/><Relationship Id="rId77" Type="http://schemas.openxmlformats.org/officeDocument/2006/relationships/hyperlink" Target="https://leetcode.com/problems/combinations/description/" TargetMode="External"/><Relationship Id="rId282" Type="http://schemas.openxmlformats.org/officeDocument/2006/relationships/hyperlink" Target="https://leetcode.com/problems/expression-add-operators/description/" TargetMode="External"/><Relationship Id="rId503" Type="http://schemas.openxmlformats.org/officeDocument/2006/relationships/hyperlink" Target="https://leetcode.com/problems/next-greater-element-ii/description/" TargetMode="External"/><Relationship Id="rId587" Type="http://schemas.openxmlformats.org/officeDocument/2006/relationships/hyperlink" Target="https://leetcode.com/problems/erect-the-fence/description/" TargetMode="External"/><Relationship Id="rId710" Type="http://schemas.openxmlformats.org/officeDocument/2006/relationships/hyperlink" Target="https://leetcode.com/problems/random-pick-with-blacklist/description/" TargetMode="External"/><Relationship Id="rId808" Type="http://schemas.openxmlformats.org/officeDocument/2006/relationships/hyperlink" Target="https://leetcode.com/problems/max-increase-to-keep-city-skyline/description/" TargetMode="External"/><Relationship Id="rId1340" Type="http://schemas.openxmlformats.org/officeDocument/2006/relationships/hyperlink" Target="https://leetcode.com/problems/check-if-n-and-its-double-exist/description/" TargetMode="External"/><Relationship Id="rId1438" Type="http://schemas.openxmlformats.org/officeDocument/2006/relationships/hyperlink" Target="https://leetcode.com/problems/minimum-time-to-collect-all-apples-in-a-tree/description/" TargetMode="External"/><Relationship Id="rId8" Type="http://schemas.openxmlformats.org/officeDocument/2006/relationships/hyperlink" Target="https://leetcode.com/problems/string-to-integer-atoi/description/" TargetMode="External"/><Relationship Id="rId142" Type="http://schemas.openxmlformats.org/officeDocument/2006/relationships/hyperlink" Target="https://leetcode.com/problems/linked-list-cycle-ii/description/" TargetMode="External"/><Relationship Id="rId447" Type="http://schemas.openxmlformats.org/officeDocument/2006/relationships/hyperlink" Target="https://leetcode.com/problems/number-of-boomerangs/description/" TargetMode="External"/><Relationship Id="rId794" Type="http://schemas.openxmlformats.org/officeDocument/2006/relationships/hyperlink" Target="https://leetcode.com/problems/preimage-size-of-factorial-zeroes-function/description/" TargetMode="External"/><Relationship Id="rId1077" Type="http://schemas.openxmlformats.org/officeDocument/2006/relationships/hyperlink" Target="https://leetcode.com/problems/project-employees-ii/description/" TargetMode="External"/><Relationship Id="rId1200" Type="http://schemas.openxmlformats.org/officeDocument/2006/relationships/hyperlink" Target="https://leetcode.com/problems/monthly-transactions-ii/description/" TargetMode="External"/><Relationship Id="rId654" Type="http://schemas.openxmlformats.org/officeDocument/2006/relationships/hyperlink" Target="https://leetcode.com/problems/maximum-binary-tree/description/" TargetMode="External"/><Relationship Id="rId861" Type="http://schemas.openxmlformats.org/officeDocument/2006/relationships/hyperlink" Target="https://leetcode.com/problems/lemonade-change/description/" TargetMode="External"/><Relationship Id="rId959" Type="http://schemas.openxmlformats.org/officeDocument/2006/relationships/hyperlink" Target="https://leetcode.com/problems/check-completeness-of-a-binary-tree/description/" TargetMode="External"/><Relationship Id="rId1284" Type="http://schemas.openxmlformats.org/officeDocument/2006/relationships/hyperlink" Target="https://leetcode.com/problems/convert-binary-number-in-a-linked-list-to-integer/description/" TargetMode="External"/><Relationship Id="rId293" Type="http://schemas.openxmlformats.org/officeDocument/2006/relationships/hyperlink" Target="https://leetcode.com/problems/flip-game/description/" TargetMode="External"/><Relationship Id="rId307" Type="http://schemas.openxmlformats.org/officeDocument/2006/relationships/hyperlink" Target="https://leetcode.com/problems/range-sum-query-mutable/description/" TargetMode="External"/><Relationship Id="rId514" Type="http://schemas.openxmlformats.org/officeDocument/2006/relationships/hyperlink" Target="https://leetcode.com/problems/freedom-trail/description/" TargetMode="External"/><Relationship Id="rId721" Type="http://schemas.openxmlformats.org/officeDocument/2006/relationships/hyperlink" Target="https://leetcode.com/problems/accounts-merge/description/" TargetMode="External"/><Relationship Id="rId1144" Type="http://schemas.openxmlformats.org/officeDocument/2006/relationships/hyperlink" Target="https://leetcode.com/problems/longest-chunked-palindrome-decomposition/description/" TargetMode="External"/><Relationship Id="rId1351" Type="http://schemas.openxmlformats.org/officeDocument/2006/relationships/hyperlink" Target="https://leetcode.com/problems/apply-discount-every-n-orders/description/" TargetMode="External"/><Relationship Id="rId1449" Type="http://schemas.openxmlformats.org/officeDocument/2006/relationships/hyperlink" Target="https://leetcode.com/problems/active-users/description/" TargetMode="External"/><Relationship Id="rId88" Type="http://schemas.openxmlformats.org/officeDocument/2006/relationships/hyperlink" Target="https://leetcode.com/problems/merge-sorted-array/description/" TargetMode="External"/><Relationship Id="rId153" Type="http://schemas.openxmlformats.org/officeDocument/2006/relationships/hyperlink" Target="https://leetcode.com/problems/find-minimum-in-rotated-sorted-array/description/" TargetMode="External"/><Relationship Id="rId360" Type="http://schemas.openxmlformats.org/officeDocument/2006/relationships/hyperlink" Target="https://leetcode.com/problems/sort-transformed-array/description/" TargetMode="External"/><Relationship Id="rId598" Type="http://schemas.openxmlformats.org/officeDocument/2006/relationships/hyperlink" Target="https://leetcode.com/problems/range-addition-ii/description/" TargetMode="External"/><Relationship Id="rId819" Type="http://schemas.openxmlformats.org/officeDocument/2006/relationships/hyperlink" Target="https://leetcode.com/problems/race-car/description/" TargetMode="External"/><Relationship Id="rId1004" Type="http://schemas.openxmlformats.org/officeDocument/2006/relationships/hyperlink" Target="https://leetcode.com/problems/check-if-word-is-valid-after-substitutions/description/" TargetMode="External"/><Relationship Id="rId1211" Type="http://schemas.openxmlformats.org/officeDocument/2006/relationships/hyperlink" Target="https://leetcode.com/problems/valid-palindrome-iii/description/" TargetMode="External"/><Relationship Id="rId220" Type="http://schemas.openxmlformats.org/officeDocument/2006/relationships/hyperlink" Target="https://leetcode.com/problems/contains-duplicate-iii/description/" TargetMode="External"/><Relationship Id="rId458" Type="http://schemas.openxmlformats.org/officeDocument/2006/relationships/hyperlink" Target="https://leetcode.com/problems/poor-pigs/description/" TargetMode="External"/><Relationship Id="rId665" Type="http://schemas.openxmlformats.org/officeDocument/2006/relationships/hyperlink" Target="https://leetcode.com/problems/non-decreasing-array/description/" TargetMode="External"/><Relationship Id="rId872" Type="http://schemas.openxmlformats.org/officeDocument/2006/relationships/hyperlink" Target="https://leetcode.com/problems/minimum-number-of-refueling-stops/description/" TargetMode="External"/><Relationship Id="rId1088" Type="http://schemas.openxmlformats.org/officeDocument/2006/relationships/hyperlink" Target="https://leetcode.com/problems/brace-expansion/description/" TargetMode="External"/><Relationship Id="rId1295" Type="http://schemas.openxmlformats.org/officeDocument/2006/relationships/hyperlink" Target="https://leetcode.com/problems/number-of-paths-with-max-score/description/" TargetMode="External"/><Relationship Id="rId1309" Type="http://schemas.openxmlformats.org/officeDocument/2006/relationships/hyperlink" Target="https://leetcode.com/problems/sum-of-nodes-with-even-valued-grandparent/description/" TargetMode="External"/><Relationship Id="rId15" Type="http://schemas.openxmlformats.org/officeDocument/2006/relationships/hyperlink" Target="https://leetcode.com/problems/3sum/description/" TargetMode="External"/><Relationship Id="rId318" Type="http://schemas.openxmlformats.org/officeDocument/2006/relationships/hyperlink" Target="https://leetcode.com/problems/maximum-product-of-word-lengths/description/" TargetMode="External"/><Relationship Id="rId525" Type="http://schemas.openxmlformats.org/officeDocument/2006/relationships/hyperlink" Target="https://leetcode.com/problems/contiguous-array/description/" TargetMode="External"/><Relationship Id="rId732" Type="http://schemas.openxmlformats.org/officeDocument/2006/relationships/hyperlink" Target="https://leetcode.com/problems/my-calendar-iii/description/" TargetMode="External"/><Relationship Id="rId1155" Type="http://schemas.openxmlformats.org/officeDocument/2006/relationships/hyperlink" Target="https://leetcode.com/problems/market-analysis-i/description/" TargetMode="External"/><Relationship Id="rId1362" Type="http://schemas.openxmlformats.org/officeDocument/2006/relationships/hyperlink" Target="https://leetcode.com/problems/minimum-cost-to-make-at-least-one-valid-path-in-a-grid/description/" TargetMode="External"/><Relationship Id="rId99" Type="http://schemas.openxmlformats.org/officeDocument/2006/relationships/hyperlink" Target="https://leetcode.com/problems/recover-binary-search-tree/description/" TargetMode="External"/><Relationship Id="rId164" Type="http://schemas.openxmlformats.org/officeDocument/2006/relationships/hyperlink" Target="https://leetcode.com/problems/maximum-gap/description/" TargetMode="External"/><Relationship Id="rId371" Type="http://schemas.openxmlformats.org/officeDocument/2006/relationships/hyperlink" Target="https://leetcode.com/problems/sum-of-two-integers/description/" TargetMode="External"/><Relationship Id="rId1015" Type="http://schemas.openxmlformats.org/officeDocument/2006/relationships/hyperlink" Target="https://leetcode.com/problems/best-sightseeing-pair/description/" TargetMode="External"/><Relationship Id="rId1222" Type="http://schemas.openxmlformats.org/officeDocument/2006/relationships/hyperlink" Target="https://leetcode.com/problems/report-contiguous-dates/description/" TargetMode="External"/><Relationship Id="rId469" Type="http://schemas.openxmlformats.org/officeDocument/2006/relationships/hyperlink" Target="https://leetcode.com/problems/convex-polygon/description/" TargetMode="External"/><Relationship Id="rId676" Type="http://schemas.openxmlformats.org/officeDocument/2006/relationships/hyperlink" Target="https://leetcode.com/problems/implement-magic-dictionary/description/" TargetMode="External"/><Relationship Id="rId883" Type="http://schemas.openxmlformats.org/officeDocument/2006/relationships/hyperlink" Target="https://leetcode.com/problems/reachable-nodes-in-subdivided-graph/description/" TargetMode="External"/><Relationship Id="rId1099" Type="http://schemas.openxmlformats.org/officeDocument/2006/relationships/hyperlink" Target="https://leetcode.com/problems/unpopular-books/description/" TargetMode="External"/><Relationship Id="rId26" Type="http://schemas.openxmlformats.org/officeDocument/2006/relationships/hyperlink" Target="https://leetcode.com/problems/remove-duplicates-from-sorted-array/description/" TargetMode="External"/><Relationship Id="rId231" Type="http://schemas.openxmlformats.org/officeDocument/2006/relationships/hyperlink" Target="https://leetcode.com/problems/power-of-two/description/" TargetMode="External"/><Relationship Id="rId329" Type="http://schemas.openxmlformats.org/officeDocument/2006/relationships/hyperlink" Target="https://leetcode.com/problems/longest-increasing-path-in-a-matrix/description/" TargetMode="External"/><Relationship Id="rId536" Type="http://schemas.openxmlformats.org/officeDocument/2006/relationships/hyperlink" Target="https://leetcode.com/problems/construct-binary-tree-from-string/description/" TargetMode="External"/><Relationship Id="rId1166" Type="http://schemas.openxmlformats.org/officeDocument/2006/relationships/hyperlink" Target="https://leetcode.com/problems/invalid-transactions/description/" TargetMode="External"/><Relationship Id="rId1373" Type="http://schemas.openxmlformats.org/officeDocument/2006/relationships/hyperlink" Target="https://leetcode.com/problems/find-a-corresponding-node-of-a-binary-tree-in-a-clone-of-that-tree/description/" TargetMode="External"/><Relationship Id="rId175" Type="http://schemas.openxmlformats.org/officeDocument/2006/relationships/hyperlink" Target="https://leetcode.com/problems/combine-two-tables/description/" TargetMode="External"/><Relationship Id="rId743" Type="http://schemas.openxmlformats.org/officeDocument/2006/relationships/hyperlink" Target="https://leetcode.com/problems/network-delay-time/description/" TargetMode="External"/><Relationship Id="rId950" Type="http://schemas.openxmlformats.org/officeDocument/2006/relationships/hyperlink" Target="https://leetcode.com/problems/largest-time-for-given-digits/description/" TargetMode="External"/><Relationship Id="rId1026" Type="http://schemas.openxmlformats.org/officeDocument/2006/relationships/hyperlink" Target="https://leetcode.com/problems/divisor-game/description/" TargetMode="External"/><Relationship Id="rId382" Type="http://schemas.openxmlformats.org/officeDocument/2006/relationships/hyperlink" Target="https://leetcode.com/problems/linked-list-random-node/description/" TargetMode="External"/><Relationship Id="rId603" Type="http://schemas.openxmlformats.org/officeDocument/2006/relationships/hyperlink" Target="https://leetcode.com/problems/consecutive-available-seats/description/" TargetMode="External"/><Relationship Id="rId687" Type="http://schemas.openxmlformats.org/officeDocument/2006/relationships/hyperlink" Target="https://leetcode.com/problems/longest-univalue-path/description/" TargetMode="External"/><Relationship Id="rId810" Type="http://schemas.openxmlformats.org/officeDocument/2006/relationships/hyperlink" Target="https://leetcode.com/problems/expressive-words/description/" TargetMode="External"/><Relationship Id="rId908" Type="http://schemas.openxmlformats.org/officeDocument/2006/relationships/hyperlink" Target="https://leetcode.com/problems/sum-of-subarray-minimums/description/" TargetMode="External"/><Relationship Id="rId1233" Type="http://schemas.openxmlformats.org/officeDocument/2006/relationships/hyperlink" Target="https://leetcode.com/problems/find-positive-integer-solution-for-a-given-equation/description/" TargetMode="External"/><Relationship Id="rId1440" Type="http://schemas.openxmlformats.org/officeDocument/2006/relationships/hyperlink" Target="https://leetcode.com/problems/apples-oranges/description/" TargetMode="External"/><Relationship Id="rId242" Type="http://schemas.openxmlformats.org/officeDocument/2006/relationships/hyperlink" Target="https://leetcode.com/problems/valid-anagram/description/" TargetMode="External"/><Relationship Id="rId894" Type="http://schemas.openxmlformats.org/officeDocument/2006/relationships/hyperlink" Target="https://leetcode.com/problems/groups-of-special-equivalent-strings/description/" TargetMode="External"/><Relationship Id="rId1177" Type="http://schemas.openxmlformats.org/officeDocument/2006/relationships/hyperlink" Target="https://leetcode.com/problems/count-substrings-with-only-one-distinct-letter/description/" TargetMode="External"/><Relationship Id="rId1300" Type="http://schemas.openxmlformats.org/officeDocument/2006/relationships/hyperlink" Target="https://leetcode.com/problems/jump-game-iii/description/" TargetMode="External"/><Relationship Id="rId37" Type="http://schemas.openxmlformats.org/officeDocument/2006/relationships/hyperlink" Target="https://leetcode.com/problems/sudoku-solver/description/" TargetMode="External"/><Relationship Id="rId102" Type="http://schemas.openxmlformats.org/officeDocument/2006/relationships/hyperlink" Target="https://leetcode.com/problems/binary-tree-level-order-traversal/description/" TargetMode="External"/><Relationship Id="rId547" Type="http://schemas.openxmlformats.org/officeDocument/2006/relationships/hyperlink" Target="https://leetcode.com/problems/friend-circles/description/" TargetMode="External"/><Relationship Id="rId754" Type="http://schemas.openxmlformats.org/officeDocument/2006/relationships/hyperlink" Target="https://leetcode.com/problems/reach-a-number/description/" TargetMode="External"/><Relationship Id="rId961" Type="http://schemas.openxmlformats.org/officeDocument/2006/relationships/hyperlink" Target="https://leetcode.com/problems/delete-columns-to-make-sorted-iii/description/" TargetMode="External"/><Relationship Id="rId1384" Type="http://schemas.openxmlformats.org/officeDocument/2006/relationships/hyperlink" Target="https://leetcode.com/problems/four-divisors/description/" TargetMode="External"/><Relationship Id="rId90" Type="http://schemas.openxmlformats.org/officeDocument/2006/relationships/hyperlink" Target="https://leetcode.com/problems/subsets-ii/description/" TargetMode="External"/><Relationship Id="rId186" Type="http://schemas.openxmlformats.org/officeDocument/2006/relationships/hyperlink" Target="https://leetcode.com/problems/reverse-words-in-a-string-ii/description/" TargetMode="External"/><Relationship Id="rId393" Type="http://schemas.openxmlformats.org/officeDocument/2006/relationships/hyperlink" Target="https://leetcode.com/problems/utf-8-validation/description/" TargetMode="External"/><Relationship Id="rId407" Type="http://schemas.openxmlformats.org/officeDocument/2006/relationships/hyperlink" Target="https://leetcode.com/problems/trapping-rain-water-ii/description/" TargetMode="External"/><Relationship Id="rId614" Type="http://schemas.openxmlformats.org/officeDocument/2006/relationships/hyperlink" Target="https://leetcode.com/problems/second-degree-follower/description/" TargetMode="External"/><Relationship Id="rId821" Type="http://schemas.openxmlformats.org/officeDocument/2006/relationships/hyperlink" Target="https://leetcode.com/problems/short-encoding-of-words/description/" TargetMode="External"/><Relationship Id="rId1037" Type="http://schemas.openxmlformats.org/officeDocument/2006/relationships/hyperlink" Target="https://leetcode.com/problems/escape-a-large-maze/description/" TargetMode="External"/><Relationship Id="rId1244" Type="http://schemas.openxmlformats.org/officeDocument/2006/relationships/hyperlink" Target="https://leetcode.com/problems/minimum-remove-to-make-valid-parentheses/description/" TargetMode="External"/><Relationship Id="rId1451" Type="http://schemas.openxmlformats.org/officeDocument/2006/relationships/hyperlink" Target="https://leetcode.com/problems/maximum-number-of-vowels-in-a-substring-of-given-length/description/" TargetMode="External"/><Relationship Id="rId253" Type="http://schemas.openxmlformats.org/officeDocument/2006/relationships/hyperlink" Target="https://leetcode.com/problems/meeting-rooms-ii/description/" TargetMode="External"/><Relationship Id="rId460" Type="http://schemas.openxmlformats.org/officeDocument/2006/relationships/hyperlink" Target="https://leetcode.com/problems/lfu-cache/description/" TargetMode="External"/><Relationship Id="rId698" Type="http://schemas.openxmlformats.org/officeDocument/2006/relationships/hyperlink" Target="https://leetcode.com/problems/partition-to-k-equal-sum-subsets/description/" TargetMode="External"/><Relationship Id="rId919" Type="http://schemas.openxmlformats.org/officeDocument/2006/relationships/hyperlink" Target="https://leetcode.com/problems/maximum-sum-circular-subarray/description/" TargetMode="External"/><Relationship Id="rId1090" Type="http://schemas.openxmlformats.org/officeDocument/2006/relationships/hyperlink" Target="https://leetcode.com/problems/duplicate-zeros/description/" TargetMode="External"/><Relationship Id="rId1104" Type="http://schemas.openxmlformats.org/officeDocument/2006/relationships/hyperlink" Target="https://leetcode.com/problems/distribute-candies-to-people/description/" TargetMode="External"/><Relationship Id="rId1311" Type="http://schemas.openxmlformats.org/officeDocument/2006/relationships/hyperlink" Target="https://leetcode.com/problems/convert-integer-to-the-sum-of-two-no-zero-integers/description/" TargetMode="External"/><Relationship Id="rId48" Type="http://schemas.openxmlformats.org/officeDocument/2006/relationships/hyperlink" Target="https://leetcode.com/problems/rotate-image/description/" TargetMode="External"/><Relationship Id="rId113" Type="http://schemas.openxmlformats.org/officeDocument/2006/relationships/hyperlink" Target="https://leetcode.com/problems/path-sum-ii/description/" TargetMode="External"/><Relationship Id="rId320" Type="http://schemas.openxmlformats.org/officeDocument/2006/relationships/hyperlink" Target="https://leetcode.com/problems/generalized-abbreviation/description/" TargetMode="External"/><Relationship Id="rId558" Type="http://schemas.openxmlformats.org/officeDocument/2006/relationships/hyperlink" Target="https://leetcode.com/problems/logical-or-of-two-binary-grids-represented-as-quad-trees/description/" TargetMode="External"/><Relationship Id="rId765" Type="http://schemas.openxmlformats.org/officeDocument/2006/relationships/hyperlink" Target="https://leetcode.com/problems/couples-holding-hands/description/" TargetMode="External"/><Relationship Id="rId972" Type="http://schemas.openxmlformats.org/officeDocument/2006/relationships/hyperlink" Target="https://leetcode.com/problems/flip-binary-tree-to-match-preorder-traversal/description/" TargetMode="External"/><Relationship Id="rId1188" Type="http://schemas.openxmlformats.org/officeDocument/2006/relationships/hyperlink" Target="https://leetcode.com/problems/critical-connections-in-a-network/description/" TargetMode="External"/><Relationship Id="rId1395" Type="http://schemas.openxmlformats.org/officeDocument/2006/relationships/hyperlink" Target="https://leetcode.com/problems/circle-and-rectangle-overlapping/description/" TargetMode="External"/><Relationship Id="rId1409" Type="http://schemas.openxmlformats.org/officeDocument/2006/relationships/hyperlink" Target="https://leetcode.com/problems/the-k-th-lexicographical-string-of-all-happy-strings-of-length-n/description/" TargetMode="External"/><Relationship Id="rId197" Type="http://schemas.openxmlformats.org/officeDocument/2006/relationships/hyperlink" Target="https://leetcode.com/problems/rising-temperature/description/" TargetMode="External"/><Relationship Id="rId418" Type="http://schemas.openxmlformats.org/officeDocument/2006/relationships/hyperlink" Target="https://leetcode.com/problems/sentence-screen-fitting/description/" TargetMode="External"/><Relationship Id="rId625" Type="http://schemas.openxmlformats.org/officeDocument/2006/relationships/hyperlink" Target="https://leetcode.com/problems/minimum-factorization/description/" TargetMode="External"/><Relationship Id="rId832" Type="http://schemas.openxmlformats.org/officeDocument/2006/relationships/hyperlink" Target="https://leetcode.com/problems/masking-personal-information/description/" TargetMode="External"/><Relationship Id="rId1048" Type="http://schemas.openxmlformats.org/officeDocument/2006/relationships/hyperlink" Target="https://leetcode.com/problems/remove-all-adjacent-duplicates-in-string/description/" TargetMode="External"/><Relationship Id="rId1255" Type="http://schemas.openxmlformats.org/officeDocument/2006/relationships/hyperlink" Target="https://leetcode.com/problems/shift-2d-grid/description/" TargetMode="External"/><Relationship Id="rId1462" Type="http://schemas.openxmlformats.org/officeDocument/2006/relationships/hyperlink" Target="https://leetcode.com/problems/probability-of-a-two-boxes-having-the-same-number-of-distinct-balls/description/" TargetMode="External"/><Relationship Id="rId264" Type="http://schemas.openxmlformats.org/officeDocument/2006/relationships/hyperlink" Target="https://leetcode.com/problems/ugly-number-ii/description/" TargetMode="External"/><Relationship Id="rId471" Type="http://schemas.openxmlformats.org/officeDocument/2006/relationships/hyperlink" Target="https://leetcode.com/problems/encode-string-with-shortest-length/description/" TargetMode="External"/><Relationship Id="rId1115" Type="http://schemas.openxmlformats.org/officeDocument/2006/relationships/hyperlink" Target="https://leetcode.com/problems/number-of-days-in-a-month/description/" TargetMode="External"/><Relationship Id="rId1322" Type="http://schemas.openxmlformats.org/officeDocument/2006/relationships/hyperlink" Target="https://leetcode.com/problems/break-a-palindrome/description/" TargetMode="External"/><Relationship Id="rId59" Type="http://schemas.openxmlformats.org/officeDocument/2006/relationships/hyperlink" Target="https://leetcode.com/problems/spiral-matrix-ii/description/" TargetMode="External"/><Relationship Id="rId124" Type="http://schemas.openxmlformats.org/officeDocument/2006/relationships/hyperlink" Target="https://leetcode.com/problems/binary-tree-maximum-path-sum/description/" TargetMode="External"/><Relationship Id="rId569" Type="http://schemas.openxmlformats.org/officeDocument/2006/relationships/hyperlink" Target="https://leetcode.com/problems/median-employee-salary/description/" TargetMode="External"/><Relationship Id="rId776" Type="http://schemas.openxmlformats.org/officeDocument/2006/relationships/hyperlink" Target="https://leetcode.com/problems/split-bst/description/" TargetMode="External"/><Relationship Id="rId983" Type="http://schemas.openxmlformats.org/officeDocument/2006/relationships/hyperlink" Target="https://leetcode.com/problems/triples-with-bitwise-and-equal-to-zero/description/" TargetMode="External"/><Relationship Id="rId1199" Type="http://schemas.openxmlformats.org/officeDocument/2006/relationships/hyperlink" Target="https://leetcode.com/problems/last-person-to-fit-in-the-elevator/description/" TargetMode="External"/><Relationship Id="rId331" Type="http://schemas.openxmlformats.org/officeDocument/2006/relationships/hyperlink" Target="https://leetcode.com/problems/verify-preorder-serialization-of-a-binary-tree/description/" TargetMode="External"/><Relationship Id="rId429" Type="http://schemas.openxmlformats.org/officeDocument/2006/relationships/hyperlink" Target="https://leetcode.com/problems/n-ary-tree-level-order-traversal/description/" TargetMode="External"/><Relationship Id="rId636" Type="http://schemas.openxmlformats.org/officeDocument/2006/relationships/hyperlink" Target="https://leetcode.com/problems/exclusive-time-of-functions/description/" TargetMode="External"/><Relationship Id="rId1059" Type="http://schemas.openxmlformats.org/officeDocument/2006/relationships/hyperlink" Target="https://leetcode.com/problems/minimize-rounding-error-to-meet-target/description/" TargetMode="External"/><Relationship Id="rId1266" Type="http://schemas.openxmlformats.org/officeDocument/2006/relationships/hyperlink" Target="https://leetcode.com/problems/hexspeak/description/" TargetMode="External"/><Relationship Id="rId1473" Type="http://schemas.openxmlformats.org/officeDocument/2006/relationships/hyperlink" Target="https://leetcode.com/problems/allocate-mailboxes/description/" TargetMode="External"/><Relationship Id="rId843" Type="http://schemas.openxmlformats.org/officeDocument/2006/relationships/hyperlink" Target="https://leetcode.com/problems/split-array-into-fibonacci-sequence/description/" TargetMode="External"/><Relationship Id="rId1126" Type="http://schemas.openxmlformats.org/officeDocument/2006/relationships/hyperlink" Target="https://leetcode.com/problems/shortest-path-with-alternating-colors/description/" TargetMode="External"/><Relationship Id="rId275" Type="http://schemas.openxmlformats.org/officeDocument/2006/relationships/hyperlink" Target="https://leetcode.com/problems/h-index-ii/description/" TargetMode="External"/><Relationship Id="rId482" Type="http://schemas.openxmlformats.org/officeDocument/2006/relationships/hyperlink" Target="https://leetcode.com/problems/license-key-formatting/description/" TargetMode="External"/><Relationship Id="rId703" Type="http://schemas.openxmlformats.org/officeDocument/2006/relationships/hyperlink" Target="https://leetcode.com/problems/kth-largest-element-in-a-stream/description/" TargetMode="External"/><Relationship Id="rId910" Type="http://schemas.openxmlformats.org/officeDocument/2006/relationships/hyperlink" Target="https://leetcode.com/problems/snakes-and-ladders/description/" TargetMode="External"/><Relationship Id="rId1333" Type="http://schemas.openxmlformats.org/officeDocument/2006/relationships/hyperlink" Target="https://leetcode.com/problems/maximum-product-of-splitted-binary-tree/description/" TargetMode="External"/><Relationship Id="rId135" Type="http://schemas.openxmlformats.org/officeDocument/2006/relationships/hyperlink" Target="https://leetcode.com/problems/candy/description/" TargetMode="External"/><Relationship Id="rId342" Type="http://schemas.openxmlformats.org/officeDocument/2006/relationships/hyperlink" Target="https://leetcode.com/problems/power-of-four/description/" TargetMode="External"/><Relationship Id="rId787" Type="http://schemas.openxmlformats.org/officeDocument/2006/relationships/hyperlink" Target="http://pony.ai/" TargetMode="External"/><Relationship Id="rId994" Type="http://schemas.openxmlformats.org/officeDocument/2006/relationships/hyperlink" Target="https://leetcode.com/problems/cousins-in-binary-tree/description/" TargetMode="External"/><Relationship Id="rId1400" Type="http://schemas.openxmlformats.org/officeDocument/2006/relationships/hyperlink" Target="https://leetcode.com/problems/stone-game-iii/description/" TargetMode="External"/><Relationship Id="rId202" Type="http://schemas.openxmlformats.org/officeDocument/2006/relationships/hyperlink" Target="https://leetcode.com/problems/happy-number/description/" TargetMode="External"/><Relationship Id="rId647" Type="http://schemas.openxmlformats.org/officeDocument/2006/relationships/hyperlink" Target="https://leetcode.com/problems/palindromic-substrings/description/" TargetMode="External"/><Relationship Id="rId854" Type="http://schemas.openxmlformats.org/officeDocument/2006/relationships/hyperlink" Target="https://leetcode.com/problems/car-fleet/description/" TargetMode="External"/><Relationship Id="rId1277" Type="http://schemas.openxmlformats.org/officeDocument/2006/relationships/hyperlink" Target="https://leetcode.com/problems/find-the-smallest-divisor-given-a-threshold/description/" TargetMode="External"/><Relationship Id="rId286" Type="http://schemas.openxmlformats.org/officeDocument/2006/relationships/hyperlink" Target="https://leetcode.com/problems/walls-and-gates/description/" TargetMode="External"/><Relationship Id="rId493" Type="http://schemas.openxmlformats.org/officeDocument/2006/relationships/hyperlink" Target="https://leetcode.com/problems/reverse-pairs/description/" TargetMode="External"/><Relationship Id="rId507" Type="http://schemas.openxmlformats.org/officeDocument/2006/relationships/hyperlink" Target="https://leetcode.com/problems/perfect-number/description/" TargetMode="External"/><Relationship Id="rId714" Type="http://schemas.openxmlformats.org/officeDocument/2006/relationships/hyperlink" Target="https://leetcode.com/problems/best-time-to-buy-and-sell-stock-with-transaction-fee/description/" TargetMode="External"/><Relationship Id="rId921" Type="http://schemas.openxmlformats.org/officeDocument/2006/relationships/hyperlink" Target="https://leetcode.com/problems/number-of-music-playlists/description/" TargetMode="External"/><Relationship Id="rId1137" Type="http://schemas.openxmlformats.org/officeDocument/2006/relationships/hyperlink" Target="https://leetcode.com/problems/stone-game-ii/description/" TargetMode="External"/><Relationship Id="rId1344" Type="http://schemas.openxmlformats.org/officeDocument/2006/relationships/hyperlink" Target="https://leetcode.com/problems/students-with-invalid-departments/description/" TargetMode="External"/><Relationship Id="rId50" Type="http://schemas.openxmlformats.org/officeDocument/2006/relationships/hyperlink" Target="https://leetcode.com/problems/powx-n/description/" TargetMode="External"/><Relationship Id="rId146" Type="http://schemas.openxmlformats.org/officeDocument/2006/relationships/hyperlink" Target="https://leetcode.com/problems/lru-cache/description/" TargetMode="External"/><Relationship Id="rId353" Type="http://schemas.openxmlformats.org/officeDocument/2006/relationships/hyperlink" Target="https://leetcode.com/problems/design-snake-game/description/" TargetMode="External"/><Relationship Id="rId560" Type="http://schemas.openxmlformats.org/officeDocument/2006/relationships/hyperlink" Target="https://leetcode.com/problems/subarray-sum-equals-k/description/" TargetMode="External"/><Relationship Id="rId798" Type="http://schemas.openxmlformats.org/officeDocument/2006/relationships/hyperlink" Target="https://leetcode.com/problems/all-paths-from-source-to-target/description/" TargetMode="External"/><Relationship Id="rId1190" Type="http://schemas.openxmlformats.org/officeDocument/2006/relationships/hyperlink" Target="https://leetcode.com/problems/tournament-winners/description/" TargetMode="External"/><Relationship Id="rId1204" Type="http://schemas.openxmlformats.org/officeDocument/2006/relationships/hyperlink" Target="https://leetcode.com/problems/remove-all-adjacent-duplicates-in-string-ii/description/" TargetMode="External"/><Relationship Id="rId1411" Type="http://schemas.openxmlformats.org/officeDocument/2006/relationships/hyperlink" Target="https://leetcode.com/problems/reformat-the-string/description/" TargetMode="External"/><Relationship Id="rId213" Type="http://schemas.openxmlformats.org/officeDocument/2006/relationships/hyperlink" Target="https://leetcode.com/problems/house-robber-ii/description/" TargetMode="External"/><Relationship Id="rId420" Type="http://schemas.openxmlformats.org/officeDocument/2006/relationships/hyperlink" Target="https://leetcode.com/problems/strong-password-checker/description/" TargetMode="External"/><Relationship Id="rId658" Type="http://schemas.openxmlformats.org/officeDocument/2006/relationships/hyperlink" Target="https://leetcode.com/problems/find-k-closest-elements/description/" TargetMode="External"/><Relationship Id="rId865" Type="http://schemas.openxmlformats.org/officeDocument/2006/relationships/hyperlink" Target="https://leetcode.com/problems/shortest-path-to-get-all-keys/description/" TargetMode="External"/><Relationship Id="rId1050" Type="http://schemas.openxmlformats.org/officeDocument/2006/relationships/hyperlink" Target="https://leetcode.com/problems/last-stone-weight-ii/description/" TargetMode="External"/><Relationship Id="rId1288" Type="http://schemas.openxmlformats.org/officeDocument/2006/relationships/hyperlink" Target="https://leetcode.com/problems/weather-type-in-each-country/description/" TargetMode="External"/><Relationship Id="rId297" Type="http://schemas.openxmlformats.org/officeDocument/2006/relationships/hyperlink" Target="https://leetcode.com/problems/serialize-and-deserialize-binary-tree/description/" TargetMode="External"/><Relationship Id="rId518" Type="http://schemas.openxmlformats.org/officeDocument/2006/relationships/hyperlink" Target="https://leetcode.com/problems/coin-change-2/description/" TargetMode="External"/><Relationship Id="rId725" Type="http://schemas.openxmlformats.org/officeDocument/2006/relationships/hyperlink" Target="https://leetcode.com/problems/split-linked-list-in-parts/description/" TargetMode="External"/><Relationship Id="rId932" Type="http://schemas.openxmlformats.org/officeDocument/2006/relationships/hyperlink" Target="https://leetcode.com/problems/minimum-falling-path-sum/description/" TargetMode="External"/><Relationship Id="rId1148" Type="http://schemas.openxmlformats.org/officeDocument/2006/relationships/hyperlink" Target="https://leetcode.com/problems/minimum-swaps-to-group-all-1s-together/description/" TargetMode="External"/><Relationship Id="rId1355" Type="http://schemas.openxmlformats.org/officeDocument/2006/relationships/hyperlink" Target="https://leetcode.com/problems/validate-binary-tree-nodes/description/" TargetMode="External"/><Relationship Id="rId157" Type="http://schemas.openxmlformats.org/officeDocument/2006/relationships/hyperlink" Target="https://leetcode.com/problems/read-n-characters-given-read4/description/" TargetMode="External"/><Relationship Id="rId364" Type="http://schemas.openxmlformats.org/officeDocument/2006/relationships/hyperlink" Target="https://leetcode.com/problems/nested-list-weight-sum-ii/description/" TargetMode="External"/><Relationship Id="rId1008" Type="http://schemas.openxmlformats.org/officeDocument/2006/relationships/hyperlink" Target="https://leetcode.com/problems/minimum-domino-rotations-for-equal-row/description/" TargetMode="External"/><Relationship Id="rId1215" Type="http://schemas.openxmlformats.org/officeDocument/2006/relationships/hyperlink" Target="https://leetcode.com/problems/count-vowels-permutation/description/" TargetMode="External"/><Relationship Id="rId1422" Type="http://schemas.openxmlformats.org/officeDocument/2006/relationships/hyperlink" Target="https://leetcode.com/problems/perform-string-shifts/description/" TargetMode="External"/><Relationship Id="rId61" Type="http://schemas.openxmlformats.org/officeDocument/2006/relationships/hyperlink" Target="https://leetcode.com/problems/rotate-list/description/" TargetMode="External"/><Relationship Id="rId571" Type="http://schemas.openxmlformats.org/officeDocument/2006/relationships/hyperlink" Target="https://leetcode.com/problems/find-median-given-frequency-of-numbers/description/" TargetMode="External"/><Relationship Id="rId669" Type="http://schemas.openxmlformats.org/officeDocument/2006/relationships/hyperlink" Target="https://leetcode.com/problems/trim-a-binary-search-tree/description/" TargetMode="External"/><Relationship Id="rId876" Type="http://schemas.openxmlformats.org/officeDocument/2006/relationships/hyperlink" Target="https://leetcode.com/problems/koko-eating-bananas/description/" TargetMode="External"/><Relationship Id="rId1299" Type="http://schemas.openxmlformats.org/officeDocument/2006/relationships/hyperlink" Target="https://leetcode.com/problems/all-elements-in-two-binary-search-trees/description/" TargetMode="External"/><Relationship Id="rId19" Type="http://schemas.openxmlformats.org/officeDocument/2006/relationships/hyperlink" Target="https://leetcode.com/problems/remove-nth-node-from-end-of-list/description/" TargetMode="External"/><Relationship Id="rId224" Type="http://schemas.openxmlformats.org/officeDocument/2006/relationships/hyperlink" Target="https://leetcode.com/problems/basic-calculator/description/" TargetMode="External"/><Relationship Id="rId431" Type="http://schemas.openxmlformats.org/officeDocument/2006/relationships/hyperlink" Target="https://leetcode.com/problems/encode-n-ary-tree-to-binary-tree/description/" TargetMode="External"/><Relationship Id="rId529" Type="http://schemas.openxmlformats.org/officeDocument/2006/relationships/hyperlink" Target="https://leetcode.com/problems/minesweeper/description/" TargetMode="External"/><Relationship Id="rId736" Type="http://schemas.openxmlformats.org/officeDocument/2006/relationships/hyperlink" Target="https://leetcode.com/problems/parse-lisp-expression/description/" TargetMode="External"/><Relationship Id="rId1061" Type="http://schemas.openxmlformats.org/officeDocument/2006/relationships/hyperlink" Target="https://leetcode.com/problems/missing-element-in-sorted-array/description/" TargetMode="External"/><Relationship Id="rId1159" Type="http://schemas.openxmlformats.org/officeDocument/2006/relationships/hyperlink" Target="https://leetcode.com/problems/as-far-from-land-as-possible/description/" TargetMode="External"/><Relationship Id="rId1366" Type="http://schemas.openxmlformats.org/officeDocument/2006/relationships/hyperlink" Target="https://leetcode.com/problems/longest-zigzag-path-in-a-binary-tree/description/" TargetMode="External"/><Relationship Id="rId168" Type="http://schemas.openxmlformats.org/officeDocument/2006/relationships/hyperlink" Target="https://leetcode.com/problems/excel-sheet-column-title/description/" TargetMode="External"/><Relationship Id="rId943" Type="http://schemas.openxmlformats.org/officeDocument/2006/relationships/hyperlink" Target="https://leetcode.com/problems/di-string-match/description/" TargetMode="External"/><Relationship Id="rId1019" Type="http://schemas.openxmlformats.org/officeDocument/2006/relationships/hyperlink" Target="https://leetcode.com/problems/binary-prefix-divisible-by-5/description/" TargetMode="External"/><Relationship Id="rId72" Type="http://schemas.openxmlformats.org/officeDocument/2006/relationships/hyperlink" Target="https://leetcode.com/problems/edit-distance/description/" TargetMode="External"/><Relationship Id="rId375" Type="http://schemas.openxmlformats.org/officeDocument/2006/relationships/hyperlink" Target="https://leetcode.com/problems/guess-number-higher-or-lower-ii/description/" TargetMode="External"/><Relationship Id="rId582" Type="http://schemas.openxmlformats.org/officeDocument/2006/relationships/hyperlink" Target="https://leetcode.com/problems/kill-process/description/" TargetMode="External"/><Relationship Id="rId803" Type="http://schemas.openxmlformats.org/officeDocument/2006/relationships/hyperlink" Target="https://leetcode.com/problems/find-eventual-safe-states/description/" TargetMode="External"/><Relationship Id="rId1226" Type="http://schemas.openxmlformats.org/officeDocument/2006/relationships/hyperlink" Target="https://leetcode.com/problems/toss-strange-coins/description/" TargetMode="External"/><Relationship Id="rId1433" Type="http://schemas.openxmlformats.org/officeDocument/2006/relationships/hyperlink" Target="https://leetcode.com/problems/longest-continuous-subarray-with-absolute-diff-less-than-or-equal-to-limit/description/" TargetMode="External"/><Relationship Id="rId3" Type="http://schemas.openxmlformats.org/officeDocument/2006/relationships/hyperlink" Target="https://leetcode.com/problems/longest-substring-without-repeating-characters/description/" TargetMode="External"/><Relationship Id="rId235" Type="http://schemas.openxmlformats.org/officeDocument/2006/relationships/hyperlink" Target="https://leetcode.com/problems/lowest-common-ancestor-of-a-binary-search-tree/description/" TargetMode="External"/><Relationship Id="rId442" Type="http://schemas.openxmlformats.org/officeDocument/2006/relationships/hyperlink" Target="https://leetcode.com/problems/find-all-duplicates-in-an-array/description/" TargetMode="External"/><Relationship Id="rId887" Type="http://schemas.openxmlformats.org/officeDocument/2006/relationships/hyperlink" Target="https://leetcode.com/problems/possible-bipartition/description/" TargetMode="External"/><Relationship Id="rId1072" Type="http://schemas.openxmlformats.org/officeDocument/2006/relationships/hyperlink" Target="https://leetcode.com/problems/greatest-common-divisor-of-strings/description/" TargetMode="External"/><Relationship Id="rId302" Type="http://schemas.openxmlformats.org/officeDocument/2006/relationships/hyperlink" Target="https://leetcode.com/problems/smallest-rectangle-enclosing-black-pixels/description/" TargetMode="External"/><Relationship Id="rId747" Type="http://schemas.openxmlformats.org/officeDocument/2006/relationships/hyperlink" Target="https://leetcode.com/problems/largest-number-at-least-twice-of-others/description/" TargetMode="External"/><Relationship Id="rId954" Type="http://schemas.openxmlformats.org/officeDocument/2006/relationships/hyperlink" Target="https://leetcode.com/problems/verifying-an-alien-dictionary/description/" TargetMode="External"/><Relationship Id="rId1377" Type="http://schemas.openxmlformats.org/officeDocument/2006/relationships/hyperlink" Target="https://leetcode.com/problems/maximum-performance-of-a-team/description/" TargetMode="External"/><Relationship Id="rId83" Type="http://schemas.openxmlformats.org/officeDocument/2006/relationships/hyperlink" Target="https://leetcode.com/problems/remove-duplicates-from-sorted-list/description/" TargetMode="External"/><Relationship Id="rId179" Type="http://schemas.openxmlformats.org/officeDocument/2006/relationships/hyperlink" Target="https://leetcode.com/problems/largest-number/description/" TargetMode="External"/><Relationship Id="rId386" Type="http://schemas.openxmlformats.org/officeDocument/2006/relationships/hyperlink" Target="https://leetcode.com/problems/lexicographical-numbers/description/" TargetMode="External"/><Relationship Id="rId593" Type="http://schemas.openxmlformats.org/officeDocument/2006/relationships/hyperlink" Target="https://leetcode.com/problems/valid-square/description/" TargetMode="External"/><Relationship Id="rId607" Type="http://schemas.openxmlformats.org/officeDocument/2006/relationships/hyperlink" Target="https://leetcode.com/problems/sales-person/description/" TargetMode="External"/><Relationship Id="rId814" Type="http://schemas.openxmlformats.org/officeDocument/2006/relationships/hyperlink" Target="https://leetcode.com/problems/largest-sum-of-averages/description/" TargetMode="External"/><Relationship Id="rId1237" Type="http://schemas.openxmlformats.org/officeDocument/2006/relationships/hyperlink" Target="https://leetcode.com/problems/number-of-comments-per-post/description/" TargetMode="External"/><Relationship Id="rId1444" Type="http://schemas.openxmlformats.org/officeDocument/2006/relationships/hyperlink" Target="https://leetcode.com/problems/form-largest-integer-with-digits-that-add-up-to-target/description/" TargetMode="External"/><Relationship Id="rId246" Type="http://schemas.openxmlformats.org/officeDocument/2006/relationships/hyperlink" Target="https://leetcode.com/problems/strobogrammatic-number/description/" TargetMode="External"/><Relationship Id="rId453" Type="http://schemas.openxmlformats.org/officeDocument/2006/relationships/hyperlink" Target="https://leetcode.com/problems/minimum-moves-to-equal-array-elements/description/" TargetMode="External"/><Relationship Id="rId660" Type="http://schemas.openxmlformats.org/officeDocument/2006/relationships/hyperlink" Target="https://leetcode.com/problems/remove-9/description/" TargetMode="External"/><Relationship Id="rId898" Type="http://schemas.openxmlformats.org/officeDocument/2006/relationships/hyperlink" Target="https://leetcode.com/problems/increasing-order-search-tree/description/" TargetMode="External"/><Relationship Id="rId1083" Type="http://schemas.openxmlformats.org/officeDocument/2006/relationships/hyperlink" Target="https://leetcode.com/problems/sales-analysis-i/description/" TargetMode="External"/><Relationship Id="rId1290" Type="http://schemas.openxmlformats.org/officeDocument/2006/relationships/hyperlink" Target="https://leetcode.com/problems/divide-array-in-sets-of-k-consecutive-numbers/description/" TargetMode="External"/><Relationship Id="rId1304" Type="http://schemas.openxmlformats.org/officeDocument/2006/relationships/hyperlink" Target="https://leetcode.com/problems/xor-queries-of-a-subarray/description/" TargetMode="External"/><Relationship Id="rId106" Type="http://schemas.openxmlformats.org/officeDocument/2006/relationships/hyperlink" Target="https://leetcode.com/problems/construct-binary-tree-from-inorder-and-postorder-traversal/description/" TargetMode="External"/><Relationship Id="rId313" Type="http://schemas.openxmlformats.org/officeDocument/2006/relationships/hyperlink" Target="https://leetcode.com/problems/super-ugly-number/description/" TargetMode="External"/><Relationship Id="rId758" Type="http://schemas.openxmlformats.org/officeDocument/2006/relationships/hyperlink" Target="https://leetcode.com/problems/bold-words-in-string/description/" TargetMode="External"/><Relationship Id="rId965" Type="http://schemas.openxmlformats.org/officeDocument/2006/relationships/hyperlink" Target="https://leetcode.com/problems/least-operators-to-express-number/description/" TargetMode="External"/><Relationship Id="rId1150" Type="http://schemas.openxmlformats.org/officeDocument/2006/relationships/hyperlink" Target="https://leetcode.com/problems/string-transforms-into-another-string/description/" TargetMode="External"/><Relationship Id="rId1388" Type="http://schemas.openxmlformats.org/officeDocument/2006/relationships/hyperlink" Target="https://leetcode.com/problems/find-lucky-integer-in-an-array/description/" TargetMode="External"/><Relationship Id="rId10" Type="http://schemas.openxmlformats.org/officeDocument/2006/relationships/hyperlink" Target="https://leetcode.com/problems/regular-expression-matching/description/" TargetMode="External"/><Relationship Id="rId94" Type="http://schemas.openxmlformats.org/officeDocument/2006/relationships/hyperlink" Target="https://leetcode.com/problems/binary-tree-inorder-traversal/description/" TargetMode="External"/><Relationship Id="rId397" Type="http://schemas.openxmlformats.org/officeDocument/2006/relationships/hyperlink" Target="https://leetcode.com/problems/integer-replacement/description/" TargetMode="External"/><Relationship Id="rId520" Type="http://schemas.openxmlformats.org/officeDocument/2006/relationships/hyperlink" Target="https://leetcode.com/problems/detect-capital/description/" TargetMode="External"/><Relationship Id="rId618" Type="http://schemas.openxmlformats.org/officeDocument/2006/relationships/hyperlink" Target="https://leetcode.com/problems/students-report-by-geography/description/" TargetMode="External"/><Relationship Id="rId825" Type="http://schemas.openxmlformats.org/officeDocument/2006/relationships/hyperlink" Target="https://leetcode.com/problems/goat-latin/description/" TargetMode="External"/><Relationship Id="rId1248" Type="http://schemas.openxmlformats.org/officeDocument/2006/relationships/hyperlink" Target="https://leetcode.com/problems/reconstruct-a-2-row-binary-matrix/description/" TargetMode="External"/><Relationship Id="rId1455" Type="http://schemas.openxmlformats.org/officeDocument/2006/relationships/hyperlink" Target="https://leetcode.com/problems/make-two-arrays-equal-by-reversing-sub-arrays/description/" TargetMode="External"/><Relationship Id="rId257" Type="http://schemas.openxmlformats.org/officeDocument/2006/relationships/hyperlink" Target="https://leetcode.com/problems/binary-tree-paths/description/" TargetMode="External"/><Relationship Id="rId464" Type="http://schemas.openxmlformats.org/officeDocument/2006/relationships/hyperlink" Target="https://leetcode.com/problems/can-i-win/description/" TargetMode="External"/><Relationship Id="rId1010" Type="http://schemas.openxmlformats.org/officeDocument/2006/relationships/hyperlink" Target="https://leetcode.com/problems/complement-of-base-10-integer/description/" TargetMode="External"/><Relationship Id="rId1094" Type="http://schemas.openxmlformats.org/officeDocument/2006/relationships/hyperlink" Target="https://leetcode.com/problems/statistics-from-a-large-sample/description/" TargetMode="External"/><Relationship Id="rId1108" Type="http://schemas.openxmlformats.org/officeDocument/2006/relationships/hyperlink" Target="https://leetcode.com/problems/new-users-daily-count/description/" TargetMode="External"/><Relationship Id="rId1315" Type="http://schemas.openxmlformats.org/officeDocument/2006/relationships/hyperlink" Target="https://leetcode.com/problems/restaurant-growth/description/" TargetMode="External"/><Relationship Id="rId117" Type="http://schemas.openxmlformats.org/officeDocument/2006/relationships/hyperlink" Target="https://leetcode.com/problems/populating-next-right-pointers-in-each-node-ii/description/" TargetMode="External"/><Relationship Id="rId671" Type="http://schemas.openxmlformats.org/officeDocument/2006/relationships/hyperlink" Target="https://leetcode.com/problems/second-minimum-node-in-a-binary-tree/description/" TargetMode="External"/><Relationship Id="rId769" Type="http://schemas.openxmlformats.org/officeDocument/2006/relationships/hyperlink" Target="https://leetcode.com/problems/max-chunks-to-make-sorted/description/" TargetMode="External"/><Relationship Id="rId976" Type="http://schemas.openxmlformats.org/officeDocument/2006/relationships/hyperlink" Target="https://leetcode.com/problems/odd-even-jump/description/" TargetMode="External"/><Relationship Id="rId1399" Type="http://schemas.openxmlformats.org/officeDocument/2006/relationships/hyperlink" Target="https://leetcode.com/problems/longest-happy-string/description/" TargetMode="External"/><Relationship Id="rId324" Type="http://schemas.openxmlformats.org/officeDocument/2006/relationships/hyperlink" Target="https://leetcode.com/problems/wiggle-sort-ii/description/" TargetMode="External"/><Relationship Id="rId531" Type="http://schemas.openxmlformats.org/officeDocument/2006/relationships/hyperlink" Target="https://leetcode.com/problems/lonely-pixel-i/description/" TargetMode="External"/><Relationship Id="rId629" Type="http://schemas.openxmlformats.org/officeDocument/2006/relationships/hyperlink" Target="https://leetcode.com/problems/k-inverse-pairs-array/description/" TargetMode="External"/><Relationship Id="rId1161" Type="http://schemas.openxmlformats.org/officeDocument/2006/relationships/hyperlink" Target="https://leetcode.com/problems/product-price-at-a-given-date/description/" TargetMode="External"/><Relationship Id="rId1259" Type="http://schemas.openxmlformats.org/officeDocument/2006/relationships/hyperlink" Target="https://leetcode.com/problems/page-recommendations/description/" TargetMode="External"/><Relationship Id="rId1466" Type="http://schemas.openxmlformats.org/officeDocument/2006/relationships/hyperlink" Target="https://leetcode.com/problems/the-k-strongest-values-in-an-array/description/" TargetMode="External"/><Relationship Id="rId836" Type="http://schemas.openxmlformats.org/officeDocument/2006/relationships/hyperlink" Target="https://leetcode.com/problems/image-overlap/description/" TargetMode="External"/><Relationship Id="rId1021" Type="http://schemas.openxmlformats.org/officeDocument/2006/relationships/hyperlink" Target="https://leetcode.com/problems/number-of-enclaves/description/" TargetMode="External"/><Relationship Id="rId1119" Type="http://schemas.openxmlformats.org/officeDocument/2006/relationships/hyperlink" Target="https://leetcode.com/problems/relative-sort-array/description/" TargetMode="External"/><Relationship Id="rId903" Type="http://schemas.openxmlformats.org/officeDocument/2006/relationships/hyperlink" Target="https://leetcode.com/problems/numbers-at-most-n-given-digit-set/description/" TargetMode="External"/><Relationship Id="rId1326" Type="http://schemas.openxmlformats.org/officeDocument/2006/relationships/hyperlink" Target="https://leetcode.com/problems/remove-palindromic-subsequences/description/" TargetMode="External"/><Relationship Id="rId32" Type="http://schemas.openxmlformats.org/officeDocument/2006/relationships/hyperlink" Target="https://leetcode.com/problems/longest-valid-parentheses/description/" TargetMode="External"/><Relationship Id="rId181" Type="http://schemas.openxmlformats.org/officeDocument/2006/relationships/hyperlink" Target="https://leetcode.com/problems/employees-earning-more-than-their-managers/description/" TargetMode="External"/><Relationship Id="rId279" Type="http://schemas.openxmlformats.org/officeDocument/2006/relationships/hyperlink" Target="https://leetcode.com/problems/perfect-squares/description/" TargetMode="External"/><Relationship Id="rId486" Type="http://schemas.openxmlformats.org/officeDocument/2006/relationships/hyperlink" Target="https://leetcode.com/problems/predict-the-winner/description/" TargetMode="External"/><Relationship Id="rId693" Type="http://schemas.openxmlformats.org/officeDocument/2006/relationships/hyperlink" Target="https://leetcode.com/problems/binary-number-with-alternating-bits/description/" TargetMode="External"/><Relationship Id="rId139" Type="http://schemas.openxmlformats.org/officeDocument/2006/relationships/hyperlink" Target="https://leetcode.com/problems/word-break/description/" TargetMode="External"/><Relationship Id="rId346" Type="http://schemas.openxmlformats.org/officeDocument/2006/relationships/hyperlink" Target="https://leetcode.com/problems/moving-average-from-data-stream/description/" TargetMode="External"/><Relationship Id="rId553" Type="http://schemas.openxmlformats.org/officeDocument/2006/relationships/hyperlink" Target="https://leetcode.com/problems/optimal-division/description/" TargetMode="External"/><Relationship Id="rId760" Type="http://schemas.openxmlformats.org/officeDocument/2006/relationships/hyperlink" Target="https://leetcode.com/problems/find-anagram-mappings/description/" TargetMode="External"/><Relationship Id="rId998" Type="http://schemas.openxmlformats.org/officeDocument/2006/relationships/hyperlink" Target="https://leetcode.com/problems/find-the-town-judge/description/" TargetMode="External"/><Relationship Id="rId1183" Type="http://schemas.openxmlformats.org/officeDocument/2006/relationships/hyperlink" Target="https://leetcode.com/problems/maximum-subarray-sum-with-one-deletion/description/" TargetMode="External"/><Relationship Id="rId1390" Type="http://schemas.openxmlformats.org/officeDocument/2006/relationships/hyperlink" Target="https://leetcode.com/problems/design-underground-system/description/" TargetMode="External"/><Relationship Id="rId206" Type="http://schemas.openxmlformats.org/officeDocument/2006/relationships/hyperlink" Target="https://leetcode.com/problems/reverse-linked-list/description/" TargetMode="External"/><Relationship Id="rId413" Type="http://schemas.openxmlformats.org/officeDocument/2006/relationships/hyperlink" Target="https://leetcode.com/problems/arithmetic-slices/description/" TargetMode="External"/><Relationship Id="rId858" Type="http://schemas.openxmlformats.org/officeDocument/2006/relationships/hyperlink" Target="https://leetcode.com/problems/minimum-cost-to-hire-k-workers/description/" TargetMode="External"/><Relationship Id="rId1043" Type="http://schemas.openxmlformats.org/officeDocument/2006/relationships/hyperlink" Target="https://leetcode.com/problems/flower-planting-with-no-adjacent/description/" TargetMode="External"/><Relationship Id="rId620" Type="http://schemas.openxmlformats.org/officeDocument/2006/relationships/hyperlink" Target="https://leetcode.com/problems/not-boring-movies/description/" TargetMode="External"/><Relationship Id="rId718" Type="http://schemas.openxmlformats.org/officeDocument/2006/relationships/hyperlink" Target="https://leetcode.com/problems/maximum-length-of-repeated-subarray/description/" TargetMode="External"/><Relationship Id="rId925" Type="http://schemas.openxmlformats.org/officeDocument/2006/relationships/hyperlink" Target="https://leetcode.com/problems/minimize-malware-spread/description/" TargetMode="External"/><Relationship Id="rId1250" Type="http://schemas.openxmlformats.org/officeDocument/2006/relationships/hyperlink" Target="https://leetcode.com/problems/maximum-score-words-formed-by-letters/description/" TargetMode="External"/><Relationship Id="rId1348" Type="http://schemas.openxmlformats.org/officeDocument/2006/relationships/hyperlink" Target="https://leetcode.com/problems/construct-target-array-with-multiple-sums/description/" TargetMode="External"/><Relationship Id="rId1110" Type="http://schemas.openxmlformats.org/officeDocument/2006/relationships/hyperlink" Target="https://leetcode.com/problems/corporate-flight-bookings/description/" TargetMode="External"/><Relationship Id="rId1208" Type="http://schemas.openxmlformats.org/officeDocument/2006/relationships/hyperlink" Target="https://leetcode.com/problems/intersection-of-three-sorted-arrays/description/" TargetMode="External"/><Relationship Id="rId1415" Type="http://schemas.openxmlformats.org/officeDocument/2006/relationships/hyperlink" Target="https://leetcode.com/problems/build-array-where-you-can-find-the-maximum-exactly-k-comparisons/description/" TargetMode="External"/><Relationship Id="rId54" Type="http://schemas.openxmlformats.org/officeDocument/2006/relationships/hyperlink" Target="https://leetcode.com/problems/spiral-matrix/description/" TargetMode="External"/><Relationship Id="rId270" Type="http://schemas.openxmlformats.org/officeDocument/2006/relationships/hyperlink" Target="https://leetcode.com/problems/closest-binary-search-tree-value/description/" TargetMode="External"/><Relationship Id="rId130" Type="http://schemas.openxmlformats.org/officeDocument/2006/relationships/hyperlink" Target="https://leetcode.com/problems/surrounded-regions/description/" TargetMode="External"/><Relationship Id="rId368" Type="http://schemas.openxmlformats.org/officeDocument/2006/relationships/hyperlink" Target="https://leetcode.com/problems/largest-divisible-subset/description/" TargetMode="External"/><Relationship Id="rId575" Type="http://schemas.openxmlformats.org/officeDocument/2006/relationships/hyperlink" Target="https://leetcode.com/problems/distribute-candies/description/" TargetMode="External"/><Relationship Id="rId782" Type="http://schemas.openxmlformats.org/officeDocument/2006/relationships/hyperlink" Target="https://leetcode.com/problems/transform-to-chessboard/description/" TargetMode="External"/><Relationship Id="rId228" Type="http://schemas.openxmlformats.org/officeDocument/2006/relationships/hyperlink" Target="https://leetcode.com/problems/summary-ranges/description/" TargetMode="External"/><Relationship Id="rId435" Type="http://schemas.openxmlformats.org/officeDocument/2006/relationships/hyperlink" Target="https://leetcode.com/problems/non-overlapping-intervals/description/" TargetMode="External"/><Relationship Id="rId642" Type="http://schemas.openxmlformats.org/officeDocument/2006/relationships/hyperlink" Target="https://leetcode.com/problems/design-search-autocomplete-system/description/" TargetMode="External"/><Relationship Id="rId1065" Type="http://schemas.openxmlformats.org/officeDocument/2006/relationships/hyperlink" Target="https://leetcode.com/problems/fixed-point/description/" TargetMode="External"/><Relationship Id="rId1272" Type="http://schemas.openxmlformats.org/officeDocument/2006/relationships/hyperlink" Target="https://leetcode.com/problems/count-square-submatrices-with-all-ones/description/" TargetMode="External"/><Relationship Id="rId502" Type="http://schemas.openxmlformats.org/officeDocument/2006/relationships/hyperlink" Target="https://leetcode.com/problems/ipo/description/" TargetMode="External"/><Relationship Id="rId947" Type="http://schemas.openxmlformats.org/officeDocument/2006/relationships/hyperlink" Target="https://leetcode.com/problems/validate-stack-sequences/description/" TargetMode="External"/><Relationship Id="rId1132" Type="http://schemas.openxmlformats.org/officeDocument/2006/relationships/hyperlink" Target="https://leetcode.com/problems/connecting-cities-with-minimum-cost/description/" TargetMode="External"/><Relationship Id="rId76" Type="http://schemas.openxmlformats.org/officeDocument/2006/relationships/hyperlink" Target="https://leetcode.com/problems/minimum-window-substring/description/" TargetMode="External"/><Relationship Id="rId807" Type="http://schemas.openxmlformats.org/officeDocument/2006/relationships/hyperlink" Target="https://leetcode.com/problems/number-of-lines-to-write-string/description/" TargetMode="External"/><Relationship Id="rId1437" Type="http://schemas.openxmlformats.org/officeDocument/2006/relationships/hyperlink" Target="https://leetcode.com/problems/count-triplets-that-can-form-two-arrays-of-equal-xor/description/" TargetMode="External"/><Relationship Id="rId292" Type="http://schemas.openxmlformats.org/officeDocument/2006/relationships/hyperlink" Target="https://leetcode.com/problems/nim-game/description/" TargetMode="External"/><Relationship Id="rId597" Type="http://schemas.openxmlformats.org/officeDocument/2006/relationships/hyperlink" Target="https://leetcode.com/problems/friend-requests-i-overall-acceptance-rate/description/" TargetMode="External"/><Relationship Id="rId152" Type="http://schemas.openxmlformats.org/officeDocument/2006/relationships/hyperlink" Target="https://leetcode.com/problems/maximum-product-subarray/description/" TargetMode="External"/><Relationship Id="rId457" Type="http://schemas.openxmlformats.org/officeDocument/2006/relationships/hyperlink" Target="https://leetcode.com/problems/circular-array-loop/description/" TargetMode="External"/><Relationship Id="rId1087" Type="http://schemas.openxmlformats.org/officeDocument/2006/relationships/hyperlink" Target="https://leetcode.com/problems/high-five/description/" TargetMode="External"/><Relationship Id="rId1294" Type="http://schemas.openxmlformats.org/officeDocument/2006/relationships/hyperlink" Target="https://leetcode.com/problems/sum-of-mutated-array-closest-to-target/description/" TargetMode="External"/><Relationship Id="rId664" Type="http://schemas.openxmlformats.org/officeDocument/2006/relationships/hyperlink" Target="https://leetcode.com/problems/strange-printer/description/" TargetMode="External"/><Relationship Id="rId871" Type="http://schemas.openxmlformats.org/officeDocument/2006/relationships/hyperlink" Target="https://leetcode.com/problems/advantage-shuffle/description/" TargetMode="External"/><Relationship Id="rId969" Type="http://schemas.openxmlformats.org/officeDocument/2006/relationships/hyperlink" Target="https://leetcode.com/problems/binary-tree-cameras/description/" TargetMode="External"/><Relationship Id="rId317" Type="http://schemas.openxmlformats.org/officeDocument/2006/relationships/hyperlink" Target="https://leetcode.com/problems/shortest-distance-from-all-buildings/description/" TargetMode="External"/><Relationship Id="rId524" Type="http://schemas.openxmlformats.org/officeDocument/2006/relationships/hyperlink" Target="https://leetcode.com/problems/longest-word-in-dictionary-through-deleting/description/" TargetMode="External"/><Relationship Id="rId731" Type="http://schemas.openxmlformats.org/officeDocument/2006/relationships/hyperlink" Target="https://leetcode.com/problems/my-calendar-ii/description/" TargetMode="External"/><Relationship Id="rId1154" Type="http://schemas.openxmlformats.org/officeDocument/2006/relationships/hyperlink" Target="https://leetcode.com/problems/online-majority-element-in-subarray/description/" TargetMode="External"/><Relationship Id="rId1361" Type="http://schemas.openxmlformats.org/officeDocument/2006/relationships/hyperlink" Target="https://leetcode.com/problems/linked-list-in-binary-tree/description/" TargetMode="External"/><Relationship Id="rId1459" Type="http://schemas.openxmlformats.org/officeDocument/2006/relationships/hyperlink" Target="https://leetcode.com/problems/maximum-product-of-two-elements-in-an-array/description/" TargetMode="External"/><Relationship Id="rId98" Type="http://schemas.openxmlformats.org/officeDocument/2006/relationships/hyperlink" Target="https://leetcode.com/problems/validate-binary-search-tree/description/" TargetMode="External"/><Relationship Id="rId829" Type="http://schemas.openxmlformats.org/officeDocument/2006/relationships/hyperlink" Target="https://leetcode.com/problems/count-unique-characters-of-all-substrings-of-a-given-string/description/" TargetMode="External"/><Relationship Id="rId1014" Type="http://schemas.openxmlformats.org/officeDocument/2006/relationships/hyperlink" Target="https://leetcode.com/problems/partition-array-into-three-parts-with-equal-sum/description/" TargetMode="External"/><Relationship Id="rId1221" Type="http://schemas.openxmlformats.org/officeDocument/2006/relationships/hyperlink" Target="https://leetcode.com/problems/maximum-equal-frequency/description/" TargetMode="External"/><Relationship Id="rId1319" Type="http://schemas.openxmlformats.org/officeDocument/2006/relationships/hyperlink" Target="https://leetcode.com/problems/delete-leaves-with-a-given-value/description/" TargetMode="External"/><Relationship Id="rId25" Type="http://schemas.openxmlformats.org/officeDocument/2006/relationships/hyperlink" Target="https://leetcode.com/problems/reverse-nodes-in-k-group/description/" TargetMode="External"/><Relationship Id="rId174" Type="http://schemas.openxmlformats.org/officeDocument/2006/relationships/hyperlink" Target="https://leetcode.com/problems/dungeon-game/description/" TargetMode="External"/><Relationship Id="rId381" Type="http://schemas.openxmlformats.org/officeDocument/2006/relationships/hyperlink" Target="https://leetcode.com/problems/insert-delete-getrandom-o1-duplicates-allowed/description/" TargetMode="External"/><Relationship Id="rId241" Type="http://schemas.openxmlformats.org/officeDocument/2006/relationships/hyperlink" Target="https://leetcode.com/problems/different-ways-to-add-parentheses/description/" TargetMode="External"/><Relationship Id="rId479" Type="http://schemas.openxmlformats.org/officeDocument/2006/relationships/hyperlink" Target="https://leetcode.com/problems/largest-palindrome-product/description/" TargetMode="External"/><Relationship Id="rId686" Type="http://schemas.openxmlformats.org/officeDocument/2006/relationships/hyperlink" Target="https://leetcode.com/problems/repeated-string-match/description/" TargetMode="External"/><Relationship Id="rId893" Type="http://schemas.openxmlformats.org/officeDocument/2006/relationships/hyperlink" Target="https://leetcode.com/problems/surface-area-of-3d-shapes/description/" TargetMode="External"/><Relationship Id="rId339" Type="http://schemas.openxmlformats.org/officeDocument/2006/relationships/hyperlink" Target="https://leetcode.com/problems/nested-list-weight-sum/description/" TargetMode="External"/><Relationship Id="rId546" Type="http://schemas.openxmlformats.org/officeDocument/2006/relationships/hyperlink" Target="https://leetcode.com/problems/remove-boxes/description/" TargetMode="External"/><Relationship Id="rId753" Type="http://schemas.openxmlformats.org/officeDocument/2006/relationships/hyperlink" Target="https://leetcode.com/problems/cracking-the-safe/description/" TargetMode="External"/><Relationship Id="rId1176" Type="http://schemas.openxmlformats.org/officeDocument/2006/relationships/hyperlink" Target="https://leetcode.com/problems/reformat-department-table/description/" TargetMode="External"/><Relationship Id="rId1383" Type="http://schemas.openxmlformats.org/officeDocument/2006/relationships/hyperlink" Target="https://leetcode.com/problems/create-target-array-in-the-given-order/description/" TargetMode="External"/><Relationship Id="rId101" Type="http://schemas.openxmlformats.org/officeDocument/2006/relationships/hyperlink" Target="https://leetcode.com/problems/symmetric-tree/description/" TargetMode="External"/><Relationship Id="rId406" Type="http://schemas.openxmlformats.org/officeDocument/2006/relationships/hyperlink" Target="https://leetcode.com/problems/queue-reconstruction-by-height/description/" TargetMode="External"/><Relationship Id="rId960" Type="http://schemas.openxmlformats.org/officeDocument/2006/relationships/hyperlink" Target="https://leetcode.com/problems/regions-cut-by-slashes/description/" TargetMode="External"/><Relationship Id="rId1036" Type="http://schemas.openxmlformats.org/officeDocument/2006/relationships/hyperlink" Target="https://leetcode.com/problems/uncrossed-lines/description/" TargetMode="External"/><Relationship Id="rId1243" Type="http://schemas.openxmlformats.org/officeDocument/2006/relationships/hyperlink" Target="https://leetcode.com/problems/count-number-of-nice-subarrays/description/" TargetMode="External"/><Relationship Id="rId613" Type="http://schemas.openxmlformats.org/officeDocument/2006/relationships/hyperlink" Target="https://leetcode.com/problems/shortest-distance-in-a-line/description/" TargetMode="External"/><Relationship Id="rId820" Type="http://schemas.openxmlformats.org/officeDocument/2006/relationships/hyperlink" Target="https://leetcode.com/problems/most-common-word/description/" TargetMode="External"/><Relationship Id="rId918" Type="http://schemas.openxmlformats.org/officeDocument/2006/relationships/hyperlink" Target="https://leetcode.com/problems/reverse-only-letters/description/" TargetMode="External"/><Relationship Id="rId1450" Type="http://schemas.openxmlformats.org/officeDocument/2006/relationships/hyperlink" Target="https://leetcode.com/problems/check-if-a-word-occurs-as-a-prefix-of-any-word-in-a-sentence/description/" TargetMode="External"/><Relationship Id="rId1103" Type="http://schemas.openxmlformats.org/officeDocument/2006/relationships/hyperlink" Target="https://leetcode.com/problems/path-with-maximum-minimum-value/description/" TargetMode="External"/><Relationship Id="rId1310" Type="http://schemas.openxmlformats.org/officeDocument/2006/relationships/hyperlink" Target="https://leetcode.com/problems/distinct-echo-substrings/description/" TargetMode="External"/><Relationship Id="rId1408" Type="http://schemas.openxmlformats.org/officeDocument/2006/relationships/hyperlink" Target="https://leetcode.com/problems/find-the-minimum-number-of-fibonacci-numbers-whose-sum-is-k/description/" TargetMode="External"/><Relationship Id="rId47" Type="http://schemas.openxmlformats.org/officeDocument/2006/relationships/hyperlink" Target="https://leetcode.com/problems/permutations-ii/description/" TargetMode="External"/><Relationship Id="rId196" Type="http://schemas.openxmlformats.org/officeDocument/2006/relationships/hyperlink" Target="https://leetcode.com/problems/delete-duplicate-emails/description/" TargetMode="External"/><Relationship Id="rId263" Type="http://schemas.openxmlformats.org/officeDocument/2006/relationships/hyperlink" Target="https://leetcode.com/problems/ugly-number/description/" TargetMode="External"/><Relationship Id="rId470" Type="http://schemas.openxmlformats.org/officeDocument/2006/relationships/hyperlink" Target="https://leetcode.com/problems/implement-rand10-using-rand7/description/" TargetMode="External"/><Relationship Id="rId123" Type="http://schemas.openxmlformats.org/officeDocument/2006/relationships/hyperlink" Target="https://leetcode.com/problems/best-time-to-buy-and-sell-stock-iii/description/" TargetMode="External"/><Relationship Id="rId330" Type="http://schemas.openxmlformats.org/officeDocument/2006/relationships/hyperlink" Target="https://leetcode.com/problems/patching-array/description/" TargetMode="External"/><Relationship Id="rId568" Type="http://schemas.openxmlformats.org/officeDocument/2006/relationships/hyperlink" Target="https://leetcode.com/problems/maximum-vacation-days/description/" TargetMode="External"/><Relationship Id="rId775" Type="http://schemas.openxmlformats.org/officeDocument/2006/relationships/hyperlink" Target="https://leetcode.com/problems/global-and-local-inversions/description/" TargetMode="External"/><Relationship Id="rId982" Type="http://schemas.openxmlformats.org/officeDocument/2006/relationships/hyperlink" Target="https://leetcode.com/problems/time-based-key-value-store/description/" TargetMode="External"/><Relationship Id="rId1198" Type="http://schemas.openxmlformats.org/officeDocument/2006/relationships/hyperlink" Target="https://leetcode.com/problems/sort-items-by-groups-respecting-dependencies/description/" TargetMode="External"/><Relationship Id="rId428" Type="http://schemas.openxmlformats.org/officeDocument/2006/relationships/hyperlink" Target="https://leetcode.com/problems/serialize-and-deserialize-n-ary-tree/description/" TargetMode="External"/><Relationship Id="rId635" Type="http://schemas.openxmlformats.org/officeDocument/2006/relationships/hyperlink" Target="https://leetcode.com/problems/design-log-storage-system/description/" TargetMode="External"/><Relationship Id="rId842" Type="http://schemas.openxmlformats.org/officeDocument/2006/relationships/hyperlink" Target="https://leetcode.com/problems/keys-and-rooms/description/" TargetMode="External"/><Relationship Id="rId1058" Type="http://schemas.openxmlformats.org/officeDocument/2006/relationships/hyperlink" Target="https://leetcode.com/problems/campus-bikes/description/" TargetMode="External"/><Relationship Id="rId1265" Type="http://schemas.openxmlformats.org/officeDocument/2006/relationships/hyperlink" Target="https://leetcode.com/problems/all-people-report-to-the-given-manager/description/" TargetMode="External"/><Relationship Id="rId1472" Type="http://schemas.openxmlformats.org/officeDocument/2006/relationships/hyperlink" Target="https://leetcode.com/problems/find-two-non-overlapping-sub-arrays-each-with-target-sum/description/" TargetMode="External"/><Relationship Id="rId702" Type="http://schemas.openxmlformats.org/officeDocument/2006/relationships/hyperlink" Target="https://leetcode.com/problems/search-in-a-sorted-array-of-unknown-size/description/" TargetMode="External"/><Relationship Id="rId1125" Type="http://schemas.openxmlformats.org/officeDocument/2006/relationships/hyperlink" Target="https://leetcode.com/problems/number-of-equivalent-domino-pairs/description/" TargetMode="External"/><Relationship Id="rId1332" Type="http://schemas.openxmlformats.org/officeDocument/2006/relationships/hyperlink" Target="https://leetcode.com/problems/reduce-array-size-to-the-half/description/" TargetMode="External"/><Relationship Id="rId69" Type="http://schemas.openxmlformats.org/officeDocument/2006/relationships/hyperlink" Target="https://leetcode.com/problems/sqrtx/description/" TargetMode="External"/><Relationship Id="rId285" Type="http://schemas.openxmlformats.org/officeDocument/2006/relationships/hyperlink" Target="https://leetcode.com/problems/inorder-successor-in-bst/description/" TargetMode="External"/><Relationship Id="rId492" Type="http://schemas.openxmlformats.org/officeDocument/2006/relationships/hyperlink" Target="https://leetcode.com/problems/construct-the-rectangle/description/" TargetMode="External"/><Relationship Id="rId797" Type="http://schemas.openxmlformats.org/officeDocument/2006/relationships/hyperlink" Target="https://leetcode.com/problems/rotate-string/description/" TargetMode="External"/><Relationship Id="rId145" Type="http://schemas.openxmlformats.org/officeDocument/2006/relationships/hyperlink" Target="https://leetcode.com/problems/binary-tree-postorder-traversal/description/" TargetMode="External"/><Relationship Id="rId352" Type="http://schemas.openxmlformats.org/officeDocument/2006/relationships/hyperlink" Target="https://leetcode.com/problems/data-stream-as-disjoint-intervals/description/" TargetMode="External"/><Relationship Id="rId1287" Type="http://schemas.openxmlformats.org/officeDocument/2006/relationships/hyperlink" Target="https://leetcode.com/problems/shortest-path-in-a-grid-with-obstacles-elimination/description/" TargetMode="External"/><Relationship Id="rId212" Type="http://schemas.openxmlformats.org/officeDocument/2006/relationships/hyperlink" Target="https://leetcode.com/problems/word-search-ii/description/" TargetMode="External"/><Relationship Id="rId657" Type="http://schemas.openxmlformats.org/officeDocument/2006/relationships/hyperlink" Target="https://leetcode.com/problems/robot-return-to-origin/description/" TargetMode="External"/><Relationship Id="rId864" Type="http://schemas.openxmlformats.org/officeDocument/2006/relationships/hyperlink" Target="https://leetcode.com/problems/all-nodes-distance-k-in-binary-tree/description/" TargetMode="External"/><Relationship Id="rId517" Type="http://schemas.openxmlformats.org/officeDocument/2006/relationships/hyperlink" Target="https://leetcode.com/problems/super-washing-machines/description/" TargetMode="External"/><Relationship Id="rId724" Type="http://schemas.openxmlformats.org/officeDocument/2006/relationships/hyperlink" Target="https://leetcode.com/problems/find-pivot-index/description/" TargetMode="External"/><Relationship Id="rId931" Type="http://schemas.openxmlformats.org/officeDocument/2006/relationships/hyperlink" Target="https://leetcode.com/problems/binary-subarrays-with-sum/description/" TargetMode="External"/><Relationship Id="rId1147" Type="http://schemas.openxmlformats.org/officeDocument/2006/relationships/hyperlink" Target="https://leetcode.com/problems/check-if-a-number-is-majority-element-in-a-sorted-array/description/" TargetMode="External"/><Relationship Id="rId1354" Type="http://schemas.openxmlformats.org/officeDocument/2006/relationships/hyperlink" Target="https://leetcode.com/problems/number-of-days-between-two-dates/description/" TargetMode="External"/><Relationship Id="rId60" Type="http://schemas.openxmlformats.org/officeDocument/2006/relationships/hyperlink" Target="https://leetcode.com/problems/permutation-sequence/description/" TargetMode="External"/><Relationship Id="rId1007" Type="http://schemas.openxmlformats.org/officeDocument/2006/relationships/hyperlink" Target="https://leetcode.com/problems/clumsy-factorial/description/" TargetMode="External"/><Relationship Id="rId1214" Type="http://schemas.openxmlformats.org/officeDocument/2006/relationships/hyperlink" Target="https://leetcode.com/problems/path-with-maximum-gold/description/" TargetMode="External"/><Relationship Id="rId1421" Type="http://schemas.openxmlformats.org/officeDocument/2006/relationships/hyperlink" Target="https://leetcode.com/problems/counting-elements/description/" TargetMode="External"/><Relationship Id="rId18" Type="http://schemas.openxmlformats.org/officeDocument/2006/relationships/hyperlink" Target="https://leetcode.com/problems/4sum/description/" TargetMode="External"/><Relationship Id="rId167" Type="http://schemas.openxmlformats.org/officeDocument/2006/relationships/hyperlink" Target="https://leetcode.com/problems/two-sum-ii-input-array-is-sorted/description/" TargetMode="External"/><Relationship Id="rId374" Type="http://schemas.openxmlformats.org/officeDocument/2006/relationships/hyperlink" Target="https://leetcode.com/problems/guess-number-higher-or-lower/description/" TargetMode="External"/><Relationship Id="rId581" Type="http://schemas.openxmlformats.org/officeDocument/2006/relationships/hyperlink" Target="https://leetcode.com/problems/shortest-unsorted-continuous-subarray/description/" TargetMode="External"/><Relationship Id="rId234" Type="http://schemas.openxmlformats.org/officeDocument/2006/relationships/hyperlink" Target="https://leetcode.com/problems/palindrome-linked-list/description/" TargetMode="External"/><Relationship Id="rId679" Type="http://schemas.openxmlformats.org/officeDocument/2006/relationships/hyperlink" Target="https://leetcode.com/problems/24-game/description/" TargetMode="External"/><Relationship Id="rId886" Type="http://schemas.openxmlformats.org/officeDocument/2006/relationships/hyperlink" Target="https://leetcode.com/problems/spiral-matrix-iii/description/" TargetMode="External"/><Relationship Id="rId2" Type="http://schemas.openxmlformats.org/officeDocument/2006/relationships/hyperlink" Target="https://leetcode.com/problems/add-two-numbers/description/" TargetMode="External"/><Relationship Id="rId441" Type="http://schemas.openxmlformats.org/officeDocument/2006/relationships/hyperlink" Target="https://leetcode.com/problems/arranging-coins/description/" TargetMode="External"/><Relationship Id="rId539" Type="http://schemas.openxmlformats.org/officeDocument/2006/relationships/hyperlink" Target="https://leetcode.com/problems/minimum-time-difference/description/" TargetMode="External"/><Relationship Id="rId746" Type="http://schemas.openxmlformats.org/officeDocument/2006/relationships/hyperlink" Target="https://leetcode.com/problems/min-cost-climbing-stairs/description/" TargetMode="External"/><Relationship Id="rId1071" Type="http://schemas.openxmlformats.org/officeDocument/2006/relationships/hyperlink" Target="https://leetcode.com/problems/product-sales-analysis-iii/description/" TargetMode="External"/><Relationship Id="rId1169" Type="http://schemas.openxmlformats.org/officeDocument/2006/relationships/hyperlink" Target="https://leetcode.com/problems/dinner-plate-stacks/description/" TargetMode="External"/><Relationship Id="rId1376" Type="http://schemas.openxmlformats.org/officeDocument/2006/relationships/hyperlink" Target="https://leetcode.com/problems/balance-a-binary-search-tree/description/" TargetMode="External"/><Relationship Id="rId301" Type="http://schemas.openxmlformats.org/officeDocument/2006/relationships/hyperlink" Target="https://leetcode.com/problems/remove-invalid-parentheses/description/" TargetMode="External"/><Relationship Id="rId953" Type="http://schemas.openxmlformats.org/officeDocument/2006/relationships/hyperlink" Target="https://leetcode.com/problems/largest-component-size-by-common-factor/description/" TargetMode="External"/><Relationship Id="rId1029" Type="http://schemas.openxmlformats.org/officeDocument/2006/relationships/hyperlink" Target="https://leetcode.com/problems/recover-a-tree-from-preorder-traversal/description/" TargetMode="External"/><Relationship Id="rId1236" Type="http://schemas.openxmlformats.org/officeDocument/2006/relationships/hyperlink" Target="https://leetcode.com/problems/tiling-a-rectangle-with-the-fewest-squares/description/" TargetMode="External"/><Relationship Id="rId82" Type="http://schemas.openxmlformats.org/officeDocument/2006/relationships/hyperlink" Target="https://leetcode.com/problems/remove-duplicates-from-sorted-list-ii/description/" TargetMode="External"/><Relationship Id="rId606" Type="http://schemas.openxmlformats.org/officeDocument/2006/relationships/hyperlink" Target="https://leetcode.com/problems/construct-string-from-binary-tree/description/" TargetMode="External"/><Relationship Id="rId813" Type="http://schemas.openxmlformats.org/officeDocument/2006/relationships/hyperlink" Target="https://leetcode.com/problems/largest-triangle-area/description/" TargetMode="External"/><Relationship Id="rId1443" Type="http://schemas.openxmlformats.org/officeDocument/2006/relationships/hyperlink" Target="https://leetcode.com/problems/count-good-nodes-in-binary-tree/description/" TargetMode="External"/><Relationship Id="rId1303" Type="http://schemas.openxmlformats.org/officeDocument/2006/relationships/hyperlink" Target="https://leetcode.com/problems/decrypt-string-from-alphabet-to-integer-mapping/description/" TargetMode="External"/><Relationship Id="rId189" Type="http://schemas.openxmlformats.org/officeDocument/2006/relationships/hyperlink" Target="https://leetcode.com/problems/rotate-array/description/" TargetMode="External"/><Relationship Id="rId396" Type="http://schemas.openxmlformats.org/officeDocument/2006/relationships/hyperlink" Target="https://leetcode.com/problems/rotate-function/description/" TargetMode="External"/><Relationship Id="rId256" Type="http://schemas.openxmlformats.org/officeDocument/2006/relationships/hyperlink" Target="https://leetcode.com/problems/paint-house/description/" TargetMode="External"/><Relationship Id="rId463" Type="http://schemas.openxmlformats.org/officeDocument/2006/relationships/hyperlink" Target="https://leetcode.com/problems/island-perimeter/description/" TargetMode="External"/><Relationship Id="rId670" Type="http://schemas.openxmlformats.org/officeDocument/2006/relationships/hyperlink" Target="https://leetcode.com/problems/maximum-swap/description/" TargetMode="External"/><Relationship Id="rId1093" Type="http://schemas.openxmlformats.org/officeDocument/2006/relationships/hyperlink" Target="https://leetcode.com/problems/shortest-common-supersequence/description/" TargetMode="External"/><Relationship Id="rId116" Type="http://schemas.openxmlformats.org/officeDocument/2006/relationships/hyperlink" Target="https://leetcode.com/problems/populating-next-right-pointers-in-each-node/description/" TargetMode="External"/><Relationship Id="rId323" Type="http://schemas.openxmlformats.org/officeDocument/2006/relationships/hyperlink" Target="https://leetcode.com/problems/number-of-connected-components-in-an-undirected-graph/description/" TargetMode="External"/><Relationship Id="rId530" Type="http://schemas.openxmlformats.org/officeDocument/2006/relationships/hyperlink" Target="https://leetcode.com/problems/minimum-absolute-difference-in-bst/description/" TargetMode="External"/><Relationship Id="rId768" Type="http://schemas.openxmlformats.org/officeDocument/2006/relationships/hyperlink" Target="https://leetcode.com/problems/max-chunks-to-make-sorted-ii/description/" TargetMode="External"/><Relationship Id="rId975" Type="http://schemas.openxmlformats.org/officeDocument/2006/relationships/hyperlink" Target="https://leetcode.com/problems/subarray-sums-divisible-by-k/description/" TargetMode="External"/><Relationship Id="rId1160" Type="http://schemas.openxmlformats.org/officeDocument/2006/relationships/hyperlink" Target="https://leetcode.com/problems/last-substring-in-lexicographical-order/description/" TargetMode="External"/><Relationship Id="rId1398" Type="http://schemas.openxmlformats.org/officeDocument/2006/relationships/hyperlink" Target="https://leetcode.com/problems/number-of-steps-to-reduce-a-number-in-binary-representation-to-one/description/" TargetMode="External"/><Relationship Id="rId628" Type="http://schemas.openxmlformats.org/officeDocument/2006/relationships/hyperlink" Target="https://leetcode.com/problems/maximum-product-of-three-numbers/description/" TargetMode="External"/><Relationship Id="rId835" Type="http://schemas.openxmlformats.org/officeDocument/2006/relationships/hyperlink" Target="https://leetcode.com/problems/sum-of-distances-in-tree/description/" TargetMode="External"/><Relationship Id="rId1258" Type="http://schemas.openxmlformats.org/officeDocument/2006/relationships/hyperlink" Target="https://leetcode.com/problems/minimum-moves-to-move-a-box-to-their-target-location/description/" TargetMode="External"/><Relationship Id="rId1465" Type="http://schemas.openxmlformats.org/officeDocument/2006/relationships/hyperlink" Target="https://leetcode.com/problems/shuffle-the-array/description/" TargetMode="External"/><Relationship Id="rId1020" Type="http://schemas.openxmlformats.org/officeDocument/2006/relationships/hyperlink" Target="https://leetcode.com/problems/next-greater-node-in-linked-list/description/" TargetMode="External"/><Relationship Id="rId1118" Type="http://schemas.openxmlformats.org/officeDocument/2006/relationships/hyperlink" Target="https://leetcode.com/problems/divide-array-into-increasing-sequences/description/" TargetMode="External"/><Relationship Id="rId1325" Type="http://schemas.openxmlformats.org/officeDocument/2006/relationships/hyperlink" Target="https://leetcode.com/problems/rank-transform-of-an-array/description/" TargetMode="External"/><Relationship Id="rId902" Type="http://schemas.openxmlformats.org/officeDocument/2006/relationships/hyperlink" Target="https://leetcode.com/problems/online-stock-span/description/" TargetMode="External"/><Relationship Id="rId31" Type="http://schemas.openxmlformats.org/officeDocument/2006/relationships/hyperlink" Target="https://leetcode.com/problems/next-permutation/description/" TargetMode="External"/><Relationship Id="rId180" Type="http://schemas.openxmlformats.org/officeDocument/2006/relationships/hyperlink" Target="https://leetcode.com/problems/consecutive-numbers/description/" TargetMode="External"/><Relationship Id="rId278" Type="http://schemas.openxmlformats.org/officeDocument/2006/relationships/hyperlink" Target="https://leetcode.com/problems/first-bad-version/description/" TargetMode="External"/><Relationship Id="rId485" Type="http://schemas.openxmlformats.org/officeDocument/2006/relationships/hyperlink" Target="https://leetcode.com/problems/max-consecutive-ones/description/" TargetMode="External"/><Relationship Id="rId692" Type="http://schemas.openxmlformats.org/officeDocument/2006/relationships/hyperlink" Target="https://leetcode.com/problems/top-k-frequent-words/description/" TargetMode="External"/><Relationship Id="rId138" Type="http://schemas.openxmlformats.org/officeDocument/2006/relationships/hyperlink" Target="https://leetcode.com/problems/copy-list-with-random-pointer/description/" TargetMode="External"/><Relationship Id="rId345" Type="http://schemas.openxmlformats.org/officeDocument/2006/relationships/hyperlink" Target="https://leetcode.com/problems/reverse-vowels-of-a-string/description/" TargetMode="External"/><Relationship Id="rId552" Type="http://schemas.openxmlformats.org/officeDocument/2006/relationships/hyperlink" Target="https://leetcode.com/problems/student-attendance-record-ii/description/" TargetMode="External"/><Relationship Id="rId997" Type="http://schemas.openxmlformats.org/officeDocument/2006/relationships/hyperlink" Target="https://leetcode.com/problems/number-of-squareful-arrays/description/" TargetMode="External"/><Relationship Id="rId1182" Type="http://schemas.openxmlformats.org/officeDocument/2006/relationships/hyperlink" Target="https://leetcode.com/problems/day-of-the-week/description/" TargetMode="External"/><Relationship Id="rId205" Type="http://schemas.openxmlformats.org/officeDocument/2006/relationships/hyperlink" Target="https://leetcode.com/problems/isomorphic-strings/description/" TargetMode="External"/><Relationship Id="rId412" Type="http://schemas.openxmlformats.org/officeDocument/2006/relationships/hyperlink" Target="https://leetcode.com/problems/fizz-buzz/description/" TargetMode="External"/><Relationship Id="rId857" Type="http://schemas.openxmlformats.org/officeDocument/2006/relationships/hyperlink" Target="https://leetcode.com/problems/score-of-parentheses/description/" TargetMode="External"/><Relationship Id="rId1042" Type="http://schemas.openxmlformats.org/officeDocument/2006/relationships/hyperlink" Target="https://leetcode.com/problems/robot-bounded-in-circle/description/" TargetMode="External"/><Relationship Id="rId717" Type="http://schemas.openxmlformats.org/officeDocument/2006/relationships/hyperlink" Target="https://leetcode.com/problems/1-bit-and-2-bit-characters/description/" TargetMode="External"/><Relationship Id="rId924" Type="http://schemas.openxmlformats.org/officeDocument/2006/relationships/hyperlink" Target="https://leetcode.com/problems/3sum-with-multiplicity/description/" TargetMode="External"/><Relationship Id="rId1347" Type="http://schemas.openxmlformats.org/officeDocument/2006/relationships/hyperlink" Target="https://leetcode.com/problems/maximum-number-of-events-that-can-be-attended/description/" TargetMode="External"/><Relationship Id="rId53" Type="http://schemas.openxmlformats.org/officeDocument/2006/relationships/hyperlink" Target="https://leetcode.com/problems/maximum-subarray/description/" TargetMode="External"/><Relationship Id="rId1207" Type="http://schemas.openxmlformats.org/officeDocument/2006/relationships/hyperlink" Target="https://leetcode.com/problems/team-scores-in-football-tournament/description/" TargetMode="External"/><Relationship Id="rId1414" Type="http://schemas.openxmlformats.org/officeDocument/2006/relationships/hyperlink" Target="http://c3.ai/" TargetMode="External"/><Relationship Id="rId367" Type="http://schemas.openxmlformats.org/officeDocument/2006/relationships/hyperlink" Target="https://leetcode.com/problems/valid-perfect-square/description/" TargetMode="External"/><Relationship Id="rId574" Type="http://schemas.openxmlformats.org/officeDocument/2006/relationships/hyperlink" Target="https://leetcode.com/problems/winning-candidate/description/" TargetMode="External"/><Relationship Id="rId227" Type="http://schemas.openxmlformats.org/officeDocument/2006/relationships/hyperlink" Target="https://leetcode.com/problems/basic-calculator-ii/description/" TargetMode="External"/><Relationship Id="rId781" Type="http://schemas.openxmlformats.org/officeDocument/2006/relationships/hyperlink" Target="https://leetcode.com/problems/rabbits-in-forest/description/" TargetMode="External"/><Relationship Id="rId879" Type="http://schemas.openxmlformats.org/officeDocument/2006/relationships/hyperlink" Target="https://leetcode.com/problems/nth-magical-number/description/" TargetMode="External"/><Relationship Id="rId434" Type="http://schemas.openxmlformats.org/officeDocument/2006/relationships/hyperlink" Target="https://leetcode.com/problems/number-of-segments-in-a-string/description/" TargetMode="External"/><Relationship Id="rId641" Type="http://schemas.openxmlformats.org/officeDocument/2006/relationships/hyperlink" Target="https://leetcode.com/problems/design-circular-deque/description/" TargetMode="External"/><Relationship Id="rId739" Type="http://schemas.openxmlformats.org/officeDocument/2006/relationships/hyperlink" Target="https://leetcode.com/problems/daily-temperatures/description/" TargetMode="External"/><Relationship Id="rId1064" Type="http://schemas.openxmlformats.org/officeDocument/2006/relationships/hyperlink" Target="https://leetcode.com/problems/number-of-valid-subarrays/description/" TargetMode="External"/><Relationship Id="rId1271" Type="http://schemas.openxmlformats.org/officeDocument/2006/relationships/hyperlink" Target="https://leetcode.com/problems/number-of-burgers-with-no-waste-of-ingredients/description/" TargetMode="External"/><Relationship Id="rId1369" Type="http://schemas.openxmlformats.org/officeDocument/2006/relationships/hyperlink" Target="https://leetcode.com/problems/bulb-switcher-iii/description/" TargetMode="External"/><Relationship Id="rId501" Type="http://schemas.openxmlformats.org/officeDocument/2006/relationships/hyperlink" Target="https://leetcode.com/problems/find-mode-in-binary-search-tree/description/" TargetMode="External"/><Relationship Id="rId946" Type="http://schemas.openxmlformats.org/officeDocument/2006/relationships/hyperlink" Target="https://leetcode.com/problems/minimum-increment-to-make-array-unique/description/" TargetMode="External"/><Relationship Id="rId1131" Type="http://schemas.openxmlformats.org/officeDocument/2006/relationships/hyperlink" Target="https://leetcode.com/problems/armstrong-number/description/" TargetMode="External"/><Relationship Id="rId1229" Type="http://schemas.openxmlformats.org/officeDocument/2006/relationships/hyperlink" Target="https://leetcode.com/problems/remove-sub-folders-from-the-filesystem/description/" TargetMode="External"/><Relationship Id="rId75" Type="http://schemas.openxmlformats.org/officeDocument/2006/relationships/hyperlink" Target="https://leetcode.com/problems/sort-colors/description/" TargetMode="External"/><Relationship Id="rId806" Type="http://schemas.openxmlformats.org/officeDocument/2006/relationships/hyperlink" Target="https://leetcode.com/problems/split-array-with-same-average/description/" TargetMode="External"/><Relationship Id="rId1436" Type="http://schemas.openxmlformats.org/officeDocument/2006/relationships/hyperlink" Target="https://leetcode.com/problems/build-an-array-with-stack-operations/description/" TargetMode="External"/><Relationship Id="rId291" Type="http://schemas.openxmlformats.org/officeDocument/2006/relationships/hyperlink" Target="https://leetcode.com/problems/word-pattern-ii/description/" TargetMode="External"/><Relationship Id="rId151" Type="http://schemas.openxmlformats.org/officeDocument/2006/relationships/hyperlink" Target="https://leetcode.com/problems/reverse-words-in-a-string/description/" TargetMode="External"/><Relationship Id="rId389" Type="http://schemas.openxmlformats.org/officeDocument/2006/relationships/hyperlink" Target="https://leetcode.com/problems/find-the-difference/description/" TargetMode="External"/><Relationship Id="rId596" Type="http://schemas.openxmlformats.org/officeDocument/2006/relationships/hyperlink" Target="https://leetcode.com/problems/classes-more-than-5-students/description/" TargetMode="External"/><Relationship Id="rId249" Type="http://schemas.openxmlformats.org/officeDocument/2006/relationships/hyperlink" Target="https://leetcode.com/problems/group-shifted-strings/description/" TargetMode="External"/><Relationship Id="rId456" Type="http://schemas.openxmlformats.org/officeDocument/2006/relationships/hyperlink" Target="https://leetcode.com/problems/132-pattern/description/" TargetMode="External"/><Relationship Id="rId663" Type="http://schemas.openxmlformats.org/officeDocument/2006/relationships/hyperlink" Target="https://leetcode.com/problems/equal-tree-partition/description/" TargetMode="External"/><Relationship Id="rId870" Type="http://schemas.openxmlformats.org/officeDocument/2006/relationships/hyperlink" Target="https://leetcode.com/problems/reordered-power-of-2/description/" TargetMode="External"/><Relationship Id="rId1086" Type="http://schemas.openxmlformats.org/officeDocument/2006/relationships/hyperlink" Target="https://leetcode.com/problems/sum-of-digits-in-the-minimum-number/description/" TargetMode="External"/><Relationship Id="rId1293" Type="http://schemas.openxmlformats.org/officeDocument/2006/relationships/hyperlink" Target="https://leetcode.com/problems/replace-elements-with-greatest-element-on-right-side/description/" TargetMode="External"/><Relationship Id="rId109" Type="http://schemas.openxmlformats.org/officeDocument/2006/relationships/hyperlink" Target="https://leetcode.com/problems/convert-sorted-list-to-binary-search-tree/description/" TargetMode="External"/><Relationship Id="rId316" Type="http://schemas.openxmlformats.org/officeDocument/2006/relationships/hyperlink" Target="https://leetcode.com/problems/remove-duplicate-letters/description/" TargetMode="External"/><Relationship Id="rId523" Type="http://schemas.openxmlformats.org/officeDocument/2006/relationships/hyperlink" Target="https://leetcode.com/problems/continuous-subarray-sum/description/" TargetMode="External"/><Relationship Id="rId968" Type="http://schemas.openxmlformats.org/officeDocument/2006/relationships/hyperlink" Target="https://leetcode.com/problems/numbers-with-same-consecutive-differences/description/" TargetMode="External"/><Relationship Id="rId1153" Type="http://schemas.openxmlformats.org/officeDocument/2006/relationships/hyperlink" Target="https://leetcode.com/problems/swap-for-longest-repeated-character-substring/description/" TargetMode="External"/><Relationship Id="rId97" Type="http://schemas.openxmlformats.org/officeDocument/2006/relationships/hyperlink" Target="https://leetcode.com/problems/interleaving-string/description/" TargetMode="External"/><Relationship Id="rId730" Type="http://schemas.openxmlformats.org/officeDocument/2006/relationships/hyperlink" Target="https://leetcode.com/problems/count-different-palindromic-subsequences/description/" TargetMode="External"/><Relationship Id="rId828" Type="http://schemas.openxmlformats.org/officeDocument/2006/relationships/hyperlink" Target="https://leetcode.com/problems/making-a-large-island/description/" TargetMode="External"/><Relationship Id="rId1013" Type="http://schemas.openxmlformats.org/officeDocument/2006/relationships/hyperlink" Target="https://leetcode.com/problems/numbers-with-repeated-digits/description/" TargetMode="External"/><Relationship Id="rId1360" Type="http://schemas.openxmlformats.org/officeDocument/2006/relationships/hyperlink" Target="https://leetcode.com/problems/rank-teams-by-votes/description/" TargetMode="External"/><Relationship Id="rId1458" Type="http://schemas.openxmlformats.org/officeDocument/2006/relationships/hyperlink" Target="https://leetcode.com/problems/cherry-pickup-ii/description/" TargetMode="External"/><Relationship Id="rId1220" Type="http://schemas.openxmlformats.org/officeDocument/2006/relationships/hyperlink" Target="https://leetcode.com/problems/dice-roll-simulation/description/" TargetMode="External"/><Relationship Id="rId1318" Type="http://schemas.openxmlformats.org/officeDocument/2006/relationships/hyperlink" Target="https://leetcode.com/problems/print-words-vertically/description/" TargetMode="External"/><Relationship Id="rId24" Type="http://schemas.openxmlformats.org/officeDocument/2006/relationships/hyperlink" Target="https://leetcode.com/problems/swap-nodes-in-pairs/description/" TargetMode="External"/><Relationship Id="rId173" Type="http://schemas.openxmlformats.org/officeDocument/2006/relationships/hyperlink" Target="https://leetcode.com/problems/binary-search-tree-iterator/description/" TargetMode="External"/><Relationship Id="rId380" Type="http://schemas.openxmlformats.org/officeDocument/2006/relationships/hyperlink" Target="https://leetcode.com/problems/insert-delete-getrandom-o1/description/" TargetMode="External"/><Relationship Id="rId240" Type="http://schemas.openxmlformats.org/officeDocument/2006/relationships/hyperlink" Target="https://leetcode.com/problems/search-a-2d-matrix-ii/description/" TargetMode="External"/><Relationship Id="rId478" Type="http://schemas.openxmlformats.org/officeDocument/2006/relationships/hyperlink" Target="https://leetcode.com/problems/generate-random-point-in-a-circle/description/" TargetMode="External"/><Relationship Id="rId685" Type="http://schemas.openxmlformats.org/officeDocument/2006/relationships/hyperlink" Target="https://leetcode.com/problems/redundant-connection-ii/description/" TargetMode="External"/><Relationship Id="rId892" Type="http://schemas.openxmlformats.org/officeDocument/2006/relationships/hyperlink" Target="https://leetcode.com/problems/sum-of-subsequence-widths/description/" TargetMode="External"/><Relationship Id="rId100" Type="http://schemas.openxmlformats.org/officeDocument/2006/relationships/hyperlink" Target="https://leetcode.com/problems/same-tree/description/" TargetMode="External"/><Relationship Id="rId338" Type="http://schemas.openxmlformats.org/officeDocument/2006/relationships/hyperlink" Target="https://leetcode.com/problems/counting-bits/description/" TargetMode="External"/><Relationship Id="rId545" Type="http://schemas.openxmlformats.org/officeDocument/2006/relationships/hyperlink" Target="https://leetcode.com/problems/boundary-of-binary-tree/description/" TargetMode="External"/><Relationship Id="rId752" Type="http://schemas.openxmlformats.org/officeDocument/2006/relationships/hyperlink" Target="https://leetcode.com/problems/open-the-lock/description/" TargetMode="External"/><Relationship Id="rId1175" Type="http://schemas.openxmlformats.org/officeDocument/2006/relationships/hyperlink" Target="https://leetcode.com/problems/number-of-valid-words-for-each-puzzle/description/" TargetMode="External"/><Relationship Id="rId1382" Type="http://schemas.openxmlformats.org/officeDocument/2006/relationships/hyperlink" Target="https://leetcode.com/problems/pizza-with-3n-slices/description/" TargetMode="External"/><Relationship Id="rId405" Type="http://schemas.openxmlformats.org/officeDocument/2006/relationships/hyperlink" Target="https://leetcode.com/problems/convert-a-number-to-hexadecimal/description/" TargetMode="External"/><Relationship Id="rId612" Type="http://schemas.openxmlformats.org/officeDocument/2006/relationships/hyperlink" Target="https://leetcode.com/problems/shortest-distance-in-a-plane/description/" TargetMode="External"/><Relationship Id="rId1035" Type="http://schemas.openxmlformats.org/officeDocument/2006/relationships/hyperlink" Target="https://leetcode.com/problems/coloring-a-border/description/" TargetMode="External"/><Relationship Id="rId1242" Type="http://schemas.openxmlformats.org/officeDocument/2006/relationships/hyperlink" Target="https://leetcode.com/problems/minimum-swaps-to-make-strings-equal/description/" TargetMode="External"/><Relationship Id="rId917" Type="http://schemas.openxmlformats.org/officeDocument/2006/relationships/hyperlink" Target="https://leetcode.com/problems/word-subsets/description/" TargetMode="External"/><Relationship Id="rId1102" Type="http://schemas.openxmlformats.org/officeDocument/2006/relationships/hyperlink" Target="https://leetcode.com/problems/the-earliest-moment-when-everyone-become-friends/description/" TargetMode="External"/><Relationship Id="rId46" Type="http://schemas.openxmlformats.org/officeDocument/2006/relationships/hyperlink" Target="https://leetcode.com/problems/permutations/description/" TargetMode="External"/><Relationship Id="rId1407" Type="http://schemas.openxmlformats.org/officeDocument/2006/relationships/hyperlink" Target="https://leetcode.com/problems/minimum-value-to-get-positive-step-by-step-sum/description/" TargetMode="External"/><Relationship Id="rId195" Type="http://schemas.openxmlformats.org/officeDocument/2006/relationships/hyperlink" Target="https://leetcode.com/problems/tenth-line/description/" TargetMode="External"/><Relationship Id="rId262" Type="http://schemas.openxmlformats.org/officeDocument/2006/relationships/hyperlink" Target="https://leetcode.com/problems/trips-and-users/description/" TargetMode="External"/><Relationship Id="rId567" Type="http://schemas.openxmlformats.org/officeDocument/2006/relationships/hyperlink" Target="https://leetcode.com/problems/permutation-in-string/description/" TargetMode="External"/><Relationship Id="rId1197" Type="http://schemas.openxmlformats.org/officeDocument/2006/relationships/hyperlink" Target="https://leetcode.com/problems/smallest-string-with-swaps/description/" TargetMode="External"/><Relationship Id="rId122" Type="http://schemas.openxmlformats.org/officeDocument/2006/relationships/hyperlink" Target="https://leetcode.com/problems/best-time-to-buy-and-sell-stock-ii/description/" TargetMode="External"/><Relationship Id="rId774" Type="http://schemas.openxmlformats.org/officeDocument/2006/relationships/hyperlink" Target="https://leetcode.com/problems/minimize-max-distance-to-gas-station/description/" TargetMode="External"/><Relationship Id="rId981" Type="http://schemas.openxmlformats.org/officeDocument/2006/relationships/hyperlink" Target="https://leetcode.com/problems/unique-paths-iii/description/" TargetMode="External"/><Relationship Id="rId1057" Type="http://schemas.openxmlformats.org/officeDocument/2006/relationships/hyperlink" Target="https://leetcode.com/problems/confusing-number/description/" TargetMode="External"/><Relationship Id="rId427" Type="http://schemas.openxmlformats.org/officeDocument/2006/relationships/hyperlink" Target="https://leetcode.com/problems/construct-quad-tree/description/" TargetMode="External"/><Relationship Id="rId634" Type="http://schemas.openxmlformats.org/officeDocument/2006/relationships/hyperlink" Target="https://leetcode.com/problems/find-the-derangement-of-an-array/description/" TargetMode="External"/><Relationship Id="rId841" Type="http://schemas.openxmlformats.org/officeDocument/2006/relationships/hyperlink" Target="https://leetcode.com/problems/magic-squares-in-grid/description/" TargetMode="External"/><Relationship Id="rId1264" Type="http://schemas.openxmlformats.org/officeDocument/2006/relationships/hyperlink" Target="https://leetcode.com/problems/number-of-ways-to-stay-in-the-same-place-after-some-steps/description/" TargetMode="External"/><Relationship Id="rId1471" Type="http://schemas.openxmlformats.org/officeDocument/2006/relationships/hyperlink" Target="https://leetcode.com/problems/subrectangle-queries/description/" TargetMode="External"/><Relationship Id="rId701" Type="http://schemas.openxmlformats.org/officeDocument/2006/relationships/hyperlink" Target="https://leetcode.com/problems/insert-into-a-binary-search-tree/description/" TargetMode="External"/><Relationship Id="rId939" Type="http://schemas.openxmlformats.org/officeDocument/2006/relationships/hyperlink" Target="https://leetcode.com/problems/range-sum-of-bst/description/" TargetMode="External"/><Relationship Id="rId1124" Type="http://schemas.openxmlformats.org/officeDocument/2006/relationships/hyperlink" Target="https://leetcode.com/problems/user-purchase-platform/description/" TargetMode="External"/><Relationship Id="rId1331" Type="http://schemas.openxmlformats.org/officeDocument/2006/relationships/hyperlink" Target="https://leetcode.com/problems/the-k-weakest-rows-in-a-matrix/description/" TargetMode="External"/><Relationship Id="rId68" Type="http://schemas.openxmlformats.org/officeDocument/2006/relationships/hyperlink" Target="https://leetcode.com/problems/text-justification/description/" TargetMode="External"/><Relationship Id="rId1429" Type="http://schemas.openxmlformats.org/officeDocument/2006/relationships/hyperlink" Target="https://leetcode.com/problems/number-of-ways-to-wear-different-hats-to-each-other/description/" TargetMode="External"/><Relationship Id="rId284" Type="http://schemas.openxmlformats.org/officeDocument/2006/relationships/hyperlink" Target="https://leetcode.com/problems/peeking-iterator/description/" TargetMode="External"/><Relationship Id="rId491" Type="http://schemas.openxmlformats.org/officeDocument/2006/relationships/hyperlink" Target="https://leetcode.com/problems/increasing-subsequences/description/" TargetMode="External"/><Relationship Id="rId144" Type="http://schemas.openxmlformats.org/officeDocument/2006/relationships/hyperlink" Target="https://leetcode.com/problems/binary-tree-preorder-traversal/description/" TargetMode="External"/><Relationship Id="rId589" Type="http://schemas.openxmlformats.org/officeDocument/2006/relationships/hyperlink" Target="https://leetcode.com/problems/n-ary-tree-preorder-traversal/description/" TargetMode="External"/><Relationship Id="rId796" Type="http://schemas.openxmlformats.org/officeDocument/2006/relationships/hyperlink" Target="https://leetcode.com/problems/number-of-subarrays-with-bounded-maximum/description/" TargetMode="External"/><Relationship Id="rId351" Type="http://schemas.openxmlformats.org/officeDocument/2006/relationships/hyperlink" Target="https://leetcode.com/problems/android-unlock-patterns/description/" TargetMode="External"/><Relationship Id="rId449" Type="http://schemas.openxmlformats.org/officeDocument/2006/relationships/hyperlink" Target="https://leetcode.com/problems/serialize-and-deserialize-bst/description/" TargetMode="External"/><Relationship Id="rId656" Type="http://schemas.openxmlformats.org/officeDocument/2006/relationships/hyperlink" Target="https://leetcode.com/problems/coin-path/description/" TargetMode="External"/><Relationship Id="rId863" Type="http://schemas.openxmlformats.org/officeDocument/2006/relationships/hyperlink" Target="https://leetcode.com/problems/shortest-subarray-with-sum-at-least-k/description/" TargetMode="External"/><Relationship Id="rId1079" Type="http://schemas.openxmlformats.org/officeDocument/2006/relationships/hyperlink" Target="https://leetcode.com/problems/occurrences-after-bigram/description/" TargetMode="External"/><Relationship Id="rId1286" Type="http://schemas.openxmlformats.org/officeDocument/2006/relationships/hyperlink" Target="https://leetcode.com/problems/maximum-side-length-of-a-square-with-sum-less-than-or-equal-to-threshold/description/" TargetMode="External"/><Relationship Id="rId211" Type="http://schemas.openxmlformats.org/officeDocument/2006/relationships/hyperlink" Target="https://leetcode.com/problems/add-and-search-word-data-structure-design/description/" TargetMode="External"/><Relationship Id="rId309" Type="http://schemas.openxmlformats.org/officeDocument/2006/relationships/hyperlink" Target="https://leetcode.com/problems/best-time-to-buy-and-sell-stock-with-cooldown/description/" TargetMode="External"/><Relationship Id="rId516" Type="http://schemas.openxmlformats.org/officeDocument/2006/relationships/hyperlink" Target="https://leetcode.com/problems/longest-palindromic-subsequence/description/" TargetMode="External"/><Relationship Id="rId1146" Type="http://schemas.openxmlformats.org/officeDocument/2006/relationships/hyperlink" Target="https://leetcode.com/problems/article-views-ii/description/" TargetMode="External"/><Relationship Id="rId723" Type="http://schemas.openxmlformats.org/officeDocument/2006/relationships/hyperlink" Target="https://leetcode.com/problems/candy-crush/description/" TargetMode="External"/><Relationship Id="rId930" Type="http://schemas.openxmlformats.org/officeDocument/2006/relationships/hyperlink" Target="https://leetcode.com/problems/unique-email-addresses/description/" TargetMode="External"/><Relationship Id="rId1006" Type="http://schemas.openxmlformats.org/officeDocument/2006/relationships/hyperlink" Target="https://leetcode.com/problems/maximize-sum-of-array-after-k-negations/description/" TargetMode="External"/><Relationship Id="rId1353" Type="http://schemas.openxmlformats.org/officeDocument/2006/relationships/hyperlink" Target="https://leetcode.com/problems/count-all-valid-pickup-and-delivery-options/description/" TargetMode="External"/><Relationship Id="rId1213" Type="http://schemas.openxmlformats.org/officeDocument/2006/relationships/hyperlink" Target="https://leetcode.com/problems/longest-arithmetic-subsequence-of-given-difference/description/" TargetMode="External"/><Relationship Id="rId1420" Type="http://schemas.openxmlformats.org/officeDocument/2006/relationships/hyperlink" Target="https://leetcode.com/problems/constrained-subsequence-sum/description/" TargetMode="External"/><Relationship Id="rId17" Type="http://schemas.openxmlformats.org/officeDocument/2006/relationships/hyperlink" Target="https://leetcode.com/problems/letter-combinations-of-a-phone-number/description/" TargetMode="External"/><Relationship Id="rId166" Type="http://schemas.openxmlformats.org/officeDocument/2006/relationships/hyperlink" Target="https://leetcode.com/problems/fraction-to-recurring-decimal/description/" TargetMode="External"/><Relationship Id="rId373" Type="http://schemas.openxmlformats.org/officeDocument/2006/relationships/hyperlink" Target="https://leetcode.com/problems/find-k-pairs-with-smallest-sums/description/" TargetMode="External"/><Relationship Id="rId580" Type="http://schemas.openxmlformats.org/officeDocument/2006/relationships/hyperlink" Target="https://leetcode.com/problems/count-student-number-in-departments/description/" TargetMode="External"/><Relationship Id="rId1" Type="http://schemas.openxmlformats.org/officeDocument/2006/relationships/hyperlink" Target="https://leetcode.com/problems/two-sum/description/" TargetMode="External"/><Relationship Id="rId233" Type="http://schemas.openxmlformats.org/officeDocument/2006/relationships/hyperlink" Target="https://leetcode.com/problems/number-of-digit-one/description/" TargetMode="External"/><Relationship Id="rId440" Type="http://schemas.openxmlformats.org/officeDocument/2006/relationships/hyperlink" Target="https://leetcode.com/problems/k-th-smallest-in-lexicographical-order/description/" TargetMode="External"/><Relationship Id="rId678" Type="http://schemas.openxmlformats.org/officeDocument/2006/relationships/hyperlink" Target="https://leetcode.com/problems/valid-parenthesis-string/description/" TargetMode="External"/><Relationship Id="rId885" Type="http://schemas.openxmlformats.org/officeDocument/2006/relationships/hyperlink" Target="https://leetcode.com/problems/uncommon-words-from-two-sentences/description/" TargetMode="External"/><Relationship Id="rId1070" Type="http://schemas.openxmlformats.org/officeDocument/2006/relationships/hyperlink" Target="https://leetcode.com/problems/product-sales-analysis-ii/description/" TargetMode="External"/><Relationship Id="rId300" Type="http://schemas.openxmlformats.org/officeDocument/2006/relationships/hyperlink" Target="https://leetcode.com/problems/longest-increasing-subsequence/description/" TargetMode="External"/><Relationship Id="rId538" Type="http://schemas.openxmlformats.org/officeDocument/2006/relationships/hyperlink" Target="https://leetcode.com/problems/convert-bst-to-greater-tree/description/" TargetMode="External"/><Relationship Id="rId745" Type="http://schemas.openxmlformats.org/officeDocument/2006/relationships/hyperlink" Target="https://leetcode.com/problems/prefix-and-suffix-search/description/" TargetMode="External"/><Relationship Id="rId952" Type="http://schemas.openxmlformats.org/officeDocument/2006/relationships/hyperlink" Target="https://leetcode.com/problems/flip-equivalent-binary-trees/description/" TargetMode="External"/><Relationship Id="rId1168" Type="http://schemas.openxmlformats.org/officeDocument/2006/relationships/hyperlink" Target="https://leetcode.com/problems/remove-zero-sum-consecutive-nodes-from-linked-list/description/" TargetMode="External"/><Relationship Id="rId1375" Type="http://schemas.openxmlformats.org/officeDocument/2006/relationships/hyperlink" Target="https://leetcode.com/problems/design-a-stack-with-increment-operation/description/" TargetMode="External"/><Relationship Id="rId81" Type="http://schemas.openxmlformats.org/officeDocument/2006/relationships/hyperlink" Target="https://leetcode.com/problems/search-in-rotated-sorted-array-ii/description/" TargetMode="External"/><Relationship Id="rId605" Type="http://schemas.openxmlformats.org/officeDocument/2006/relationships/hyperlink" Target="https://leetcode.com/problems/can-place-flowers/description/" TargetMode="External"/><Relationship Id="rId812" Type="http://schemas.openxmlformats.org/officeDocument/2006/relationships/hyperlink" Target="https://leetcode.com/problems/subdomain-visit-count/description/" TargetMode="External"/><Relationship Id="rId1028" Type="http://schemas.openxmlformats.org/officeDocument/2006/relationships/hyperlink" Target="https://leetcode.com/problems/longest-arithmetic-sequence/description/" TargetMode="External"/><Relationship Id="rId1235" Type="http://schemas.openxmlformats.org/officeDocument/2006/relationships/hyperlink" Target="https://leetcode.com/problems/maximum-length-of-a-concatenated-string-with-unique-characters/description/" TargetMode="External"/><Relationship Id="rId1442" Type="http://schemas.openxmlformats.org/officeDocument/2006/relationships/hyperlink" Target="https://leetcode.com/problems/simplified-fractions/description/" TargetMode="External"/><Relationship Id="rId1302" Type="http://schemas.openxmlformats.org/officeDocument/2006/relationships/hyperlink" Target="https://leetcode.com/problems/running-total-for-different-genders/description/" TargetMode="External"/><Relationship Id="rId39" Type="http://schemas.openxmlformats.org/officeDocument/2006/relationships/hyperlink" Target="https://leetcode.com/problems/combination-sum/description/" TargetMode="External"/><Relationship Id="rId188" Type="http://schemas.openxmlformats.org/officeDocument/2006/relationships/hyperlink" Target="https://leetcode.com/problems/best-time-to-buy-and-sell-stock-iv/description/" TargetMode="External"/><Relationship Id="rId395" Type="http://schemas.openxmlformats.org/officeDocument/2006/relationships/hyperlink" Target="https://leetcode.com/problems/longest-substring-with-at-least-k-repeating-characters/descriptio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2" max="2" width="24" customWidth="1"/>
    <col min="3" max="3" width="23.28515625" customWidth="1"/>
    <col min="4" max="4" width="22.140625" customWidth="1"/>
    <col min="5" max="5" width="22.28515625" customWidth="1"/>
  </cols>
  <sheetData>
    <row r="1" spans="1:26">
      <c r="B1" s="1" t="str">
        <f>'Coder-1'!B1</f>
        <v>请至Coder-1中填写姓名</v>
      </c>
      <c r="C1" s="1" t="str">
        <f>'Coder-2'!B1</f>
        <v>请至Coder-2中填写姓名</v>
      </c>
      <c r="D1" s="1" t="str">
        <f>'Coder-3'!B1</f>
        <v>请至Coder-3中填写姓名</v>
      </c>
      <c r="E1" s="1" t="str">
        <f>'Coder-4'!B1</f>
        <v>请至Coder-4中填写姓名</v>
      </c>
      <c r="F1" s="2" t="s">
        <v>0</v>
      </c>
    </row>
    <row r="2" spans="1:26">
      <c r="A2" s="3" t="s">
        <v>1</v>
      </c>
      <c r="B2" s="4">
        <f t="shared" ref="B2:E2" si="0">IF(SUM(B3:B1002)=0,,SUM(B3:B1002)=0)</f>
        <v>0</v>
      </c>
      <c r="C2" s="4">
        <f t="shared" si="0"/>
        <v>0</v>
      </c>
      <c r="D2" s="4">
        <f t="shared" si="0"/>
        <v>0</v>
      </c>
      <c r="E2" s="4">
        <f t="shared" si="0"/>
        <v>0</v>
      </c>
    </row>
    <row r="3" spans="1:26">
      <c r="A3" s="5">
        <v>44002</v>
      </c>
      <c r="B3" s="4">
        <f>IF(ISBLANK(A3),,IF(COUNTIF('Coder-1'!$A:$A,"="&amp;A3)=0,,COUNTIF('Coder-1'!$A:$A,"="&amp;A3)))</f>
        <v>0</v>
      </c>
      <c r="C3" s="4">
        <f>IF(ISBLANK(A3),,IF(COUNTIF('Coder-2'!$A:$A,"="&amp;A3)=0,,COUNTIF('Coder-2'!$A:$A,"="&amp;A3)))</f>
        <v>0</v>
      </c>
    </row>
    <row r="4" spans="1:26">
      <c r="A4" s="6">
        <v>44003</v>
      </c>
      <c r="B4" s="4">
        <f>IF(ISBLANK(A4),,IF(COUNTIF('Coder-1'!$A:$A,"="&amp;A4)=0,,COUNTIF('Coder-1'!$A:$A,"="&amp;A4)))</f>
        <v>0</v>
      </c>
      <c r="C4" s="4">
        <f>IF(ISBLANK(A4),,IF(COUNTIF('Coder-2'!$A:$A,"="&amp;A4)=0,,COUNTIF('Coder-2'!$A:$A,"="&amp;A4)))</f>
        <v>0</v>
      </c>
      <c r="D4" s="4"/>
      <c r="E4" s="4"/>
      <c r="F4" s="4">
        <f>IF(ISBLANK(F2),,COUNTIF('Coder-1'!$A:$A,"="&amp;F2))</f>
        <v>0</v>
      </c>
      <c r="G4" s="4">
        <f>IF(ISBLANK(G2),,COUNTIF('Coder-1'!$A:$A,"="&amp;G2))</f>
        <v>0</v>
      </c>
      <c r="H4" s="4">
        <f>IF(ISBLANK(H2),,COUNTIF('Coder-1'!$A:$A,"="&amp;H2))</f>
        <v>0</v>
      </c>
      <c r="I4" s="4">
        <f>IF(ISBLANK(I2),,COUNTIF('Coder-1'!$A:$A,"="&amp;I2))</f>
        <v>0</v>
      </c>
      <c r="J4" s="4">
        <f>IF(ISBLANK(J2),,COUNTIF('Coder-1'!$A:$A,"="&amp;J2))</f>
        <v>0</v>
      </c>
      <c r="K4" s="4">
        <f>IF(ISBLANK(K2),,COUNTIF('Coder-1'!$A:$A,"="&amp;K2))</f>
        <v>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5">
        <v>44004</v>
      </c>
      <c r="B5" s="4">
        <f>IF(ISBLANK(A5),,IF(COUNTIF('Coder-1'!$A:$A,"="&amp;A5)=0,,COUNTIF('Coder-1'!$A:$A,"="&amp;A5)))</f>
        <v>0</v>
      </c>
      <c r="C5" s="4">
        <f>IF(ISBLANK(A5),,IF(COUNTIF('Coder-2'!$A:$A,"="&amp;A5)=0,,COUNTIF('Coder-2'!$A:$A,"="&amp;A5)))</f>
        <v>0</v>
      </c>
      <c r="F5" s="4">
        <f t="shared" ref="F5:L5" si="1">IF(ISBLANK(F2),,COUNTIF('Coder-2'!$A:$A,"="&amp;F2))</f>
        <v>0</v>
      </c>
      <c r="G5" s="4">
        <f t="shared" si="1"/>
        <v>0</v>
      </c>
      <c r="H5" s="4">
        <f t="shared" si="1"/>
        <v>0</v>
      </c>
      <c r="I5" s="4">
        <f t="shared" si="1"/>
        <v>0</v>
      </c>
      <c r="J5" s="4">
        <f t="shared" si="1"/>
        <v>0</v>
      </c>
      <c r="K5" s="4">
        <f t="shared" si="1"/>
        <v>0</v>
      </c>
      <c r="L5" s="4">
        <f t="shared" si="1"/>
        <v>0</v>
      </c>
    </row>
    <row r="6" spans="1:26">
      <c r="A6" s="5">
        <v>44005</v>
      </c>
      <c r="B6" s="4">
        <f>IF(ISBLANK(A6),,IF(COUNTIF('Coder-1'!$A:$A,"="&amp;A6)=0,,COUNTIF('Coder-1'!$A:$A,"="&amp;A6)))</f>
        <v>0</v>
      </c>
      <c r="C6" s="4">
        <f>IF(ISBLANK(A6),,IF(COUNTIF('Coder-2'!$A:$A,"="&amp;A6)=0,,COUNTIF('Coder-2'!$A:$A,"="&amp;A6)))</f>
        <v>0</v>
      </c>
    </row>
    <row r="7" spans="1:26">
      <c r="A7" s="5">
        <v>44006</v>
      </c>
      <c r="B7" s="4">
        <f>IF(ISBLANK(A7),,IF(COUNTIF('Coder-1'!$A:$A,"="&amp;A7)=0,,COUNTIF('Coder-1'!$A:$A,"="&amp;A7)))</f>
        <v>0</v>
      </c>
      <c r="C7" s="4">
        <f>IF(ISBLANK(A7),,IF(COUNTIF('Coder-2'!$A:$A,"="&amp;A7)=0,,COUNTIF('Coder-2'!$A:$A,"="&amp;A7)))</f>
        <v>0</v>
      </c>
    </row>
    <row r="8" spans="1:26">
      <c r="A8" s="5">
        <v>44007</v>
      </c>
      <c r="B8" s="4">
        <f>IF(ISBLANK(A8),,IF(COUNTIF('Coder-1'!$A:$A,"="&amp;A8)=0,,COUNTIF('Coder-1'!$A:$A,"="&amp;A8)))</f>
        <v>0</v>
      </c>
      <c r="C8" s="4">
        <f>IF(ISBLANK(A8),,IF(COUNTIF('Coder-2'!$A:$A,"="&amp;A8)=0,,COUNTIF('Coder-2'!$A:$A,"="&amp;A8)))</f>
        <v>0</v>
      </c>
    </row>
    <row r="9" spans="1:26">
      <c r="A9" s="5">
        <v>44008</v>
      </c>
      <c r="B9" s="4">
        <f>IF(ISBLANK(A9),,IF(COUNTIF('Coder-1'!$A:$A,"="&amp;A9)=0,,COUNTIF('Coder-1'!$A:$A,"="&amp;A9)))</f>
        <v>0</v>
      </c>
      <c r="C9" s="4">
        <f>IF(ISBLANK(A9),,IF(COUNTIF('Coder-2'!$A:$A,"="&amp;A9)=0,,COUNTIF('Coder-2'!$A:$A,"="&amp;A9)))</f>
        <v>0</v>
      </c>
    </row>
    <row r="10" spans="1:26">
      <c r="A10" s="5">
        <v>44009</v>
      </c>
      <c r="B10" s="4">
        <f>IF(ISBLANK(A10),,IF(COUNTIF('Coder-1'!$A:$A,"="&amp;A10)=0,,COUNTIF('Coder-1'!$A:$A,"="&amp;A10)))</f>
        <v>0</v>
      </c>
      <c r="C10" s="4">
        <f>IF(ISBLANK(A10),,IF(COUNTIF('Coder-2'!$A:$A,"="&amp;A10)=0,,COUNTIF('Coder-2'!$A:$A,"="&amp;A10)))</f>
        <v>0</v>
      </c>
    </row>
    <row r="11" spans="1:26">
      <c r="A11" s="5">
        <v>44010</v>
      </c>
      <c r="B11" s="4">
        <f>IF(ISBLANK(A11),,IF(COUNTIF('Coder-1'!$A:$A,"="&amp;A11)=0,,COUNTIF('Coder-1'!$A:$A,"="&amp;A11)))</f>
        <v>0</v>
      </c>
      <c r="C11" s="4">
        <f>IF(ISBLANK(A11),,IF(COUNTIF('Coder-2'!$A:$A,"="&amp;A11)=0,,COUNTIF('Coder-2'!$A:$A,"="&amp;A11)))</f>
        <v>0</v>
      </c>
    </row>
    <row r="12" spans="1:26">
      <c r="A12" s="5">
        <v>44011</v>
      </c>
      <c r="B12" s="4">
        <f>IF(ISBLANK(A12),,IF(COUNTIF('Coder-1'!$A:$A,"="&amp;A12)=0,,COUNTIF('Coder-1'!$A:$A,"="&amp;A12)))</f>
        <v>0</v>
      </c>
      <c r="C12" s="4">
        <f>IF(ISBLANK(A12),,IF(COUNTIF('Coder-2'!$A:$A,"="&amp;A12)=0,,COUNTIF('Coder-2'!$A:$A,"="&amp;A12)))</f>
        <v>0</v>
      </c>
    </row>
    <row r="13" spans="1:26">
      <c r="A13" s="5"/>
      <c r="B13" s="4">
        <f>IF(ISBLANK(A13),,IF(COUNTIF('Coder-1'!$A:$A,"="&amp;A13)=0,,COUNTIF('Coder-1'!$A:$A,"="&amp;A13)))</f>
        <v>0</v>
      </c>
      <c r="C13" s="4">
        <f>IF(ISBLANK(A13),,IF(COUNTIF('Coder-2'!$A:$A,"="&amp;A13)=0,,COUNTIF('Coder-2'!$A:$A,"="&amp;A13)))</f>
        <v>0</v>
      </c>
    </row>
    <row r="14" spans="1:26">
      <c r="A14" s="5"/>
      <c r="B14" s="4">
        <f>IF(ISBLANK(A14),,IF(COUNTIF('Coder-1'!$A:$A,"="&amp;A14)=0,,COUNTIF('Coder-1'!$A:$A,"="&amp;A14)))</f>
        <v>0</v>
      </c>
      <c r="C14" s="4">
        <f>IF(ISBLANK(A14),,IF(COUNTIF('Coder-2'!$A:$A,"="&amp;A14)=0,,COUNTIF('Coder-2'!$A:$A,"="&amp;A14)))</f>
        <v>0</v>
      </c>
    </row>
    <row r="15" spans="1:26">
      <c r="A15" s="5"/>
      <c r="B15" s="4">
        <f>IF(ISBLANK(A15),,IF(COUNTIF('Coder-1'!$A:$A,"="&amp;A15)=0,,COUNTIF('Coder-1'!$A:$A,"="&amp;A15)))</f>
        <v>0</v>
      </c>
      <c r="C15" s="4">
        <f>IF(ISBLANK(A15),,IF(COUNTIF('Coder-2'!$A:$A,"="&amp;A15)=0,,COUNTIF('Coder-2'!$A:$A,"="&amp;A15)))</f>
        <v>0</v>
      </c>
    </row>
    <row r="16" spans="1:26">
      <c r="A16" s="5"/>
      <c r="B16" s="4">
        <f>IF(ISBLANK(A16),,IF(COUNTIF('Coder-1'!$A:$A,"="&amp;A16)=0,,COUNTIF('Coder-1'!$A:$A,"="&amp;A16)))</f>
        <v>0</v>
      </c>
      <c r="C16" s="4">
        <f>IF(ISBLANK(A16),,IF(COUNTIF('Coder-2'!$A:$A,"="&amp;A16)=0,,COUNTIF('Coder-2'!$A:$A,"="&amp;A16)))</f>
        <v>0</v>
      </c>
    </row>
    <row r="17" spans="1:3">
      <c r="A17" s="5"/>
      <c r="B17" s="4">
        <f>IF(ISBLANK(A17),,IF(COUNTIF('Coder-1'!$A:$A,"="&amp;A17)=0,,COUNTIF('Coder-1'!$A:$A,"="&amp;A17)))</f>
        <v>0</v>
      </c>
      <c r="C17" s="4">
        <f>IF(ISBLANK(A17),,IF(COUNTIF('Coder-2'!$A:$A,"="&amp;A17)=0,,COUNTIF('Coder-2'!$A:$A,"="&amp;A17)))</f>
        <v>0</v>
      </c>
    </row>
    <row r="18" spans="1:3">
      <c r="A18" s="5"/>
      <c r="B18" s="4">
        <f>IF(ISBLANK(A18),,IF(COUNTIF('Coder-1'!$A:$A,"="&amp;A18)=0,,COUNTIF('Coder-1'!$A:$A,"="&amp;A18)))</f>
        <v>0</v>
      </c>
      <c r="C18" s="4">
        <f>IF(ISBLANK(A18),,IF(COUNTIF('Coder-2'!$A:$A,"="&amp;A18)=0,,COUNTIF('Coder-2'!$A:$A,"="&amp;A18)))</f>
        <v>0</v>
      </c>
    </row>
    <row r="19" spans="1:3">
      <c r="A19" s="5"/>
      <c r="B19" s="4">
        <f>IF(ISBLANK(A19),,IF(COUNTIF('Coder-1'!$A:$A,"="&amp;A19)=0,,COUNTIF('Coder-1'!$A:$A,"="&amp;A19)))</f>
        <v>0</v>
      </c>
      <c r="C19" s="4">
        <f>IF(ISBLANK(A19),,IF(COUNTIF('Coder-2'!$A:$A,"="&amp;A19)=0,,COUNTIF('Coder-2'!$A:$A,"="&amp;A19)))</f>
        <v>0</v>
      </c>
    </row>
    <row r="20" spans="1:3">
      <c r="A20" s="5"/>
      <c r="B20" s="4">
        <f>IF(ISBLANK(A20),,IF(COUNTIF('Coder-1'!$A:$A,"="&amp;A20)=0,,COUNTIF('Coder-1'!$A:$A,"="&amp;A20)))</f>
        <v>0</v>
      </c>
      <c r="C20" s="4">
        <f>IF(ISBLANK(A20),,IF(COUNTIF('Coder-2'!$A:$A,"="&amp;A20)=0,,COUNTIF('Coder-2'!$A:$A,"="&amp;A20)))</f>
        <v>0</v>
      </c>
    </row>
    <row r="21" spans="1:3">
      <c r="A21" s="5"/>
      <c r="B21" s="4">
        <f>IF(ISBLANK(A21),,IF(COUNTIF('Coder-1'!$A:$A,"="&amp;A21)=0,,COUNTIF('Coder-1'!$A:$A,"="&amp;A21)))</f>
        <v>0</v>
      </c>
      <c r="C21" s="4">
        <f>IF(ISBLANK(A21),,IF(COUNTIF('Coder-2'!$A:$A,"="&amp;A21)=0,,COUNTIF('Coder-2'!$A:$A,"="&amp;A21)))</f>
        <v>0</v>
      </c>
    </row>
    <row r="22" spans="1:3">
      <c r="A22" s="5"/>
      <c r="B22" s="4">
        <f>IF(ISBLANK(A22),,IF(COUNTIF('Coder-1'!$A:$A,"="&amp;A22)=0,,COUNTIF('Coder-1'!$A:$A,"="&amp;A22)))</f>
        <v>0</v>
      </c>
      <c r="C22" s="4">
        <f>IF(ISBLANK(A22),,IF(COUNTIF('Coder-2'!$A:$A,"="&amp;A22)=0,,COUNTIF('Coder-2'!$A:$A,"="&amp;A22)))</f>
        <v>0</v>
      </c>
    </row>
    <row r="23" spans="1:3">
      <c r="A23" s="5"/>
      <c r="B23" s="4">
        <f>IF(ISBLANK(A23),,IF(COUNTIF('Coder-1'!$A:$A,"="&amp;A23)=0,,COUNTIF('Coder-1'!$A:$A,"="&amp;A23)))</f>
        <v>0</v>
      </c>
      <c r="C23" s="4">
        <f>IF(ISBLANK(A23),,IF(COUNTIF('Coder-2'!$A:$A,"="&amp;A23)=0,,COUNTIF('Coder-2'!$A:$A,"="&amp;A23)))</f>
        <v>0</v>
      </c>
    </row>
    <row r="24" spans="1:3">
      <c r="A24" s="5"/>
      <c r="B24" s="4">
        <f>IF(ISBLANK(A24),,IF(COUNTIF('Coder-1'!$A:$A,"="&amp;A24)=0,,COUNTIF('Coder-1'!$A:$A,"="&amp;A24)))</f>
        <v>0</v>
      </c>
      <c r="C24" s="4">
        <f>IF(ISBLANK(A24),,IF(COUNTIF('Coder-2'!$A:$A,"="&amp;A24)=0,,COUNTIF('Coder-2'!$A:$A,"="&amp;A24)))</f>
        <v>0</v>
      </c>
    </row>
    <row r="25" spans="1:3">
      <c r="A25" s="5"/>
      <c r="B25" s="4">
        <f>IF(ISBLANK(A25),,IF(COUNTIF('Coder-1'!$A:$A,"="&amp;A25)=0,,COUNTIF('Coder-1'!$A:$A,"="&amp;A25)))</f>
        <v>0</v>
      </c>
      <c r="C25" s="4">
        <f>IF(ISBLANK(A25),,IF(COUNTIF('Coder-2'!$A:$A,"="&amp;A25)=0,,COUNTIF('Coder-2'!$A:$A,"="&amp;A25)))</f>
        <v>0</v>
      </c>
    </row>
    <row r="26" spans="1:3">
      <c r="A26" s="5"/>
      <c r="B26" s="4">
        <f>IF(ISBLANK(A26),,IF(COUNTIF('Coder-1'!$A:$A,"="&amp;A26)=0,,COUNTIF('Coder-1'!$A:$A,"="&amp;A26)))</f>
        <v>0</v>
      </c>
      <c r="C26" s="4">
        <f>IF(ISBLANK(A26),,IF(COUNTIF('Coder-2'!$A:$A,"="&amp;A26)=0,,COUNTIF('Coder-2'!$A:$A,"="&amp;A26)))</f>
        <v>0</v>
      </c>
    </row>
    <row r="27" spans="1:3">
      <c r="A27" s="5"/>
      <c r="B27" s="4">
        <f>IF(ISBLANK(A27),,IF(COUNTIF('Coder-1'!$A:$A,"="&amp;A27)=0,,COUNTIF('Coder-1'!$A:$A,"="&amp;A27)))</f>
        <v>0</v>
      </c>
      <c r="C27" s="4">
        <f>IF(ISBLANK(A27),,IF(COUNTIF('Coder-2'!$A:$A,"="&amp;A27)=0,,COUNTIF('Coder-2'!$A:$A,"="&amp;A27)))</f>
        <v>0</v>
      </c>
    </row>
    <row r="28" spans="1:3">
      <c r="A28" s="5"/>
      <c r="B28" s="4">
        <f>IF(ISBLANK(A28),,IF(COUNTIF('Coder-1'!$A:$A,"="&amp;A28)=0,,COUNTIF('Coder-1'!$A:$A,"="&amp;A28)))</f>
        <v>0</v>
      </c>
      <c r="C28" s="4">
        <f>IF(ISBLANK(A28),,IF(COUNTIF('Coder-2'!$A:$A,"="&amp;A28)=0,,COUNTIF('Coder-2'!$A:$A,"="&amp;A28)))</f>
        <v>0</v>
      </c>
    </row>
    <row r="29" spans="1:3">
      <c r="A29" s="5"/>
      <c r="B29" s="4">
        <f>IF(ISBLANK(A29),,IF(COUNTIF('Coder-1'!$A:$A,"="&amp;A29)=0,,COUNTIF('Coder-1'!$A:$A,"="&amp;A29)))</f>
        <v>0</v>
      </c>
      <c r="C29" s="4">
        <f>IF(ISBLANK(A29),,IF(COUNTIF('Coder-2'!$A:$A,"="&amp;A29)=0,,COUNTIF('Coder-2'!$A:$A,"="&amp;A29)))</f>
        <v>0</v>
      </c>
    </row>
    <row r="30" spans="1:3">
      <c r="A30" s="5"/>
      <c r="B30" s="4">
        <f>IF(ISBLANK(A30),,IF(COUNTIF('Coder-1'!$A:$A,"="&amp;A30)=0,,COUNTIF('Coder-1'!$A:$A,"="&amp;A30)))</f>
        <v>0</v>
      </c>
      <c r="C30" s="4">
        <f>IF(ISBLANK(A30),,IF(COUNTIF('Coder-2'!$A:$A,"="&amp;A30)=0,,COUNTIF('Coder-2'!$A:$A,"="&amp;A30)))</f>
        <v>0</v>
      </c>
    </row>
    <row r="31" spans="1:3">
      <c r="A31" s="5"/>
      <c r="B31" s="4">
        <f>IF(ISBLANK(A31),,IF(COUNTIF('Coder-1'!$A:$A,"="&amp;A31)=0,,COUNTIF('Coder-1'!$A:$A,"="&amp;A31)))</f>
        <v>0</v>
      </c>
      <c r="C31" s="4">
        <f>IF(ISBLANK(A31),,IF(COUNTIF('Coder-2'!$A:$A,"="&amp;A31)=0,,COUNTIF('Coder-2'!$A:$A,"="&amp;A31)))</f>
        <v>0</v>
      </c>
    </row>
    <row r="32" spans="1:3">
      <c r="A32" s="5"/>
      <c r="B32" s="4">
        <f>IF(ISBLANK(A32),,IF(COUNTIF('Coder-1'!$A:$A,"="&amp;A32)=0,,COUNTIF('Coder-1'!$A:$A,"="&amp;A32)))</f>
        <v>0</v>
      </c>
      <c r="C32" s="4">
        <f>IF(ISBLANK(A32),,IF(COUNTIF('Coder-2'!$A:$A,"="&amp;A32)=0,,COUNTIF('Coder-2'!$A:$A,"="&amp;A32)))</f>
        <v>0</v>
      </c>
    </row>
    <row r="33" spans="1:3">
      <c r="A33" s="5"/>
      <c r="B33" s="4">
        <f>IF(ISBLANK(A33),,IF(COUNTIF('Coder-1'!$A:$A,"="&amp;A33)=0,,COUNTIF('Coder-1'!$A:$A,"="&amp;A33)))</f>
        <v>0</v>
      </c>
      <c r="C33" s="4">
        <f>IF(ISBLANK(A33),,IF(COUNTIF('Coder-2'!$A:$A,"="&amp;A33)=0,,COUNTIF('Coder-2'!$A:$A,"="&amp;A33)))</f>
        <v>0</v>
      </c>
    </row>
    <row r="34" spans="1:3">
      <c r="A34" s="5"/>
      <c r="B34" s="4">
        <f>IF(ISBLANK(A34),,IF(COUNTIF('Coder-1'!$A:$A,"="&amp;A34)=0,,COUNTIF('Coder-1'!$A:$A,"="&amp;A34)))</f>
        <v>0</v>
      </c>
      <c r="C34" s="4">
        <f>IF(ISBLANK(A34),,IF(COUNTIF('Coder-2'!$A:$A,"="&amp;A34)=0,,COUNTIF('Coder-2'!$A:$A,"="&amp;A34)))</f>
        <v>0</v>
      </c>
    </row>
    <row r="35" spans="1:3">
      <c r="A35" s="5"/>
      <c r="B35" s="4">
        <f>IF(ISBLANK(A35),,IF(COUNTIF('Coder-1'!$A:$A,"="&amp;A35)=0,,COUNTIF('Coder-1'!$A:$A,"="&amp;A35)))</f>
        <v>0</v>
      </c>
      <c r="C35" s="4">
        <f>IF(ISBLANK(A35),,IF(COUNTIF('Coder-2'!$A:$A,"="&amp;A35)=0,,COUNTIF('Coder-2'!$A:$A,"="&amp;A35)))</f>
        <v>0</v>
      </c>
    </row>
    <row r="36" spans="1:3">
      <c r="A36" s="5"/>
      <c r="B36" s="4">
        <f>IF(ISBLANK(A36),,IF(COUNTIF('Coder-1'!$A:$A,"="&amp;A36)=0,,COUNTIF('Coder-1'!$A:$A,"="&amp;A36)))</f>
        <v>0</v>
      </c>
      <c r="C36" s="4">
        <f>IF(ISBLANK(A36),,IF(COUNTIF('Coder-2'!$A:$A,"="&amp;A36)=0,,COUNTIF('Coder-2'!$A:$A,"="&amp;A36)))</f>
        <v>0</v>
      </c>
    </row>
    <row r="37" spans="1:3">
      <c r="A37" s="5"/>
      <c r="B37" s="4">
        <f>IF(ISBLANK(A37),,IF(COUNTIF('Coder-1'!$A:$A,"="&amp;A37)=0,,COUNTIF('Coder-1'!$A:$A,"="&amp;A37)))</f>
        <v>0</v>
      </c>
      <c r="C37" s="4">
        <f>IF(ISBLANK(A37),,IF(COUNTIF('Coder-2'!$A:$A,"="&amp;A37)=0,,COUNTIF('Coder-2'!$A:$A,"="&amp;A37)))</f>
        <v>0</v>
      </c>
    </row>
    <row r="38" spans="1:3">
      <c r="A38" s="5"/>
      <c r="B38" s="4">
        <f>IF(ISBLANK(A38),,IF(COUNTIF('Coder-1'!$A:$A,"="&amp;A38)=0,,COUNTIF('Coder-1'!$A:$A,"="&amp;A38)))</f>
        <v>0</v>
      </c>
      <c r="C38" s="4">
        <f>IF(ISBLANK(A38),,IF(COUNTIF('Coder-2'!$A:$A,"="&amp;A38)=0,,COUNTIF('Coder-2'!$A:$A,"="&amp;A38)))</f>
        <v>0</v>
      </c>
    </row>
    <row r="39" spans="1:3">
      <c r="A39" s="5"/>
      <c r="B39" s="4">
        <f>IF(ISBLANK(A39),,IF(COUNTIF('Coder-1'!$A:$A,"="&amp;A39)=0,,COUNTIF('Coder-1'!$A:$A,"="&amp;A39)))</f>
        <v>0</v>
      </c>
      <c r="C39" s="4">
        <f>IF(ISBLANK(A39),,IF(COUNTIF('Coder-2'!$A:$A,"="&amp;A39)=0,,COUNTIF('Coder-2'!$A:$A,"="&amp;A39)))</f>
        <v>0</v>
      </c>
    </row>
    <row r="40" spans="1:3">
      <c r="A40" s="5"/>
      <c r="B40" s="4">
        <f>IF(ISBLANK(A40),,IF(COUNTIF('Coder-1'!$A:$A,"="&amp;A40)=0,,COUNTIF('Coder-1'!$A:$A,"="&amp;A40)))</f>
        <v>0</v>
      </c>
      <c r="C40" s="4">
        <f>IF(ISBLANK(A40),,IF(COUNTIF('Coder-2'!$A:$A,"="&amp;A40)=0,,COUNTIF('Coder-2'!$A:$A,"="&amp;A40)))</f>
        <v>0</v>
      </c>
    </row>
    <row r="41" spans="1:3">
      <c r="A41" s="5"/>
      <c r="B41" s="4">
        <f>IF(ISBLANK(A41),,IF(COUNTIF('Coder-1'!$A:$A,"="&amp;A41)=0,,COUNTIF('Coder-1'!$A:$A,"="&amp;A41)))</f>
        <v>0</v>
      </c>
      <c r="C41" s="4">
        <f>IF(ISBLANK(A41),,IF(COUNTIF('Coder-2'!$A:$A,"="&amp;A41)=0,,COUNTIF('Coder-2'!$A:$A,"="&amp;A41)))</f>
        <v>0</v>
      </c>
    </row>
    <row r="42" spans="1:3">
      <c r="A42" s="5"/>
      <c r="B42" s="4">
        <f>IF(ISBLANK(A42),,IF(COUNTIF('Coder-1'!$A:$A,"="&amp;A42)=0,,COUNTIF('Coder-1'!$A:$A,"="&amp;A42)))</f>
        <v>0</v>
      </c>
      <c r="C42" s="4">
        <f>IF(ISBLANK(A42),,IF(COUNTIF('Coder-2'!$A:$A,"="&amp;A42)=0,,COUNTIF('Coder-2'!$A:$A,"="&amp;A42)))</f>
        <v>0</v>
      </c>
    </row>
    <row r="43" spans="1:3">
      <c r="A43" s="5"/>
      <c r="B43" s="4">
        <f>IF(ISBLANK(A43),,IF(COUNTIF('Coder-1'!$A:$A,"="&amp;A43)=0,,COUNTIF('Coder-1'!$A:$A,"="&amp;A43)))</f>
        <v>0</v>
      </c>
      <c r="C43" s="4">
        <f>IF(ISBLANK(A43),,IF(COUNTIF('Coder-2'!$A:$A,"="&amp;A43)=0,,COUNTIF('Coder-2'!$A:$A,"="&amp;A43)))</f>
        <v>0</v>
      </c>
    </row>
    <row r="44" spans="1:3">
      <c r="A44" s="5"/>
      <c r="B44" s="4">
        <f>IF(ISBLANK(A44),,IF(COUNTIF('Coder-1'!$A:$A,"="&amp;A44)=0,,COUNTIF('Coder-1'!$A:$A,"="&amp;A44)))</f>
        <v>0</v>
      </c>
      <c r="C44" s="4">
        <f>IF(ISBLANK(A44),,IF(COUNTIF('Coder-2'!$A:$A,"="&amp;A44)=0,,COUNTIF('Coder-2'!$A:$A,"="&amp;A44)))</f>
        <v>0</v>
      </c>
    </row>
    <row r="45" spans="1:3">
      <c r="A45" s="5"/>
      <c r="B45" s="4">
        <f>IF(ISBLANK(A45),,IF(COUNTIF('Coder-1'!$A:$A,"="&amp;A45)=0,,COUNTIF('Coder-1'!$A:$A,"="&amp;A45)))</f>
        <v>0</v>
      </c>
      <c r="C45" s="4">
        <f>IF(ISBLANK(A45),,IF(COUNTIF('Coder-2'!$A:$A,"="&amp;A45)=0,,COUNTIF('Coder-2'!$A:$A,"="&amp;A45)))</f>
        <v>0</v>
      </c>
    </row>
    <row r="46" spans="1:3">
      <c r="A46" s="5"/>
      <c r="B46" s="4">
        <f>IF(ISBLANK(A46),,IF(COUNTIF('Coder-1'!$A:$A,"="&amp;A46)=0,,COUNTIF('Coder-1'!$A:$A,"="&amp;A46)))</f>
        <v>0</v>
      </c>
      <c r="C46" s="4">
        <f>IF(ISBLANK(A46),,IF(COUNTIF('Coder-2'!$A:$A,"="&amp;A46)=0,,COUNTIF('Coder-2'!$A:$A,"="&amp;A46)))</f>
        <v>0</v>
      </c>
    </row>
    <row r="47" spans="1:3">
      <c r="A47" s="5"/>
      <c r="B47" s="4">
        <f>IF(ISBLANK(A47),,IF(COUNTIF('Coder-1'!$A:$A,"="&amp;A47)=0,,COUNTIF('Coder-1'!$A:$A,"="&amp;A47)))</f>
        <v>0</v>
      </c>
      <c r="C47" s="4">
        <f>IF(ISBLANK(A47),,IF(COUNTIF('Coder-2'!$A:$A,"="&amp;A47)=0,,COUNTIF('Coder-2'!$A:$A,"="&amp;A47)))</f>
        <v>0</v>
      </c>
    </row>
    <row r="48" spans="1:3">
      <c r="A48" s="5"/>
      <c r="B48" s="4">
        <f>IF(ISBLANK(A48),,IF(COUNTIF('Coder-1'!$A:$A,"="&amp;A48)=0,,COUNTIF('Coder-1'!$A:$A,"="&amp;A48)))</f>
        <v>0</v>
      </c>
      <c r="C48" s="4">
        <f>IF(ISBLANK(A48),,IF(COUNTIF('Coder-2'!$A:$A,"="&amp;A48)=0,,COUNTIF('Coder-2'!$A:$A,"="&amp;A48)))</f>
        <v>0</v>
      </c>
    </row>
    <row r="49" spans="1:3">
      <c r="A49" s="5"/>
      <c r="B49" s="4">
        <f>IF(ISBLANK(A49),,IF(COUNTIF('Coder-1'!$A:$A,"="&amp;A49)=0,,COUNTIF('Coder-1'!$A:$A,"="&amp;A49)))</f>
        <v>0</v>
      </c>
      <c r="C49" s="4">
        <f>IF(ISBLANK(A49),,IF(COUNTIF('Coder-2'!$A:$A,"="&amp;A49)=0,,COUNTIF('Coder-2'!$A:$A,"="&amp;A49)))</f>
        <v>0</v>
      </c>
    </row>
    <row r="50" spans="1:3">
      <c r="A50" s="5"/>
      <c r="B50" s="4">
        <f>IF(ISBLANK(A50),,IF(COUNTIF('Coder-1'!$A:$A,"="&amp;A50)=0,,COUNTIF('Coder-1'!$A:$A,"="&amp;A50)))</f>
        <v>0</v>
      </c>
      <c r="C50" s="4">
        <f>IF(ISBLANK(A50),,IF(COUNTIF('Coder-2'!$A:$A,"="&amp;A50)=0,,COUNTIF('Coder-2'!$A:$A,"="&amp;A50)))</f>
        <v>0</v>
      </c>
    </row>
    <row r="51" spans="1:3">
      <c r="A51" s="5"/>
      <c r="B51" s="4">
        <f>IF(ISBLANK(A51),,IF(COUNTIF('Coder-1'!$A:$A,"="&amp;A51)=0,,COUNTIF('Coder-1'!$A:$A,"="&amp;A51)))</f>
        <v>0</v>
      </c>
      <c r="C51" s="4">
        <f>IF(ISBLANK(A51),,IF(COUNTIF('Coder-2'!$A:$A,"="&amp;A51)=0,,COUNTIF('Coder-2'!$A:$A,"="&amp;A51)))</f>
        <v>0</v>
      </c>
    </row>
    <row r="52" spans="1:3">
      <c r="A52" s="5"/>
      <c r="B52" s="4">
        <f>IF(ISBLANK(A52),,IF(COUNTIF('Coder-1'!$A:$A,"="&amp;A52)=0,,COUNTIF('Coder-1'!$A:$A,"="&amp;A52)))</f>
        <v>0</v>
      </c>
      <c r="C52" s="4">
        <f>IF(ISBLANK(A52),,IF(COUNTIF('Coder-2'!$A:$A,"="&amp;A52)=0,,COUNTIF('Coder-2'!$A:$A,"="&amp;A52)))</f>
        <v>0</v>
      </c>
    </row>
    <row r="53" spans="1:3">
      <c r="A53" s="5"/>
      <c r="B53" s="4">
        <f>IF(ISBLANK(A53),,IF(COUNTIF('Coder-1'!$A:$A,"="&amp;A53)=0,,COUNTIF('Coder-1'!$A:$A,"="&amp;A53)))</f>
        <v>0</v>
      </c>
      <c r="C53" s="4">
        <f>IF(ISBLANK(A53),,IF(COUNTIF('Coder-2'!$A:$A,"="&amp;A53)=0,,COUNTIF('Coder-2'!$A:$A,"="&amp;A53)))</f>
        <v>0</v>
      </c>
    </row>
    <row r="54" spans="1:3">
      <c r="A54" s="5"/>
      <c r="B54" s="4">
        <f>IF(ISBLANK(A54),,IF(COUNTIF('Coder-1'!$A:$A,"="&amp;A54)=0,,COUNTIF('Coder-1'!$A:$A,"="&amp;A54)))</f>
        <v>0</v>
      </c>
      <c r="C54" s="4">
        <f>IF(ISBLANK(A54),,IF(COUNTIF('Coder-2'!$A:$A,"="&amp;A54)=0,,COUNTIF('Coder-2'!$A:$A,"="&amp;A54)))</f>
        <v>0</v>
      </c>
    </row>
    <row r="55" spans="1:3">
      <c r="A55" s="5"/>
      <c r="B55" s="4">
        <f>IF(ISBLANK(A55),,IF(COUNTIF('Coder-1'!$A:$A,"="&amp;A55)=0,,COUNTIF('Coder-1'!$A:$A,"="&amp;A55)))</f>
        <v>0</v>
      </c>
      <c r="C55" s="4">
        <f>IF(ISBLANK(A55),,IF(COUNTIF('Coder-2'!$A:$A,"="&amp;A55)=0,,COUNTIF('Coder-2'!$A:$A,"="&amp;A55)))</f>
        <v>0</v>
      </c>
    </row>
    <row r="56" spans="1:3">
      <c r="A56" s="5"/>
      <c r="B56" s="4">
        <f>IF(ISBLANK(A56),,IF(COUNTIF('Coder-1'!$A:$A,"="&amp;A56)=0,,COUNTIF('Coder-1'!$A:$A,"="&amp;A56)))</f>
        <v>0</v>
      </c>
      <c r="C56" s="4">
        <f>IF(ISBLANK(A56),,IF(COUNTIF('Coder-2'!$A:$A,"="&amp;A56)=0,,COUNTIF('Coder-2'!$A:$A,"="&amp;A56)))</f>
        <v>0</v>
      </c>
    </row>
    <row r="57" spans="1:3">
      <c r="A57" s="5"/>
      <c r="B57" s="4">
        <f>IF(ISBLANK(A57),,IF(COUNTIF('Coder-1'!$A:$A,"="&amp;A57)=0,,COUNTIF('Coder-1'!$A:$A,"="&amp;A57)))</f>
        <v>0</v>
      </c>
      <c r="C57" s="4">
        <f>IF(ISBLANK(A57),,IF(COUNTIF('Coder-2'!$A:$A,"="&amp;A57)=0,,COUNTIF('Coder-2'!$A:$A,"="&amp;A57)))</f>
        <v>0</v>
      </c>
    </row>
    <row r="58" spans="1:3">
      <c r="A58" s="5"/>
      <c r="B58" s="4">
        <f>IF(ISBLANK(A58),,IF(COUNTIF('Coder-1'!$A:$A,"="&amp;A58)=0,,COUNTIF('Coder-1'!$A:$A,"="&amp;A58)))</f>
        <v>0</v>
      </c>
      <c r="C58" s="4">
        <f>IF(ISBLANK(A58),,IF(COUNTIF('Coder-2'!$A:$A,"="&amp;A58)=0,,COUNTIF('Coder-2'!$A:$A,"="&amp;A58)))</f>
        <v>0</v>
      </c>
    </row>
    <row r="59" spans="1:3">
      <c r="A59" s="5"/>
      <c r="B59" s="4">
        <f>IF(ISBLANK(A59),,IF(COUNTIF('Coder-1'!$A:$A,"="&amp;A59)=0,,COUNTIF('Coder-1'!$A:$A,"="&amp;A59)))</f>
        <v>0</v>
      </c>
      <c r="C59" s="4">
        <f>IF(ISBLANK(A59),,IF(COUNTIF('Coder-2'!$A:$A,"="&amp;A59)=0,,COUNTIF('Coder-2'!$A:$A,"="&amp;A59)))</f>
        <v>0</v>
      </c>
    </row>
    <row r="60" spans="1:3">
      <c r="A60" s="5"/>
      <c r="B60" s="4">
        <f>IF(ISBLANK(A60),,IF(COUNTIF('Coder-1'!$A:$A,"="&amp;A60)=0,,COUNTIF('Coder-1'!$A:$A,"="&amp;A60)))</f>
        <v>0</v>
      </c>
      <c r="C60" s="4">
        <f>IF(ISBLANK(A60),,IF(COUNTIF('Coder-2'!$A:$A,"="&amp;A60)=0,,COUNTIF('Coder-2'!$A:$A,"="&amp;A60)))</f>
        <v>0</v>
      </c>
    </row>
    <row r="61" spans="1:3">
      <c r="A61" s="5"/>
      <c r="B61" s="4">
        <f>IF(ISBLANK(A61),,IF(COUNTIF('Coder-1'!$A:$A,"="&amp;A61)=0,,COUNTIF('Coder-1'!$A:$A,"="&amp;A61)))</f>
        <v>0</v>
      </c>
      <c r="C61" s="4">
        <f>IF(ISBLANK(A61),,IF(COUNTIF('Coder-2'!$A:$A,"="&amp;A61)=0,,COUNTIF('Coder-2'!$A:$A,"="&amp;A61)))</f>
        <v>0</v>
      </c>
    </row>
    <row r="62" spans="1:3">
      <c r="A62" s="5"/>
      <c r="B62" s="4">
        <f>IF(ISBLANK(A62),,IF(COUNTIF('Coder-1'!$A:$A,"="&amp;A62)=0,,COUNTIF('Coder-1'!$A:$A,"="&amp;A62)))</f>
        <v>0</v>
      </c>
      <c r="C62" s="4">
        <f>IF(ISBLANK(A62),,IF(COUNTIF('Coder-2'!$A:$A,"="&amp;A62)=0,,COUNTIF('Coder-2'!$A:$A,"="&amp;A62)))</f>
        <v>0</v>
      </c>
    </row>
    <row r="63" spans="1:3">
      <c r="A63" s="5"/>
      <c r="B63" s="4">
        <f>IF(ISBLANK(A63),,IF(COUNTIF('Coder-1'!$A:$A,"="&amp;A63)=0,,COUNTIF('Coder-1'!$A:$A,"="&amp;A63)))</f>
        <v>0</v>
      </c>
      <c r="C63" s="4">
        <f>IF(ISBLANK(A63),,IF(COUNTIF('Coder-2'!$A:$A,"="&amp;A63)=0,,COUNTIF('Coder-2'!$A:$A,"="&amp;A63)))</f>
        <v>0</v>
      </c>
    </row>
    <row r="64" spans="1:3">
      <c r="A64" s="5"/>
      <c r="B64" s="4">
        <f>IF(ISBLANK(A64),,IF(COUNTIF('Coder-1'!$A:$A,"="&amp;A64)=0,,COUNTIF('Coder-1'!$A:$A,"="&amp;A64)))</f>
        <v>0</v>
      </c>
      <c r="C64" s="4">
        <f>IF(ISBLANK(A64),,IF(COUNTIF('Coder-2'!$A:$A,"="&amp;A64)=0,,COUNTIF('Coder-2'!$A:$A,"="&amp;A64)))</f>
        <v>0</v>
      </c>
    </row>
    <row r="65" spans="1:3">
      <c r="A65" s="5"/>
      <c r="B65" s="4">
        <f>IF(ISBLANK(A65),,IF(COUNTIF('Coder-1'!$A:$A,"="&amp;A65)=0,,COUNTIF('Coder-1'!$A:$A,"="&amp;A65)))</f>
        <v>0</v>
      </c>
      <c r="C65" s="4">
        <f>IF(ISBLANK(A65),,IF(COUNTIF('Coder-2'!$A:$A,"="&amp;A65)=0,,COUNTIF('Coder-2'!$A:$A,"="&amp;A65)))</f>
        <v>0</v>
      </c>
    </row>
    <row r="66" spans="1:3">
      <c r="A66" s="5"/>
      <c r="B66" s="4">
        <f>IF(ISBLANK(A66),,IF(COUNTIF('Coder-1'!$A:$A,"="&amp;A66)=0,,COUNTIF('Coder-1'!$A:$A,"="&amp;A66)))</f>
        <v>0</v>
      </c>
      <c r="C66" s="4">
        <f>IF(ISBLANK(A66),,IF(COUNTIF('Coder-2'!$A:$A,"="&amp;A66)=0,,COUNTIF('Coder-2'!$A:$A,"="&amp;A66)))</f>
        <v>0</v>
      </c>
    </row>
    <row r="67" spans="1:3">
      <c r="A67" s="5"/>
      <c r="B67" s="4">
        <f>IF(ISBLANK(A67),,IF(COUNTIF('Coder-1'!$A:$A,"="&amp;A67)=0,,COUNTIF('Coder-1'!$A:$A,"="&amp;A67)))</f>
        <v>0</v>
      </c>
      <c r="C67" s="4">
        <f>IF(ISBLANK(A67),,IF(COUNTIF('Coder-2'!$A:$A,"="&amp;A67)=0,,COUNTIF('Coder-2'!$A:$A,"="&amp;A67)))</f>
        <v>0</v>
      </c>
    </row>
    <row r="68" spans="1:3">
      <c r="A68" s="5"/>
      <c r="B68" s="4">
        <f>IF(ISBLANK(A68),,IF(COUNTIF('Coder-1'!$A:$A,"="&amp;A68)=0,,COUNTIF('Coder-1'!$A:$A,"="&amp;A68)))</f>
        <v>0</v>
      </c>
      <c r="C68" s="4">
        <f>IF(ISBLANK(A68),,IF(COUNTIF('Coder-2'!$A:$A,"="&amp;A68)=0,,COUNTIF('Coder-2'!$A:$A,"="&amp;A68)))</f>
        <v>0</v>
      </c>
    </row>
    <row r="69" spans="1:3">
      <c r="A69" s="5"/>
      <c r="B69" s="4">
        <f>IF(ISBLANK(A69),,IF(COUNTIF('Coder-1'!$A:$A,"="&amp;A69)=0,,COUNTIF('Coder-1'!$A:$A,"="&amp;A69)))</f>
        <v>0</v>
      </c>
      <c r="C69" s="4">
        <f>IF(ISBLANK(A69),,IF(COUNTIF('Coder-2'!$A:$A,"="&amp;A69)=0,,COUNTIF('Coder-2'!$A:$A,"="&amp;A69)))</f>
        <v>0</v>
      </c>
    </row>
    <row r="70" spans="1:3">
      <c r="A70" s="5"/>
      <c r="B70" s="4">
        <f>IF(ISBLANK(A70),,IF(COUNTIF('Coder-1'!$A:$A,"="&amp;A70)=0,,COUNTIF('Coder-1'!$A:$A,"="&amp;A70)))</f>
        <v>0</v>
      </c>
      <c r="C70" s="4">
        <f>IF(ISBLANK(A70),,IF(COUNTIF('Coder-2'!$A:$A,"="&amp;A70)=0,,COUNTIF('Coder-2'!$A:$A,"="&amp;A70)))</f>
        <v>0</v>
      </c>
    </row>
    <row r="71" spans="1:3">
      <c r="A71" s="5"/>
      <c r="B71" s="4">
        <f>IF(ISBLANK(A71),,IF(COUNTIF('Coder-1'!$A:$A,"="&amp;A71)=0,,COUNTIF('Coder-1'!$A:$A,"="&amp;A71)))</f>
        <v>0</v>
      </c>
      <c r="C71" s="4">
        <f>IF(ISBLANK(A71),,IF(COUNTIF('Coder-2'!$A:$A,"="&amp;A71)=0,,COUNTIF('Coder-2'!$A:$A,"="&amp;A71)))</f>
        <v>0</v>
      </c>
    </row>
    <row r="72" spans="1:3">
      <c r="A72" s="5"/>
      <c r="B72" s="4">
        <f>IF(ISBLANK(A72),,IF(COUNTIF('Coder-1'!$A:$A,"="&amp;A72)=0,,COUNTIF('Coder-1'!$A:$A,"="&amp;A72)))</f>
        <v>0</v>
      </c>
      <c r="C72" s="4">
        <f>IF(ISBLANK(A72),,IF(COUNTIF('Coder-2'!$A:$A,"="&amp;A72)=0,,COUNTIF('Coder-2'!$A:$A,"="&amp;A72)))</f>
        <v>0</v>
      </c>
    </row>
    <row r="73" spans="1:3">
      <c r="A73" s="5"/>
      <c r="B73" s="4">
        <f>IF(ISBLANK(A73),,IF(COUNTIF('Coder-1'!$A:$A,"="&amp;A73)=0,,COUNTIF('Coder-1'!$A:$A,"="&amp;A73)))</f>
        <v>0</v>
      </c>
      <c r="C73" s="4">
        <f>IF(ISBLANK(A73),,IF(COUNTIF('Coder-2'!$A:$A,"="&amp;A73)=0,,COUNTIF('Coder-2'!$A:$A,"="&amp;A73)))</f>
        <v>0</v>
      </c>
    </row>
    <row r="74" spans="1:3">
      <c r="A74" s="5"/>
      <c r="B74" s="4">
        <f>IF(ISBLANK(A74),,IF(COUNTIF('Coder-1'!$A:$A,"="&amp;A74)=0,,COUNTIF('Coder-1'!$A:$A,"="&amp;A74)))</f>
        <v>0</v>
      </c>
      <c r="C74" s="4">
        <f>IF(ISBLANK(A74),,IF(COUNTIF('Coder-2'!$A:$A,"="&amp;A74)=0,,COUNTIF('Coder-2'!$A:$A,"="&amp;A74)))</f>
        <v>0</v>
      </c>
    </row>
    <row r="75" spans="1:3">
      <c r="A75" s="5"/>
      <c r="B75" s="4">
        <f>IF(ISBLANK(A75),,IF(COUNTIF('Coder-1'!$A:$A,"="&amp;A75)=0,,COUNTIF('Coder-1'!$A:$A,"="&amp;A75)))</f>
        <v>0</v>
      </c>
      <c r="C75" s="4">
        <f>IF(ISBLANK(A75),,IF(COUNTIF('Coder-2'!$A:$A,"="&amp;A75)=0,,COUNTIF('Coder-2'!$A:$A,"="&amp;A75)))</f>
        <v>0</v>
      </c>
    </row>
    <row r="76" spans="1:3">
      <c r="A76" s="5"/>
      <c r="B76" s="4">
        <f>IF(ISBLANK(A76),,IF(COUNTIF('Coder-1'!$A:$A,"="&amp;A76)=0,,COUNTIF('Coder-1'!$A:$A,"="&amp;A76)))</f>
        <v>0</v>
      </c>
      <c r="C76" s="4">
        <f>IF(ISBLANK(A76),,IF(COUNTIF('Coder-2'!$A:$A,"="&amp;A76)=0,,COUNTIF('Coder-2'!$A:$A,"="&amp;A76)))</f>
        <v>0</v>
      </c>
    </row>
    <row r="77" spans="1:3">
      <c r="A77" s="5"/>
      <c r="B77" s="4">
        <f>IF(ISBLANK(A77),,IF(COUNTIF('Coder-1'!$A:$A,"="&amp;A77)=0,,COUNTIF('Coder-1'!$A:$A,"="&amp;A77)))</f>
        <v>0</v>
      </c>
      <c r="C77" s="4">
        <f>IF(ISBLANK(A77),,IF(COUNTIF('Coder-2'!$A:$A,"="&amp;A77)=0,,COUNTIF('Coder-2'!$A:$A,"="&amp;A77)))</f>
        <v>0</v>
      </c>
    </row>
    <row r="78" spans="1:3">
      <c r="A78" s="5"/>
      <c r="B78" s="4">
        <f>IF(ISBLANK(A78),,IF(COUNTIF('Coder-1'!$A:$A,"="&amp;A78)=0,,COUNTIF('Coder-1'!$A:$A,"="&amp;A78)))</f>
        <v>0</v>
      </c>
      <c r="C78" s="4">
        <f>IF(ISBLANK(A78),,IF(COUNTIF('Coder-2'!$A:$A,"="&amp;A78)=0,,COUNTIF('Coder-2'!$A:$A,"="&amp;A78)))</f>
        <v>0</v>
      </c>
    </row>
    <row r="79" spans="1:3">
      <c r="A79" s="5"/>
      <c r="B79" s="4">
        <f>IF(ISBLANK(A79),,IF(COUNTIF('Coder-1'!$A:$A,"="&amp;A79)=0,,COUNTIF('Coder-1'!$A:$A,"="&amp;A79)))</f>
        <v>0</v>
      </c>
      <c r="C79" s="4">
        <f>IF(ISBLANK(A79),,IF(COUNTIF('Coder-2'!$A:$A,"="&amp;A79)=0,,COUNTIF('Coder-2'!$A:$A,"="&amp;A79)))</f>
        <v>0</v>
      </c>
    </row>
    <row r="80" spans="1:3">
      <c r="A80" s="5"/>
      <c r="B80" s="4">
        <f>IF(ISBLANK(A80),,IF(COUNTIF('Coder-1'!$A:$A,"="&amp;A80)=0,,COUNTIF('Coder-1'!$A:$A,"="&amp;A80)))</f>
        <v>0</v>
      </c>
      <c r="C80" s="4">
        <f>IF(ISBLANK(A80),,IF(COUNTIF('Coder-2'!$A:$A,"="&amp;A80)=0,,COUNTIF('Coder-2'!$A:$A,"="&amp;A80)))</f>
        <v>0</v>
      </c>
    </row>
    <row r="81" spans="1:3">
      <c r="A81" s="5"/>
      <c r="B81" s="4">
        <f>IF(ISBLANK(A81),,IF(COUNTIF('Coder-1'!$A:$A,"="&amp;A81)=0,,COUNTIF('Coder-1'!$A:$A,"="&amp;A81)))</f>
        <v>0</v>
      </c>
      <c r="C81" s="4">
        <f>IF(ISBLANK(A81),,IF(COUNTIF('Coder-2'!$A:$A,"="&amp;A81)=0,,COUNTIF('Coder-2'!$A:$A,"="&amp;A81)))</f>
        <v>0</v>
      </c>
    </row>
    <row r="82" spans="1:3">
      <c r="A82" s="5"/>
      <c r="B82" s="4">
        <f>IF(ISBLANK(A82),,IF(COUNTIF('Coder-1'!$A:$A,"="&amp;A82)=0,,COUNTIF('Coder-1'!$A:$A,"="&amp;A82)))</f>
        <v>0</v>
      </c>
      <c r="C82" s="4">
        <f>IF(ISBLANK(A82),,IF(COUNTIF('Coder-2'!$A:$A,"="&amp;A82)=0,,COUNTIF('Coder-2'!$A:$A,"="&amp;A82)))</f>
        <v>0</v>
      </c>
    </row>
    <row r="83" spans="1:3">
      <c r="A83" s="5"/>
      <c r="B83" s="4">
        <f>IF(ISBLANK(A83),,IF(COUNTIF('Coder-1'!$A:$A,"="&amp;A83)=0,,COUNTIF('Coder-1'!$A:$A,"="&amp;A83)))</f>
        <v>0</v>
      </c>
      <c r="C83" s="4">
        <f>IF(ISBLANK(A83),,IF(COUNTIF('Coder-2'!$A:$A,"="&amp;A83)=0,,COUNTIF('Coder-2'!$A:$A,"="&amp;A83)))</f>
        <v>0</v>
      </c>
    </row>
    <row r="84" spans="1:3">
      <c r="A84" s="5"/>
      <c r="B84" s="4">
        <f>IF(ISBLANK(A84),,IF(COUNTIF('Coder-1'!$A:$A,"="&amp;A84)=0,,COUNTIF('Coder-1'!$A:$A,"="&amp;A84)))</f>
        <v>0</v>
      </c>
      <c r="C84" s="4">
        <f>IF(ISBLANK(A84),,IF(COUNTIF('Coder-2'!$A:$A,"="&amp;A84)=0,,COUNTIF('Coder-2'!$A:$A,"="&amp;A84)))</f>
        <v>0</v>
      </c>
    </row>
    <row r="85" spans="1:3">
      <c r="A85" s="5"/>
      <c r="B85" s="4">
        <f>IF(ISBLANK(A85),,IF(COUNTIF('Coder-1'!$A:$A,"="&amp;A85)=0,,COUNTIF('Coder-1'!$A:$A,"="&amp;A85)))</f>
        <v>0</v>
      </c>
      <c r="C85" s="4">
        <f>IF(ISBLANK(A85),,IF(COUNTIF('Coder-2'!$A:$A,"="&amp;A85)=0,,COUNTIF('Coder-2'!$A:$A,"="&amp;A85)))</f>
        <v>0</v>
      </c>
    </row>
    <row r="86" spans="1:3">
      <c r="A86" s="5"/>
      <c r="B86" s="4">
        <f>IF(ISBLANK(A86),,IF(COUNTIF('Coder-1'!$A:$A,"="&amp;A86)=0,,COUNTIF('Coder-1'!$A:$A,"="&amp;A86)))</f>
        <v>0</v>
      </c>
      <c r="C86" s="4">
        <f>IF(ISBLANK(A86),,IF(COUNTIF('Coder-2'!$A:$A,"="&amp;A86)=0,,COUNTIF('Coder-2'!$A:$A,"="&amp;A86)))</f>
        <v>0</v>
      </c>
    </row>
    <row r="87" spans="1:3">
      <c r="A87" s="5"/>
      <c r="B87" s="4">
        <f>IF(ISBLANK(A87),,IF(COUNTIF('Coder-1'!$A:$A,"="&amp;A87)=0,,COUNTIF('Coder-1'!$A:$A,"="&amp;A87)))</f>
        <v>0</v>
      </c>
      <c r="C87" s="4">
        <f>IF(ISBLANK(A87),,IF(COUNTIF('Coder-2'!$A:$A,"="&amp;A87)=0,,COUNTIF('Coder-2'!$A:$A,"="&amp;A87)))</f>
        <v>0</v>
      </c>
    </row>
    <row r="88" spans="1:3">
      <c r="A88" s="5"/>
      <c r="B88" s="4">
        <f>IF(ISBLANK(A88),,IF(COUNTIF('Coder-1'!$A:$A,"="&amp;A88)=0,,COUNTIF('Coder-1'!$A:$A,"="&amp;A88)))</f>
        <v>0</v>
      </c>
      <c r="C88" s="4">
        <f>IF(ISBLANK(A88),,IF(COUNTIF('Coder-2'!$A:$A,"="&amp;A88)=0,,COUNTIF('Coder-2'!$A:$A,"="&amp;A88)))</f>
        <v>0</v>
      </c>
    </row>
    <row r="89" spans="1:3">
      <c r="A89" s="5"/>
      <c r="B89" s="4">
        <f>IF(ISBLANK(A89),,IF(COUNTIF('Coder-1'!$A:$A,"="&amp;A89)=0,,COUNTIF('Coder-1'!$A:$A,"="&amp;A89)))</f>
        <v>0</v>
      </c>
      <c r="C89" s="4">
        <f>IF(ISBLANK(A89),,IF(COUNTIF('Coder-2'!$A:$A,"="&amp;A89)=0,,COUNTIF('Coder-2'!$A:$A,"="&amp;A89)))</f>
        <v>0</v>
      </c>
    </row>
    <row r="90" spans="1:3">
      <c r="A90" s="5"/>
      <c r="B90" s="4">
        <f>IF(ISBLANK(A90),,IF(COUNTIF('Coder-1'!$A:$A,"="&amp;A90)=0,,COUNTIF('Coder-1'!$A:$A,"="&amp;A90)))</f>
        <v>0</v>
      </c>
      <c r="C90" s="4">
        <f>IF(ISBLANK(A90),,IF(COUNTIF('Coder-2'!$A:$A,"="&amp;A90)=0,,COUNTIF('Coder-2'!$A:$A,"="&amp;A90)))</f>
        <v>0</v>
      </c>
    </row>
    <row r="91" spans="1:3">
      <c r="A91" s="5"/>
      <c r="B91" s="4">
        <f>IF(ISBLANK(A91),,IF(COUNTIF('Coder-1'!$A:$A,"="&amp;A91)=0,,COUNTIF('Coder-1'!$A:$A,"="&amp;A91)))</f>
        <v>0</v>
      </c>
      <c r="C91" s="4">
        <f>IF(ISBLANK(A91),,IF(COUNTIF('Coder-2'!$A:$A,"="&amp;A91)=0,,COUNTIF('Coder-2'!$A:$A,"="&amp;A91)))</f>
        <v>0</v>
      </c>
    </row>
    <row r="92" spans="1:3">
      <c r="A92" s="5"/>
      <c r="B92" s="4">
        <f>IF(ISBLANK(A92),,IF(COUNTIF('Coder-1'!$A:$A,"="&amp;A92)=0,,COUNTIF('Coder-1'!$A:$A,"="&amp;A92)))</f>
        <v>0</v>
      </c>
      <c r="C92" s="4">
        <f>IF(ISBLANK(A92),,IF(COUNTIF('Coder-2'!$A:$A,"="&amp;A92)=0,,COUNTIF('Coder-2'!$A:$A,"="&amp;A92)))</f>
        <v>0</v>
      </c>
    </row>
    <row r="93" spans="1:3">
      <c r="A93" s="5"/>
      <c r="B93" s="4">
        <f>IF(ISBLANK(A93),,IF(COUNTIF('Coder-1'!$A:$A,"="&amp;A93)=0,,COUNTIF('Coder-1'!$A:$A,"="&amp;A93)))</f>
        <v>0</v>
      </c>
      <c r="C93" s="4">
        <f>IF(ISBLANK(A93),,IF(COUNTIF('Coder-2'!$A:$A,"="&amp;A93)=0,,COUNTIF('Coder-2'!$A:$A,"="&amp;A93)))</f>
        <v>0</v>
      </c>
    </row>
    <row r="94" spans="1:3">
      <c r="A94" s="7"/>
      <c r="B94" s="4">
        <f>IF(ISBLANK(A94),,IF(COUNTIF('Coder-1'!$A:$A,"="&amp;A94)=0,,COUNTIF('Coder-1'!$A:$A,"="&amp;A94)))</f>
        <v>0</v>
      </c>
      <c r="C94" s="4">
        <f>IF(ISBLANK(A94),,IF(COUNTIF('Coder-2'!$A:$A,"="&amp;A94)=0,,COUNTIF('Coder-2'!$A:$A,"="&amp;A94)))</f>
        <v>0</v>
      </c>
    </row>
    <row r="95" spans="1:3">
      <c r="A95" s="7"/>
      <c r="B95" s="4">
        <f>IF(ISBLANK(A95),,IF(COUNTIF('Coder-1'!$A:$A,"="&amp;A95)=0,,COUNTIF('Coder-1'!$A:$A,"="&amp;A95)))</f>
        <v>0</v>
      </c>
      <c r="C95" s="4">
        <f>IF(ISBLANK(A95),,IF(COUNTIF('Coder-2'!$A:$A,"="&amp;A95)=0,,COUNTIF('Coder-2'!$A:$A,"="&amp;A95)))</f>
        <v>0</v>
      </c>
    </row>
    <row r="96" spans="1:3">
      <c r="A96" s="7"/>
      <c r="B96" s="4">
        <f>IF(ISBLANK(A96),,IF(COUNTIF('Coder-1'!$A:$A,"="&amp;A96)=0,,COUNTIF('Coder-1'!$A:$A,"="&amp;A96)))</f>
        <v>0</v>
      </c>
      <c r="C96" s="4">
        <f>IF(ISBLANK(A96),,IF(COUNTIF('Coder-2'!$A:$A,"="&amp;A96)=0,,COUNTIF('Coder-2'!$A:$A,"="&amp;A96)))</f>
        <v>0</v>
      </c>
    </row>
    <row r="97" spans="1:3">
      <c r="A97" s="7"/>
      <c r="B97" s="4">
        <f>IF(ISBLANK(A97),,IF(COUNTIF('Coder-1'!$A:$A,"="&amp;A97)=0,,COUNTIF('Coder-1'!$A:$A,"="&amp;A97)))</f>
        <v>0</v>
      </c>
      <c r="C97" s="4">
        <f>IF(ISBLANK(A97),,IF(COUNTIF('Coder-2'!$A:$A,"="&amp;A97)=0,,COUNTIF('Coder-2'!$A:$A,"="&amp;A97)))</f>
        <v>0</v>
      </c>
    </row>
    <row r="98" spans="1:3">
      <c r="A98" s="7"/>
      <c r="B98" s="4">
        <f>IF(ISBLANK(A98),,IF(COUNTIF('Coder-1'!$A:$A,"="&amp;A98)=0,,COUNTIF('Coder-1'!$A:$A,"="&amp;A98)))</f>
        <v>0</v>
      </c>
      <c r="C98" s="4">
        <f>IF(ISBLANK(A98),,IF(COUNTIF('Coder-2'!$A:$A,"="&amp;A98)=0,,COUNTIF('Coder-2'!$A:$A,"="&amp;A98)))</f>
        <v>0</v>
      </c>
    </row>
    <row r="99" spans="1:3">
      <c r="A99" s="7"/>
      <c r="B99" s="4">
        <f>IF(ISBLANK(A99),,IF(COUNTIF('Coder-1'!$A:$A,"="&amp;A99)=0,,COUNTIF('Coder-1'!$A:$A,"="&amp;A99)))</f>
        <v>0</v>
      </c>
      <c r="C99" s="4">
        <f>IF(ISBLANK(A99),,IF(COUNTIF('Coder-2'!$A:$A,"="&amp;A99)=0,,COUNTIF('Coder-2'!$A:$A,"="&amp;A99)))</f>
        <v>0</v>
      </c>
    </row>
    <row r="100" spans="1:3">
      <c r="A100" s="7"/>
      <c r="B100" s="4">
        <f>IF(ISBLANK(A100),,IF(COUNTIF('Coder-1'!$A:$A,"="&amp;A100)=0,,COUNTIF('Coder-1'!$A:$A,"="&amp;A100)))</f>
        <v>0</v>
      </c>
      <c r="C100" s="4">
        <f>IF(ISBLANK(A100),,IF(COUNTIF('Coder-2'!$A:$A,"="&amp;A100)=0,,COUNTIF('Coder-2'!$A:$A,"="&amp;A100)))</f>
        <v>0</v>
      </c>
    </row>
    <row r="101" spans="1:3">
      <c r="A101" s="7"/>
      <c r="B101" s="4">
        <f>IF(ISBLANK(A101),,IF(COUNTIF('Coder-1'!$A:$A,"="&amp;A101)=0,,COUNTIF('Coder-1'!$A:$A,"="&amp;A101)))</f>
        <v>0</v>
      </c>
      <c r="C101" s="4">
        <f>IF(ISBLANK(A101),,IF(COUNTIF('Coder-2'!$A:$A,"="&amp;A101)=0,,COUNTIF('Coder-2'!$A:$A,"="&amp;A101)))</f>
        <v>0</v>
      </c>
    </row>
    <row r="102" spans="1:3">
      <c r="A102" s="7"/>
      <c r="B102" s="4">
        <f>IF(ISBLANK(A102),,IF(COUNTIF('Coder-1'!$A:$A,"="&amp;A102)=0,,COUNTIF('Coder-1'!$A:$A,"="&amp;A102)))</f>
        <v>0</v>
      </c>
      <c r="C102" s="4">
        <f>IF(ISBLANK(A102),,IF(COUNTIF('Coder-2'!$A:$A,"="&amp;A102)=0,,COUNTIF('Coder-2'!$A:$A,"="&amp;A102)))</f>
        <v>0</v>
      </c>
    </row>
    <row r="103" spans="1:3">
      <c r="A103" s="7"/>
      <c r="B103" s="4">
        <f>IF(ISBLANK(A103),,IF(COUNTIF('Coder-1'!$A:$A,"="&amp;A103)=0,,COUNTIF('Coder-1'!$A:$A,"="&amp;A103)))</f>
        <v>0</v>
      </c>
      <c r="C103" s="4">
        <f>IF(ISBLANK(A103),,IF(COUNTIF('Coder-2'!$A:$A,"="&amp;A103)=0,,COUNTIF('Coder-2'!$A:$A,"="&amp;A103)))</f>
        <v>0</v>
      </c>
    </row>
    <row r="104" spans="1:3">
      <c r="A104" s="7"/>
      <c r="B104" s="4">
        <f>IF(ISBLANK(A104),,IF(COUNTIF('Coder-1'!$A:$A,"="&amp;A104)=0,,COUNTIF('Coder-1'!$A:$A,"="&amp;A104)))</f>
        <v>0</v>
      </c>
      <c r="C104" s="4">
        <f>IF(ISBLANK(A104),,IF(COUNTIF('Coder-2'!$A:$A,"="&amp;A104)=0,,COUNTIF('Coder-2'!$A:$A,"="&amp;A104)))</f>
        <v>0</v>
      </c>
    </row>
    <row r="105" spans="1:3">
      <c r="A105" s="7"/>
      <c r="B105" s="4">
        <f>IF(ISBLANK(A105),,IF(COUNTIF('Coder-1'!$A:$A,"="&amp;A105)=0,,COUNTIF('Coder-1'!$A:$A,"="&amp;A105)))</f>
        <v>0</v>
      </c>
      <c r="C105" s="4">
        <f>IF(ISBLANK(A105),,IF(COUNTIF('Coder-2'!$A:$A,"="&amp;A105)=0,,COUNTIF('Coder-2'!$A:$A,"="&amp;A105)))</f>
        <v>0</v>
      </c>
    </row>
    <row r="106" spans="1:3">
      <c r="A106" s="7"/>
      <c r="B106" s="4">
        <f>IF(ISBLANK(A106),,IF(COUNTIF('Coder-1'!$A:$A,"="&amp;A106)=0,,COUNTIF('Coder-1'!$A:$A,"="&amp;A106)))</f>
        <v>0</v>
      </c>
      <c r="C106" s="4">
        <f>IF(ISBLANK(A106),,IF(COUNTIF('Coder-2'!$A:$A,"="&amp;A106)=0,,COUNTIF('Coder-2'!$A:$A,"="&amp;A106)))</f>
        <v>0</v>
      </c>
    </row>
    <row r="107" spans="1:3">
      <c r="A107" s="7"/>
      <c r="B107" s="4">
        <f>IF(ISBLANK(A107),,IF(COUNTIF('Coder-1'!$A:$A,"="&amp;A107)=0,,COUNTIF('Coder-1'!$A:$A,"="&amp;A107)))</f>
        <v>0</v>
      </c>
      <c r="C107" s="4">
        <f>IF(ISBLANK(A107),,IF(COUNTIF('Coder-2'!$A:$A,"="&amp;A107)=0,,COUNTIF('Coder-2'!$A:$A,"="&amp;A107)))</f>
        <v>0</v>
      </c>
    </row>
    <row r="108" spans="1:3">
      <c r="A108" s="7"/>
      <c r="B108" s="4">
        <f>IF(ISBLANK(A108),,IF(COUNTIF('Coder-1'!$A:$A,"="&amp;A108)=0,,COUNTIF('Coder-1'!$A:$A,"="&amp;A108)))</f>
        <v>0</v>
      </c>
      <c r="C108" s="4">
        <f>IF(ISBLANK(A108),,IF(COUNTIF('Coder-2'!$A:$A,"="&amp;A108)=0,,COUNTIF('Coder-2'!$A:$A,"="&amp;A108)))</f>
        <v>0</v>
      </c>
    </row>
    <row r="109" spans="1:3">
      <c r="A109" s="7"/>
      <c r="B109" s="4">
        <f>IF(ISBLANK(A109),,IF(COUNTIF('Coder-1'!$A:$A,"="&amp;A109)=0,,COUNTIF('Coder-1'!$A:$A,"="&amp;A109)))</f>
        <v>0</v>
      </c>
      <c r="C109" s="4">
        <f>IF(ISBLANK(A109),,IF(COUNTIF('Coder-2'!$A:$A,"="&amp;A109)=0,,COUNTIF('Coder-2'!$A:$A,"="&amp;A109)))</f>
        <v>0</v>
      </c>
    </row>
    <row r="110" spans="1:3">
      <c r="A110" s="7"/>
      <c r="B110" s="4">
        <f>IF(ISBLANK(A110),,IF(COUNTIF('Coder-1'!$A:$A,"="&amp;A110)=0,,COUNTIF('Coder-1'!$A:$A,"="&amp;A110)))</f>
        <v>0</v>
      </c>
      <c r="C110" s="4">
        <f>IF(ISBLANK(A110),,IF(COUNTIF('Coder-2'!$A:$A,"="&amp;A110)=0,,COUNTIF('Coder-2'!$A:$A,"="&amp;A110)))</f>
        <v>0</v>
      </c>
    </row>
    <row r="111" spans="1:3">
      <c r="A111" s="7"/>
      <c r="B111" s="4">
        <f>IF(ISBLANK(A111),,IF(COUNTIF('Coder-1'!$A:$A,"="&amp;A111)=0,,COUNTIF('Coder-1'!$A:$A,"="&amp;A111)))</f>
        <v>0</v>
      </c>
      <c r="C111" s="4">
        <f>IF(ISBLANK(A111),,IF(COUNTIF('Coder-2'!$A:$A,"="&amp;A111)=0,,COUNTIF('Coder-2'!$A:$A,"="&amp;A111)))</f>
        <v>0</v>
      </c>
    </row>
    <row r="112" spans="1:3">
      <c r="A112" s="7"/>
      <c r="B112" s="4">
        <f>IF(ISBLANK(A112),,IF(COUNTIF('Coder-1'!$A:$A,"="&amp;A112)=0,,COUNTIF('Coder-1'!$A:$A,"="&amp;A112)))</f>
        <v>0</v>
      </c>
      <c r="C112" s="4">
        <f>IF(ISBLANK(A112),,IF(COUNTIF('Coder-2'!$A:$A,"="&amp;A112)=0,,COUNTIF('Coder-2'!$A:$A,"="&amp;A112)))</f>
        <v>0</v>
      </c>
    </row>
    <row r="113" spans="1:3">
      <c r="A113" s="7"/>
      <c r="B113" s="4">
        <f>IF(ISBLANK(A113),,IF(COUNTIF('Coder-1'!$A:$A,"="&amp;A113)=0,,COUNTIF('Coder-1'!$A:$A,"="&amp;A113)))</f>
        <v>0</v>
      </c>
      <c r="C113" s="4">
        <f>IF(ISBLANK(A113),,IF(COUNTIF('Coder-2'!$A:$A,"="&amp;A113)=0,,COUNTIF('Coder-2'!$A:$A,"="&amp;A113)))</f>
        <v>0</v>
      </c>
    </row>
    <row r="114" spans="1:3">
      <c r="A114" s="7"/>
      <c r="B114" s="4">
        <f>IF(ISBLANK(A114),,IF(COUNTIF('Coder-1'!$A:$A,"="&amp;A114)=0,,COUNTIF('Coder-1'!$A:$A,"="&amp;A114)))</f>
        <v>0</v>
      </c>
      <c r="C114" s="4">
        <f>IF(ISBLANK(A114),,IF(COUNTIF('Coder-2'!$A:$A,"="&amp;A114)=0,,COUNTIF('Coder-2'!$A:$A,"="&amp;A114)))</f>
        <v>0</v>
      </c>
    </row>
    <row r="115" spans="1:3">
      <c r="A115" s="7"/>
      <c r="B115" s="4">
        <f>IF(ISBLANK(A115),,IF(COUNTIF('Coder-1'!$A:$A,"="&amp;A115)=0,,COUNTIF('Coder-1'!$A:$A,"="&amp;A115)))</f>
        <v>0</v>
      </c>
      <c r="C115" s="4">
        <f>IF(ISBLANK(A115),,IF(COUNTIF('Coder-2'!$A:$A,"="&amp;A115)=0,,COUNTIF('Coder-2'!$A:$A,"="&amp;A115)))</f>
        <v>0</v>
      </c>
    </row>
    <row r="116" spans="1:3">
      <c r="A116" s="7"/>
      <c r="B116" s="4">
        <f>IF(ISBLANK(A116),,IF(COUNTIF('Coder-1'!$A:$A,"="&amp;A116)=0,,COUNTIF('Coder-1'!$A:$A,"="&amp;A116)))</f>
        <v>0</v>
      </c>
      <c r="C116" s="4">
        <f>IF(ISBLANK(A116),,IF(COUNTIF('Coder-2'!$A:$A,"="&amp;A116)=0,,COUNTIF('Coder-2'!$A:$A,"="&amp;A116)))</f>
        <v>0</v>
      </c>
    </row>
    <row r="117" spans="1:3">
      <c r="A117" s="7"/>
      <c r="B117" s="4">
        <f>IF(ISBLANK(A117),,IF(COUNTIF('Coder-1'!$A:$A,"="&amp;A117)=0,,COUNTIF('Coder-1'!$A:$A,"="&amp;A117)))</f>
        <v>0</v>
      </c>
      <c r="C117" s="4">
        <f>IF(ISBLANK(A117),,IF(COUNTIF('Coder-2'!$A:$A,"="&amp;A117)=0,,COUNTIF('Coder-2'!$A:$A,"="&amp;A117)))</f>
        <v>0</v>
      </c>
    </row>
    <row r="118" spans="1:3">
      <c r="A118" s="7"/>
      <c r="B118" s="4">
        <f>IF(ISBLANK(A118),,IF(COUNTIF('Coder-1'!$A:$A,"="&amp;A118)=0,,COUNTIF('Coder-1'!$A:$A,"="&amp;A118)))</f>
        <v>0</v>
      </c>
      <c r="C118" s="4">
        <f>IF(ISBLANK(A118),,IF(COUNTIF('Coder-2'!$A:$A,"="&amp;A118)=0,,COUNTIF('Coder-2'!$A:$A,"="&amp;A118)))</f>
        <v>0</v>
      </c>
    </row>
    <row r="119" spans="1:3">
      <c r="A119" s="7"/>
      <c r="B119" s="4">
        <f>IF(ISBLANK(A119),,IF(COUNTIF('Coder-1'!$A:$A,"="&amp;A119)=0,,COUNTIF('Coder-1'!$A:$A,"="&amp;A119)))</f>
        <v>0</v>
      </c>
      <c r="C119" s="4">
        <f>IF(ISBLANK(A119),,IF(COUNTIF('Coder-2'!$A:$A,"="&amp;A119)=0,,COUNTIF('Coder-2'!$A:$A,"="&amp;A119)))</f>
        <v>0</v>
      </c>
    </row>
    <row r="120" spans="1:3">
      <c r="A120" s="7"/>
      <c r="B120" s="4">
        <f>IF(ISBLANK(A120),,IF(COUNTIF('Coder-1'!$A:$A,"="&amp;A120)=0,,COUNTIF('Coder-1'!$A:$A,"="&amp;A120)))</f>
        <v>0</v>
      </c>
      <c r="C120" s="4">
        <f>IF(ISBLANK(A120),,IF(COUNTIF('Coder-2'!$A:$A,"="&amp;A120)=0,,COUNTIF('Coder-2'!$A:$A,"="&amp;A120)))</f>
        <v>0</v>
      </c>
    </row>
    <row r="121" spans="1:3">
      <c r="A121" s="7"/>
      <c r="B121" s="4">
        <f>IF(ISBLANK(A121),,IF(COUNTIF('Coder-1'!$A:$A,"="&amp;A121)=0,,COUNTIF('Coder-1'!$A:$A,"="&amp;A121)))</f>
        <v>0</v>
      </c>
      <c r="C121" s="4">
        <f>IF(ISBLANK(A121),,IF(COUNTIF('Coder-2'!$A:$A,"="&amp;A121)=0,,COUNTIF('Coder-2'!$A:$A,"="&amp;A121)))</f>
        <v>0</v>
      </c>
    </row>
    <row r="122" spans="1:3">
      <c r="A122" s="7"/>
      <c r="B122" s="4">
        <f>IF(ISBLANK(A122),,IF(COUNTIF('Coder-1'!$A:$A,"="&amp;A122)=0,,COUNTIF('Coder-1'!$A:$A,"="&amp;A122)))</f>
        <v>0</v>
      </c>
      <c r="C122" s="4">
        <f>IF(ISBLANK(A122),,IF(COUNTIF('Coder-2'!$A:$A,"="&amp;A122)=0,,COUNTIF('Coder-2'!$A:$A,"="&amp;A122)))</f>
        <v>0</v>
      </c>
    </row>
    <row r="123" spans="1:3">
      <c r="A123" s="7"/>
      <c r="B123" s="4">
        <f>IF(ISBLANK(A123),,IF(COUNTIF('Coder-1'!$A:$A,"="&amp;A123)=0,,COUNTIF('Coder-1'!$A:$A,"="&amp;A123)))</f>
        <v>0</v>
      </c>
      <c r="C123" s="4">
        <f>IF(ISBLANK(A123),,IF(COUNTIF('Coder-2'!$A:$A,"="&amp;A123)=0,,COUNTIF('Coder-2'!$A:$A,"="&amp;A123)))</f>
        <v>0</v>
      </c>
    </row>
    <row r="124" spans="1:3">
      <c r="A124" s="7"/>
      <c r="B124" s="4">
        <f>IF(ISBLANK(A124),,IF(COUNTIF('Coder-1'!$A:$A,"="&amp;A124)=0,,COUNTIF('Coder-1'!$A:$A,"="&amp;A124)))</f>
        <v>0</v>
      </c>
      <c r="C124" s="4">
        <f>IF(ISBLANK(A124),,IF(COUNTIF('Coder-2'!$A:$A,"="&amp;A124)=0,,COUNTIF('Coder-2'!$A:$A,"="&amp;A124)))</f>
        <v>0</v>
      </c>
    </row>
    <row r="125" spans="1:3">
      <c r="A125" s="7"/>
      <c r="B125" s="4">
        <f>IF(ISBLANK(A125),,IF(COUNTIF('Coder-1'!$A:$A,"="&amp;A125)=0,,COUNTIF('Coder-1'!$A:$A,"="&amp;A125)))</f>
        <v>0</v>
      </c>
      <c r="C125" s="4">
        <f>IF(ISBLANK(A125),,IF(COUNTIF('Coder-2'!$A:$A,"="&amp;A125)=0,,COUNTIF('Coder-2'!$A:$A,"="&amp;A125)))</f>
        <v>0</v>
      </c>
    </row>
    <row r="126" spans="1:3">
      <c r="A126" s="7"/>
      <c r="B126" s="4">
        <f>IF(ISBLANK(A126),,IF(COUNTIF('Coder-1'!$A:$A,"="&amp;A126)=0,,COUNTIF('Coder-1'!$A:$A,"="&amp;A126)))</f>
        <v>0</v>
      </c>
      <c r="C126" s="4">
        <f>IF(ISBLANK(A126),,IF(COUNTIF('Coder-2'!$A:$A,"="&amp;A126)=0,,COUNTIF('Coder-2'!$A:$A,"="&amp;A126)))</f>
        <v>0</v>
      </c>
    </row>
    <row r="127" spans="1:3">
      <c r="A127" s="7"/>
      <c r="B127" s="4">
        <f>IF(ISBLANK(A127),,IF(COUNTIF('Coder-1'!$A:$A,"="&amp;A127)=0,,COUNTIF('Coder-1'!$A:$A,"="&amp;A127)))</f>
        <v>0</v>
      </c>
      <c r="C127" s="4">
        <f>IF(ISBLANK(A127),,IF(COUNTIF('Coder-2'!$A:$A,"="&amp;A127)=0,,COUNTIF('Coder-2'!$A:$A,"="&amp;A127)))</f>
        <v>0</v>
      </c>
    </row>
    <row r="128" spans="1:3">
      <c r="A128" s="7"/>
      <c r="B128" s="4">
        <f>IF(ISBLANK(A128),,IF(COUNTIF('Coder-1'!$A:$A,"="&amp;A128)=0,,COUNTIF('Coder-1'!$A:$A,"="&amp;A128)))</f>
        <v>0</v>
      </c>
      <c r="C128" s="4">
        <f>IF(ISBLANK(A128),,IF(COUNTIF('Coder-2'!$A:$A,"="&amp;A128)=0,,COUNTIF('Coder-2'!$A:$A,"="&amp;A128)))</f>
        <v>0</v>
      </c>
    </row>
    <row r="129" spans="1:3">
      <c r="A129" s="7"/>
      <c r="B129" s="4">
        <f>IF(ISBLANK(A129),,IF(COUNTIF('Coder-1'!$A:$A,"="&amp;A129)=0,,COUNTIF('Coder-1'!$A:$A,"="&amp;A129)))</f>
        <v>0</v>
      </c>
      <c r="C129" s="4">
        <f>IF(ISBLANK(A129),,IF(COUNTIF('Coder-2'!$A:$A,"="&amp;A129)=0,,COUNTIF('Coder-2'!$A:$A,"="&amp;A129)))</f>
        <v>0</v>
      </c>
    </row>
    <row r="130" spans="1:3">
      <c r="A130" s="7"/>
      <c r="B130" s="4">
        <f>IF(ISBLANK(A130),,IF(COUNTIF('Coder-1'!$A:$A,"="&amp;A130)=0,,COUNTIF('Coder-1'!$A:$A,"="&amp;A130)))</f>
        <v>0</v>
      </c>
      <c r="C130" s="4">
        <f>IF(ISBLANK(A130),,IF(COUNTIF('Coder-2'!$A:$A,"="&amp;A130)=0,,COUNTIF('Coder-2'!$A:$A,"="&amp;A130)))</f>
        <v>0</v>
      </c>
    </row>
    <row r="131" spans="1:3">
      <c r="A131" s="7"/>
      <c r="B131" s="4">
        <f>IF(ISBLANK(A131),,IF(COUNTIF('Coder-1'!$A:$A,"="&amp;A131)=0,,COUNTIF('Coder-1'!$A:$A,"="&amp;A131)))</f>
        <v>0</v>
      </c>
      <c r="C131" s="4">
        <f>IF(ISBLANK(A131),,IF(COUNTIF('Coder-2'!$A:$A,"="&amp;A131)=0,,COUNTIF('Coder-2'!$A:$A,"="&amp;A131)))</f>
        <v>0</v>
      </c>
    </row>
    <row r="132" spans="1:3">
      <c r="A132" s="7"/>
      <c r="B132" s="4">
        <f>IF(ISBLANK(A132),,IF(COUNTIF('Coder-1'!$A:$A,"="&amp;A132)=0,,COUNTIF('Coder-1'!$A:$A,"="&amp;A132)))</f>
        <v>0</v>
      </c>
      <c r="C132" s="4">
        <f>IF(ISBLANK(A132),,IF(COUNTIF('Coder-2'!$A:$A,"="&amp;A132)=0,,COUNTIF('Coder-2'!$A:$A,"="&amp;A132)))</f>
        <v>0</v>
      </c>
    </row>
    <row r="133" spans="1:3">
      <c r="A133" s="7"/>
      <c r="B133" s="4">
        <f>IF(ISBLANK(A133),,IF(COUNTIF('Coder-1'!$A:$A,"="&amp;A133)=0,,COUNTIF('Coder-1'!$A:$A,"="&amp;A133)))</f>
        <v>0</v>
      </c>
      <c r="C133" s="4">
        <f>IF(ISBLANK(A133),,IF(COUNTIF('Coder-2'!$A:$A,"="&amp;A133)=0,,COUNTIF('Coder-2'!$A:$A,"="&amp;A133)))</f>
        <v>0</v>
      </c>
    </row>
    <row r="134" spans="1:3">
      <c r="A134" s="7"/>
      <c r="B134" s="4">
        <f>IF(ISBLANK(A134),,IF(COUNTIF('Coder-1'!$A:$A,"="&amp;A134)=0,,COUNTIF('Coder-1'!$A:$A,"="&amp;A134)))</f>
        <v>0</v>
      </c>
      <c r="C134" s="4">
        <f>IF(ISBLANK(A134),,IF(COUNTIF('Coder-2'!$A:$A,"="&amp;A134)=0,,COUNTIF('Coder-2'!$A:$A,"="&amp;A134)))</f>
        <v>0</v>
      </c>
    </row>
    <row r="135" spans="1:3">
      <c r="A135" s="7"/>
      <c r="B135" s="4">
        <f>IF(ISBLANK(A135),,IF(COUNTIF('Coder-1'!$A:$A,"="&amp;A135)=0,,COUNTIF('Coder-1'!$A:$A,"="&amp;A135)))</f>
        <v>0</v>
      </c>
      <c r="C135" s="4">
        <f>IF(ISBLANK(A135),,IF(COUNTIF('Coder-2'!$A:$A,"="&amp;A135)=0,,COUNTIF('Coder-2'!$A:$A,"="&amp;A135)))</f>
        <v>0</v>
      </c>
    </row>
    <row r="136" spans="1:3">
      <c r="A136" s="7"/>
      <c r="B136" s="4">
        <f>IF(ISBLANK(A136),,IF(COUNTIF('Coder-1'!$A:$A,"="&amp;A136)=0,,COUNTIF('Coder-1'!$A:$A,"="&amp;A136)))</f>
        <v>0</v>
      </c>
      <c r="C136" s="4">
        <f>IF(ISBLANK(A136),,IF(COUNTIF('Coder-2'!$A:$A,"="&amp;A136)=0,,COUNTIF('Coder-2'!$A:$A,"="&amp;A136)))</f>
        <v>0</v>
      </c>
    </row>
    <row r="137" spans="1:3">
      <c r="A137" s="7"/>
      <c r="B137" s="4">
        <f>IF(ISBLANK(A137),,IF(COUNTIF('Coder-1'!$A:$A,"="&amp;A137)=0,,COUNTIF('Coder-1'!$A:$A,"="&amp;A137)))</f>
        <v>0</v>
      </c>
      <c r="C137" s="4">
        <f>IF(ISBLANK(A137),,IF(COUNTIF('Coder-2'!$A:$A,"="&amp;A137)=0,,COUNTIF('Coder-2'!$A:$A,"="&amp;A137)))</f>
        <v>0</v>
      </c>
    </row>
    <row r="138" spans="1:3">
      <c r="A138" s="7"/>
      <c r="B138" s="4">
        <f>IF(ISBLANK(A138),,IF(COUNTIF('Coder-1'!$A:$A,"="&amp;A138)=0,,COUNTIF('Coder-1'!$A:$A,"="&amp;A138)))</f>
        <v>0</v>
      </c>
      <c r="C138" s="4">
        <f>IF(ISBLANK(A138),,IF(COUNTIF('Coder-2'!$A:$A,"="&amp;A138)=0,,COUNTIF('Coder-2'!$A:$A,"="&amp;A138)))</f>
        <v>0</v>
      </c>
    </row>
    <row r="139" spans="1:3">
      <c r="A139" s="7"/>
      <c r="B139" s="4">
        <f>IF(ISBLANK(A139),,IF(COUNTIF('Coder-1'!$A:$A,"="&amp;A139)=0,,COUNTIF('Coder-1'!$A:$A,"="&amp;A139)))</f>
        <v>0</v>
      </c>
      <c r="C139" s="4">
        <f>IF(ISBLANK(A139),,IF(COUNTIF('Coder-2'!$A:$A,"="&amp;A139)=0,,COUNTIF('Coder-2'!$A:$A,"="&amp;A139)))</f>
        <v>0</v>
      </c>
    </row>
    <row r="140" spans="1:3">
      <c r="A140" s="7"/>
      <c r="B140" s="4">
        <f>IF(ISBLANK(A140),,IF(COUNTIF('Coder-1'!$A:$A,"="&amp;A140)=0,,COUNTIF('Coder-1'!$A:$A,"="&amp;A140)))</f>
        <v>0</v>
      </c>
      <c r="C140" s="4">
        <f>IF(ISBLANK(A140),,IF(COUNTIF('Coder-2'!$A:$A,"="&amp;A140)=0,,COUNTIF('Coder-2'!$A:$A,"="&amp;A140)))</f>
        <v>0</v>
      </c>
    </row>
    <row r="141" spans="1:3">
      <c r="A141" s="7"/>
      <c r="B141" s="4">
        <f>IF(ISBLANK(A141),,IF(COUNTIF('Coder-1'!$A:$A,"="&amp;A141)=0,,COUNTIF('Coder-1'!$A:$A,"="&amp;A141)))</f>
        <v>0</v>
      </c>
      <c r="C141" s="4">
        <f>IF(ISBLANK(A141),,IF(COUNTIF('Coder-2'!$A:$A,"="&amp;A141)=0,,COUNTIF('Coder-2'!$A:$A,"="&amp;A141)))</f>
        <v>0</v>
      </c>
    </row>
    <row r="142" spans="1:3">
      <c r="A142" s="7"/>
      <c r="B142" s="4">
        <f>IF(ISBLANK(A142),,IF(COUNTIF('Coder-1'!$A:$A,"="&amp;A142)=0,,COUNTIF('Coder-1'!$A:$A,"="&amp;A142)))</f>
        <v>0</v>
      </c>
      <c r="C142" s="4">
        <f>IF(ISBLANK(A142),,IF(COUNTIF('Coder-2'!$A:$A,"="&amp;A142)=0,,COUNTIF('Coder-2'!$A:$A,"="&amp;A142)))</f>
        <v>0</v>
      </c>
    </row>
    <row r="143" spans="1:3">
      <c r="A143" s="7"/>
      <c r="B143" s="4">
        <f>IF(ISBLANK(A143),,IF(COUNTIF('Coder-1'!$A:$A,"="&amp;A143)=0,,COUNTIF('Coder-1'!$A:$A,"="&amp;A143)))</f>
        <v>0</v>
      </c>
      <c r="C143" s="4">
        <f>IF(ISBLANK(A143),,IF(COUNTIF('Coder-2'!$A:$A,"="&amp;A143)=0,,COUNTIF('Coder-2'!$A:$A,"="&amp;A143)))</f>
        <v>0</v>
      </c>
    </row>
    <row r="144" spans="1:3">
      <c r="A144" s="7"/>
      <c r="B144" s="4">
        <f>IF(ISBLANK(A144),,IF(COUNTIF('Coder-1'!$A:$A,"="&amp;A144)=0,,COUNTIF('Coder-1'!$A:$A,"="&amp;A144)))</f>
        <v>0</v>
      </c>
      <c r="C144" s="4">
        <f>IF(ISBLANK(A144),,IF(COUNTIF('Coder-2'!$A:$A,"="&amp;A144)=0,,COUNTIF('Coder-2'!$A:$A,"="&amp;A144)))</f>
        <v>0</v>
      </c>
    </row>
    <row r="145" spans="1:3">
      <c r="A145" s="7"/>
      <c r="B145" s="4">
        <f>IF(ISBLANK(A145),,IF(COUNTIF('Coder-1'!$A:$A,"="&amp;A145)=0,,COUNTIF('Coder-1'!$A:$A,"="&amp;A145)))</f>
        <v>0</v>
      </c>
      <c r="C145" s="4">
        <f>IF(ISBLANK(A145),,IF(COUNTIF('Coder-2'!$A:$A,"="&amp;A145)=0,,COUNTIF('Coder-2'!$A:$A,"="&amp;A145)))</f>
        <v>0</v>
      </c>
    </row>
    <row r="146" spans="1:3">
      <c r="A146" s="7"/>
      <c r="B146" s="4">
        <f>IF(ISBLANK(A146),,IF(COUNTIF('Coder-1'!$A:$A,"="&amp;A146)=0,,COUNTIF('Coder-1'!$A:$A,"="&amp;A146)))</f>
        <v>0</v>
      </c>
      <c r="C146" s="4">
        <f>IF(ISBLANK(A146),,IF(COUNTIF('Coder-2'!$A:$A,"="&amp;A146)=0,,COUNTIF('Coder-2'!$A:$A,"="&amp;A146)))</f>
        <v>0</v>
      </c>
    </row>
    <row r="147" spans="1:3">
      <c r="A147" s="7"/>
      <c r="B147" s="4">
        <f>IF(ISBLANK(A147),,IF(COUNTIF('Coder-1'!$A:$A,"="&amp;A147)=0,,COUNTIF('Coder-1'!$A:$A,"="&amp;A147)))</f>
        <v>0</v>
      </c>
      <c r="C147" s="4">
        <f>IF(ISBLANK(A147),,IF(COUNTIF('Coder-2'!$A:$A,"="&amp;A147)=0,,COUNTIF('Coder-2'!$A:$A,"="&amp;A147)))</f>
        <v>0</v>
      </c>
    </row>
    <row r="148" spans="1:3">
      <c r="A148" s="7"/>
      <c r="B148" s="4">
        <f>IF(ISBLANK(A148),,IF(COUNTIF('Coder-1'!$A:$A,"="&amp;A148)=0,,COUNTIF('Coder-1'!$A:$A,"="&amp;A148)))</f>
        <v>0</v>
      </c>
      <c r="C148" s="4">
        <f>IF(ISBLANK(A148),,IF(COUNTIF('Coder-2'!$A:$A,"="&amp;A148)=0,,COUNTIF('Coder-2'!$A:$A,"="&amp;A148)))</f>
        <v>0</v>
      </c>
    </row>
    <row r="149" spans="1:3">
      <c r="A149" s="7"/>
      <c r="B149" s="4">
        <f>IF(ISBLANK(A149),,IF(COUNTIF('Coder-1'!$A:$A,"="&amp;A149)=0,,COUNTIF('Coder-1'!$A:$A,"="&amp;A149)))</f>
        <v>0</v>
      </c>
      <c r="C149" s="4">
        <f>IF(ISBLANK(A149),,IF(COUNTIF('Coder-2'!$A:$A,"="&amp;A149)=0,,COUNTIF('Coder-2'!$A:$A,"="&amp;A149)))</f>
        <v>0</v>
      </c>
    </row>
    <row r="150" spans="1:3">
      <c r="A150" s="7"/>
      <c r="B150" s="4">
        <f>IF(ISBLANK(A150),,IF(COUNTIF('Coder-1'!$A:$A,"="&amp;A150)=0,,COUNTIF('Coder-1'!$A:$A,"="&amp;A150)))</f>
        <v>0</v>
      </c>
      <c r="C150" s="4">
        <f>IF(ISBLANK(A150),,IF(COUNTIF('Coder-2'!$A:$A,"="&amp;A150)=0,,COUNTIF('Coder-2'!$A:$A,"="&amp;A150)))</f>
        <v>0</v>
      </c>
    </row>
    <row r="151" spans="1:3">
      <c r="A151" s="7"/>
      <c r="B151" s="4">
        <f>IF(ISBLANK(A151),,IF(COUNTIF('Coder-1'!$A:$A,"="&amp;A151)=0,,COUNTIF('Coder-1'!$A:$A,"="&amp;A151)))</f>
        <v>0</v>
      </c>
      <c r="C151" s="4">
        <f>IF(ISBLANK(A151),,IF(COUNTIF('Coder-2'!$A:$A,"="&amp;A151)=0,,COUNTIF('Coder-2'!$A:$A,"="&amp;A151)))</f>
        <v>0</v>
      </c>
    </row>
    <row r="152" spans="1:3">
      <c r="A152" s="7"/>
      <c r="B152" s="4">
        <f>IF(ISBLANK(A152),,IF(COUNTIF('Coder-1'!$A:$A,"="&amp;A152)=0,,COUNTIF('Coder-1'!$A:$A,"="&amp;A152)))</f>
        <v>0</v>
      </c>
      <c r="C152" s="4">
        <f>IF(ISBLANK(A152),,IF(COUNTIF('Coder-2'!$A:$A,"="&amp;A152)=0,,COUNTIF('Coder-2'!$A:$A,"="&amp;A152)))</f>
        <v>0</v>
      </c>
    </row>
    <row r="153" spans="1:3">
      <c r="A153" s="7"/>
      <c r="B153" s="4">
        <f>IF(ISBLANK(A153),,IF(COUNTIF('Coder-1'!$A:$A,"="&amp;A153)=0,,COUNTIF('Coder-1'!$A:$A,"="&amp;A153)))</f>
        <v>0</v>
      </c>
      <c r="C153" s="4">
        <f>IF(ISBLANK(A153),,IF(COUNTIF('Coder-2'!$A:$A,"="&amp;A153)=0,,COUNTIF('Coder-2'!$A:$A,"="&amp;A153)))</f>
        <v>0</v>
      </c>
    </row>
    <row r="154" spans="1:3">
      <c r="A154" s="7"/>
      <c r="B154" s="4">
        <f>IF(ISBLANK(A154),,IF(COUNTIF('Coder-1'!$A:$A,"="&amp;A154)=0,,COUNTIF('Coder-1'!$A:$A,"="&amp;A154)))</f>
        <v>0</v>
      </c>
      <c r="C154" s="4">
        <f>IF(ISBLANK(A154),,IF(COUNTIF('Coder-2'!$A:$A,"="&amp;A154)=0,,COUNTIF('Coder-2'!$A:$A,"="&amp;A154)))</f>
        <v>0</v>
      </c>
    </row>
    <row r="155" spans="1:3">
      <c r="A155" s="7"/>
      <c r="B155" s="4">
        <f>IF(ISBLANK(A155),,IF(COUNTIF('Coder-1'!$A:$A,"="&amp;A155)=0,,COUNTIF('Coder-1'!$A:$A,"="&amp;A155)))</f>
        <v>0</v>
      </c>
      <c r="C155" s="4">
        <f>IF(ISBLANK(A155),,IF(COUNTIF('Coder-2'!$A:$A,"="&amp;A155)=0,,COUNTIF('Coder-2'!$A:$A,"="&amp;A155)))</f>
        <v>0</v>
      </c>
    </row>
    <row r="156" spans="1:3">
      <c r="A156" s="7"/>
      <c r="B156" s="4">
        <f>IF(ISBLANK(A156),,IF(COUNTIF('Coder-1'!$A:$A,"="&amp;A156)=0,,COUNTIF('Coder-1'!$A:$A,"="&amp;A156)))</f>
        <v>0</v>
      </c>
      <c r="C156" s="4">
        <f>IF(ISBLANK(A156),,IF(COUNTIF('Coder-2'!$A:$A,"="&amp;A156)=0,,COUNTIF('Coder-2'!$A:$A,"="&amp;A156)))</f>
        <v>0</v>
      </c>
    </row>
    <row r="157" spans="1:3">
      <c r="A157" s="7"/>
      <c r="B157" s="4">
        <f>IF(ISBLANK(A157),,IF(COUNTIF('Coder-1'!$A:$A,"="&amp;A157)=0,,COUNTIF('Coder-1'!$A:$A,"="&amp;A157)))</f>
        <v>0</v>
      </c>
      <c r="C157" s="4">
        <f>IF(ISBLANK(A157),,IF(COUNTIF('Coder-2'!$A:$A,"="&amp;A157)=0,,COUNTIF('Coder-2'!$A:$A,"="&amp;A157)))</f>
        <v>0</v>
      </c>
    </row>
    <row r="158" spans="1:3">
      <c r="A158" s="7"/>
      <c r="B158" s="4">
        <f>IF(ISBLANK(A158),,IF(COUNTIF('Coder-1'!$A:$A,"="&amp;A158)=0,,COUNTIF('Coder-1'!$A:$A,"="&amp;A158)))</f>
        <v>0</v>
      </c>
      <c r="C158" s="4">
        <f>IF(ISBLANK(A158),,IF(COUNTIF('Coder-2'!$A:$A,"="&amp;A158)=0,,COUNTIF('Coder-2'!$A:$A,"="&amp;A158)))</f>
        <v>0</v>
      </c>
    </row>
    <row r="159" spans="1:3">
      <c r="A159" s="7"/>
      <c r="B159" s="4">
        <f>IF(ISBLANK(A159),,IF(COUNTIF('Coder-1'!$A:$A,"="&amp;A159)=0,,COUNTIF('Coder-1'!$A:$A,"="&amp;A159)))</f>
        <v>0</v>
      </c>
      <c r="C159" s="4">
        <f>IF(ISBLANK(A159),,IF(COUNTIF('Coder-2'!$A:$A,"="&amp;A159)=0,,COUNTIF('Coder-2'!$A:$A,"="&amp;A159)))</f>
        <v>0</v>
      </c>
    </row>
    <row r="160" spans="1:3">
      <c r="A160" s="7"/>
      <c r="B160" s="4">
        <f>IF(ISBLANK(A160),,IF(COUNTIF('Coder-1'!$A:$A,"="&amp;A160)=0,,COUNTIF('Coder-1'!$A:$A,"="&amp;A160)))</f>
        <v>0</v>
      </c>
      <c r="C160" s="4">
        <f>IF(ISBLANK(A160),,IF(COUNTIF('Coder-2'!$A:$A,"="&amp;A160)=0,,COUNTIF('Coder-2'!$A:$A,"="&amp;A160)))</f>
        <v>0</v>
      </c>
    </row>
    <row r="161" spans="1:3">
      <c r="A161" s="7"/>
      <c r="B161" s="4">
        <f>IF(ISBLANK(A161),,IF(COUNTIF('Coder-1'!$A:$A,"="&amp;A161)=0,,COUNTIF('Coder-1'!$A:$A,"="&amp;A161)))</f>
        <v>0</v>
      </c>
      <c r="C161" s="4">
        <f>IF(ISBLANK(A161),,IF(COUNTIF('Coder-2'!$A:$A,"="&amp;A161)=0,,COUNTIF('Coder-2'!$A:$A,"="&amp;A161)))</f>
        <v>0</v>
      </c>
    </row>
    <row r="162" spans="1:3">
      <c r="A162" s="7"/>
      <c r="B162" s="4">
        <f>IF(ISBLANK(A162),,IF(COUNTIF('Coder-1'!$A:$A,"="&amp;A162)=0,,COUNTIF('Coder-1'!$A:$A,"="&amp;A162)))</f>
        <v>0</v>
      </c>
      <c r="C162" s="4">
        <f>IF(ISBLANK(A162),,IF(COUNTIF('Coder-2'!$A:$A,"="&amp;A162)=0,,COUNTIF('Coder-2'!$A:$A,"="&amp;A162)))</f>
        <v>0</v>
      </c>
    </row>
    <row r="163" spans="1:3">
      <c r="A163" s="7"/>
      <c r="B163" s="4">
        <f>IF(ISBLANK(A163),,IF(COUNTIF('Coder-1'!$A:$A,"="&amp;A163)=0,,COUNTIF('Coder-1'!$A:$A,"="&amp;A163)))</f>
        <v>0</v>
      </c>
      <c r="C163" s="4">
        <f>IF(ISBLANK(A163),,IF(COUNTIF('Coder-2'!$A:$A,"="&amp;A163)=0,,COUNTIF('Coder-2'!$A:$A,"="&amp;A163)))</f>
        <v>0</v>
      </c>
    </row>
    <row r="164" spans="1:3">
      <c r="A164" s="7"/>
      <c r="B164" s="4">
        <f>IF(ISBLANK(A164),,IF(COUNTIF('Coder-1'!$A:$A,"="&amp;A164)=0,,COUNTIF('Coder-1'!$A:$A,"="&amp;A164)))</f>
        <v>0</v>
      </c>
      <c r="C164" s="4">
        <f>IF(ISBLANK(A164),,IF(COUNTIF('Coder-2'!$A:$A,"="&amp;A164)=0,,COUNTIF('Coder-2'!$A:$A,"="&amp;A164)))</f>
        <v>0</v>
      </c>
    </row>
    <row r="165" spans="1:3">
      <c r="A165" s="7"/>
      <c r="B165" s="4">
        <f>IF(ISBLANK(A165),,IF(COUNTIF('Coder-1'!$A:$A,"="&amp;A165)=0,,COUNTIF('Coder-1'!$A:$A,"="&amp;A165)))</f>
        <v>0</v>
      </c>
      <c r="C165" s="4">
        <f>IF(ISBLANK(A165),,IF(COUNTIF('Coder-2'!$A:$A,"="&amp;A165)=0,,COUNTIF('Coder-2'!$A:$A,"="&amp;A165)))</f>
        <v>0</v>
      </c>
    </row>
    <row r="166" spans="1:3">
      <c r="A166" s="7"/>
      <c r="B166" s="4">
        <f>IF(ISBLANK(A166),,IF(COUNTIF('Coder-1'!$A:$A,"="&amp;A166)=0,,COUNTIF('Coder-1'!$A:$A,"="&amp;A166)))</f>
        <v>0</v>
      </c>
      <c r="C166" s="4">
        <f>IF(ISBLANK(A166),,IF(COUNTIF('Coder-2'!$A:$A,"="&amp;A166)=0,,COUNTIF('Coder-2'!$A:$A,"="&amp;A166)))</f>
        <v>0</v>
      </c>
    </row>
    <row r="167" spans="1:3">
      <c r="A167" s="7"/>
      <c r="B167" s="4">
        <f>IF(ISBLANK(A167),,IF(COUNTIF('Coder-1'!$A:$A,"="&amp;A167)=0,,COUNTIF('Coder-1'!$A:$A,"="&amp;A167)))</f>
        <v>0</v>
      </c>
      <c r="C167" s="4">
        <f>IF(ISBLANK(A167),,IF(COUNTIF('Coder-2'!$A:$A,"="&amp;A167)=0,,COUNTIF('Coder-2'!$A:$A,"="&amp;A167)))</f>
        <v>0</v>
      </c>
    </row>
    <row r="168" spans="1:3">
      <c r="A168" s="7"/>
      <c r="B168" s="4">
        <f>IF(ISBLANK(A168),,IF(COUNTIF('Coder-1'!$A:$A,"="&amp;A168)=0,,COUNTIF('Coder-1'!$A:$A,"="&amp;A168)))</f>
        <v>0</v>
      </c>
      <c r="C168" s="4">
        <f>IF(ISBLANK(A168),,IF(COUNTIF('Coder-2'!$A:$A,"="&amp;A168)=0,,COUNTIF('Coder-2'!$A:$A,"="&amp;A168)))</f>
        <v>0</v>
      </c>
    </row>
    <row r="169" spans="1:3">
      <c r="A169" s="7"/>
      <c r="B169" s="4">
        <f>IF(ISBLANK(A169),,IF(COUNTIF('Coder-1'!$A:$A,"="&amp;A169)=0,,COUNTIF('Coder-1'!$A:$A,"="&amp;A169)))</f>
        <v>0</v>
      </c>
      <c r="C169" s="4">
        <f>IF(ISBLANK(A169),,IF(COUNTIF('Coder-2'!$A:$A,"="&amp;A169)=0,,COUNTIF('Coder-2'!$A:$A,"="&amp;A169)))</f>
        <v>0</v>
      </c>
    </row>
    <row r="170" spans="1:3">
      <c r="A170" s="7"/>
      <c r="B170" s="4">
        <f>IF(ISBLANK(A170),,IF(COUNTIF('Coder-1'!$A:$A,"="&amp;A170)=0,,COUNTIF('Coder-1'!$A:$A,"="&amp;A170)))</f>
        <v>0</v>
      </c>
      <c r="C170" s="4">
        <f>IF(ISBLANK(A170),,IF(COUNTIF('Coder-2'!$A:$A,"="&amp;A170)=0,,COUNTIF('Coder-2'!$A:$A,"="&amp;A170)))</f>
        <v>0</v>
      </c>
    </row>
    <row r="171" spans="1:3">
      <c r="A171" s="7"/>
      <c r="B171" s="4">
        <f>IF(ISBLANK(A171),,IF(COUNTIF('Coder-1'!$A:$A,"="&amp;A171)=0,,COUNTIF('Coder-1'!$A:$A,"="&amp;A171)))</f>
        <v>0</v>
      </c>
      <c r="C171" s="4">
        <f>IF(ISBLANK(A171),,IF(COUNTIF('Coder-2'!$A:$A,"="&amp;A171)=0,,COUNTIF('Coder-2'!$A:$A,"="&amp;A171)))</f>
        <v>0</v>
      </c>
    </row>
    <row r="172" spans="1:3">
      <c r="A172" s="7"/>
      <c r="B172" s="4">
        <f>IF(ISBLANK(A172),,IF(COUNTIF('Coder-1'!$A:$A,"="&amp;A172)=0,,COUNTIF('Coder-1'!$A:$A,"="&amp;A172)))</f>
        <v>0</v>
      </c>
      <c r="C172" s="4">
        <f>IF(ISBLANK(A172),,IF(COUNTIF('Coder-2'!$A:$A,"="&amp;A172)=0,,COUNTIF('Coder-2'!$A:$A,"="&amp;A172)))</f>
        <v>0</v>
      </c>
    </row>
    <row r="173" spans="1:3">
      <c r="A173" s="7"/>
      <c r="B173" s="4">
        <f>IF(ISBLANK(A173),,IF(COUNTIF('Coder-1'!$A:$A,"="&amp;A173)=0,,COUNTIF('Coder-1'!$A:$A,"="&amp;A173)))</f>
        <v>0</v>
      </c>
      <c r="C173" s="4">
        <f>IF(ISBLANK(A173),,IF(COUNTIF('Coder-2'!$A:$A,"="&amp;A173)=0,,COUNTIF('Coder-2'!$A:$A,"="&amp;A173)))</f>
        <v>0</v>
      </c>
    </row>
    <row r="174" spans="1:3">
      <c r="A174" s="7"/>
      <c r="B174" s="4">
        <f>IF(ISBLANK(A174),,IF(COUNTIF('Coder-1'!$A:$A,"="&amp;A174)=0,,COUNTIF('Coder-1'!$A:$A,"="&amp;A174)))</f>
        <v>0</v>
      </c>
      <c r="C174" s="4">
        <f>IF(ISBLANK(A174),,IF(COUNTIF('Coder-2'!$A:$A,"="&amp;A174)=0,,COUNTIF('Coder-2'!$A:$A,"="&amp;A174)))</f>
        <v>0</v>
      </c>
    </row>
    <row r="175" spans="1:3">
      <c r="A175" s="7"/>
      <c r="B175" s="4">
        <f>IF(ISBLANK(A175),,IF(COUNTIF('Coder-1'!$A:$A,"="&amp;A175)=0,,COUNTIF('Coder-1'!$A:$A,"="&amp;A175)))</f>
        <v>0</v>
      </c>
      <c r="C175" s="4">
        <f>IF(ISBLANK(A175),,IF(COUNTIF('Coder-2'!$A:$A,"="&amp;A175)=0,,COUNTIF('Coder-2'!$A:$A,"="&amp;A175)))</f>
        <v>0</v>
      </c>
    </row>
    <row r="176" spans="1:3">
      <c r="A176" s="7"/>
      <c r="B176" s="4">
        <f>IF(ISBLANK(A176),,IF(COUNTIF('Coder-1'!$A:$A,"="&amp;A176)=0,,COUNTIF('Coder-1'!$A:$A,"="&amp;A176)))</f>
        <v>0</v>
      </c>
      <c r="C176" s="4">
        <f>IF(ISBLANK(A176),,IF(COUNTIF('Coder-2'!$A:$A,"="&amp;A176)=0,,COUNTIF('Coder-2'!$A:$A,"="&amp;A176)))</f>
        <v>0</v>
      </c>
    </row>
    <row r="177" spans="1:3">
      <c r="A177" s="7"/>
      <c r="B177" s="4">
        <f>IF(ISBLANK(A177),,IF(COUNTIF('Coder-1'!$A:$A,"="&amp;A177)=0,,COUNTIF('Coder-1'!$A:$A,"="&amp;A177)))</f>
        <v>0</v>
      </c>
      <c r="C177" s="4">
        <f>IF(ISBLANK(A177),,IF(COUNTIF('Coder-2'!$A:$A,"="&amp;A177)=0,,COUNTIF('Coder-2'!$A:$A,"="&amp;A177)))</f>
        <v>0</v>
      </c>
    </row>
    <row r="178" spans="1:3">
      <c r="A178" s="7"/>
      <c r="B178" s="4">
        <f>IF(ISBLANK(A178),,IF(COUNTIF('Coder-1'!$A:$A,"="&amp;A178)=0,,COUNTIF('Coder-1'!$A:$A,"="&amp;A178)))</f>
        <v>0</v>
      </c>
      <c r="C178" s="4">
        <f>IF(ISBLANK(A178),,IF(COUNTIF('Coder-2'!$A:$A,"="&amp;A178)=0,,COUNTIF('Coder-2'!$A:$A,"="&amp;A178)))</f>
        <v>0</v>
      </c>
    </row>
    <row r="179" spans="1:3">
      <c r="A179" s="7"/>
      <c r="B179" s="4">
        <f>IF(ISBLANK(A179),,IF(COUNTIF('Coder-1'!$A:$A,"="&amp;A179)=0,,COUNTIF('Coder-1'!$A:$A,"="&amp;A179)))</f>
        <v>0</v>
      </c>
      <c r="C179" s="4">
        <f>IF(ISBLANK(A179),,IF(COUNTIF('Coder-2'!$A:$A,"="&amp;A179)=0,,COUNTIF('Coder-2'!$A:$A,"="&amp;A179)))</f>
        <v>0</v>
      </c>
    </row>
    <row r="180" spans="1:3">
      <c r="A180" s="7"/>
      <c r="B180" s="4">
        <f>IF(ISBLANK(A180),,IF(COUNTIF('Coder-1'!$A:$A,"="&amp;A180)=0,,COUNTIF('Coder-1'!$A:$A,"="&amp;A180)))</f>
        <v>0</v>
      </c>
      <c r="C180" s="4">
        <f>IF(ISBLANK(A180),,IF(COUNTIF('Coder-2'!$A:$A,"="&amp;A180)=0,,COUNTIF('Coder-2'!$A:$A,"="&amp;A180)))</f>
        <v>0</v>
      </c>
    </row>
    <row r="181" spans="1:3">
      <c r="A181" s="7"/>
      <c r="B181" s="4">
        <f>IF(ISBLANK(A181),,IF(COUNTIF('Coder-1'!$A:$A,"="&amp;A181)=0,,COUNTIF('Coder-1'!$A:$A,"="&amp;A181)))</f>
        <v>0</v>
      </c>
      <c r="C181" s="4">
        <f>IF(ISBLANK(A181),,IF(COUNTIF('Coder-2'!$A:$A,"="&amp;A181)=0,,COUNTIF('Coder-2'!$A:$A,"="&amp;A181)))</f>
        <v>0</v>
      </c>
    </row>
    <row r="182" spans="1:3">
      <c r="A182" s="7"/>
      <c r="B182" s="4">
        <f>IF(ISBLANK(A182),,IF(COUNTIF('Coder-1'!$A:$A,"="&amp;A182)=0,,COUNTIF('Coder-1'!$A:$A,"="&amp;A182)))</f>
        <v>0</v>
      </c>
      <c r="C182" s="4">
        <f>IF(ISBLANK(A182),,IF(COUNTIF('Coder-2'!$A:$A,"="&amp;A182)=0,,COUNTIF('Coder-2'!$A:$A,"="&amp;A182)))</f>
        <v>0</v>
      </c>
    </row>
    <row r="183" spans="1:3">
      <c r="A183" s="7"/>
      <c r="B183" s="4">
        <f>IF(ISBLANK(A183),,IF(COUNTIF('Coder-1'!$A:$A,"="&amp;A183)=0,,COUNTIF('Coder-1'!$A:$A,"="&amp;A183)))</f>
        <v>0</v>
      </c>
      <c r="C183" s="4">
        <f>IF(ISBLANK(A183),,IF(COUNTIF('Coder-2'!$A:$A,"="&amp;A183)=0,,COUNTIF('Coder-2'!$A:$A,"="&amp;A183)))</f>
        <v>0</v>
      </c>
    </row>
    <row r="184" spans="1:3">
      <c r="A184" s="7"/>
      <c r="B184" s="4">
        <f>IF(ISBLANK(A184),,IF(COUNTIF('Coder-1'!$A:$A,"="&amp;A184)=0,,COUNTIF('Coder-1'!$A:$A,"="&amp;A184)))</f>
        <v>0</v>
      </c>
      <c r="C184" s="4">
        <f>IF(ISBLANK(A184),,IF(COUNTIF('Coder-2'!$A:$A,"="&amp;A184)=0,,COUNTIF('Coder-2'!$A:$A,"="&amp;A184)))</f>
        <v>0</v>
      </c>
    </row>
    <row r="185" spans="1:3">
      <c r="A185" s="7"/>
      <c r="B185" s="4">
        <f>IF(ISBLANK(A185),,IF(COUNTIF('Coder-1'!$A:$A,"="&amp;A185)=0,,COUNTIF('Coder-1'!$A:$A,"="&amp;A185)))</f>
        <v>0</v>
      </c>
      <c r="C185" s="4">
        <f>IF(ISBLANK(A185),,IF(COUNTIF('Coder-2'!$A:$A,"="&amp;A185)=0,,COUNTIF('Coder-2'!$A:$A,"="&amp;A185)))</f>
        <v>0</v>
      </c>
    </row>
    <row r="186" spans="1:3">
      <c r="A186" s="7"/>
      <c r="B186" s="4">
        <f>IF(ISBLANK(A186),,IF(COUNTIF('Coder-1'!$A:$A,"="&amp;A186)=0,,COUNTIF('Coder-1'!$A:$A,"="&amp;A186)))</f>
        <v>0</v>
      </c>
      <c r="C186" s="4">
        <f>IF(ISBLANK(A186),,IF(COUNTIF('Coder-2'!$A:$A,"="&amp;A186)=0,,COUNTIF('Coder-2'!$A:$A,"="&amp;A186)))</f>
        <v>0</v>
      </c>
    </row>
    <row r="187" spans="1:3">
      <c r="A187" s="7"/>
      <c r="B187" s="4">
        <f>IF(ISBLANK(A187),,IF(COUNTIF('Coder-1'!$A:$A,"="&amp;A187)=0,,COUNTIF('Coder-1'!$A:$A,"="&amp;A187)))</f>
        <v>0</v>
      </c>
      <c r="C187" s="4">
        <f>IF(ISBLANK(A187),,IF(COUNTIF('Coder-2'!$A:$A,"="&amp;A187)=0,,COUNTIF('Coder-2'!$A:$A,"="&amp;A187)))</f>
        <v>0</v>
      </c>
    </row>
    <row r="188" spans="1:3">
      <c r="A188" s="7"/>
      <c r="B188" s="4">
        <f>IF(ISBLANK(A188),,IF(COUNTIF('Coder-1'!$A:$A,"="&amp;A188)=0,,COUNTIF('Coder-1'!$A:$A,"="&amp;A188)))</f>
        <v>0</v>
      </c>
      <c r="C188" s="4">
        <f>IF(ISBLANK(A188),,IF(COUNTIF('Coder-2'!$A:$A,"="&amp;A188)=0,,COUNTIF('Coder-2'!$A:$A,"="&amp;A188)))</f>
        <v>0</v>
      </c>
    </row>
    <row r="189" spans="1:3">
      <c r="A189" s="7"/>
      <c r="B189" s="4">
        <f>IF(ISBLANK(A189),,IF(COUNTIF('Coder-1'!$A:$A,"="&amp;A189)=0,,COUNTIF('Coder-1'!$A:$A,"="&amp;A189)))</f>
        <v>0</v>
      </c>
      <c r="C189" s="4">
        <f>IF(ISBLANK(A189),,IF(COUNTIF('Coder-2'!$A:$A,"="&amp;A189)=0,,COUNTIF('Coder-2'!$A:$A,"="&amp;A189)))</f>
        <v>0</v>
      </c>
    </row>
    <row r="190" spans="1:3">
      <c r="A190" s="7"/>
      <c r="B190" s="4">
        <f>IF(ISBLANK(A190),,IF(COUNTIF('Coder-1'!$A:$A,"="&amp;A190)=0,,COUNTIF('Coder-1'!$A:$A,"="&amp;A190)))</f>
        <v>0</v>
      </c>
      <c r="C190" s="4">
        <f>IF(ISBLANK(A190),,IF(COUNTIF('Coder-2'!$A:$A,"="&amp;A190)=0,,COUNTIF('Coder-2'!$A:$A,"="&amp;A190)))</f>
        <v>0</v>
      </c>
    </row>
    <row r="191" spans="1:3">
      <c r="A191" s="7"/>
      <c r="B191" s="4">
        <f>IF(ISBLANK(A191),,IF(COUNTIF('Coder-1'!$A:$A,"="&amp;A191)=0,,COUNTIF('Coder-1'!$A:$A,"="&amp;A191)))</f>
        <v>0</v>
      </c>
      <c r="C191" s="4">
        <f>IF(ISBLANK(A191),,IF(COUNTIF('Coder-2'!$A:$A,"="&amp;A191)=0,,COUNTIF('Coder-2'!$A:$A,"="&amp;A191)))</f>
        <v>0</v>
      </c>
    </row>
    <row r="192" spans="1:3">
      <c r="A192" s="7"/>
      <c r="B192" s="4">
        <f>IF(ISBLANK(A192),,IF(COUNTIF('Coder-1'!$A:$A,"="&amp;A192)=0,,COUNTIF('Coder-1'!$A:$A,"="&amp;A192)))</f>
        <v>0</v>
      </c>
      <c r="C192" s="4">
        <f>IF(ISBLANK(A192),,IF(COUNTIF('Coder-2'!$A:$A,"="&amp;A192)=0,,COUNTIF('Coder-2'!$A:$A,"="&amp;A192)))</f>
        <v>0</v>
      </c>
    </row>
    <row r="193" spans="1:3">
      <c r="A193" s="7"/>
      <c r="B193" s="4">
        <f>IF(ISBLANK(A193),,IF(COUNTIF('Coder-1'!$A:$A,"="&amp;A193)=0,,COUNTIF('Coder-1'!$A:$A,"="&amp;A193)))</f>
        <v>0</v>
      </c>
      <c r="C193" s="4">
        <f>IF(ISBLANK(A193),,IF(COUNTIF('Coder-2'!$A:$A,"="&amp;A193)=0,,COUNTIF('Coder-2'!$A:$A,"="&amp;A193)))</f>
        <v>0</v>
      </c>
    </row>
    <row r="194" spans="1:3">
      <c r="A194" s="7"/>
      <c r="B194" s="4">
        <f>IF(ISBLANK(A194),,IF(COUNTIF('Coder-1'!$A:$A,"="&amp;A194)=0,,COUNTIF('Coder-1'!$A:$A,"="&amp;A194)))</f>
        <v>0</v>
      </c>
      <c r="C194" s="4">
        <f>IF(ISBLANK(A194),,IF(COUNTIF('Coder-2'!$A:$A,"="&amp;A194)=0,,COUNTIF('Coder-2'!$A:$A,"="&amp;A194)))</f>
        <v>0</v>
      </c>
    </row>
    <row r="195" spans="1:3">
      <c r="A195" s="7"/>
      <c r="B195" s="4">
        <f>IF(ISBLANK(A195),,IF(COUNTIF('Coder-1'!$A:$A,"="&amp;A195)=0,,COUNTIF('Coder-1'!$A:$A,"="&amp;A195)))</f>
        <v>0</v>
      </c>
      <c r="C195" s="4">
        <f>IF(ISBLANK(A195),,IF(COUNTIF('Coder-2'!$A:$A,"="&amp;A195)=0,,COUNTIF('Coder-2'!$A:$A,"="&amp;A195)))</f>
        <v>0</v>
      </c>
    </row>
    <row r="196" spans="1:3">
      <c r="A196" s="7"/>
      <c r="B196" s="4">
        <f>IF(ISBLANK(A196),,IF(COUNTIF('Coder-1'!$A:$A,"="&amp;A196)=0,,COUNTIF('Coder-1'!$A:$A,"="&amp;A196)))</f>
        <v>0</v>
      </c>
      <c r="C196" s="4">
        <f>IF(ISBLANK(A196),,IF(COUNTIF('Coder-2'!$A:$A,"="&amp;A196)=0,,COUNTIF('Coder-2'!$A:$A,"="&amp;A196)))</f>
        <v>0</v>
      </c>
    </row>
    <row r="197" spans="1:3">
      <c r="A197" s="7"/>
      <c r="B197" s="4">
        <f>IF(ISBLANK(A197),,IF(COUNTIF('Coder-1'!$A:$A,"="&amp;A197)=0,,COUNTIF('Coder-1'!$A:$A,"="&amp;A197)))</f>
        <v>0</v>
      </c>
      <c r="C197" s="4">
        <f>IF(ISBLANK(A197),,IF(COUNTIF('Coder-2'!$A:$A,"="&amp;A197)=0,,COUNTIF('Coder-2'!$A:$A,"="&amp;A197)))</f>
        <v>0</v>
      </c>
    </row>
    <row r="198" spans="1:3">
      <c r="A198" s="7"/>
      <c r="B198" s="4">
        <f>IF(ISBLANK(A198),,IF(COUNTIF('Coder-1'!$A:$A,"="&amp;A198)=0,,COUNTIF('Coder-1'!$A:$A,"="&amp;A198)))</f>
        <v>0</v>
      </c>
      <c r="C198" s="4">
        <f>IF(ISBLANK(A198),,IF(COUNTIF('Coder-2'!$A:$A,"="&amp;A198)=0,,COUNTIF('Coder-2'!$A:$A,"="&amp;A198)))</f>
        <v>0</v>
      </c>
    </row>
    <row r="199" spans="1:3">
      <c r="A199" s="7"/>
      <c r="B199" s="4">
        <f>IF(ISBLANK(A199),,IF(COUNTIF('Coder-1'!$A:$A,"="&amp;A199)=0,,COUNTIF('Coder-1'!$A:$A,"="&amp;A199)))</f>
        <v>0</v>
      </c>
      <c r="C199" s="4">
        <f>IF(ISBLANK(A199),,IF(COUNTIF('Coder-2'!$A:$A,"="&amp;A199)=0,,COUNTIF('Coder-2'!$A:$A,"="&amp;A199)))</f>
        <v>0</v>
      </c>
    </row>
    <row r="200" spans="1:3">
      <c r="A200" s="7"/>
      <c r="B200" s="4">
        <f>IF(ISBLANK(A200),,IF(COUNTIF('Coder-1'!$A:$A,"="&amp;A200)=0,,COUNTIF('Coder-1'!$A:$A,"="&amp;A200)))</f>
        <v>0</v>
      </c>
      <c r="C200" s="4">
        <f>IF(ISBLANK(A200),,IF(COUNTIF('Coder-2'!$A:$A,"="&amp;A200)=0,,COUNTIF('Coder-2'!$A:$A,"="&amp;A200)))</f>
        <v>0</v>
      </c>
    </row>
    <row r="201" spans="1:3">
      <c r="A201" s="7"/>
      <c r="B201" s="4">
        <f>IF(ISBLANK(A201),,IF(COUNTIF('Coder-1'!$A:$A,"="&amp;A201)=0,,COUNTIF('Coder-1'!$A:$A,"="&amp;A201)))</f>
        <v>0</v>
      </c>
      <c r="C201" s="4">
        <f>IF(ISBLANK(A201),,IF(COUNTIF('Coder-2'!$A:$A,"="&amp;A201)=0,,COUNTIF('Coder-2'!$A:$A,"="&amp;A201)))</f>
        <v>0</v>
      </c>
    </row>
    <row r="202" spans="1:3">
      <c r="A202" s="7"/>
      <c r="B202" s="4">
        <f>IF(ISBLANK(A202),,IF(COUNTIF('Coder-1'!$A:$A,"="&amp;A202)=0,,COUNTIF('Coder-1'!$A:$A,"="&amp;A202)))</f>
        <v>0</v>
      </c>
      <c r="C202" s="4">
        <f>IF(ISBLANK(A202),,IF(COUNTIF('Coder-2'!$A:$A,"="&amp;A202)=0,,COUNTIF('Coder-2'!$A:$A,"="&amp;A202)))</f>
        <v>0</v>
      </c>
    </row>
    <row r="203" spans="1:3">
      <c r="A203" s="7"/>
      <c r="B203" s="4">
        <f>IF(ISBLANK(A203),,IF(COUNTIF('Coder-1'!$A:$A,"="&amp;A203)=0,,COUNTIF('Coder-1'!$A:$A,"="&amp;A203)))</f>
        <v>0</v>
      </c>
      <c r="C203" s="4">
        <f>IF(ISBLANK(A203),,IF(COUNTIF('Coder-2'!$A:$A,"="&amp;A203)=0,,COUNTIF('Coder-2'!$A:$A,"="&amp;A203)))</f>
        <v>0</v>
      </c>
    </row>
    <row r="204" spans="1:3">
      <c r="A204" s="7"/>
      <c r="B204" s="4">
        <f>IF(ISBLANK(A204),,IF(COUNTIF('Coder-1'!$A:$A,"="&amp;A204)=0,,COUNTIF('Coder-1'!$A:$A,"="&amp;A204)))</f>
        <v>0</v>
      </c>
      <c r="C204" s="4">
        <f>IF(ISBLANK(A204),,IF(COUNTIF('Coder-2'!$A:$A,"="&amp;A204)=0,,COUNTIF('Coder-2'!$A:$A,"="&amp;A204)))</f>
        <v>0</v>
      </c>
    </row>
    <row r="205" spans="1:3">
      <c r="A205" s="7"/>
      <c r="B205" s="4">
        <f>IF(ISBLANK(A205),,IF(COUNTIF('Coder-1'!$A:$A,"="&amp;A205)=0,,COUNTIF('Coder-1'!$A:$A,"="&amp;A205)))</f>
        <v>0</v>
      </c>
      <c r="C205" s="4">
        <f>IF(ISBLANK(A205),,IF(COUNTIF('Coder-2'!$A:$A,"="&amp;A205)=0,,COUNTIF('Coder-2'!$A:$A,"="&amp;A205)))</f>
        <v>0</v>
      </c>
    </row>
    <row r="206" spans="1:3">
      <c r="A206" s="7"/>
      <c r="B206" s="4">
        <f>IF(ISBLANK(A206),,IF(COUNTIF('Coder-1'!$A:$A,"="&amp;A206)=0,,COUNTIF('Coder-1'!$A:$A,"="&amp;A206)))</f>
        <v>0</v>
      </c>
      <c r="C206" s="4">
        <f>IF(ISBLANK(A206),,IF(COUNTIF('Coder-2'!$A:$A,"="&amp;A206)=0,,COUNTIF('Coder-2'!$A:$A,"="&amp;A206)))</f>
        <v>0</v>
      </c>
    </row>
    <row r="207" spans="1:3">
      <c r="A207" s="7"/>
      <c r="B207" s="4">
        <f>IF(ISBLANK(A207),,IF(COUNTIF('Coder-1'!$A:$A,"="&amp;A207)=0,,COUNTIF('Coder-1'!$A:$A,"="&amp;A207)))</f>
        <v>0</v>
      </c>
      <c r="C207" s="4">
        <f>IF(ISBLANK(A207),,IF(COUNTIF('Coder-2'!$A:$A,"="&amp;A207)=0,,COUNTIF('Coder-2'!$A:$A,"="&amp;A207)))</f>
        <v>0</v>
      </c>
    </row>
    <row r="208" spans="1:3">
      <c r="A208" s="7"/>
      <c r="B208" s="4">
        <f>IF(ISBLANK(A208),,IF(COUNTIF('Coder-1'!$A:$A,"="&amp;A208)=0,,COUNTIF('Coder-1'!$A:$A,"="&amp;A208)))</f>
        <v>0</v>
      </c>
      <c r="C208" s="4">
        <f>IF(ISBLANK(A208),,IF(COUNTIF('Coder-2'!$A:$A,"="&amp;A208)=0,,COUNTIF('Coder-2'!$A:$A,"="&amp;A208)))</f>
        <v>0</v>
      </c>
    </row>
    <row r="209" spans="1:3">
      <c r="A209" s="7"/>
      <c r="B209" s="4">
        <f>IF(ISBLANK(A209),,IF(COUNTIF('Coder-1'!$A:$A,"="&amp;A209)=0,,COUNTIF('Coder-1'!$A:$A,"="&amp;A209)))</f>
        <v>0</v>
      </c>
      <c r="C209" s="4">
        <f>IF(ISBLANK(A209),,IF(COUNTIF('Coder-2'!$A:$A,"="&amp;A209)=0,,COUNTIF('Coder-2'!$A:$A,"="&amp;A209)))</f>
        <v>0</v>
      </c>
    </row>
    <row r="210" spans="1:3">
      <c r="A210" s="7"/>
      <c r="B210" s="4">
        <f>IF(ISBLANK(A210),,IF(COUNTIF('Coder-1'!$A:$A,"="&amp;A210)=0,,COUNTIF('Coder-1'!$A:$A,"="&amp;A210)))</f>
        <v>0</v>
      </c>
      <c r="C210" s="4">
        <f>IF(ISBLANK(A210),,IF(COUNTIF('Coder-2'!$A:$A,"="&amp;A210)=0,,COUNTIF('Coder-2'!$A:$A,"="&amp;A210)))</f>
        <v>0</v>
      </c>
    </row>
    <row r="211" spans="1:3">
      <c r="A211" s="7"/>
      <c r="B211" s="4">
        <f>IF(ISBLANK(A211),,IF(COUNTIF('Coder-1'!$A:$A,"="&amp;A211)=0,,COUNTIF('Coder-1'!$A:$A,"="&amp;A211)))</f>
        <v>0</v>
      </c>
      <c r="C211" s="4">
        <f>IF(ISBLANK(A211),,IF(COUNTIF('Coder-2'!$A:$A,"="&amp;A211)=0,,COUNTIF('Coder-2'!$A:$A,"="&amp;A211)))</f>
        <v>0</v>
      </c>
    </row>
    <row r="212" spans="1:3">
      <c r="A212" s="7"/>
      <c r="B212" s="4">
        <f>IF(ISBLANK(A212),,IF(COUNTIF('Coder-1'!$A:$A,"="&amp;A212)=0,,COUNTIF('Coder-1'!$A:$A,"="&amp;A212)))</f>
        <v>0</v>
      </c>
      <c r="C212" s="4">
        <f>IF(ISBLANK(A212),,IF(COUNTIF('Coder-2'!$A:$A,"="&amp;A212)=0,,COUNTIF('Coder-2'!$A:$A,"="&amp;A212)))</f>
        <v>0</v>
      </c>
    </row>
    <row r="213" spans="1:3">
      <c r="A213" s="7"/>
      <c r="B213" s="4">
        <f>IF(ISBLANK(A213),,IF(COUNTIF('Coder-1'!$A:$A,"="&amp;A213)=0,,COUNTIF('Coder-1'!$A:$A,"="&amp;A213)))</f>
        <v>0</v>
      </c>
      <c r="C213" s="4">
        <f>IF(ISBLANK(A213),,IF(COUNTIF('Coder-2'!$A:$A,"="&amp;A213)=0,,COUNTIF('Coder-2'!$A:$A,"="&amp;A213)))</f>
        <v>0</v>
      </c>
    </row>
    <row r="214" spans="1:3">
      <c r="A214" s="7"/>
      <c r="B214" s="4">
        <f>IF(ISBLANK(A214),,IF(COUNTIF('Coder-1'!$A:$A,"="&amp;A214)=0,,COUNTIF('Coder-1'!$A:$A,"="&amp;A214)))</f>
        <v>0</v>
      </c>
      <c r="C214" s="4">
        <f>IF(ISBLANK(A214),,IF(COUNTIF('Coder-2'!$A:$A,"="&amp;A214)=0,,COUNTIF('Coder-2'!$A:$A,"="&amp;A214)))</f>
        <v>0</v>
      </c>
    </row>
    <row r="215" spans="1:3">
      <c r="A215" s="7"/>
      <c r="B215" s="4">
        <f>IF(ISBLANK(A215),,IF(COUNTIF('Coder-1'!$A:$A,"="&amp;A215)=0,,COUNTIF('Coder-1'!$A:$A,"="&amp;A215)))</f>
        <v>0</v>
      </c>
      <c r="C215" s="4">
        <f>IF(ISBLANK(A215),,IF(COUNTIF('Coder-2'!$A:$A,"="&amp;A215)=0,,COUNTIF('Coder-2'!$A:$A,"="&amp;A215)))</f>
        <v>0</v>
      </c>
    </row>
    <row r="216" spans="1:3">
      <c r="A216" s="7"/>
      <c r="B216" s="4">
        <f>IF(ISBLANK(A216),,IF(COUNTIF('Coder-1'!$A:$A,"="&amp;A216)=0,,COUNTIF('Coder-1'!$A:$A,"="&amp;A216)))</f>
        <v>0</v>
      </c>
      <c r="C216" s="4">
        <f>IF(ISBLANK(A216),,IF(COUNTIF('Coder-2'!$A:$A,"="&amp;A216)=0,,COUNTIF('Coder-2'!$A:$A,"="&amp;A216)))</f>
        <v>0</v>
      </c>
    </row>
    <row r="217" spans="1:3">
      <c r="A217" s="7"/>
      <c r="B217" s="4">
        <f>IF(ISBLANK(A217),,IF(COUNTIF('Coder-1'!$A:$A,"="&amp;A217)=0,,COUNTIF('Coder-1'!$A:$A,"="&amp;A217)))</f>
        <v>0</v>
      </c>
      <c r="C217" s="4">
        <f>IF(ISBLANK(A217),,IF(COUNTIF('Coder-2'!$A:$A,"="&amp;A217)=0,,COUNTIF('Coder-2'!$A:$A,"="&amp;A217)))</f>
        <v>0</v>
      </c>
    </row>
    <row r="218" spans="1:3">
      <c r="A218" s="7"/>
      <c r="B218" s="4">
        <f>IF(ISBLANK(A218),,IF(COUNTIF('Coder-1'!$A:$A,"="&amp;A218)=0,,COUNTIF('Coder-1'!$A:$A,"="&amp;A218)))</f>
        <v>0</v>
      </c>
      <c r="C218" s="4">
        <f>IF(ISBLANK(A218),,IF(COUNTIF('Coder-2'!$A:$A,"="&amp;A218)=0,,COUNTIF('Coder-2'!$A:$A,"="&amp;A218)))</f>
        <v>0</v>
      </c>
    </row>
    <row r="219" spans="1:3">
      <c r="A219" s="7"/>
      <c r="B219" s="4">
        <f>IF(ISBLANK(A219),,IF(COUNTIF('Coder-1'!$A:$A,"="&amp;A219)=0,,COUNTIF('Coder-1'!$A:$A,"="&amp;A219)))</f>
        <v>0</v>
      </c>
      <c r="C219" s="4">
        <f>IF(ISBLANK(A219),,IF(COUNTIF('Coder-2'!$A:$A,"="&amp;A219)=0,,COUNTIF('Coder-2'!$A:$A,"="&amp;A219)))</f>
        <v>0</v>
      </c>
    </row>
    <row r="220" spans="1:3">
      <c r="A220" s="7"/>
      <c r="B220" s="4">
        <f>IF(ISBLANK(A220),,IF(COUNTIF('Coder-1'!$A:$A,"="&amp;A220)=0,,COUNTIF('Coder-1'!$A:$A,"="&amp;A220)))</f>
        <v>0</v>
      </c>
      <c r="C220" s="4">
        <f>IF(ISBLANK(A220),,IF(COUNTIF('Coder-2'!$A:$A,"="&amp;A220)=0,,COUNTIF('Coder-2'!$A:$A,"="&amp;A220)))</f>
        <v>0</v>
      </c>
    </row>
    <row r="221" spans="1:3">
      <c r="A221" s="7"/>
      <c r="B221" s="4">
        <f>IF(ISBLANK(A221),,IF(COUNTIF('Coder-1'!$A:$A,"="&amp;A221)=0,,COUNTIF('Coder-1'!$A:$A,"="&amp;A221)))</f>
        <v>0</v>
      </c>
      <c r="C221" s="4">
        <f>IF(ISBLANK(A221),,IF(COUNTIF('Coder-2'!$A:$A,"="&amp;A221)=0,,COUNTIF('Coder-2'!$A:$A,"="&amp;A221)))</f>
        <v>0</v>
      </c>
    </row>
    <row r="222" spans="1:3">
      <c r="A222" s="7"/>
      <c r="B222" s="4">
        <f>IF(ISBLANK(A222),,IF(COUNTIF('Coder-1'!$A:$A,"="&amp;A222)=0,,COUNTIF('Coder-1'!$A:$A,"="&amp;A222)))</f>
        <v>0</v>
      </c>
      <c r="C222" s="4">
        <f>IF(ISBLANK(A222),,IF(COUNTIF('Coder-2'!$A:$A,"="&amp;A222)=0,,COUNTIF('Coder-2'!$A:$A,"="&amp;A222)))</f>
        <v>0</v>
      </c>
    </row>
    <row r="223" spans="1:3">
      <c r="A223" s="7"/>
      <c r="B223" s="4">
        <f>IF(ISBLANK(A223),,IF(COUNTIF('Coder-1'!$A:$A,"="&amp;A223)=0,,COUNTIF('Coder-1'!$A:$A,"="&amp;A223)))</f>
        <v>0</v>
      </c>
      <c r="C223" s="4">
        <f>IF(ISBLANK(A223),,IF(COUNTIF('Coder-2'!$A:$A,"="&amp;A223)=0,,COUNTIF('Coder-2'!$A:$A,"="&amp;A223)))</f>
        <v>0</v>
      </c>
    </row>
    <row r="224" spans="1:3">
      <c r="A224" s="7"/>
      <c r="B224" s="4">
        <f>IF(ISBLANK(A224),,IF(COUNTIF('Coder-1'!$A:$A,"="&amp;A224)=0,,COUNTIF('Coder-1'!$A:$A,"="&amp;A224)))</f>
        <v>0</v>
      </c>
      <c r="C224" s="4">
        <f>IF(ISBLANK(A224),,IF(COUNTIF('Coder-2'!$A:$A,"="&amp;A224)=0,,COUNTIF('Coder-2'!$A:$A,"="&amp;A224)))</f>
        <v>0</v>
      </c>
    </row>
    <row r="225" spans="1:3">
      <c r="A225" s="7"/>
      <c r="B225" s="4">
        <f>IF(ISBLANK(A225),,IF(COUNTIF('Coder-1'!$A:$A,"="&amp;A225)=0,,COUNTIF('Coder-1'!$A:$A,"="&amp;A225)))</f>
        <v>0</v>
      </c>
      <c r="C225" s="4">
        <f>IF(ISBLANK(A225),,IF(COUNTIF('Coder-2'!$A:$A,"="&amp;A225)=0,,COUNTIF('Coder-2'!$A:$A,"="&amp;A225)))</f>
        <v>0</v>
      </c>
    </row>
    <row r="226" spans="1:3">
      <c r="A226" s="7"/>
      <c r="B226" s="4">
        <f>IF(ISBLANK(A226),,IF(COUNTIF('Coder-1'!$A:$A,"="&amp;A226)=0,,COUNTIF('Coder-1'!$A:$A,"="&amp;A226)))</f>
        <v>0</v>
      </c>
      <c r="C226" s="4">
        <f>IF(ISBLANK(A226),,IF(COUNTIF('Coder-2'!$A:$A,"="&amp;A226)=0,,COUNTIF('Coder-2'!$A:$A,"="&amp;A226)))</f>
        <v>0</v>
      </c>
    </row>
    <row r="227" spans="1:3">
      <c r="A227" s="7"/>
      <c r="B227" s="4">
        <f>IF(ISBLANK(A227),,IF(COUNTIF('Coder-1'!$A:$A,"="&amp;A227)=0,,COUNTIF('Coder-1'!$A:$A,"="&amp;A227)))</f>
        <v>0</v>
      </c>
      <c r="C227" s="4">
        <f>IF(ISBLANK(A227),,IF(COUNTIF('Coder-2'!$A:$A,"="&amp;A227)=0,,COUNTIF('Coder-2'!$A:$A,"="&amp;A227)))</f>
        <v>0</v>
      </c>
    </row>
    <row r="228" spans="1:3">
      <c r="A228" s="7"/>
      <c r="B228" s="4">
        <f>IF(ISBLANK(A228),,IF(COUNTIF('Coder-1'!$A:$A,"="&amp;A228)=0,,COUNTIF('Coder-1'!$A:$A,"="&amp;A228)))</f>
        <v>0</v>
      </c>
      <c r="C228" s="4">
        <f>IF(ISBLANK(A228),,IF(COUNTIF('Coder-2'!$A:$A,"="&amp;A228)=0,,COUNTIF('Coder-2'!$A:$A,"="&amp;A228)))</f>
        <v>0</v>
      </c>
    </row>
    <row r="229" spans="1:3">
      <c r="A229" s="7"/>
      <c r="B229" s="4">
        <f>IF(ISBLANK(A229),,IF(COUNTIF('Coder-1'!$A:$A,"="&amp;A229)=0,,COUNTIF('Coder-1'!$A:$A,"="&amp;A229)))</f>
        <v>0</v>
      </c>
      <c r="C229" s="4">
        <f>IF(ISBLANK(A229),,IF(COUNTIF('Coder-2'!$A:$A,"="&amp;A229)=0,,COUNTIF('Coder-2'!$A:$A,"="&amp;A229)))</f>
        <v>0</v>
      </c>
    </row>
    <row r="230" spans="1:3">
      <c r="A230" s="7"/>
      <c r="B230" s="4">
        <f>IF(ISBLANK(A230),,IF(COUNTIF('Coder-1'!$A:$A,"="&amp;A230)=0,,COUNTIF('Coder-1'!$A:$A,"="&amp;A230)))</f>
        <v>0</v>
      </c>
      <c r="C230" s="4">
        <f>IF(ISBLANK(A230),,IF(COUNTIF('Coder-2'!$A:$A,"="&amp;A230)=0,,COUNTIF('Coder-2'!$A:$A,"="&amp;A230)))</f>
        <v>0</v>
      </c>
    </row>
    <row r="231" spans="1:3">
      <c r="A231" s="7"/>
      <c r="B231" s="4">
        <f>IF(ISBLANK(A231),,IF(COUNTIF('Coder-1'!$A:$A,"="&amp;A231)=0,,COUNTIF('Coder-1'!$A:$A,"="&amp;A231)))</f>
        <v>0</v>
      </c>
      <c r="C231" s="4">
        <f>IF(ISBLANK(A231),,IF(COUNTIF('Coder-2'!$A:$A,"="&amp;A231)=0,,COUNTIF('Coder-2'!$A:$A,"="&amp;A231)))</f>
        <v>0</v>
      </c>
    </row>
    <row r="232" spans="1:3">
      <c r="A232" s="7"/>
      <c r="B232" s="4">
        <f>IF(ISBLANK(A232),,IF(COUNTIF('Coder-1'!$A:$A,"="&amp;A232)=0,,COUNTIF('Coder-1'!$A:$A,"="&amp;A232)))</f>
        <v>0</v>
      </c>
      <c r="C232" s="4">
        <f>IF(ISBLANK(A232),,IF(COUNTIF('Coder-2'!$A:$A,"="&amp;A232)=0,,COUNTIF('Coder-2'!$A:$A,"="&amp;A232)))</f>
        <v>0</v>
      </c>
    </row>
    <row r="233" spans="1:3">
      <c r="A233" s="7"/>
      <c r="B233" s="4">
        <f>IF(ISBLANK(A233),,IF(COUNTIF('Coder-1'!$A:$A,"="&amp;A233)=0,,COUNTIF('Coder-1'!$A:$A,"="&amp;A233)))</f>
        <v>0</v>
      </c>
      <c r="C233" s="4">
        <f>IF(ISBLANK(A233),,IF(COUNTIF('Coder-2'!$A:$A,"="&amp;A233)=0,,COUNTIF('Coder-2'!$A:$A,"="&amp;A233)))</f>
        <v>0</v>
      </c>
    </row>
    <row r="234" spans="1:3">
      <c r="A234" s="7"/>
      <c r="B234" s="4">
        <f>IF(ISBLANK(A234),,IF(COUNTIF('Coder-1'!$A:$A,"="&amp;A234)=0,,COUNTIF('Coder-1'!$A:$A,"="&amp;A234)))</f>
        <v>0</v>
      </c>
      <c r="C234" s="4">
        <f>IF(ISBLANK(A234),,IF(COUNTIF('Coder-2'!$A:$A,"="&amp;A234)=0,,COUNTIF('Coder-2'!$A:$A,"="&amp;A234)))</f>
        <v>0</v>
      </c>
    </row>
    <row r="235" spans="1:3">
      <c r="A235" s="7"/>
      <c r="B235" s="4">
        <f>IF(ISBLANK(A235),,IF(COUNTIF('Coder-1'!$A:$A,"="&amp;A235)=0,,COUNTIF('Coder-1'!$A:$A,"="&amp;A235)))</f>
        <v>0</v>
      </c>
      <c r="C235" s="4">
        <f>IF(ISBLANK(A235),,IF(COUNTIF('Coder-2'!$A:$A,"="&amp;A235)=0,,COUNTIF('Coder-2'!$A:$A,"="&amp;A235)))</f>
        <v>0</v>
      </c>
    </row>
    <row r="236" spans="1:3">
      <c r="A236" s="7"/>
      <c r="B236" s="4">
        <f>IF(ISBLANK(A236),,IF(COUNTIF('Coder-1'!$A:$A,"="&amp;A236)=0,,COUNTIF('Coder-1'!$A:$A,"="&amp;A236)))</f>
        <v>0</v>
      </c>
      <c r="C236" s="4">
        <f>IF(ISBLANK(A236),,IF(COUNTIF('Coder-2'!$A:$A,"="&amp;A236)=0,,COUNTIF('Coder-2'!$A:$A,"="&amp;A236)))</f>
        <v>0</v>
      </c>
    </row>
    <row r="237" spans="1:3">
      <c r="A237" s="7"/>
      <c r="B237" s="4">
        <f>IF(ISBLANK(A237),,IF(COUNTIF('Coder-1'!$A:$A,"="&amp;A237)=0,,COUNTIF('Coder-1'!$A:$A,"="&amp;A237)))</f>
        <v>0</v>
      </c>
      <c r="C237" s="4">
        <f>IF(ISBLANK(A237),,IF(COUNTIF('Coder-2'!$A:$A,"="&amp;A237)=0,,COUNTIF('Coder-2'!$A:$A,"="&amp;A237)))</f>
        <v>0</v>
      </c>
    </row>
    <row r="238" spans="1:3">
      <c r="A238" s="7"/>
      <c r="B238" s="4">
        <f>IF(ISBLANK(A238),,IF(COUNTIF('Coder-1'!$A:$A,"="&amp;A238)=0,,COUNTIF('Coder-1'!$A:$A,"="&amp;A238)))</f>
        <v>0</v>
      </c>
      <c r="C238" s="4">
        <f>IF(ISBLANK(A238),,IF(COUNTIF('Coder-2'!$A:$A,"="&amp;A238)=0,,COUNTIF('Coder-2'!$A:$A,"="&amp;A238)))</f>
        <v>0</v>
      </c>
    </row>
    <row r="239" spans="1:3">
      <c r="A239" s="7"/>
      <c r="B239" s="4">
        <f>IF(ISBLANK(A239),,IF(COUNTIF('Coder-1'!$A:$A,"="&amp;A239)=0,,COUNTIF('Coder-1'!$A:$A,"="&amp;A239)))</f>
        <v>0</v>
      </c>
      <c r="C239" s="4">
        <f>IF(ISBLANK(A239),,IF(COUNTIF('Coder-2'!$A:$A,"="&amp;A239)=0,,COUNTIF('Coder-2'!$A:$A,"="&amp;A239)))</f>
        <v>0</v>
      </c>
    </row>
    <row r="240" spans="1:3">
      <c r="A240" s="7"/>
      <c r="B240" s="4">
        <f>IF(ISBLANK(A240),,IF(COUNTIF('Coder-1'!$A:$A,"="&amp;A240)=0,,COUNTIF('Coder-1'!$A:$A,"="&amp;A240)))</f>
        <v>0</v>
      </c>
      <c r="C240" s="4">
        <f>IF(ISBLANK(A240),,IF(COUNTIF('Coder-2'!$A:$A,"="&amp;A240)=0,,COUNTIF('Coder-2'!$A:$A,"="&amp;A240)))</f>
        <v>0</v>
      </c>
    </row>
    <row r="241" spans="1:3">
      <c r="A241" s="7"/>
      <c r="B241" s="4">
        <f>IF(ISBLANK(A241),,IF(COUNTIF('Coder-1'!$A:$A,"="&amp;A241)=0,,COUNTIF('Coder-1'!$A:$A,"="&amp;A241)))</f>
        <v>0</v>
      </c>
      <c r="C241" s="4">
        <f>IF(ISBLANK(A241),,IF(COUNTIF('Coder-2'!$A:$A,"="&amp;A241)=0,,COUNTIF('Coder-2'!$A:$A,"="&amp;A241)))</f>
        <v>0</v>
      </c>
    </row>
    <row r="242" spans="1:3">
      <c r="A242" s="7"/>
      <c r="B242" s="4">
        <f>IF(ISBLANK(A242),,IF(COUNTIF('Coder-1'!$A:$A,"="&amp;A242)=0,,COUNTIF('Coder-1'!$A:$A,"="&amp;A242)))</f>
        <v>0</v>
      </c>
      <c r="C242" s="4">
        <f>IF(ISBLANK(A242),,IF(COUNTIF('Coder-2'!$A:$A,"="&amp;A242)=0,,COUNTIF('Coder-2'!$A:$A,"="&amp;A242)))</f>
        <v>0</v>
      </c>
    </row>
    <row r="243" spans="1:3">
      <c r="A243" s="7"/>
      <c r="B243" s="4">
        <f>IF(ISBLANK(A243),,IF(COUNTIF('Coder-1'!$A:$A,"="&amp;A243)=0,,COUNTIF('Coder-1'!$A:$A,"="&amp;A243)))</f>
        <v>0</v>
      </c>
      <c r="C243" s="4">
        <f>IF(ISBLANK(A243),,IF(COUNTIF('Coder-2'!$A:$A,"="&amp;A243)=0,,COUNTIF('Coder-2'!$A:$A,"="&amp;A243)))</f>
        <v>0</v>
      </c>
    </row>
    <row r="244" spans="1:3">
      <c r="A244" s="7"/>
      <c r="B244" s="4">
        <f>IF(ISBLANK(A244),,IF(COUNTIF('Coder-1'!$A:$A,"="&amp;A244)=0,,COUNTIF('Coder-1'!$A:$A,"="&amp;A244)))</f>
        <v>0</v>
      </c>
      <c r="C244" s="4">
        <f>IF(ISBLANK(A244),,IF(COUNTIF('Coder-2'!$A:$A,"="&amp;A244)=0,,COUNTIF('Coder-2'!$A:$A,"="&amp;A244)))</f>
        <v>0</v>
      </c>
    </row>
    <row r="245" spans="1:3">
      <c r="A245" s="7"/>
      <c r="B245" s="4">
        <f>IF(ISBLANK(A245),,IF(COUNTIF('Coder-1'!$A:$A,"="&amp;A245)=0,,COUNTIF('Coder-1'!$A:$A,"="&amp;A245)))</f>
        <v>0</v>
      </c>
      <c r="C245" s="4">
        <f>IF(ISBLANK(A245),,IF(COUNTIF('Coder-2'!$A:$A,"="&amp;A245)=0,,COUNTIF('Coder-2'!$A:$A,"="&amp;A245)))</f>
        <v>0</v>
      </c>
    </row>
    <row r="246" spans="1:3">
      <c r="A246" s="7"/>
      <c r="B246" s="4">
        <f>IF(ISBLANK(A246),,IF(COUNTIF('Coder-1'!$A:$A,"="&amp;A246)=0,,COUNTIF('Coder-1'!$A:$A,"="&amp;A246)))</f>
        <v>0</v>
      </c>
      <c r="C246" s="4">
        <f>IF(ISBLANK(A246),,IF(COUNTIF('Coder-2'!$A:$A,"="&amp;A246)=0,,COUNTIF('Coder-2'!$A:$A,"="&amp;A246)))</f>
        <v>0</v>
      </c>
    </row>
    <row r="247" spans="1:3">
      <c r="A247" s="7"/>
      <c r="B247" s="4">
        <f>IF(ISBLANK(A247),,IF(COUNTIF('Coder-1'!$A:$A,"="&amp;A247)=0,,COUNTIF('Coder-1'!$A:$A,"="&amp;A247)))</f>
        <v>0</v>
      </c>
      <c r="C247" s="4">
        <f>IF(ISBLANK(A247),,IF(COUNTIF('Coder-2'!$A:$A,"="&amp;A247)=0,,COUNTIF('Coder-2'!$A:$A,"="&amp;A247)))</f>
        <v>0</v>
      </c>
    </row>
    <row r="248" spans="1:3">
      <c r="A248" s="7"/>
      <c r="B248" s="4">
        <f>IF(ISBLANK(A248),,IF(COUNTIF('Coder-1'!$A:$A,"="&amp;A248)=0,,COUNTIF('Coder-1'!$A:$A,"="&amp;A248)))</f>
        <v>0</v>
      </c>
      <c r="C248" s="4">
        <f>IF(ISBLANK(A248),,IF(COUNTIF('Coder-2'!$A:$A,"="&amp;A248)=0,,COUNTIF('Coder-2'!$A:$A,"="&amp;A248)))</f>
        <v>0</v>
      </c>
    </row>
    <row r="249" spans="1:3">
      <c r="A249" s="7"/>
      <c r="B249" s="4">
        <f>IF(ISBLANK(A249),,IF(COUNTIF('Coder-1'!$A:$A,"="&amp;A249)=0,,COUNTIF('Coder-1'!$A:$A,"="&amp;A249)))</f>
        <v>0</v>
      </c>
      <c r="C249" s="4">
        <f>IF(ISBLANK(A249),,IF(COUNTIF('Coder-2'!$A:$A,"="&amp;A249)=0,,COUNTIF('Coder-2'!$A:$A,"="&amp;A249)))</f>
        <v>0</v>
      </c>
    </row>
    <row r="250" spans="1:3">
      <c r="A250" s="7"/>
      <c r="B250" s="4">
        <f>IF(ISBLANK(A250),,IF(COUNTIF('Coder-1'!$A:$A,"="&amp;A250)=0,,COUNTIF('Coder-1'!$A:$A,"="&amp;A250)))</f>
        <v>0</v>
      </c>
      <c r="C250" s="4">
        <f>IF(ISBLANK(A250),,IF(COUNTIF('Coder-2'!$A:$A,"="&amp;A250)=0,,COUNTIF('Coder-2'!$A:$A,"="&amp;A250)))</f>
        <v>0</v>
      </c>
    </row>
    <row r="251" spans="1:3">
      <c r="A251" s="7"/>
      <c r="B251" s="4">
        <f>IF(ISBLANK(A251),,IF(COUNTIF('Coder-1'!$A:$A,"="&amp;A251)=0,,COUNTIF('Coder-1'!$A:$A,"="&amp;A251)))</f>
        <v>0</v>
      </c>
      <c r="C251" s="4">
        <f>IF(ISBLANK(A251),,IF(COUNTIF('Coder-2'!$A:$A,"="&amp;A251)=0,,COUNTIF('Coder-2'!$A:$A,"="&amp;A251)))</f>
        <v>0</v>
      </c>
    </row>
    <row r="252" spans="1:3">
      <c r="A252" s="7"/>
      <c r="B252" s="4">
        <f>IF(ISBLANK(A252),,IF(COUNTIF('Coder-1'!$A:$A,"="&amp;A252)=0,,COUNTIF('Coder-1'!$A:$A,"="&amp;A252)))</f>
        <v>0</v>
      </c>
      <c r="C252" s="4">
        <f>IF(ISBLANK(A252),,IF(COUNTIF('Coder-2'!$A:$A,"="&amp;A252)=0,,COUNTIF('Coder-2'!$A:$A,"="&amp;A252)))</f>
        <v>0</v>
      </c>
    </row>
    <row r="253" spans="1:3">
      <c r="A253" s="7"/>
      <c r="B253" s="4">
        <f>IF(ISBLANK(A253),,IF(COUNTIF('Coder-1'!$A:$A,"="&amp;A253)=0,,COUNTIF('Coder-1'!$A:$A,"="&amp;A253)))</f>
        <v>0</v>
      </c>
      <c r="C253" s="4">
        <f>IF(ISBLANK(A253),,IF(COUNTIF('Coder-2'!$A:$A,"="&amp;A253)=0,,COUNTIF('Coder-2'!$A:$A,"="&amp;A253)))</f>
        <v>0</v>
      </c>
    </row>
    <row r="254" spans="1:3">
      <c r="A254" s="7"/>
      <c r="B254" s="4">
        <f>IF(ISBLANK(A254),,IF(COUNTIF('Coder-1'!$A:$A,"="&amp;A254)=0,,COUNTIF('Coder-1'!$A:$A,"="&amp;A254)))</f>
        <v>0</v>
      </c>
      <c r="C254" s="4">
        <f>IF(ISBLANK(A254),,IF(COUNTIF('Coder-2'!$A:$A,"="&amp;A254)=0,,COUNTIF('Coder-2'!$A:$A,"="&amp;A254)))</f>
        <v>0</v>
      </c>
    </row>
    <row r="255" spans="1:3">
      <c r="A255" s="7"/>
      <c r="B255" s="4">
        <f>IF(ISBLANK(A255),,IF(COUNTIF('Coder-1'!$A:$A,"="&amp;A255)=0,,COUNTIF('Coder-1'!$A:$A,"="&amp;A255)))</f>
        <v>0</v>
      </c>
      <c r="C255" s="4">
        <f>IF(ISBLANK(A255),,IF(COUNTIF('Coder-2'!$A:$A,"="&amp;A255)=0,,COUNTIF('Coder-2'!$A:$A,"="&amp;A255)))</f>
        <v>0</v>
      </c>
    </row>
    <row r="256" spans="1:3">
      <c r="A256" s="7"/>
      <c r="B256" s="4">
        <f>IF(ISBLANK(A256),,IF(COUNTIF('Coder-1'!$A:$A,"="&amp;A256)=0,,COUNTIF('Coder-1'!$A:$A,"="&amp;A256)))</f>
        <v>0</v>
      </c>
      <c r="C256" s="4">
        <f>IF(ISBLANK(A256),,IF(COUNTIF('Coder-2'!$A:$A,"="&amp;A256)=0,,COUNTIF('Coder-2'!$A:$A,"="&amp;A256)))</f>
        <v>0</v>
      </c>
    </row>
    <row r="257" spans="1:3">
      <c r="A257" s="7"/>
      <c r="B257" s="4">
        <f>IF(ISBLANK(A257),,IF(COUNTIF('Coder-1'!$A:$A,"="&amp;A257)=0,,COUNTIF('Coder-1'!$A:$A,"="&amp;A257)))</f>
        <v>0</v>
      </c>
      <c r="C257" s="4">
        <f>IF(ISBLANK(A257),,IF(COUNTIF('Coder-2'!$A:$A,"="&amp;A257)=0,,COUNTIF('Coder-2'!$A:$A,"="&amp;A257)))</f>
        <v>0</v>
      </c>
    </row>
    <row r="258" spans="1:3">
      <c r="A258" s="7"/>
      <c r="B258" s="4">
        <f>IF(ISBLANK(A258),,IF(COUNTIF('Coder-1'!$A:$A,"="&amp;A258)=0,,COUNTIF('Coder-1'!$A:$A,"="&amp;A258)))</f>
        <v>0</v>
      </c>
      <c r="C258" s="4">
        <f>IF(ISBLANK(A258),,IF(COUNTIF('Coder-2'!$A:$A,"="&amp;A258)=0,,COUNTIF('Coder-2'!$A:$A,"="&amp;A258)))</f>
        <v>0</v>
      </c>
    </row>
    <row r="259" spans="1:3">
      <c r="A259" s="7"/>
      <c r="B259" s="4">
        <f>IF(ISBLANK(A259),,IF(COUNTIF('Coder-1'!$A:$A,"="&amp;A259)=0,,COUNTIF('Coder-1'!$A:$A,"="&amp;A259)))</f>
        <v>0</v>
      </c>
      <c r="C259" s="4">
        <f>IF(ISBLANK(A259),,IF(COUNTIF('Coder-2'!$A:$A,"="&amp;A259)=0,,COUNTIF('Coder-2'!$A:$A,"="&amp;A259)))</f>
        <v>0</v>
      </c>
    </row>
    <row r="260" spans="1:3">
      <c r="A260" s="7"/>
      <c r="B260" s="4">
        <f>IF(ISBLANK(A260),,IF(COUNTIF('Coder-1'!$A:$A,"="&amp;A260)=0,,COUNTIF('Coder-1'!$A:$A,"="&amp;A260)))</f>
        <v>0</v>
      </c>
      <c r="C260" s="4">
        <f>IF(ISBLANK(A260),,IF(COUNTIF('Coder-2'!$A:$A,"="&amp;A260)=0,,COUNTIF('Coder-2'!$A:$A,"="&amp;A260)))</f>
        <v>0</v>
      </c>
    </row>
    <row r="261" spans="1:3">
      <c r="A261" s="7"/>
      <c r="B261" s="4">
        <f>IF(ISBLANK(A261),,IF(COUNTIF('Coder-1'!$A:$A,"="&amp;A261)=0,,COUNTIF('Coder-1'!$A:$A,"="&amp;A261)))</f>
        <v>0</v>
      </c>
      <c r="C261" s="4">
        <f>IF(ISBLANK(A261),,IF(COUNTIF('Coder-2'!$A:$A,"="&amp;A261)=0,,COUNTIF('Coder-2'!$A:$A,"="&amp;A261)))</f>
        <v>0</v>
      </c>
    </row>
    <row r="262" spans="1:3">
      <c r="A262" s="7"/>
      <c r="B262" s="4">
        <f>IF(ISBLANK(A262),,IF(COUNTIF('Coder-1'!$A:$A,"="&amp;A262)=0,,COUNTIF('Coder-1'!$A:$A,"="&amp;A262)))</f>
        <v>0</v>
      </c>
      <c r="C262" s="4">
        <f>IF(ISBLANK(A262),,IF(COUNTIF('Coder-2'!$A:$A,"="&amp;A262)=0,,COUNTIF('Coder-2'!$A:$A,"="&amp;A262)))</f>
        <v>0</v>
      </c>
    </row>
    <row r="263" spans="1:3">
      <c r="A263" s="7"/>
      <c r="B263" s="4">
        <f>IF(ISBLANK(A263),,IF(COUNTIF('Coder-1'!$A:$A,"="&amp;A263)=0,,COUNTIF('Coder-1'!$A:$A,"="&amp;A263)))</f>
        <v>0</v>
      </c>
      <c r="C263" s="4">
        <f>IF(ISBLANK(A263),,IF(COUNTIF('Coder-2'!$A:$A,"="&amp;A263)=0,,COUNTIF('Coder-2'!$A:$A,"="&amp;A263)))</f>
        <v>0</v>
      </c>
    </row>
    <row r="264" spans="1:3">
      <c r="A264" s="7"/>
      <c r="B264" s="4">
        <f>IF(ISBLANK(A264),,IF(COUNTIF('Coder-1'!$A:$A,"="&amp;A264)=0,,COUNTIF('Coder-1'!$A:$A,"="&amp;A264)))</f>
        <v>0</v>
      </c>
      <c r="C264" s="4">
        <f>IF(ISBLANK(A264),,IF(COUNTIF('Coder-2'!$A:$A,"="&amp;A264)=0,,COUNTIF('Coder-2'!$A:$A,"="&amp;A264)))</f>
        <v>0</v>
      </c>
    </row>
    <row r="265" spans="1:3">
      <c r="A265" s="7"/>
      <c r="B265" s="4">
        <f>IF(ISBLANK(A265),,IF(COUNTIF('Coder-1'!$A:$A,"="&amp;A265)=0,,COUNTIF('Coder-1'!$A:$A,"="&amp;A265)))</f>
        <v>0</v>
      </c>
      <c r="C265" s="4">
        <f>IF(ISBLANK(A265),,IF(COUNTIF('Coder-2'!$A:$A,"="&amp;A265)=0,,COUNTIF('Coder-2'!$A:$A,"="&amp;A265)))</f>
        <v>0</v>
      </c>
    </row>
    <row r="266" spans="1:3">
      <c r="A266" s="7"/>
      <c r="B266" s="4">
        <f>IF(ISBLANK(A266),,IF(COUNTIF('Coder-1'!$A:$A,"="&amp;A266)=0,,COUNTIF('Coder-1'!$A:$A,"="&amp;A266)))</f>
        <v>0</v>
      </c>
      <c r="C266" s="4">
        <f>IF(ISBLANK(A266),,IF(COUNTIF('Coder-2'!$A:$A,"="&amp;A266)=0,,COUNTIF('Coder-2'!$A:$A,"="&amp;A266)))</f>
        <v>0</v>
      </c>
    </row>
    <row r="267" spans="1:3">
      <c r="A267" s="7"/>
      <c r="B267" s="4">
        <f>IF(ISBLANK(A267),,IF(COUNTIF('Coder-1'!$A:$A,"="&amp;A267)=0,,COUNTIF('Coder-1'!$A:$A,"="&amp;A267)))</f>
        <v>0</v>
      </c>
      <c r="C267" s="4">
        <f>IF(ISBLANK(A267),,IF(COUNTIF('Coder-2'!$A:$A,"="&amp;A267)=0,,COUNTIF('Coder-2'!$A:$A,"="&amp;A267)))</f>
        <v>0</v>
      </c>
    </row>
    <row r="268" spans="1:3">
      <c r="A268" s="7"/>
      <c r="B268" s="4">
        <f>IF(ISBLANK(A268),,IF(COUNTIF('Coder-1'!$A:$A,"="&amp;A268)=0,,COUNTIF('Coder-1'!$A:$A,"="&amp;A268)))</f>
        <v>0</v>
      </c>
      <c r="C268" s="4">
        <f>IF(ISBLANK(A268),,IF(COUNTIF('Coder-2'!$A:$A,"="&amp;A268)=0,,COUNTIF('Coder-2'!$A:$A,"="&amp;A268)))</f>
        <v>0</v>
      </c>
    </row>
    <row r="269" spans="1:3">
      <c r="A269" s="7"/>
      <c r="B269" s="4">
        <f>IF(ISBLANK(A269),,IF(COUNTIF('Coder-1'!$A:$A,"="&amp;A269)=0,,COUNTIF('Coder-1'!$A:$A,"="&amp;A269)))</f>
        <v>0</v>
      </c>
      <c r="C269" s="4">
        <f>IF(ISBLANK(A269),,IF(COUNTIF('Coder-2'!$A:$A,"="&amp;A269)=0,,COUNTIF('Coder-2'!$A:$A,"="&amp;A269)))</f>
        <v>0</v>
      </c>
    </row>
    <row r="270" spans="1:3">
      <c r="A270" s="7"/>
      <c r="B270" s="4">
        <f>IF(ISBLANK(A270),,IF(COUNTIF('Coder-1'!$A:$A,"="&amp;A270)=0,,COUNTIF('Coder-1'!$A:$A,"="&amp;A270)))</f>
        <v>0</v>
      </c>
      <c r="C270" s="4">
        <f>IF(ISBLANK(A270),,IF(COUNTIF('Coder-2'!$A:$A,"="&amp;A270)=0,,COUNTIF('Coder-2'!$A:$A,"="&amp;A270)))</f>
        <v>0</v>
      </c>
    </row>
    <row r="271" spans="1:3">
      <c r="A271" s="7"/>
      <c r="B271" s="4">
        <f>IF(ISBLANK(A271),,IF(COUNTIF('Coder-1'!$A:$A,"="&amp;A271)=0,,COUNTIF('Coder-1'!$A:$A,"="&amp;A271)))</f>
        <v>0</v>
      </c>
      <c r="C271" s="4">
        <f>IF(ISBLANK(A271),,IF(COUNTIF('Coder-2'!$A:$A,"="&amp;A271)=0,,COUNTIF('Coder-2'!$A:$A,"="&amp;A271)))</f>
        <v>0</v>
      </c>
    </row>
    <row r="272" spans="1:3">
      <c r="A272" s="7"/>
      <c r="B272" s="4">
        <f>IF(ISBLANK(A272),,IF(COUNTIF('Coder-1'!$A:$A,"="&amp;A272)=0,,COUNTIF('Coder-1'!$A:$A,"="&amp;A272)))</f>
        <v>0</v>
      </c>
      <c r="C272" s="4">
        <f>IF(ISBLANK(A272),,IF(COUNTIF('Coder-2'!$A:$A,"="&amp;A272)=0,,COUNTIF('Coder-2'!$A:$A,"="&amp;A272)))</f>
        <v>0</v>
      </c>
    </row>
    <row r="273" spans="1:3">
      <c r="A273" s="7"/>
      <c r="B273" s="4">
        <f>IF(ISBLANK(A273),,IF(COUNTIF('Coder-1'!$A:$A,"="&amp;A273)=0,,COUNTIF('Coder-1'!$A:$A,"="&amp;A273)))</f>
        <v>0</v>
      </c>
      <c r="C273" s="4">
        <f>IF(ISBLANK(A273),,IF(COUNTIF('Coder-2'!$A:$A,"="&amp;A273)=0,,COUNTIF('Coder-2'!$A:$A,"="&amp;A273)))</f>
        <v>0</v>
      </c>
    </row>
    <row r="274" spans="1:3">
      <c r="A274" s="7"/>
      <c r="B274" s="4">
        <f>IF(ISBLANK(A274),,IF(COUNTIF('Coder-1'!$A:$A,"="&amp;A274)=0,,COUNTIF('Coder-1'!$A:$A,"="&amp;A274)))</f>
        <v>0</v>
      </c>
      <c r="C274" s="4">
        <f>IF(ISBLANK(A274),,IF(COUNTIF('Coder-2'!$A:$A,"="&amp;A274)=0,,COUNTIF('Coder-2'!$A:$A,"="&amp;A274)))</f>
        <v>0</v>
      </c>
    </row>
    <row r="275" spans="1:3">
      <c r="A275" s="7"/>
      <c r="B275" s="4">
        <f>IF(ISBLANK(A275),,IF(COUNTIF('Coder-1'!$A:$A,"="&amp;A275)=0,,COUNTIF('Coder-1'!$A:$A,"="&amp;A275)))</f>
        <v>0</v>
      </c>
      <c r="C275" s="4">
        <f>IF(ISBLANK(A275),,IF(COUNTIF('Coder-2'!$A:$A,"="&amp;A275)=0,,COUNTIF('Coder-2'!$A:$A,"="&amp;A275)))</f>
        <v>0</v>
      </c>
    </row>
    <row r="276" spans="1:3">
      <c r="A276" s="7"/>
      <c r="B276" s="4">
        <f>IF(ISBLANK(A276),,IF(COUNTIF('Coder-1'!$A:$A,"="&amp;A276)=0,,COUNTIF('Coder-1'!$A:$A,"="&amp;A276)))</f>
        <v>0</v>
      </c>
      <c r="C276" s="4">
        <f>IF(ISBLANK(A276),,IF(COUNTIF('Coder-2'!$A:$A,"="&amp;A276)=0,,COUNTIF('Coder-2'!$A:$A,"="&amp;A276)))</f>
        <v>0</v>
      </c>
    </row>
    <row r="277" spans="1:3">
      <c r="A277" s="7"/>
      <c r="B277" s="4">
        <f>IF(ISBLANK(A277),,IF(COUNTIF('Coder-1'!$A:$A,"="&amp;A277)=0,,COUNTIF('Coder-1'!$A:$A,"="&amp;A277)))</f>
        <v>0</v>
      </c>
      <c r="C277" s="4">
        <f>IF(ISBLANK(A277),,IF(COUNTIF('Coder-2'!$A:$A,"="&amp;A277)=0,,COUNTIF('Coder-2'!$A:$A,"="&amp;A277)))</f>
        <v>0</v>
      </c>
    </row>
    <row r="278" spans="1:3">
      <c r="A278" s="7"/>
      <c r="B278" s="4">
        <f>IF(ISBLANK(A278),,IF(COUNTIF('Coder-1'!$A:$A,"="&amp;A278)=0,,COUNTIF('Coder-1'!$A:$A,"="&amp;A278)))</f>
        <v>0</v>
      </c>
      <c r="C278" s="4">
        <f>IF(ISBLANK(A278),,IF(COUNTIF('Coder-2'!$A:$A,"="&amp;A278)=0,,COUNTIF('Coder-2'!$A:$A,"="&amp;A278)))</f>
        <v>0</v>
      </c>
    </row>
    <row r="279" spans="1:3">
      <c r="A279" s="7"/>
      <c r="B279" s="4">
        <f>IF(ISBLANK(A279),,IF(COUNTIF('Coder-1'!$A:$A,"="&amp;A279)=0,,COUNTIF('Coder-1'!$A:$A,"="&amp;A279)))</f>
        <v>0</v>
      </c>
      <c r="C279" s="4">
        <f>IF(ISBLANK(A279),,IF(COUNTIF('Coder-2'!$A:$A,"="&amp;A279)=0,,COUNTIF('Coder-2'!$A:$A,"="&amp;A279)))</f>
        <v>0</v>
      </c>
    </row>
    <row r="280" spans="1:3">
      <c r="A280" s="7"/>
      <c r="B280" s="4">
        <f>IF(ISBLANK(A280),,IF(COUNTIF('Coder-1'!$A:$A,"="&amp;A280)=0,,COUNTIF('Coder-1'!$A:$A,"="&amp;A280)))</f>
        <v>0</v>
      </c>
      <c r="C280" s="4">
        <f>IF(ISBLANK(A280),,IF(COUNTIF('Coder-2'!$A:$A,"="&amp;A280)=0,,COUNTIF('Coder-2'!$A:$A,"="&amp;A280)))</f>
        <v>0</v>
      </c>
    </row>
    <row r="281" spans="1:3">
      <c r="A281" s="7"/>
      <c r="B281" s="4">
        <f>IF(ISBLANK(A281),,IF(COUNTIF('Coder-1'!$A:$A,"="&amp;A281)=0,,COUNTIF('Coder-1'!$A:$A,"="&amp;A281)))</f>
        <v>0</v>
      </c>
      <c r="C281" s="4">
        <f>IF(ISBLANK(A281),,IF(COUNTIF('Coder-2'!$A:$A,"="&amp;A281)=0,,COUNTIF('Coder-2'!$A:$A,"="&amp;A281)))</f>
        <v>0</v>
      </c>
    </row>
    <row r="282" spans="1:3">
      <c r="A282" s="7"/>
      <c r="B282" s="4">
        <f>IF(ISBLANK(A282),,IF(COUNTIF('Coder-1'!$A:$A,"="&amp;A282)=0,,COUNTIF('Coder-1'!$A:$A,"="&amp;A282)))</f>
        <v>0</v>
      </c>
      <c r="C282" s="4">
        <f>IF(ISBLANK(A282),,IF(COUNTIF('Coder-2'!$A:$A,"="&amp;A282)=0,,COUNTIF('Coder-2'!$A:$A,"="&amp;A282)))</f>
        <v>0</v>
      </c>
    </row>
    <row r="283" spans="1:3">
      <c r="A283" s="7"/>
      <c r="B283" s="4">
        <f>IF(ISBLANK(A283),,IF(COUNTIF('Coder-1'!$A:$A,"="&amp;A283)=0,,COUNTIF('Coder-1'!$A:$A,"="&amp;A283)))</f>
        <v>0</v>
      </c>
      <c r="C283" s="4">
        <f>IF(ISBLANK(A283),,IF(COUNTIF('Coder-2'!$A:$A,"="&amp;A283)=0,,COUNTIF('Coder-2'!$A:$A,"="&amp;A283)))</f>
        <v>0</v>
      </c>
    </row>
    <row r="284" spans="1:3">
      <c r="A284" s="7"/>
      <c r="B284" s="4">
        <f>IF(ISBLANK(A284),,IF(COUNTIF('Coder-1'!$A:$A,"="&amp;A284)=0,,COUNTIF('Coder-1'!$A:$A,"="&amp;A284)))</f>
        <v>0</v>
      </c>
      <c r="C284" s="4">
        <f>IF(ISBLANK(A284),,IF(COUNTIF('Coder-2'!$A:$A,"="&amp;A284)=0,,COUNTIF('Coder-2'!$A:$A,"="&amp;A284)))</f>
        <v>0</v>
      </c>
    </row>
    <row r="285" spans="1:3">
      <c r="A285" s="7"/>
      <c r="B285" s="4">
        <f>IF(ISBLANK(A285),,IF(COUNTIF('Coder-1'!$A:$A,"="&amp;A285)=0,,COUNTIF('Coder-1'!$A:$A,"="&amp;A285)))</f>
        <v>0</v>
      </c>
      <c r="C285" s="4">
        <f>IF(ISBLANK(A285),,IF(COUNTIF('Coder-2'!$A:$A,"="&amp;A285)=0,,COUNTIF('Coder-2'!$A:$A,"="&amp;A285)))</f>
        <v>0</v>
      </c>
    </row>
    <row r="286" spans="1:3">
      <c r="A286" s="7"/>
      <c r="B286" s="4">
        <f>IF(ISBLANK(A286),,IF(COUNTIF('Coder-1'!$A:$A,"="&amp;A286)=0,,COUNTIF('Coder-1'!$A:$A,"="&amp;A286)))</f>
        <v>0</v>
      </c>
      <c r="C286" s="4">
        <f>IF(ISBLANK(A286),,IF(COUNTIF('Coder-2'!$A:$A,"="&amp;A286)=0,,COUNTIF('Coder-2'!$A:$A,"="&amp;A286)))</f>
        <v>0</v>
      </c>
    </row>
    <row r="287" spans="1:3">
      <c r="A287" s="7"/>
      <c r="B287" s="4">
        <f>IF(ISBLANK(A287),,IF(COUNTIF('Coder-1'!$A:$A,"="&amp;A287)=0,,COUNTIF('Coder-1'!$A:$A,"="&amp;A287)))</f>
        <v>0</v>
      </c>
      <c r="C287" s="4">
        <f>IF(ISBLANK(A287),,IF(COUNTIF('Coder-2'!$A:$A,"="&amp;A287)=0,,COUNTIF('Coder-2'!$A:$A,"="&amp;A287)))</f>
        <v>0</v>
      </c>
    </row>
    <row r="288" spans="1:3">
      <c r="A288" s="7"/>
      <c r="B288" s="4">
        <f>IF(ISBLANK(A288),,IF(COUNTIF('Coder-1'!$A:$A,"="&amp;A288)=0,,COUNTIF('Coder-1'!$A:$A,"="&amp;A288)))</f>
        <v>0</v>
      </c>
      <c r="C288" s="4">
        <f>IF(ISBLANK(A288),,IF(COUNTIF('Coder-2'!$A:$A,"="&amp;A288)=0,,COUNTIF('Coder-2'!$A:$A,"="&amp;A288)))</f>
        <v>0</v>
      </c>
    </row>
    <row r="289" spans="1:3">
      <c r="A289" s="7"/>
      <c r="B289" s="4">
        <f>IF(ISBLANK(A289),,IF(COUNTIF('Coder-1'!$A:$A,"="&amp;A289)=0,,COUNTIF('Coder-1'!$A:$A,"="&amp;A289)))</f>
        <v>0</v>
      </c>
      <c r="C289" s="4">
        <f>IF(ISBLANK(A289),,IF(COUNTIF('Coder-2'!$A:$A,"="&amp;A289)=0,,COUNTIF('Coder-2'!$A:$A,"="&amp;A289)))</f>
        <v>0</v>
      </c>
    </row>
    <row r="290" spans="1:3">
      <c r="A290" s="7"/>
      <c r="B290" s="4">
        <f>IF(ISBLANK(A290),,IF(COUNTIF('Coder-1'!$A:$A,"="&amp;A290)=0,,COUNTIF('Coder-1'!$A:$A,"="&amp;A290)))</f>
        <v>0</v>
      </c>
      <c r="C290" s="4">
        <f>IF(ISBLANK(A290),,IF(COUNTIF('Coder-2'!$A:$A,"="&amp;A290)=0,,COUNTIF('Coder-2'!$A:$A,"="&amp;A290)))</f>
        <v>0</v>
      </c>
    </row>
    <row r="291" spans="1:3">
      <c r="A291" s="7"/>
      <c r="B291" s="4">
        <f>IF(ISBLANK(A291),,IF(COUNTIF('Coder-1'!$A:$A,"="&amp;A291)=0,,COUNTIF('Coder-1'!$A:$A,"="&amp;A291)))</f>
        <v>0</v>
      </c>
      <c r="C291" s="4">
        <f>IF(ISBLANK(A291),,IF(COUNTIF('Coder-2'!$A:$A,"="&amp;A291)=0,,COUNTIF('Coder-2'!$A:$A,"="&amp;A291)))</f>
        <v>0</v>
      </c>
    </row>
    <row r="292" spans="1:3">
      <c r="A292" s="7"/>
      <c r="B292" s="4">
        <f>IF(ISBLANK(A292),,IF(COUNTIF('Coder-1'!$A:$A,"="&amp;A292)=0,,COUNTIF('Coder-1'!$A:$A,"="&amp;A292)))</f>
        <v>0</v>
      </c>
      <c r="C292" s="4">
        <f>IF(ISBLANK(A292),,IF(COUNTIF('Coder-2'!$A:$A,"="&amp;A292)=0,,COUNTIF('Coder-2'!$A:$A,"="&amp;A292)))</f>
        <v>0</v>
      </c>
    </row>
    <row r="293" spans="1:3">
      <c r="A293" s="7"/>
      <c r="B293" s="4">
        <f>IF(ISBLANK(A293),,IF(COUNTIF('Coder-1'!$A:$A,"="&amp;A293)=0,,COUNTIF('Coder-1'!$A:$A,"="&amp;A293)))</f>
        <v>0</v>
      </c>
      <c r="C293" s="4">
        <f>IF(ISBLANK(A293),,IF(COUNTIF('Coder-2'!$A:$A,"="&amp;A293)=0,,COUNTIF('Coder-2'!$A:$A,"="&amp;A293)))</f>
        <v>0</v>
      </c>
    </row>
    <row r="294" spans="1:3">
      <c r="A294" s="7"/>
      <c r="B294" s="4">
        <f>IF(ISBLANK(A294),,IF(COUNTIF('Coder-1'!$A:$A,"="&amp;A294)=0,,COUNTIF('Coder-1'!$A:$A,"="&amp;A294)))</f>
        <v>0</v>
      </c>
      <c r="C294" s="4">
        <f>IF(ISBLANK(A294),,IF(COUNTIF('Coder-2'!$A:$A,"="&amp;A294)=0,,COUNTIF('Coder-2'!$A:$A,"="&amp;A294)))</f>
        <v>0</v>
      </c>
    </row>
    <row r="295" spans="1:3">
      <c r="A295" s="7"/>
      <c r="B295" s="4">
        <f>IF(ISBLANK(A295),,IF(COUNTIF('Coder-1'!$A:$A,"="&amp;A295)=0,,COUNTIF('Coder-1'!$A:$A,"="&amp;A295)))</f>
        <v>0</v>
      </c>
      <c r="C295" s="4">
        <f>IF(ISBLANK(A295),,IF(COUNTIF('Coder-2'!$A:$A,"="&amp;A295)=0,,COUNTIF('Coder-2'!$A:$A,"="&amp;A295)))</f>
        <v>0</v>
      </c>
    </row>
    <row r="296" spans="1:3">
      <c r="A296" s="7"/>
      <c r="B296" s="4">
        <f>IF(ISBLANK(A296),,IF(COUNTIF('Coder-1'!$A:$A,"="&amp;A296)=0,,COUNTIF('Coder-1'!$A:$A,"="&amp;A296)))</f>
        <v>0</v>
      </c>
      <c r="C296" s="4">
        <f>IF(ISBLANK(A296),,IF(COUNTIF('Coder-2'!$A:$A,"="&amp;A296)=0,,COUNTIF('Coder-2'!$A:$A,"="&amp;A296)))</f>
        <v>0</v>
      </c>
    </row>
    <row r="297" spans="1:3">
      <c r="A297" s="7"/>
      <c r="B297" s="4">
        <f>IF(ISBLANK(A297),,IF(COUNTIF('Coder-1'!$A:$A,"="&amp;A297)=0,,COUNTIF('Coder-1'!$A:$A,"="&amp;A297)))</f>
        <v>0</v>
      </c>
      <c r="C297" s="4">
        <f>IF(ISBLANK(A297),,IF(COUNTIF('Coder-2'!$A:$A,"="&amp;A297)=0,,COUNTIF('Coder-2'!$A:$A,"="&amp;A297)))</f>
        <v>0</v>
      </c>
    </row>
    <row r="298" spans="1:3">
      <c r="A298" s="7"/>
      <c r="B298" s="4">
        <f>IF(ISBLANK(A298),,IF(COUNTIF('Coder-1'!$A:$A,"="&amp;A298)=0,,COUNTIF('Coder-1'!$A:$A,"="&amp;A298)))</f>
        <v>0</v>
      </c>
      <c r="C298" s="4">
        <f>IF(ISBLANK(A298),,IF(COUNTIF('Coder-2'!$A:$A,"="&amp;A298)=0,,COUNTIF('Coder-2'!$A:$A,"="&amp;A298)))</f>
        <v>0</v>
      </c>
    </row>
    <row r="299" spans="1:3">
      <c r="A299" s="7"/>
      <c r="B299" s="4">
        <f>IF(ISBLANK(A299),,IF(COUNTIF('Coder-1'!$A:$A,"="&amp;A299)=0,,COUNTIF('Coder-1'!$A:$A,"="&amp;A299)))</f>
        <v>0</v>
      </c>
      <c r="C299" s="4">
        <f>IF(ISBLANK(A299),,IF(COUNTIF('Coder-2'!$A:$A,"="&amp;A299)=0,,COUNTIF('Coder-2'!$A:$A,"="&amp;A299)))</f>
        <v>0</v>
      </c>
    </row>
    <row r="300" spans="1:3">
      <c r="A300" s="7"/>
      <c r="B300" s="4">
        <f>IF(ISBLANK(A300),,IF(COUNTIF('Coder-1'!$A:$A,"="&amp;A300)=0,,COUNTIF('Coder-1'!$A:$A,"="&amp;A300)))</f>
        <v>0</v>
      </c>
      <c r="C300" s="4">
        <f>IF(ISBLANK(A300),,IF(COUNTIF('Coder-2'!$A:$A,"="&amp;A300)=0,,COUNTIF('Coder-2'!$A:$A,"="&amp;A300)))</f>
        <v>0</v>
      </c>
    </row>
    <row r="301" spans="1:3">
      <c r="A301" s="7"/>
      <c r="B301" s="4">
        <f>IF(ISBLANK(A301),,IF(COUNTIF('Coder-1'!$A:$A,"="&amp;A301)=0,,COUNTIF('Coder-1'!$A:$A,"="&amp;A301)))</f>
        <v>0</v>
      </c>
      <c r="C301" s="4">
        <f>IF(ISBLANK(A301),,IF(COUNTIF('Coder-2'!$A:$A,"="&amp;A301)=0,,COUNTIF('Coder-2'!$A:$A,"="&amp;A301)))</f>
        <v>0</v>
      </c>
    </row>
    <row r="302" spans="1:3">
      <c r="A302" s="7"/>
      <c r="B302" s="4">
        <f>IF(ISBLANK(A302),,IF(COUNTIF('Coder-1'!$A:$A,"="&amp;A302)=0,,COUNTIF('Coder-1'!$A:$A,"="&amp;A302)))</f>
        <v>0</v>
      </c>
      <c r="C302" s="4">
        <f>IF(ISBLANK(A302),,IF(COUNTIF('Coder-2'!$A:$A,"="&amp;A302)=0,,COUNTIF('Coder-2'!$A:$A,"="&amp;A302)))</f>
        <v>0</v>
      </c>
    </row>
    <row r="303" spans="1:3">
      <c r="A303" s="7"/>
      <c r="B303" s="4">
        <f>IF(ISBLANK(A303),,IF(COUNTIF('Coder-1'!$A:$A,"="&amp;A303)=0,,COUNTIF('Coder-1'!$A:$A,"="&amp;A303)))</f>
        <v>0</v>
      </c>
      <c r="C303" s="4">
        <f>IF(ISBLANK(A303),,IF(COUNTIF('Coder-2'!$A:$A,"="&amp;A303)=0,,COUNTIF('Coder-2'!$A:$A,"="&amp;A303)))</f>
        <v>0</v>
      </c>
    </row>
    <row r="304" spans="1:3">
      <c r="A304" s="7"/>
      <c r="B304" s="4">
        <f>IF(ISBLANK(A304),,IF(COUNTIF('Coder-1'!$A:$A,"="&amp;A304)=0,,COUNTIF('Coder-1'!$A:$A,"="&amp;A304)))</f>
        <v>0</v>
      </c>
      <c r="C304" s="4">
        <f>IF(ISBLANK(A304),,IF(COUNTIF('Coder-2'!$A:$A,"="&amp;A304)=0,,COUNTIF('Coder-2'!$A:$A,"="&amp;A304)))</f>
        <v>0</v>
      </c>
    </row>
    <row r="305" spans="1:3">
      <c r="A305" s="7"/>
      <c r="B305" s="4">
        <f>IF(ISBLANK(A305),,IF(COUNTIF('Coder-1'!$A:$A,"="&amp;A305)=0,,COUNTIF('Coder-1'!$A:$A,"="&amp;A305)))</f>
        <v>0</v>
      </c>
      <c r="C305" s="4">
        <f>IF(ISBLANK(A305),,IF(COUNTIF('Coder-2'!$A:$A,"="&amp;A305)=0,,COUNTIF('Coder-2'!$A:$A,"="&amp;A305)))</f>
        <v>0</v>
      </c>
    </row>
    <row r="306" spans="1:3">
      <c r="A306" s="7"/>
      <c r="B306" s="4">
        <f>IF(ISBLANK(A306),,IF(COUNTIF('Coder-1'!$A:$A,"="&amp;A306)=0,,COUNTIF('Coder-1'!$A:$A,"="&amp;A306)))</f>
        <v>0</v>
      </c>
      <c r="C306" s="4">
        <f>IF(ISBLANK(A306),,IF(COUNTIF('Coder-2'!$A:$A,"="&amp;A306)=0,,COUNTIF('Coder-2'!$A:$A,"="&amp;A306)))</f>
        <v>0</v>
      </c>
    </row>
    <row r="307" spans="1:3">
      <c r="A307" s="7"/>
      <c r="B307" s="4">
        <f>IF(ISBLANK(A307),,IF(COUNTIF('Coder-1'!$A:$A,"="&amp;A307)=0,,COUNTIF('Coder-1'!$A:$A,"="&amp;A307)))</f>
        <v>0</v>
      </c>
      <c r="C307" s="4">
        <f>IF(ISBLANK(A307),,IF(COUNTIF('Coder-2'!$A:$A,"="&amp;A307)=0,,COUNTIF('Coder-2'!$A:$A,"="&amp;A307)))</f>
        <v>0</v>
      </c>
    </row>
    <row r="308" spans="1:3">
      <c r="A308" s="7"/>
      <c r="B308" s="4">
        <f>IF(ISBLANK(A308),,IF(COUNTIF('Coder-1'!$A:$A,"="&amp;A308)=0,,COUNTIF('Coder-1'!$A:$A,"="&amp;A308)))</f>
        <v>0</v>
      </c>
      <c r="C308" s="4">
        <f>IF(ISBLANK(A308),,IF(COUNTIF('Coder-2'!$A:$A,"="&amp;A308)=0,,COUNTIF('Coder-2'!$A:$A,"="&amp;A308)))</f>
        <v>0</v>
      </c>
    </row>
    <row r="309" spans="1:3">
      <c r="A309" s="7"/>
      <c r="B309" s="4">
        <f>IF(ISBLANK(A309),,IF(COUNTIF('Coder-1'!$A:$A,"="&amp;A309)=0,,COUNTIF('Coder-1'!$A:$A,"="&amp;A309)))</f>
        <v>0</v>
      </c>
      <c r="C309" s="4">
        <f>IF(ISBLANK(A309),,IF(COUNTIF('Coder-2'!$A:$A,"="&amp;A309)=0,,COUNTIF('Coder-2'!$A:$A,"="&amp;A309)))</f>
        <v>0</v>
      </c>
    </row>
    <row r="310" spans="1:3">
      <c r="A310" s="7"/>
      <c r="B310" s="4">
        <f>IF(ISBLANK(A310),,IF(COUNTIF('Coder-1'!$A:$A,"="&amp;A310)=0,,COUNTIF('Coder-1'!$A:$A,"="&amp;A310)))</f>
        <v>0</v>
      </c>
      <c r="C310" s="4">
        <f>IF(ISBLANK(A310),,IF(COUNTIF('Coder-2'!$A:$A,"="&amp;A310)=0,,COUNTIF('Coder-2'!$A:$A,"="&amp;A310)))</f>
        <v>0</v>
      </c>
    </row>
    <row r="311" spans="1:3">
      <c r="A311" s="7"/>
    </row>
    <row r="312" spans="1:3">
      <c r="A312" s="7"/>
    </row>
    <row r="313" spans="1:3">
      <c r="A313" s="7"/>
    </row>
    <row r="314" spans="1:3">
      <c r="A314" s="7"/>
    </row>
    <row r="315" spans="1:3">
      <c r="A315" s="7"/>
    </row>
    <row r="316" spans="1:3">
      <c r="A316" s="7"/>
    </row>
    <row r="317" spans="1:3">
      <c r="A317" s="7"/>
    </row>
    <row r="318" spans="1:3">
      <c r="A318" s="7"/>
    </row>
    <row r="319" spans="1:3">
      <c r="A319" s="7"/>
    </row>
    <row r="320" spans="1:3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  <row r="937" spans="1:1">
      <c r="A937" s="7"/>
    </row>
    <row r="938" spans="1:1">
      <c r="A938" s="7"/>
    </row>
    <row r="939" spans="1:1">
      <c r="A939" s="7"/>
    </row>
    <row r="940" spans="1:1">
      <c r="A940" s="7"/>
    </row>
    <row r="941" spans="1:1">
      <c r="A941" s="7"/>
    </row>
    <row r="942" spans="1:1">
      <c r="A942" s="7"/>
    </row>
    <row r="943" spans="1:1">
      <c r="A943" s="7"/>
    </row>
    <row r="944" spans="1:1">
      <c r="A944" s="7"/>
    </row>
    <row r="945" spans="1:1">
      <c r="A945" s="7"/>
    </row>
    <row r="946" spans="1:1">
      <c r="A946" s="7"/>
    </row>
    <row r="947" spans="1:1">
      <c r="A947" s="7"/>
    </row>
    <row r="948" spans="1:1">
      <c r="A948" s="7"/>
    </row>
    <row r="949" spans="1:1">
      <c r="A949" s="7"/>
    </row>
    <row r="950" spans="1:1">
      <c r="A950" s="7"/>
    </row>
    <row r="951" spans="1:1">
      <c r="A951" s="7"/>
    </row>
    <row r="952" spans="1:1">
      <c r="A952" s="7"/>
    </row>
    <row r="953" spans="1:1">
      <c r="A953" s="7"/>
    </row>
    <row r="954" spans="1:1">
      <c r="A954" s="7"/>
    </row>
    <row r="955" spans="1:1">
      <c r="A955" s="7"/>
    </row>
    <row r="956" spans="1:1">
      <c r="A956" s="7"/>
    </row>
    <row r="957" spans="1:1">
      <c r="A957" s="7"/>
    </row>
    <row r="958" spans="1:1">
      <c r="A958" s="7"/>
    </row>
    <row r="959" spans="1:1">
      <c r="A959" s="7"/>
    </row>
    <row r="960" spans="1:1">
      <c r="A960" s="7"/>
    </row>
    <row r="961" spans="1:1">
      <c r="A961" s="7"/>
    </row>
    <row r="962" spans="1:1">
      <c r="A962" s="7"/>
    </row>
    <row r="963" spans="1:1">
      <c r="A963" s="7"/>
    </row>
    <row r="964" spans="1:1">
      <c r="A964" s="7"/>
    </row>
    <row r="965" spans="1:1">
      <c r="A965" s="7"/>
    </row>
    <row r="966" spans="1:1">
      <c r="A966" s="7"/>
    </row>
    <row r="967" spans="1:1">
      <c r="A967" s="7"/>
    </row>
    <row r="968" spans="1:1">
      <c r="A968" s="7"/>
    </row>
    <row r="969" spans="1:1">
      <c r="A969" s="7"/>
    </row>
    <row r="970" spans="1:1">
      <c r="A970" s="7"/>
    </row>
    <row r="971" spans="1:1">
      <c r="A971" s="7"/>
    </row>
    <row r="972" spans="1:1">
      <c r="A972" s="7"/>
    </row>
    <row r="973" spans="1:1">
      <c r="A973" s="7"/>
    </row>
    <row r="974" spans="1:1">
      <c r="A974" s="7"/>
    </row>
    <row r="975" spans="1:1">
      <c r="A975" s="7"/>
    </row>
    <row r="976" spans="1:1">
      <c r="A976" s="7"/>
    </row>
    <row r="977" spans="1:1">
      <c r="A977" s="7"/>
    </row>
    <row r="978" spans="1:1">
      <c r="A978" s="7"/>
    </row>
    <row r="979" spans="1:1">
      <c r="A979" s="7"/>
    </row>
    <row r="980" spans="1:1">
      <c r="A980" s="7"/>
    </row>
    <row r="981" spans="1:1">
      <c r="A981" s="7"/>
    </row>
    <row r="982" spans="1:1">
      <c r="A982" s="7"/>
    </row>
    <row r="983" spans="1:1">
      <c r="A983" s="7"/>
    </row>
    <row r="984" spans="1:1">
      <c r="A984" s="7"/>
    </row>
    <row r="985" spans="1:1">
      <c r="A985" s="7"/>
    </row>
    <row r="986" spans="1:1">
      <c r="A986" s="7"/>
    </row>
    <row r="987" spans="1:1">
      <c r="A987" s="7"/>
    </row>
    <row r="988" spans="1:1">
      <c r="A988" s="7"/>
    </row>
    <row r="989" spans="1:1">
      <c r="A989" s="7"/>
    </row>
    <row r="990" spans="1:1">
      <c r="A990" s="7"/>
    </row>
    <row r="991" spans="1:1">
      <c r="A991" s="7"/>
    </row>
    <row r="992" spans="1:1">
      <c r="A992" s="7"/>
    </row>
    <row r="993" spans="1:1">
      <c r="A993" s="7"/>
    </row>
    <row r="994" spans="1:1">
      <c r="A994" s="7"/>
    </row>
    <row r="995" spans="1:1">
      <c r="A995" s="7"/>
    </row>
    <row r="996" spans="1:1">
      <c r="A996" s="7"/>
    </row>
    <row r="997" spans="1:1">
      <c r="A997" s="7"/>
    </row>
    <row r="998" spans="1:1">
      <c r="A998" s="7"/>
    </row>
    <row r="999" spans="1:1">
      <c r="A999" s="7"/>
    </row>
    <row r="1000" spans="1:1">
      <c r="A1000" s="7"/>
    </row>
    <row r="1001" spans="1:1">
      <c r="A1001" s="7"/>
    </row>
    <row r="1002" spans="1:1">
      <c r="A1002" s="7"/>
    </row>
  </sheetData>
  <phoneticPr fontId="18" type="noConversion"/>
  <conditionalFormatting sqref="A2">
    <cfRule type="expression" dxfId="42" priority="1">
      <formula>$A2 = TODAY()</formula>
    </cfRule>
  </conditionalFormatting>
  <conditionalFormatting sqref="B1:E1">
    <cfRule type="expression" dxfId="41" priority="2">
      <formula>$A2 = TODAY()</formula>
    </cfRule>
  </conditionalFormatting>
  <conditionalFormatting sqref="H10">
    <cfRule type="expression" dxfId="40" priority="3">
      <formula>$A9 = TODAY()</formula>
    </cfRule>
  </conditionalFormatting>
  <conditionalFormatting sqref="F1:F1002 H1:H8 I1:Z1002 G2:G1002 A3:E1002 H11:H1002">
    <cfRule type="expression" dxfId="39" priority="4">
      <formula>$A1 = 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E1" sqref="E1"/>
    </sheetView>
  </sheetViews>
  <sheetFormatPr defaultColWidth="14.42578125" defaultRowHeight="15.75" customHeight="1"/>
  <cols>
    <col min="3" max="3" width="22.7109375" customWidth="1"/>
    <col min="6" max="6" width="14.42578125" hidden="1"/>
  </cols>
  <sheetData>
    <row r="1" spans="1:31">
      <c r="A1" s="77" t="s">
        <v>2821</v>
      </c>
      <c r="B1" s="76" t="s">
        <v>2820</v>
      </c>
      <c r="C1" s="8" t="s">
        <v>3</v>
      </c>
      <c r="D1" s="10" t="str">
        <f ca="1">IFERROR(__xludf.DUMMYFUNCTION("IF(COUNTUNIQUE(B3:B1000)&gt;0,COUNTUNIQUE(B3:B1000),)"),"")</f>
        <v/>
      </c>
      <c r="E1" s="8" t="s">
        <v>4</v>
      </c>
      <c r="F1" s="8"/>
      <c r="G1" s="8"/>
      <c r="H1" s="8"/>
      <c r="I1" s="8"/>
      <c r="J1" s="11"/>
      <c r="K1" s="12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>
      <c r="A2" s="13" t="s">
        <v>5</v>
      </c>
      <c r="B2" s="8" t="s">
        <v>6</v>
      </c>
      <c r="C2" s="14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15"/>
      <c r="K2" s="8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>
      <c r="A3" s="16"/>
      <c r="B3" s="17"/>
      <c r="C3" s="18" t="str">
        <f ca="1">IFERROR(__xludf.DUMMYFUNCTION("IF(ISBLANK(B3),,IFERROR(FILTER('Leetcode分类顺序表'!B:G,'Leetcode分类顺序表'!A:A = B3),IFERROR(FILTER(Algoexpert.io!B:D,Algoexpert.io!A:A = B3),FILTER('Leetcode List'!B:G,'Leetcode List'!A:A = B3))))"),"")</f>
        <v/>
      </c>
      <c r="D3" s="18"/>
      <c r="E3" s="18"/>
      <c r="F3" s="18"/>
      <c r="G3" s="18"/>
      <c r="H3" s="18"/>
      <c r="I3" s="18">
        <f t="shared" ref="I3:I211" si="0">IF(ISBLANK(B3),,COUNTIF(B:B,"="&amp;B3)-1)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1">
      <c r="A4" s="16"/>
      <c r="B4" s="17"/>
      <c r="C4" s="18" t="str">
        <f ca="1">IFERROR(__xludf.DUMMYFUNCTION("IF(ISBLANK(B4),,IFERROR(FILTER('Leetcode分类顺序表'!B:G,'Leetcode分类顺序表'!A:A = B4),IFERROR(FILTER(Algoexpert.io!B:D,Algoexpert.io!A:A = B4),FILTER('Leetcode List'!B:G,'Leetcode List'!A:A = B4))))"),"")</f>
        <v/>
      </c>
      <c r="D4" s="18"/>
      <c r="E4" s="18"/>
      <c r="F4" s="18"/>
      <c r="G4" s="18"/>
      <c r="H4" s="18"/>
      <c r="I4" s="18">
        <f t="shared" si="0"/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1">
      <c r="A5" s="16"/>
      <c r="B5" s="17"/>
      <c r="C5" s="18" t="str">
        <f ca="1">IFERROR(__xludf.DUMMYFUNCTION("IF(ISBLANK(B5),,IFERROR(FILTER('Leetcode分类顺序表'!B:G,'Leetcode分类顺序表'!A:A = B5),IFERROR(FILTER(Algoexpert.io!B:D,Algoexpert.io!A:A = B5),FILTER('Leetcode List'!B:G,'Leetcode List'!A:A = B5))))"),"")</f>
        <v/>
      </c>
      <c r="D5" s="18"/>
      <c r="E5" s="18"/>
      <c r="F5" s="18"/>
      <c r="G5" s="18"/>
      <c r="H5" s="18"/>
      <c r="I5" s="18">
        <f t="shared" si="0"/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1">
      <c r="A6" s="16"/>
      <c r="B6" s="17"/>
      <c r="C6" s="18" t="str">
        <f ca="1">IFERROR(__xludf.DUMMYFUNCTION("IF(ISBLANK(B6),,IFERROR(FILTER('Leetcode分类顺序表'!B:G,'Leetcode分类顺序表'!A:A = B6),IFERROR(FILTER(Algoexpert.io!B:D,Algoexpert.io!A:A = B6),FILTER('Leetcode List'!B:G,'Leetcode List'!A:A = B6))))"),"")</f>
        <v/>
      </c>
      <c r="D6" s="18"/>
      <c r="E6" s="18"/>
      <c r="F6" s="18"/>
      <c r="G6" s="18"/>
      <c r="H6" s="18"/>
      <c r="I6" s="18">
        <f t="shared" si="0"/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>
      <c r="A7" s="16"/>
      <c r="B7" s="17"/>
      <c r="C7" s="18" t="str">
        <f ca="1">IFERROR(__xludf.DUMMYFUNCTION("IF(ISBLANK(B7),,IFERROR(FILTER('Leetcode分类顺序表'!B:G,'Leetcode分类顺序表'!A:A = B7),IFERROR(FILTER(Algoexpert.io!B:D,Algoexpert.io!A:A = B7),FILTER('Leetcode List'!B:G,'Leetcode List'!A:A = B7))))"),"")</f>
        <v/>
      </c>
      <c r="D7" s="18"/>
      <c r="E7" s="18"/>
      <c r="F7" s="18"/>
      <c r="G7" s="18"/>
      <c r="H7" s="18"/>
      <c r="I7" s="18">
        <f t="shared" si="0"/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>
      <c r="A8" s="16"/>
      <c r="B8" s="17"/>
      <c r="C8" s="18" t="str">
        <f ca="1">IFERROR(__xludf.DUMMYFUNCTION("IF(ISBLANK(B8),,IFERROR(FILTER('Leetcode分类顺序表'!B:G,'Leetcode分类顺序表'!A:A = B8),IFERROR(FILTER(Algoexpert.io!B:D,Algoexpert.io!A:A = B8),FILTER('Leetcode List'!B:G,'Leetcode List'!A:A = B8))))"),"")</f>
        <v/>
      </c>
      <c r="D8" s="18"/>
      <c r="E8" s="18"/>
      <c r="F8" s="18"/>
      <c r="G8" s="18"/>
      <c r="H8" s="18"/>
      <c r="I8" s="18">
        <f t="shared" si="0"/>
        <v>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>
      <c r="A9" s="16"/>
      <c r="B9" s="17"/>
      <c r="C9" s="18" t="str">
        <f ca="1">IFERROR(__xludf.DUMMYFUNCTION("IF(ISBLANK(B9),,IFERROR(FILTER('Leetcode分类顺序表'!B:G,'Leetcode分类顺序表'!A:A = B9),IFERROR(FILTER(Algoexpert.io!B:D,Algoexpert.io!A:A = B9),FILTER('Leetcode List'!B:G,'Leetcode List'!A:A = B9))))"),"")</f>
        <v/>
      </c>
      <c r="D9" s="18"/>
      <c r="E9" s="18"/>
      <c r="F9" s="18"/>
      <c r="G9" s="18"/>
      <c r="H9" s="18"/>
      <c r="I9" s="18">
        <f t="shared" si="0"/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>
      <c r="A10" s="16"/>
      <c r="B10" s="17"/>
      <c r="C10" s="18" t="str">
        <f ca="1">IFERROR(__xludf.DUMMYFUNCTION("IF(ISBLANK(B10),,IFERROR(FILTER('Leetcode分类顺序表'!B:G,'Leetcode分类顺序表'!A:A = B10),IFERROR(FILTER(Algoexpert.io!B:D,Algoexpert.io!A:A = B10),FILTER('Leetcode List'!B:G,'Leetcode List'!A:A = B10))))"),"")</f>
        <v/>
      </c>
      <c r="D10" s="18"/>
      <c r="E10" s="18"/>
      <c r="F10" s="18"/>
      <c r="G10" s="18"/>
      <c r="H10" s="18"/>
      <c r="I10" s="18">
        <f t="shared" si="0"/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>
      <c r="A11" s="16"/>
      <c r="B11" s="17"/>
      <c r="C11" s="18" t="str">
        <f ca="1">IFERROR(__xludf.DUMMYFUNCTION("IF(ISBLANK(B11),,IFERROR(FILTER('Leetcode分类顺序表'!B:G,'Leetcode分类顺序表'!A:A = B11),IFERROR(FILTER(Algoexpert.io!B:D,Algoexpert.io!A:A = B11),FILTER('Leetcode List'!B:G,'Leetcode List'!A:A = B11))))"),"")</f>
        <v/>
      </c>
      <c r="D11" s="18"/>
      <c r="E11" s="18"/>
      <c r="F11" s="18"/>
      <c r="G11" s="18"/>
      <c r="H11" s="18"/>
      <c r="I11" s="18">
        <f t="shared" si="0"/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1">
      <c r="A12" s="16"/>
      <c r="B12" s="17"/>
      <c r="C12" s="18" t="str">
        <f ca="1">IFERROR(__xludf.DUMMYFUNCTION("IF(ISBLANK(B12),,IFERROR(FILTER('Leetcode分类顺序表'!B:G,'Leetcode分类顺序表'!A:A = B12),IFERROR(FILTER(Algoexpert.io!B:D,Algoexpert.io!A:A = B12),FILTER('Leetcode List'!B:G,'Leetcode List'!A:A = B12))))"),"")</f>
        <v/>
      </c>
      <c r="D12" s="18"/>
      <c r="E12" s="18"/>
      <c r="F12" s="18"/>
      <c r="G12" s="18"/>
      <c r="H12" s="18"/>
      <c r="I12" s="18">
        <f t="shared" si="0"/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1">
      <c r="A13" s="16"/>
      <c r="B13" s="17"/>
      <c r="C13" s="18" t="str">
        <f ca="1">IFERROR(__xludf.DUMMYFUNCTION("IF(ISBLANK(B13),,IFERROR(FILTER('Leetcode分类顺序表'!B:G,'Leetcode分类顺序表'!A:A = B13),IFERROR(FILTER(Algoexpert.io!B:D,Algoexpert.io!A:A = B13),FILTER('Leetcode List'!B:G,'Leetcode List'!A:A = B13))))"),"")</f>
        <v/>
      </c>
      <c r="D13" s="18"/>
      <c r="E13" s="18"/>
      <c r="F13" s="18"/>
      <c r="G13" s="18"/>
      <c r="H13" s="18"/>
      <c r="I13" s="18">
        <f t="shared" si="0"/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>
      <c r="A14" s="16"/>
      <c r="B14" s="17"/>
      <c r="C14" s="18" t="str">
        <f ca="1">IFERROR(__xludf.DUMMYFUNCTION("IF(ISBLANK(B14),,IFERROR(FILTER('Leetcode分类顺序表'!B:G,'Leetcode分类顺序表'!A:A = B14),IFERROR(FILTER(Algoexpert.io!B:D,Algoexpert.io!A:A = B14),FILTER('Leetcode List'!B:G,'Leetcode List'!A:A = B14))))"),"")</f>
        <v/>
      </c>
      <c r="D14" s="18"/>
      <c r="E14" s="18"/>
      <c r="F14" s="18"/>
      <c r="G14" s="18"/>
      <c r="H14" s="18"/>
      <c r="I14" s="18">
        <f t="shared" si="0"/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1">
      <c r="A15" s="16"/>
      <c r="B15" s="17"/>
      <c r="C15" s="18" t="str">
        <f ca="1">IFERROR(__xludf.DUMMYFUNCTION("IF(ISBLANK(B15),,IFERROR(FILTER('Leetcode分类顺序表'!B:G,'Leetcode分类顺序表'!A:A = B15),IFERROR(FILTER(Algoexpert.io!B:D,Algoexpert.io!A:A = B15),FILTER('Leetcode List'!B:G,'Leetcode List'!A:A = B15))))"),"")</f>
        <v/>
      </c>
      <c r="D15" s="18"/>
      <c r="E15" s="18"/>
      <c r="F15" s="18"/>
      <c r="G15" s="18"/>
      <c r="H15" s="18"/>
      <c r="I15" s="18">
        <f t="shared" si="0"/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31">
      <c r="A16" s="16"/>
      <c r="B16" s="17"/>
      <c r="C16" s="18" t="str">
        <f ca="1">IFERROR(__xludf.DUMMYFUNCTION("IF(ISBLANK(B16),,IFERROR(FILTER('Leetcode分类顺序表'!B:G,'Leetcode分类顺序表'!A:A = B16),IFERROR(FILTER(Algoexpert.io!B:D,Algoexpert.io!A:A = B16),FILTER('Leetcode List'!B:G,'Leetcode List'!A:A = B16))))"),"")</f>
        <v/>
      </c>
      <c r="D16" s="18"/>
      <c r="E16" s="18"/>
      <c r="F16" s="18"/>
      <c r="G16" s="18"/>
      <c r="H16" s="18"/>
      <c r="I16" s="18">
        <f t="shared" si="0"/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>
      <c r="A17" s="16"/>
      <c r="B17" s="17"/>
      <c r="C17" s="18" t="str">
        <f ca="1">IFERROR(__xludf.DUMMYFUNCTION("IF(ISBLANK(B17),,IFERROR(FILTER('Leetcode分类顺序表'!B:G,'Leetcode分类顺序表'!A:A = B17),IFERROR(FILTER(Algoexpert.io!B:D,Algoexpert.io!A:A = B17),FILTER('Leetcode List'!B:G,'Leetcode List'!A:A = B17))))"),"")</f>
        <v/>
      </c>
      <c r="D17" s="18"/>
      <c r="E17" s="18"/>
      <c r="F17" s="18"/>
      <c r="G17" s="18"/>
      <c r="H17" s="18"/>
      <c r="I17" s="18">
        <f t="shared" si="0"/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>
      <c r="A18" s="16"/>
      <c r="B18" s="17"/>
      <c r="C18" s="18" t="str">
        <f ca="1">IFERROR(__xludf.DUMMYFUNCTION("IF(ISBLANK(B18),,IFERROR(FILTER('Leetcode分类顺序表'!B:G,'Leetcode分类顺序表'!A:A = B18),IFERROR(FILTER(Algoexpert.io!B:D,Algoexpert.io!A:A = B18),FILTER('Leetcode List'!B:G,'Leetcode List'!A:A = B18))))"),"")</f>
        <v/>
      </c>
      <c r="D18" s="18"/>
      <c r="E18" s="18"/>
      <c r="F18" s="18"/>
      <c r="G18" s="18"/>
      <c r="H18" s="18"/>
      <c r="I18" s="18">
        <f t="shared" si="0"/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>
      <c r="A19" s="16"/>
      <c r="B19" s="17"/>
      <c r="C19" s="18" t="str">
        <f ca="1">IFERROR(__xludf.DUMMYFUNCTION("IF(ISBLANK(B19),,IFERROR(FILTER('Leetcode分类顺序表'!B:G,'Leetcode分类顺序表'!A:A = B19),IFERROR(FILTER(Algoexpert.io!B:D,Algoexpert.io!A:A = B19),FILTER('Leetcode List'!B:G,'Leetcode List'!A:A = B19))))"),"")</f>
        <v/>
      </c>
      <c r="D19" s="18"/>
      <c r="E19" s="18"/>
      <c r="F19" s="18"/>
      <c r="G19" s="18"/>
      <c r="H19" s="18"/>
      <c r="I19" s="18">
        <f t="shared" si="0"/>
        <v>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spans="1:31">
      <c r="A20" s="16"/>
      <c r="B20" s="17"/>
      <c r="C20" s="18" t="str">
        <f ca="1">IFERROR(__xludf.DUMMYFUNCTION("IF(ISBLANK(B20),,IFERROR(FILTER('Leetcode分类顺序表'!B:G,'Leetcode分类顺序表'!A:A = B20),IFERROR(FILTER(Algoexpert.io!B:D,Algoexpert.io!A:A = B20),FILTER('Leetcode List'!B:G,'Leetcode List'!A:A = B20))))"),"")</f>
        <v/>
      </c>
      <c r="D20" s="18"/>
      <c r="E20" s="18"/>
      <c r="F20" s="18"/>
      <c r="G20" s="18"/>
      <c r="H20" s="18"/>
      <c r="I20" s="18">
        <f t="shared" si="0"/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1:31">
      <c r="A21" s="16"/>
      <c r="B21" s="17"/>
      <c r="C21" s="18" t="str">
        <f ca="1">IFERROR(__xludf.DUMMYFUNCTION("IF(ISBLANK(B21),,IFERROR(FILTER('Leetcode分类顺序表'!B:G,'Leetcode分类顺序表'!A:A = B21),IFERROR(FILTER(Algoexpert.io!B:D,Algoexpert.io!A:A = B21),FILTER('Leetcode List'!B:G,'Leetcode List'!A:A = B21))))"),"")</f>
        <v/>
      </c>
      <c r="D21" s="18"/>
      <c r="E21" s="18"/>
      <c r="F21" s="18"/>
      <c r="G21" s="18"/>
      <c r="H21" s="18"/>
      <c r="I21" s="18">
        <f t="shared" si="0"/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spans="1:31">
      <c r="A22" s="16"/>
      <c r="B22" s="17"/>
      <c r="C22" s="18" t="str">
        <f ca="1">IFERROR(__xludf.DUMMYFUNCTION("IF(ISBLANK(B22),,IFERROR(FILTER('Leetcode分类顺序表'!B:G,'Leetcode分类顺序表'!A:A = B22),IFERROR(FILTER(Algoexpert.io!B:D,Algoexpert.io!A:A = B22),FILTER('Leetcode List'!B:G,'Leetcode List'!A:A = B22))))"),"")</f>
        <v/>
      </c>
      <c r="D22" s="18"/>
      <c r="E22" s="18"/>
      <c r="F22" s="18"/>
      <c r="G22" s="18"/>
      <c r="H22" s="18"/>
      <c r="I22" s="18">
        <f t="shared" si="0"/>
        <v>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pans="1:31">
      <c r="A23" s="16"/>
      <c r="B23" s="17"/>
      <c r="C23" s="18" t="str">
        <f ca="1">IFERROR(__xludf.DUMMYFUNCTION("IF(ISBLANK(B23),,IFERROR(FILTER('Leetcode分类顺序表'!B:G,'Leetcode分类顺序表'!A:A = B23),IFERROR(FILTER(Algoexpert.io!B:D,Algoexpert.io!A:A = B23),FILTER('Leetcode List'!B:G,'Leetcode List'!A:A = B23))))"),"")</f>
        <v/>
      </c>
      <c r="D23" s="18"/>
      <c r="E23" s="18"/>
      <c r="F23" s="18"/>
      <c r="G23" s="18"/>
      <c r="H23" s="18"/>
      <c r="I23" s="18">
        <f t="shared" si="0"/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1">
      <c r="A24" s="16"/>
      <c r="B24" s="17"/>
      <c r="C24" s="18" t="str">
        <f ca="1">IFERROR(__xludf.DUMMYFUNCTION("IF(ISBLANK(B24),,IFERROR(FILTER('Leetcode分类顺序表'!B:G,'Leetcode分类顺序表'!A:A = B24),IFERROR(FILTER(Algoexpert.io!B:D,Algoexpert.io!A:A = B24),FILTER('Leetcode List'!B:G,'Leetcode List'!A:A = B24))))"),"")</f>
        <v/>
      </c>
      <c r="D24" s="18"/>
      <c r="E24" s="18"/>
      <c r="F24" s="18"/>
      <c r="G24" s="18"/>
      <c r="H24" s="18"/>
      <c r="I24" s="18">
        <f t="shared" si="0"/>
        <v>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1">
      <c r="A25" s="16"/>
      <c r="B25" s="17"/>
      <c r="C25" s="18" t="str">
        <f ca="1">IFERROR(__xludf.DUMMYFUNCTION("IF(ISBLANK(B25),,IFERROR(FILTER('Leetcode分类顺序表'!B:G,'Leetcode分类顺序表'!A:A = B25),IFERROR(FILTER(Algoexpert.io!B:D,Algoexpert.io!A:A = B25),FILTER('Leetcode List'!B:G,'Leetcode List'!A:A = B25))))"),"")</f>
        <v/>
      </c>
      <c r="D25" s="18"/>
      <c r="E25" s="18"/>
      <c r="F25" s="18"/>
      <c r="G25" s="18"/>
      <c r="H25" s="18"/>
      <c r="I25" s="18">
        <f t="shared" si="0"/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spans="1:31">
      <c r="A26" s="16"/>
      <c r="B26" s="17"/>
      <c r="C26" s="18" t="str">
        <f ca="1">IFERROR(__xludf.DUMMYFUNCTION("IF(ISBLANK(B26),,IFERROR(FILTER('Leetcode分类顺序表'!B:G,'Leetcode分类顺序表'!A:A = B26),IFERROR(FILTER(Algoexpert.io!B:D,Algoexpert.io!A:A = B26),FILTER('Leetcode List'!B:G,'Leetcode List'!A:A = B26))))"),"")</f>
        <v/>
      </c>
      <c r="D26" s="18"/>
      <c r="E26" s="18"/>
      <c r="F26" s="18"/>
      <c r="G26" s="18"/>
      <c r="H26" s="18"/>
      <c r="I26" s="18">
        <f t="shared" si="0"/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spans="1:31">
      <c r="A27" s="16"/>
      <c r="B27" s="17"/>
      <c r="C27" s="18" t="str">
        <f ca="1">IFERROR(__xludf.DUMMYFUNCTION("IF(ISBLANK(B27),,IFERROR(FILTER('Leetcode分类顺序表'!B:G,'Leetcode分类顺序表'!A:A = B27),IFERROR(FILTER(Algoexpert.io!B:D,Algoexpert.io!A:A = B27),FILTER('Leetcode List'!B:G,'Leetcode List'!A:A = B27))))"),"")</f>
        <v/>
      </c>
      <c r="D27" s="18"/>
      <c r="E27" s="18"/>
      <c r="F27" s="18"/>
      <c r="G27" s="18"/>
      <c r="H27" s="18"/>
      <c r="I27" s="18">
        <f t="shared" si="0"/>
        <v>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spans="1:31">
      <c r="A28" s="16"/>
      <c r="B28" s="17"/>
      <c r="C28" s="18" t="str">
        <f ca="1">IFERROR(__xludf.DUMMYFUNCTION("IF(ISBLANK(B28),,IFERROR(FILTER('Leetcode分类顺序表'!B:G,'Leetcode分类顺序表'!A:A = B28),IFERROR(FILTER(Algoexpert.io!B:D,Algoexpert.io!A:A = B28),FILTER('Leetcode List'!B:G,'Leetcode List'!A:A = B28))))"),"")</f>
        <v/>
      </c>
      <c r="D28" s="18"/>
      <c r="E28" s="18"/>
      <c r="F28" s="18"/>
      <c r="G28" s="18"/>
      <c r="H28" s="18"/>
      <c r="I28" s="18">
        <f t="shared" si="0"/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spans="1:31">
      <c r="A29" s="16"/>
      <c r="B29" s="17"/>
      <c r="C29" s="18" t="str">
        <f ca="1">IFERROR(__xludf.DUMMYFUNCTION("IF(ISBLANK(B29),,IFERROR(FILTER('Leetcode分类顺序表'!B:G,'Leetcode分类顺序表'!A:A = B29),IFERROR(FILTER(Algoexpert.io!B:D,Algoexpert.io!A:A = B29),FILTER('Leetcode List'!B:G,'Leetcode List'!A:A = B29))))"),"")</f>
        <v/>
      </c>
      <c r="D29" s="18"/>
      <c r="E29" s="18"/>
      <c r="F29" s="18"/>
      <c r="G29" s="18"/>
      <c r="H29" s="18"/>
      <c r="I29" s="18">
        <f t="shared" si="0"/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 spans="1:31">
      <c r="A30" s="16"/>
      <c r="B30" s="17"/>
      <c r="C30" s="18" t="str">
        <f ca="1">IFERROR(__xludf.DUMMYFUNCTION("IF(ISBLANK(B30),,IFERROR(FILTER('Leetcode分类顺序表'!B:G,'Leetcode分类顺序表'!A:A = B30),IFERROR(FILTER(Algoexpert.io!B:D,Algoexpert.io!A:A = B30),FILTER('Leetcode List'!B:G,'Leetcode List'!A:A = B30))))"),"")</f>
        <v/>
      </c>
      <c r="D30" s="18"/>
      <c r="E30" s="18"/>
      <c r="F30" s="18"/>
      <c r="G30" s="18"/>
      <c r="H30" s="18"/>
      <c r="I30" s="18">
        <f t="shared" si="0"/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 spans="1:31">
      <c r="A31" s="16"/>
      <c r="B31" s="17"/>
      <c r="C31" s="18" t="str">
        <f ca="1">IFERROR(__xludf.DUMMYFUNCTION("IF(ISBLANK(B31),,IFERROR(FILTER('Leetcode分类顺序表'!B:G,'Leetcode分类顺序表'!A:A = B31),IFERROR(FILTER(Algoexpert.io!B:D,Algoexpert.io!A:A = B31),FILTER('Leetcode List'!B:G,'Leetcode List'!A:A = B31))))"),"")</f>
        <v/>
      </c>
      <c r="D31" s="18"/>
      <c r="E31" s="18"/>
      <c r="F31" s="18"/>
      <c r="G31" s="18"/>
      <c r="H31" s="18"/>
      <c r="I31" s="18">
        <f t="shared" si="0"/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 spans="1:31">
      <c r="A32" s="16"/>
      <c r="B32" s="17"/>
      <c r="C32" s="18" t="str">
        <f ca="1">IFERROR(__xludf.DUMMYFUNCTION("IF(ISBLANK(B32),,IFERROR(FILTER('Leetcode分类顺序表'!B:G,'Leetcode分类顺序表'!A:A = B32),IFERROR(FILTER(Algoexpert.io!B:D,Algoexpert.io!A:A = B32),FILTER('Leetcode List'!B:G,'Leetcode List'!A:A = B32))))"),"")</f>
        <v/>
      </c>
      <c r="D32" s="18"/>
      <c r="E32" s="18"/>
      <c r="F32" s="18"/>
      <c r="G32" s="18"/>
      <c r="H32" s="18"/>
      <c r="I32" s="18">
        <f t="shared" si="0"/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31">
      <c r="A33" s="16"/>
      <c r="B33" s="17"/>
      <c r="C33" s="18" t="str">
        <f ca="1">IFERROR(__xludf.DUMMYFUNCTION("IF(ISBLANK(B33),,IFERROR(FILTER('Leetcode分类顺序表'!B:G,'Leetcode分类顺序表'!A:A = B33),IFERROR(FILTER(Algoexpert.io!B:D,Algoexpert.io!A:A = B33),FILTER('Leetcode List'!B:G,'Leetcode List'!A:A = B33))))"),"")</f>
        <v/>
      </c>
      <c r="D33" s="18"/>
      <c r="E33" s="18"/>
      <c r="F33" s="18"/>
      <c r="G33" s="18"/>
      <c r="H33" s="18"/>
      <c r="I33" s="18">
        <f t="shared" si="0"/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>
      <c r="A34" s="16"/>
      <c r="B34" s="17"/>
      <c r="C34" s="18" t="str">
        <f ca="1">IFERROR(__xludf.DUMMYFUNCTION("IF(ISBLANK(B34),,IFERROR(FILTER('Leetcode分类顺序表'!B:G,'Leetcode分类顺序表'!A:A = B34),IFERROR(FILTER(Algoexpert.io!B:D,Algoexpert.io!A:A = B34),FILTER('Leetcode List'!B:G,'Leetcode List'!A:A = B34))))"),"")</f>
        <v/>
      </c>
      <c r="D34" s="18"/>
      <c r="E34" s="18"/>
      <c r="F34" s="18"/>
      <c r="G34" s="18"/>
      <c r="H34" s="18"/>
      <c r="I34" s="18">
        <f t="shared" si="0"/>
        <v>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>
      <c r="A35" s="16"/>
      <c r="B35" s="17"/>
      <c r="C35" s="18" t="str">
        <f ca="1">IFERROR(__xludf.DUMMYFUNCTION("IF(ISBLANK(B35),,IFERROR(FILTER('Leetcode分类顺序表'!B:G,'Leetcode分类顺序表'!A:A = B35),IFERROR(FILTER(Algoexpert.io!B:D,Algoexpert.io!A:A = B35),FILTER('Leetcode List'!B:G,'Leetcode List'!A:A = B35))))"),"")</f>
        <v/>
      </c>
      <c r="D35" s="18"/>
      <c r="E35" s="18"/>
      <c r="F35" s="18"/>
      <c r="G35" s="18"/>
      <c r="H35" s="18"/>
      <c r="I35" s="18">
        <f t="shared" si="0"/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>
      <c r="A36" s="16"/>
      <c r="B36" s="17"/>
      <c r="C36" s="18" t="str">
        <f ca="1">IFERROR(__xludf.DUMMYFUNCTION("IF(ISBLANK(B36),,IFERROR(FILTER('Leetcode分类顺序表'!B:G,'Leetcode分类顺序表'!A:A = B36),IFERROR(FILTER(Algoexpert.io!B:D,Algoexpert.io!A:A = B36),FILTER('Leetcode List'!B:G,'Leetcode List'!A:A = B36))))"),"")</f>
        <v/>
      </c>
      <c r="D36" s="18"/>
      <c r="E36" s="18"/>
      <c r="F36" s="18"/>
      <c r="G36" s="18"/>
      <c r="H36" s="18"/>
      <c r="I36" s="18">
        <f t="shared" si="0"/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1:31">
      <c r="A37" s="16"/>
      <c r="B37" s="17"/>
      <c r="C37" s="18" t="str">
        <f ca="1">IFERROR(__xludf.DUMMYFUNCTION("IF(ISBLANK(B37),,IFERROR(FILTER('Leetcode分类顺序表'!B:G,'Leetcode分类顺序表'!A:A = B37),IFERROR(FILTER(Algoexpert.io!B:D,Algoexpert.io!A:A = B37),FILTER('Leetcode List'!B:G,'Leetcode List'!A:A = B37))))"),"")</f>
        <v/>
      </c>
      <c r="D37" s="18"/>
      <c r="E37" s="18"/>
      <c r="F37" s="18"/>
      <c r="G37" s="18"/>
      <c r="H37" s="18"/>
      <c r="I37" s="18">
        <f t="shared" si="0"/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>
      <c r="A38" s="16"/>
      <c r="B38" s="17"/>
      <c r="C38" s="18" t="str">
        <f ca="1">IFERROR(__xludf.DUMMYFUNCTION("IF(ISBLANK(B38),,IFERROR(FILTER('Leetcode分类顺序表'!B:G,'Leetcode分类顺序表'!A:A = B38),IFERROR(FILTER(Algoexpert.io!B:D,Algoexpert.io!A:A = B38),FILTER('Leetcode List'!B:G,'Leetcode List'!A:A = B38))))"),"")</f>
        <v/>
      </c>
      <c r="D38" s="18"/>
      <c r="E38" s="18"/>
      <c r="F38" s="18"/>
      <c r="G38" s="18"/>
      <c r="H38" s="18"/>
      <c r="I38" s="18">
        <f t="shared" si="0"/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>
      <c r="A39" s="16"/>
      <c r="B39" s="17"/>
      <c r="C39" s="18" t="str">
        <f ca="1">IFERROR(__xludf.DUMMYFUNCTION("IF(ISBLANK(B39),,IFERROR(FILTER('Leetcode分类顺序表'!B:G,'Leetcode分类顺序表'!A:A = B39),IFERROR(FILTER(Algoexpert.io!B:D,Algoexpert.io!A:A = B39),FILTER('Leetcode List'!B:G,'Leetcode List'!A:A = B39))))"),"")</f>
        <v/>
      </c>
      <c r="D39" s="18"/>
      <c r="E39" s="18"/>
      <c r="F39" s="18"/>
      <c r="G39" s="18"/>
      <c r="H39" s="18"/>
      <c r="I39" s="18">
        <f t="shared" si="0"/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>
      <c r="A40" s="16"/>
      <c r="B40" s="17"/>
      <c r="C40" s="18" t="str">
        <f ca="1">IFERROR(__xludf.DUMMYFUNCTION("IF(ISBLANK(B40),,IFERROR(FILTER('Leetcode分类顺序表'!B:G,'Leetcode分类顺序表'!A:A = B40),IFERROR(FILTER(Algoexpert.io!B:D,Algoexpert.io!A:A = B40),FILTER('Leetcode List'!B:G,'Leetcode List'!A:A = B40))))"),"")</f>
        <v/>
      </c>
      <c r="D40" s="18"/>
      <c r="E40" s="18"/>
      <c r="F40" s="18"/>
      <c r="G40" s="18"/>
      <c r="H40" s="18"/>
      <c r="I40" s="18">
        <f t="shared" si="0"/>
        <v>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>
      <c r="A41" s="16"/>
      <c r="B41" s="17"/>
      <c r="C41" s="18" t="str">
        <f ca="1">IFERROR(__xludf.DUMMYFUNCTION("IF(ISBLANK(B41),,IFERROR(FILTER('Leetcode分类顺序表'!B:G,'Leetcode分类顺序表'!A:A = B41),IFERROR(FILTER(Algoexpert.io!B:D,Algoexpert.io!A:A = B41),FILTER('Leetcode List'!B:G,'Leetcode List'!A:A = B41))))"),"")</f>
        <v/>
      </c>
      <c r="D41" s="18"/>
      <c r="E41" s="18"/>
      <c r="F41" s="18"/>
      <c r="G41" s="18"/>
      <c r="H41" s="18"/>
      <c r="I41" s="18">
        <f t="shared" si="0"/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>
      <c r="A42" s="16"/>
      <c r="B42" s="17"/>
      <c r="C42" s="18" t="str">
        <f ca="1">IFERROR(__xludf.DUMMYFUNCTION("IF(ISBLANK(B42),,IFERROR(FILTER('Leetcode分类顺序表'!B:G,'Leetcode分类顺序表'!A:A = B42),IFERROR(FILTER(Algoexpert.io!B:D,Algoexpert.io!A:A = B42),FILTER('Leetcode List'!B:G,'Leetcode List'!A:A = B42))))"),"")</f>
        <v/>
      </c>
      <c r="D42" s="18"/>
      <c r="E42" s="18"/>
      <c r="F42" s="18"/>
      <c r="G42" s="18"/>
      <c r="H42" s="18"/>
      <c r="I42" s="18">
        <f t="shared" si="0"/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1:31">
      <c r="A43" s="16"/>
      <c r="B43" s="17"/>
      <c r="C43" s="18" t="str">
        <f ca="1">IFERROR(__xludf.DUMMYFUNCTION("IF(ISBLANK(B43),,IFERROR(FILTER('Leetcode分类顺序表'!B:G,'Leetcode分类顺序表'!A:A = B43),IFERROR(FILTER(Algoexpert.io!B:D,Algoexpert.io!A:A = B43),FILTER('Leetcode List'!B:G,'Leetcode List'!A:A = B43))))"),"")</f>
        <v/>
      </c>
      <c r="D43" s="18"/>
      <c r="E43" s="18"/>
      <c r="F43" s="18"/>
      <c r="G43" s="18"/>
      <c r="H43" s="18"/>
      <c r="I43" s="18">
        <f t="shared" si="0"/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 spans="1:31">
      <c r="A44" s="16"/>
      <c r="B44" s="17"/>
      <c r="C44" s="18" t="str">
        <f ca="1">IFERROR(__xludf.DUMMYFUNCTION("IF(ISBLANK(B44),,IFERROR(FILTER('Leetcode分类顺序表'!B:G,'Leetcode分类顺序表'!A:A = B44),IFERROR(FILTER(Algoexpert.io!B:D,Algoexpert.io!A:A = B44),FILTER('Leetcode List'!B:G,'Leetcode List'!A:A = B44))))"),"")</f>
        <v/>
      </c>
      <c r="D44" s="18"/>
      <c r="E44" s="18"/>
      <c r="F44" s="18"/>
      <c r="G44" s="18"/>
      <c r="H44" s="18"/>
      <c r="I44" s="18">
        <f t="shared" si="0"/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 spans="1:31">
      <c r="A45" s="16"/>
      <c r="B45" s="17"/>
      <c r="C45" s="18" t="str">
        <f ca="1">IFERROR(__xludf.DUMMYFUNCTION("IF(ISBLANK(B45),,IFERROR(FILTER('Leetcode分类顺序表'!B:G,'Leetcode分类顺序表'!A:A = B45),IFERROR(FILTER(Algoexpert.io!B:D,Algoexpert.io!A:A = B45),FILTER('Leetcode List'!B:G,'Leetcode List'!A:A = B45))))"),"")</f>
        <v/>
      </c>
      <c r="D45" s="18"/>
      <c r="E45" s="18"/>
      <c r="F45" s="18"/>
      <c r="G45" s="18"/>
      <c r="H45" s="18"/>
      <c r="I45" s="18">
        <f t="shared" si="0"/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 spans="1:31">
      <c r="A46" s="16"/>
      <c r="B46" s="17"/>
      <c r="C46" s="18" t="str">
        <f ca="1">IFERROR(__xludf.DUMMYFUNCTION("IF(ISBLANK(B46),,IFERROR(FILTER('Leetcode分类顺序表'!B:G,'Leetcode分类顺序表'!A:A = B46),IFERROR(FILTER(Algoexpert.io!B:D,Algoexpert.io!A:A = B46),FILTER('Leetcode List'!B:G,'Leetcode List'!A:A = B46))))"),"")</f>
        <v/>
      </c>
      <c r="D46" s="18"/>
      <c r="E46" s="18"/>
      <c r="F46" s="18"/>
      <c r="G46" s="18"/>
      <c r="H46" s="18"/>
      <c r="I46" s="18">
        <f t="shared" si="0"/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 spans="1:31">
      <c r="A47" s="16"/>
      <c r="B47" s="17"/>
      <c r="C47" s="18" t="str">
        <f ca="1">IFERROR(__xludf.DUMMYFUNCTION("IF(ISBLANK(B47),,IFERROR(FILTER('Leetcode分类顺序表'!B:G,'Leetcode分类顺序表'!A:A = B47),IFERROR(FILTER(Algoexpert.io!B:D,Algoexpert.io!A:A = B47),FILTER('Leetcode List'!B:G,'Leetcode List'!A:A = B47))))"),"")</f>
        <v/>
      </c>
      <c r="D47" s="18"/>
      <c r="E47" s="18"/>
      <c r="F47" s="18"/>
      <c r="G47" s="18"/>
      <c r="H47" s="18"/>
      <c r="I47" s="18">
        <f t="shared" si="0"/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 spans="1:31">
      <c r="A48" s="16"/>
      <c r="B48" s="17"/>
      <c r="C48" s="18" t="str">
        <f ca="1">IFERROR(__xludf.DUMMYFUNCTION("IF(ISBLANK(B48),,IFERROR(FILTER('Leetcode分类顺序表'!B:G,'Leetcode分类顺序表'!A:A = B48),IFERROR(FILTER(Algoexpert.io!B:D,Algoexpert.io!A:A = B48),FILTER('Leetcode List'!B:G,'Leetcode List'!A:A = B48))))"),"")</f>
        <v/>
      </c>
      <c r="D48" s="18"/>
      <c r="E48" s="18"/>
      <c r="F48" s="18"/>
      <c r="G48" s="18"/>
      <c r="H48" s="18"/>
      <c r="I48" s="18">
        <f t="shared" si="0"/>
        <v>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 spans="1:31">
      <c r="A49" s="16"/>
      <c r="B49" s="17"/>
      <c r="C49" s="18" t="str">
        <f ca="1">IFERROR(__xludf.DUMMYFUNCTION("IF(ISBLANK(B49),,IFERROR(FILTER('Leetcode分类顺序表'!B:G,'Leetcode分类顺序表'!A:A = B49),IFERROR(FILTER(Algoexpert.io!B:D,Algoexpert.io!A:A = B49),FILTER('Leetcode List'!B:G,'Leetcode List'!A:A = B49))))"),"")</f>
        <v/>
      </c>
      <c r="D49" s="18"/>
      <c r="E49" s="18"/>
      <c r="F49" s="18"/>
      <c r="G49" s="18"/>
      <c r="H49" s="18"/>
      <c r="I49" s="18">
        <f t="shared" si="0"/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spans="1:31">
      <c r="A50" s="16"/>
      <c r="B50" s="17"/>
      <c r="C50" s="18" t="str">
        <f ca="1">IFERROR(__xludf.DUMMYFUNCTION("IF(ISBLANK(B50),,IFERROR(FILTER('Leetcode分类顺序表'!B:G,'Leetcode分类顺序表'!A:A = B50),IFERROR(FILTER(Algoexpert.io!B:D,Algoexpert.io!A:A = B50),FILTER('Leetcode List'!B:G,'Leetcode List'!A:A = B50))))"),"")</f>
        <v/>
      </c>
      <c r="D50" s="18"/>
      <c r="E50" s="18"/>
      <c r="F50" s="18"/>
      <c r="G50" s="18"/>
      <c r="H50" s="18"/>
      <c r="I50" s="18">
        <f t="shared" si="0"/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 spans="1:31">
      <c r="A51" s="16"/>
      <c r="B51" s="17"/>
      <c r="C51" s="18" t="str">
        <f ca="1">IFERROR(__xludf.DUMMYFUNCTION("IF(ISBLANK(B51),,IFERROR(FILTER('Leetcode分类顺序表'!B:G,'Leetcode分类顺序表'!A:A = B51),IFERROR(FILTER(Algoexpert.io!B:D,Algoexpert.io!A:A = B51),FILTER('Leetcode List'!B:G,'Leetcode List'!A:A = B51))))"),"")</f>
        <v/>
      </c>
      <c r="D51" s="18"/>
      <c r="E51" s="18"/>
      <c r="F51" s="18"/>
      <c r="G51" s="18"/>
      <c r="H51" s="18"/>
      <c r="I51" s="18">
        <f t="shared" si="0"/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 spans="1:31">
      <c r="A52" s="16"/>
      <c r="B52" s="17"/>
      <c r="C52" s="18" t="str">
        <f ca="1">IFERROR(__xludf.DUMMYFUNCTION("IF(ISBLANK(B52),,IFERROR(FILTER('Leetcode分类顺序表'!B:G,'Leetcode分类顺序表'!A:A = B52),IFERROR(FILTER(Algoexpert.io!B:D,Algoexpert.io!A:A = B52),FILTER('Leetcode List'!B:G,'Leetcode List'!A:A = B52))))"),"")</f>
        <v/>
      </c>
      <c r="D52" s="18"/>
      <c r="E52" s="18"/>
      <c r="F52" s="18"/>
      <c r="G52" s="18"/>
      <c r="H52" s="18"/>
      <c r="I52" s="18">
        <f t="shared" si="0"/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1:31">
      <c r="A53" s="16"/>
      <c r="B53" s="17"/>
      <c r="C53" s="18" t="str">
        <f ca="1">IFERROR(__xludf.DUMMYFUNCTION("IF(ISBLANK(B53),,IFERROR(FILTER('Leetcode分类顺序表'!B:G,'Leetcode分类顺序表'!A:A = B53),IFERROR(FILTER(Algoexpert.io!B:D,Algoexpert.io!A:A = B53),FILTER('Leetcode List'!B:G,'Leetcode List'!A:A = B53))))"),"")</f>
        <v/>
      </c>
      <c r="D53" s="18"/>
      <c r="E53" s="18"/>
      <c r="F53" s="18"/>
      <c r="G53" s="18"/>
      <c r="H53" s="18"/>
      <c r="I53" s="18">
        <f t="shared" si="0"/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1:31">
      <c r="A54" s="16"/>
      <c r="B54" s="17"/>
      <c r="C54" s="18" t="str">
        <f ca="1">IFERROR(__xludf.DUMMYFUNCTION("IF(ISBLANK(B54),,IFERROR(FILTER('Leetcode分类顺序表'!B:G,'Leetcode分类顺序表'!A:A = B54),IFERROR(FILTER(Algoexpert.io!B:D,Algoexpert.io!A:A = B54),FILTER('Leetcode List'!B:G,'Leetcode List'!A:A = B54))))"),"")</f>
        <v/>
      </c>
      <c r="D54" s="18"/>
      <c r="E54" s="18"/>
      <c r="F54" s="18"/>
      <c r="G54" s="18"/>
      <c r="H54" s="18"/>
      <c r="I54" s="18">
        <f t="shared" si="0"/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 spans="1:31">
      <c r="A55" s="16"/>
      <c r="B55" s="17"/>
      <c r="C55" s="18" t="str">
        <f ca="1">IFERROR(__xludf.DUMMYFUNCTION("IF(ISBLANK(B55),,IFERROR(FILTER('Leetcode分类顺序表'!B:G,'Leetcode分类顺序表'!A:A = B55),IFERROR(FILTER(Algoexpert.io!B:D,Algoexpert.io!A:A = B55),FILTER('Leetcode List'!B:G,'Leetcode List'!A:A = B55))))"),"")</f>
        <v/>
      </c>
      <c r="D55" s="18"/>
      <c r="E55" s="18"/>
      <c r="F55" s="18"/>
      <c r="G55" s="18"/>
      <c r="H55" s="18"/>
      <c r="I55" s="18">
        <f t="shared" si="0"/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1">
      <c r="A56" s="16"/>
      <c r="B56" s="17"/>
      <c r="C56" s="18" t="str">
        <f ca="1">IFERROR(__xludf.DUMMYFUNCTION("IF(ISBLANK(B56),,IFERROR(FILTER('Leetcode分类顺序表'!B:G,'Leetcode分类顺序表'!A:A = B56),IFERROR(FILTER(Algoexpert.io!B:D,Algoexpert.io!A:A = B56),FILTER('Leetcode List'!B:G,'Leetcode List'!A:A = B56))))"),"")</f>
        <v/>
      </c>
      <c r="D56" s="18"/>
      <c r="E56" s="18"/>
      <c r="F56" s="18"/>
      <c r="G56" s="18"/>
      <c r="H56" s="18"/>
      <c r="I56" s="18">
        <f t="shared" si="0"/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1">
      <c r="A57" s="16"/>
      <c r="B57" s="17"/>
      <c r="C57" s="18" t="str">
        <f ca="1">IFERROR(__xludf.DUMMYFUNCTION("IF(ISBLANK(B57),,IFERROR(FILTER('Leetcode分类顺序表'!B:G,'Leetcode分类顺序表'!A:A = B57),IFERROR(FILTER(Algoexpert.io!B:D,Algoexpert.io!A:A = B57),FILTER('Leetcode List'!B:G,'Leetcode List'!A:A = B57))))"),"")</f>
        <v/>
      </c>
      <c r="D57" s="18"/>
      <c r="E57" s="18"/>
      <c r="F57" s="18"/>
      <c r="G57" s="18"/>
      <c r="H57" s="18"/>
      <c r="I57" s="18">
        <f t="shared" si="0"/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1">
      <c r="A58" s="16"/>
      <c r="B58" s="17"/>
      <c r="C58" s="18" t="str">
        <f ca="1">IFERROR(__xludf.DUMMYFUNCTION("IF(ISBLANK(B58),,IFERROR(FILTER('Leetcode分类顺序表'!B:G,'Leetcode分类顺序表'!A:A = B58),IFERROR(FILTER(Algoexpert.io!B:D,Algoexpert.io!A:A = B58),FILTER('Leetcode List'!B:G,'Leetcode List'!A:A = B58))))"),"")</f>
        <v/>
      </c>
      <c r="D58" s="18"/>
      <c r="E58" s="18"/>
      <c r="F58" s="18"/>
      <c r="G58" s="18"/>
      <c r="H58" s="18"/>
      <c r="I58" s="18">
        <f t="shared" si="0"/>
        <v>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 spans="1:31">
      <c r="A59" s="19"/>
      <c r="B59" s="17"/>
      <c r="C59" s="18" t="str">
        <f ca="1">IFERROR(__xludf.DUMMYFUNCTION("IF(ISBLANK(B59),,IFERROR(FILTER('Leetcode分类顺序表'!B:G,'Leetcode分类顺序表'!A:A = B59),IFERROR(FILTER(Algoexpert.io!B:D,Algoexpert.io!A:A = B59),FILTER('Leetcode List'!B:G,'Leetcode List'!A:A = B59))))"),"")</f>
        <v/>
      </c>
      <c r="D59" s="18"/>
      <c r="E59" s="18"/>
      <c r="F59" s="18"/>
      <c r="G59" s="18"/>
      <c r="H59" s="18"/>
      <c r="I59" s="18">
        <f t="shared" si="0"/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 spans="1:31">
      <c r="A60" s="19"/>
      <c r="B60" s="20"/>
      <c r="C60" s="18" t="str">
        <f ca="1">IFERROR(__xludf.DUMMYFUNCTION("IF(ISBLANK(B60),,IFERROR(FILTER('Leetcode分类顺序表'!B:D,'Leetcode分类顺序表'!A:A = B60),FILTER(Algoexpert.io!B:D,Algoexpert.io!A:A = B60)))"),"")</f>
        <v/>
      </c>
      <c r="D60" s="18"/>
      <c r="E60" s="18"/>
      <c r="F60" s="18"/>
      <c r="G60" s="18"/>
      <c r="H60" s="18"/>
      <c r="I60" s="18">
        <f t="shared" si="0"/>
        <v>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 spans="1:31">
      <c r="A61" s="19"/>
      <c r="B61" s="20"/>
      <c r="C61" s="18" t="str">
        <f ca="1">IFERROR(__xludf.DUMMYFUNCTION("IF(ISBLANK(B61),,IFERROR(FILTER('Leetcode分类顺序表'!B:D,'Leetcode分类顺序表'!A:A = B61),FILTER(Algoexpert.io!B:D,Algoexpert.io!A:A = B61)))"),"")</f>
        <v/>
      </c>
      <c r="D61" s="18"/>
      <c r="E61" s="18"/>
      <c r="F61" s="18"/>
      <c r="G61" s="18"/>
      <c r="H61" s="18"/>
      <c r="I61" s="18">
        <f t="shared" si="0"/>
        <v>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 spans="1:31">
      <c r="A62" s="19"/>
      <c r="B62" s="20"/>
      <c r="C62" s="18" t="str">
        <f ca="1">IFERROR(__xludf.DUMMYFUNCTION("IF(ISBLANK(B62),,IFERROR(FILTER('Leetcode分类顺序表'!B:D,'Leetcode分类顺序表'!A:A = B62),FILTER(Algoexpert.io!B:D,Algoexpert.io!A:A = B62)))"),"")</f>
        <v/>
      </c>
      <c r="D62" s="18"/>
      <c r="E62" s="18"/>
      <c r="F62" s="18"/>
      <c r="G62" s="18"/>
      <c r="H62" s="18"/>
      <c r="I62" s="18">
        <f t="shared" si="0"/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 spans="1:31">
      <c r="A63" s="19"/>
      <c r="B63" s="20"/>
      <c r="C63" s="18" t="str">
        <f ca="1">IFERROR(__xludf.DUMMYFUNCTION("IF(ISBLANK(B63),,IFERROR(FILTER('Leetcode分类顺序表'!B:D,'Leetcode分类顺序表'!A:A = B63),FILTER(Algoexpert.io!B:D,Algoexpert.io!A:A = B63)))"),"")</f>
        <v/>
      </c>
      <c r="D63" s="18"/>
      <c r="E63" s="18"/>
      <c r="F63" s="18"/>
      <c r="G63" s="18"/>
      <c r="H63" s="18"/>
      <c r="I63" s="18">
        <f t="shared" si="0"/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1:31">
      <c r="A64" s="19"/>
      <c r="B64" s="20"/>
      <c r="C64" s="18" t="str">
        <f ca="1">IFERROR(__xludf.DUMMYFUNCTION("IF(ISBLANK(B64),,IFERROR(FILTER('Leetcode分类顺序表'!B:D,'Leetcode分类顺序表'!A:A = B64),FILTER(Algoexpert.io!B:D,Algoexpert.io!A:A = B64)))"),"")</f>
        <v/>
      </c>
      <c r="D64" s="18"/>
      <c r="E64" s="18"/>
      <c r="F64" s="18"/>
      <c r="G64" s="18"/>
      <c r="H64" s="18"/>
      <c r="I64" s="18">
        <f t="shared" si="0"/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 spans="1:31">
      <c r="A65" s="19"/>
      <c r="B65" s="20"/>
      <c r="C65" s="18" t="str">
        <f ca="1">IFERROR(__xludf.DUMMYFUNCTION("IF(ISBLANK(B65),,IFERROR(FILTER('Leetcode分类顺序表'!B:D,'Leetcode分类顺序表'!A:A = B65),FILTER(Algoexpert.io!B:D,Algoexpert.io!A:A = B65)))"),"")</f>
        <v/>
      </c>
      <c r="D65" s="18"/>
      <c r="E65" s="18"/>
      <c r="F65" s="18"/>
      <c r="G65" s="18"/>
      <c r="H65" s="18"/>
      <c r="I65" s="18">
        <f t="shared" si="0"/>
        <v>0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 spans="1:31">
      <c r="A66" s="19"/>
      <c r="B66" s="20"/>
      <c r="C66" s="18" t="str">
        <f ca="1">IFERROR(__xludf.DUMMYFUNCTION("IF(ISBLANK(B66),,IFERROR(FILTER('Leetcode分类顺序表'!B:D,'Leetcode分类顺序表'!A:A = B66),FILTER(Algoexpert.io!B:D,Algoexpert.io!A:A = B66)))"),"")</f>
        <v/>
      </c>
      <c r="D66" s="18"/>
      <c r="E66" s="18"/>
      <c r="F66" s="18"/>
      <c r="G66" s="18"/>
      <c r="H66" s="18"/>
      <c r="I66" s="18">
        <f t="shared" si="0"/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1">
      <c r="A67" s="19"/>
      <c r="B67" s="20"/>
      <c r="C67" s="18" t="str">
        <f ca="1">IFERROR(__xludf.DUMMYFUNCTION("IF(ISBLANK(B67),,IFERROR(FILTER('Leetcode分类顺序表'!B:D,'Leetcode分类顺序表'!A:A = B67),FILTER(Algoexpert.io!B:D,Algoexpert.io!A:A = B67)))"),"")</f>
        <v/>
      </c>
      <c r="D67" s="18"/>
      <c r="E67" s="18"/>
      <c r="F67" s="18"/>
      <c r="G67" s="18"/>
      <c r="H67" s="18"/>
      <c r="I67" s="18">
        <f t="shared" si="0"/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1">
      <c r="A68" s="19"/>
      <c r="B68" s="20"/>
      <c r="C68" s="18" t="str">
        <f ca="1">IFERROR(__xludf.DUMMYFUNCTION("IF(ISBLANK(B68),,IFERROR(FILTER('Leetcode分类顺序表'!B:D,'Leetcode分类顺序表'!A:A = B68),FILTER(Algoexpert.io!B:D,Algoexpert.io!A:A = B68)))"),"")</f>
        <v/>
      </c>
      <c r="D68" s="18"/>
      <c r="E68" s="18"/>
      <c r="F68" s="18"/>
      <c r="G68" s="18"/>
      <c r="H68" s="18"/>
      <c r="I68" s="18">
        <f t="shared" si="0"/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1">
      <c r="A69" s="19"/>
      <c r="B69" s="20"/>
      <c r="C69" s="18" t="str">
        <f ca="1">IFERROR(__xludf.DUMMYFUNCTION("IF(ISBLANK(B69),,IFERROR(FILTER('Leetcode分类顺序表'!B:D,'Leetcode分类顺序表'!A:A = B69),FILTER(Algoexpert.io!B:D,Algoexpert.io!A:A = B69)))"),"")</f>
        <v/>
      </c>
      <c r="D69" s="18"/>
      <c r="E69" s="18"/>
      <c r="F69" s="18"/>
      <c r="G69" s="18"/>
      <c r="H69" s="18"/>
      <c r="I69" s="18">
        <f t="shared" si="0"/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1">
      <c r="A70" s="19"/>
      <c r="B70" s="20"/>
      <c r="C70" s="18" t="str">
        <f ca="1">IFERROR(__xludf.DUMMYFUNCTION("IF(ISBLANK(B70),,IFERROR(FILTER('Leetcode分类顺序表'!B:D,'Leetcode分类顺序表'!A:A = B70),FILTER(Algoexpert.io!B:D,Algoexpert.io!A:A = B70)))"),"")</f>
        <v/>
      </c>
      <c r="D70" s="18"/>
      <c r="E70" s="18"/>
      <c r="F70" s="18"/>
      <c r="G70" s="18"/>
      <c r="H70" s="18"/>
      <c r="I70" s="18">
        <f t="shared" si="0"/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spans="1:31">
      <c r="A71" s="19"/>
      <c r="B71" s="20"/>
      <c r="C71" s="18" t="str">
        <f ca="1">IFERROR(__xludf.DUMMYFUNCTION("IF(ISBLANK(B71),,IFERROR(FILTER('Leetcode分类顺序表'!B:D,'Leetcode分类顺序表'!A:A = B71),FILTER(Algoexpert.io!B:D,Algoexpert.io!A:A = B71)))"),"")</f>
        <v/>
      </c>
      <c r="D71" s="18"/>
      <c r="E71" s="18"/>
      <c r="F71" s="18"/>
      <c r="G71" s="18"/>
      <c r="H71" s="18"/>
      <c r="I71" s="18">
        <f t="shared" si="0"/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1:31">
      <c r="A72" s="19"/>
      <c r="B72" s="20"/>
      <c r="C72" s="18" t="str">
        <f ca="1">IFERROR(__xludf.DUMMYFUNCTION("IF(ISBLANK(B72),,IFERROR(FILTER('Leetcode分类顺序表'!B:D,'Leetcode分类顺序表'!A:A = B72),FILTER(Algoexpert.io!B:D,Algoexpert.io!A:A = B72)))"),"")</f>
        <v/>
      </c>
      <c r="D72" s="18"/>
      <c r="E72" s="18"/>
      <c r="F72" s="18"/>
      <c r="G72" s="18"/>
      <c r="H72" s="18"/>
      <c r="I72" s="18">
        <f t="shared" si="0"/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1:31">
      <c r="A73" s="19"/>
      <c r="B73" s="20"/>
      <c r="C73" s="18" t="str">
        <f ca="1">IFERROR(__xludf.DUMMYFUNCTION("IF(ISBLANK(B73),,IFERROR(FILTER('Leetcode分类顺序表'!B:D,'Leetcode分类顺序表'!A:A = B73),FILTER(Algoexpert.io!B:D,Algoexpert.io!A:A = B73)))"),"")</f>
        <v/>
      </c>
      <c r="D73" s="18"/>
      <c r="E73" s="18"/>
      <c r="F73" s="18"/>
      <c r="G73" s="18"/>
      <c r="H73" s="18"/>
      <c r="I73" s="18">
        <f t="shared" si="0"/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1">
      <c r="A74" s="19"/>
      <c r="B74" s="20"/>
      <c r="C74" s="18" t="str">
        <f ca="1">IFERROR(__xludf.DUMMYFUNCTION("IF(ISBLANK(B74),,IFERROR(FILTER('Leetcode分类顺序表'!B:D,'Leetcode分类顺序表'!A:A = B74),FILTER(Algoexpert.io!B:D,Algoexpert.io!A:A = B74)))"),"")</f>
        <v/>
      </c>
      <c r="D74" s="18"/>
      <c r="E74" s="18"/>
      <c r="F74" s="18"/>
      <c r="G74" s="18"/>
      <c r="H74" s="18"/>
      <c r="I74" s="18">
        <f t="shared" si="0"/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1">
      <c r="A75" s="19"/>
      <c r="B75" s="20"/>
      <c r="C75" s="18" t="str">
        <f ca="1">IFERROR(__xludf.DUMMYFUNCTION("IF(ISBLANK(B75),,IFERROR(FILTER('Leetcode分类顺序表'!B:D,'Leetcode分类顺序表'!A:A = B75),FILTER(Algoexpert.io!B:D,Algoexpert.io!A:A = B75)))"),"")</f>
        <v/>
      </c>
      <c r="D75" s="18"/>
      <c r="E75" s="18"/>
      <c r="F75" s="18"/>
      <c r="G75" s="18"/>
      <c r="H75" s="18"/>
      <c r="I75" s="18">
        <f t="shared" si="0"/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 spans="1:31">
      <c r="A76" s="19"/>
      <c r="B76" s="20"/>
      <c r="C76" s="18" t="str">
        <f ca="1">IFERROR(__xludf.DUMMYFUNCTION("IF(ISBLANK(B76),,IFERROR(FILTER('Leetcode分类顺序表'!B:D,'Leetcode分类顺序表'!A:A = B76),FILTER(Algoexpert.io!B:D,Algoexpert.io!A:A = B76)))"),"")</f>
        <v/>
      </c>
      <c r="D76" s="18"/>
      <c r="E76" s="18"/>
      <c r="F76" s="18"/>
      <c r="G76" s="18"/>
      <c r="H76" s="18"/>
      <c r="I76" s="18">
        <f t="shared" si="0"/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1">
      <c r="A77" s="19"/>
      <c r="B77" s="20"/>
      <c r="C77" s="18" t="str">
        <f ca="1">IFERROR(__xludf.DUMMYFUNCTION("IF(ISBLANK(B77),,IFERROR(FILTER('Leetcode分类顺序表'!B:D,'Leetcode分类顺序表'!A:A = B77),FILTER(Algoexpert.io!B:D,Algoexpert.io!A:A = B77)))"),"")</f>
        <v/>
      </c>
      <c r="D77" s="18"/>
      <c r="E77" s="18"/>
      <c r="F77" s="18"/>
      <c r="G77" s="18"/>
      <c r="H77" s="18"/>
      <c r="I77" s="18">
        <f t="shared" si="0"/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1">
      <c r="A78" s="19"/>
      <c r="B78" s="20"/>
      <c r="C78" s="18" t="str">
        <f ca="1">IFERROR(__xludf.DUMMYFUNCTION("IF(ISBLANK(B78),,IFERROR(FILTER('Leetcode分类顺序表'!B:D,'Leetcode分类顺序表'!A:A = B78),FILTER(Algoexpert.io!B:D,Algoexpert.io!A:A = B78)))"),"")</f>
        <v/>
      </c>
      <c r="D78" s="18"/>
      <c r="E78" s="18"/>
      <c r="F78" s="18"/>
      <c r="G78" s="18"/>
      <c r="H78" s="18"/>
      <c r="I78" s="18">
        <f t="shared" si="0"/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 spans="1:31">
      <c r="A79" s="19"/>
      <c r="B79" s="20"/>
      <c r="C79" s="18" t="str">
        <f ca="1">IFERROR(__xludf.DUMMYFUNCTION("IF(ISBLANK(B79),,IFERROR(FILTER('Leetcode分类顺序表'!B:D,'Leetcode分类顺序表'!A:A = B79),FILTER(Algoexpert.io!B:D,Algoexpert.io!A:A = B79)))"),"")</f>
        <v/>
      </c>
      <c r="D79" s="18"/>
      <c r="E79" s="18"/>
      <c r="F79" s="18"/>
      <c r="G79" s="18"/>
      <c r="H79" s="18"/>
      <c r="I79" s="18">
        <f t="shared" si="0"/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1">
      <c r="A80" s="19"/>
      <c r="B80" s="20"/>
      <c r="C80" s="18" t="str">
        <f ca="1">IFERROR(__xludf.DUMMYFUNCTION("IF(ISBLANK(B80),,IFERROR(FILTER('Leetcode分类顺序表'!B:D,'Leetcode分类顺序表'!A:A = B80),FILTER(Algoexpert.io!B:D,Algoexpert.io!A:A = B80)))"),"")</f>
        <v/>
      </c>
      <c r="D80" s="18"/>
      <c r="E80" s="18"/>
      <c r="F80" s="18"/>
      <c r="G80" s="18"/>
      <c r="H80" s="18"/>
      <c r="I80" s="18">
        <f t="shared" si="0"/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1">
      <c r="A81" s="19"/>
      <c r="B81" s="20"/>
      <c r="C81" s="18" t="str">
        <f ca="1">IFERROR(__xludf.DUMMYFUNCTION("IF(ISBLANK(B81),,IFERROR(FILTER('Leetcode分类顺序表'!B:D,'Leetcode分类顺序表'!A:A = B81),FILTER(Algoexpert.io!B:D,Algoexpert.io!A:A = B81)))"),"")</f>
        <v/>
      </c>
      <c r="D81" s="18"/>
      <c r="E81" s="18"/>
      <c r="F81" s="18"/>
      <c r="G81" s="18"/>
      <c r="H81" s="18"/>
      <c r="I81" s="18">
        <f t="shared" si="0"/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 spans="1:31">
      <c r="A82" s="19"/>
      <c r="B82" s="20"/>
      <c r="C82" s="18" t="str">
        <f ca="1">IFERROR(__xludf.DUMMYFUNCTION("IF(ISBLANK(B82),,IFERROR(FILTER('Leetcode分类顺序表'!B:D,'Leetcode分类顺序表'!A:A = B82),FILTER(Algoexpert.io!B:D,Algoexpert.io!A:A = B82)))"),"")</f>
        <v/>
      </c>
      <c r="D82" s="18"/>
      <c r="E82" s="18"/>
      <c r="F82" s="18"/>
      <c r="G82" s="18"/>
      <c r="H82" s="18"/>
      <c r="I82" s="18">
        <f t="shared" si="0"/>
        <v>0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1">
      <c r="A83" s="19"/>
      <c r="B83" s="20"/>
      <c r="C83" s="18" t="str">
        <f ca="1">IFERROR(__xludf.DUMMYFUNCTION("IF(ISBLANK(B83),,IFERROR(FILTER('Leetcode分类顺序表'!B:D,'Leetcode分类顺序表'!A:A = B83),FILTER(Algoexpert.io!B:D,Algoexpert.io!A:A = B83)))"),"")</f>
        <v/>
      </c>
      <c r="D83" s="18"/>
      <c r="E83" s="18"/>
      <c r="F83" s="18"/>
      <c r="G83" s="18"/>
      <c r="H83" s="18"/>
      <c r="I83" s="18">
        <f t="shared" si="0"/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 spans="1:31">
      <c r="A84" s="19"/>
      <c r="B84" s="20"/>
      <c r="C84" s="18" t="str">
        <f ca="1">IFERROR(__xludf.DUMMYFUNCTION("IF(ISBLANK(B84),,IFERROR(FILTER('Leetcode分类顺序表'!B:D,'Leetcode分类顺序表'!A:A = B84),FILTER(Algoexpert.io!B:D,Algoexpert.io!A:A = B84)))"),"")</f>
        <v/>
      </c>
      <c r="D84" s="18"/>
      <c r="E84" s="18"/>
      <c r="F84" s="18"/>
      <c r="G84" s="18"/>
      <c r="H84" s="18"/>
      <c r="I84" s="18">
        <f t="shared" si="0"/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 spans="1:31">
      <c r="A85" s="19"/>
      <c r="B85" s="20"/>
      <c r="C85" s="18" t="str">
        <f ca="1">IFERROR(__xludf.DUMMYFUNCTION("IF(ISBLANK(B85),,IFERROR(FILTER('Leetcode分类顺序表'!B:D,'Leetcode分类顺序表'!A:A = B85),FILTER(Algoexpert.io!B:D,Algoexpert.io!A:A = B85)))"),"")</f>
        <v/>
      </c>
      <c r="D85" s="18"/>
      <c r="E85" s="18"/>
      <c r="F85" s="18"/>
      <c r="G85" s="18"/>
      <c r="H85" s="18"/>
      <c r="I85" s="18">
        <f t="shared" si="0"/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 spans="1:31">
      <c r="A86" s="19"/>
      <c r="B86" s="20"/>
      <c r="C86" s="18" t="str">
        <f ca="1">IFERROR(__xludf.DUMMYFUNCTION("IF(ISBLANK(B86),,IFERROR(FILTER('Leetcode分类顺序表'!B:D,'Leetcode分类顺序表'!A:A = B86),FILTER(Algoexpert.io!B:D,Algoexpert.io!A:A = B86)))"),"")</f>
        <v/>
      </c>
      <c r="D86" s="18"/>
      <c r="E86" s="18"/>
      <c r="F86" s="18"/>
      <c r="G86" s="18"/>
      <c r="H86" s="18"/>
      <c r="I86" s="18">
        <f t="shared" si="0"/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 spans="1:31">
      <c r="A87" s="19"/>
      <c r="B87" s="20"/>
      <c r="C87" s="18" t="str">
        <f ca="1">IFERROR(__xludf.DUMMYFUNCTION("IF(ISBLANK(B87),,IFERROR(FILTER('Leetcode分类顺序表'!B:D,'Leetcode分类顺序表'!A:A = B87),FILTER(Algoexpert.io!B:D,Algoexpert.io!A:A = B87)))"),"")</f>
        <v/>
      </c>
      <c r="D87" s="18"/>
      <c r="E87" s="18"/>
      <c r="F87" s="18"/>
      <c r="G87" s="18"/>
      <c r="H87" s="18"/>
      <c r="I87" s="18">
        <f t="shared" si="0"/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 spans="1:31">
      <c r="A88" s="19"/>
      <c r="B88" s="20"/>
      <c r="C88" s="18" t="str">
        <f ca="1">IFERROR(__xludf.DUMMYFUNCTION("IF(ISBLANK(B88),,IFERROR(FILTER('Leetcode分类顺序表'!B:D,'Leetcode分类顺序表'!A:A = B88),FILTER(Algoexpert.io!B:D,Algoexpert.io!A:A = B88)))"),"")</f>
        <v/>
      </c>
      <c r="D88" s="18"/>
      <c r="E88" s="18"/>
      <c r="F88" s="18"/>
      <c r="G88" s="18"/>
      <c r="H88" s="18"/>
      <c r="I88" s="18">
        <f t="shared" si="0"/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 spans="1:31">
      <c r="A89" s="19"/>
      <c r="B89" s="20"/>
      <c r="C89" s="18" t="str">
        <f ca="1">IFERROR(__xludf.DUMMYFUNCTION("IF(ISBLANK(B89),,IFERROR(FILTER('Leetcode分类顺序表'!B:D,'Leetcode分类顺序表'!A:A = B89),FILTER(Algoexpert.io!B:D,Algoexpert.io!A:A = B89)))"),"")</f>
        <v/>
      </c>
      <c r="D89" s="18"/>
      <c r="E89" s="18"/>
      <c r="F89" s="18"/>
      <c r="G89" s="18"/>
      <c r="H89" s="18"/>
      <c r="I89" s="18">
        <f t="shared" si="0"/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 spans="1:31">
      <c r="A90" s="19"/>
      <c r="B90" s="20"/>
      <c r="C90" s="18" t="str">
        <f ca="1">IFERROR(__xludf.DUMMYFUNCTION("IF(ISBLANK(B90),,IFERROR(FILTER('Leetcode分类顺序表'!B:D,'Leetcode分类顺序表'!A:A = B90),FILTER(Algoexpert.io!B:D,Algoexpert.io!A:A = B90)))"),"")</f>
        <v/>
      </c>
      <c r="D90" s="18"/>
      <c r="E90" s="18"/>
      <c r="F90" s="18"/>
      <c r="G90" s="18"/>
      <c r="H90" s="18"/>
      <c r="I90" s="18">
        <f t="shared" si="0"/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 spans="1:31">
      <c r="A91" s="19"/>
      <c r="B91" s="20"/>
      <c r="C91" s="18" t="str">
        <f ca="1">IFERROR(__xludf.DUMMYFUNCTION("IF(ISBLANK(B91),,IFERROR(FILTER('Leetcode分类顺序表'!B:D,'Leetcode分类顺序表'!A:A = B91),FILTER(Algoexpert.io!B:D,Algoexpert.io!A:A = B91)))"),"")</f>
        <v/>
      </c>
      <c r="D91" s="18"/>
      <c r="E91" s="18"/>
      <c r="F91" s="18"/>
      <c r="G91" s="18"/>
      <c r="H91" s="18"/>
      <c r="I91" s="18">
        <f t="shared" si="0"/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 spans="1:31">
      <c r="A92" s="19"/>
      <c r="B92" s="20"/>
      <c r="C92" s="18" t="str">
        <f ca="1">IFERROR(__xludf.DUMMYFUNCTION("IF(ISBLANK(B92),,IFERROR(FILTER('Leetcode分类顺序表'!B:D,'Leetcode分类顺序表'!A:A = B92),FILTER(Algoexpert.io!B:D,Algoexpert.io!A:A = B92)))"),"")</f>
        <v/>
      </c>
      <c r="D92" s="18"/>
      <c r="E92" s="18"/>
      <c r="F92" s="18"/>
      <c r="G92" s="18"/>
      <c r="H92" s="18"/>
      <c r="I92" s="18">
        <f t="shared" si="0"/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 spans="1:31">
      <c r="A93" s="19"/>
      <c r="B93" s="20"/>
      <c r="C93" s="18" t="str">
        <f ca="1">IFERROR(__xludf.DUMMYFUNCTION("IF(ISBLANK(B93),,IFERROR(FILTER('Leetcode分类顺序表'!B:D,'Leetcode分类顺序表'!A:A = B93),FILTER(Algoexpert.io!B:D,Algoexpert.io!A:A = B93)))"),"")</f>
        <v/>
      </c>
      <c r="D93" s="18"/>
      <c r="E93" s="18"/>
      <c r="F93" s="18"/>
      <c r="G93" s="18"/>
      <c r="H93" s="18"/>
      <c r="I93" s="18">
        <f t="shared" si="0"/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 spans="1:31">
      <c r="A94" s="19"/>
      <c r="B94" s="20"/>
      <c r="C94" s="18" t="str">
        <f ca="1">IFERROR(__xludf.DUMMYFUNCTION("IF(ISBLANK(B94),,IFERROR(FILTER('Leetcode分类顺序表'!B:D,'Leetcode分类顺序表'!A:A = B94),FILTER(Algoexpert.io!B:D,Algoexpert.io!A:A = B94)))"),"")</f>
        <v/>
      </c>
      <c r="D94" s="18"/>
      <c r="E94" s="18"/>
      <c r="F94" s="18"/>
      <c r="G94" s="18"/>
      <c r="H94" s="18"/>
      <c r="I94" s="18">
        <f t="shared" si="0"/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 spans="1:31">
      <c r="A95" s="19"/>
      <c r="B95" s="20"/>
      <c r="C95" s="18" t="str">
        <f ca="1">IFERROR(__xludf.DUMMYFUNCTION("IF(ISBLANK(B95),,IFERROR(FILTER('Leetcode分类顺序表'!B:D,'Leetcode分类顺序表'!A:A = B95),FILTER(Algoexpert.io!B:D,Algoexpert.io!A:A = B95)))"),"")</f>
        <v/>
      </c>
      <c r="D95" s="18"/>
      <c r="E95" s="18"/>
      <c r="F95" s="18"/>
      <c r="G95" s="18"/>
      <c r="H95" s="18"/>
      <c r="I95" s="18">
        <f t="shared" si="0"/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 spans="1:31">
      <c r="A96" s="19"/>
      <c r="B96" s="20"/>
      <c r="C96" s="18" t="str">
        <f ca="1">IFERROR(__xludf.DUMMYFUNCTION("IF(ISBLANK(B96),,IFERROR(FILTER('Leetcode分类顺序表'!B:D,'Leetcode分类顺序表'!A:A = B96),FILTER(Algoexpert.io!B:D,Algoexpert.io!A:A = B96)))"),"")</f>
        <v/>
      </c>
      <c r="D96" s="18"/>
      <c r="E96" s="18"/>
      <c r="F96" s="18"/>
      <c r="G96" s="18"/>
      <c r="H96" s="18"/>
      <c r="I96" s="18">
        <f t="shared" si="0"/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 spans="1:31">
      <c r="A97" s="19"/>
      <c r="B97" s="20"/>
      <c r="C97" s="18" t="str">
        <f ca="1">IFERROR(__xludf.DUMMYFUNCTION("IF(ISBLANK(B97),,IFERROR(FILTER('Leetcode分类顺序表'!B:D,'Leetcode分类顺序表'!A:A = B97),FILTER(Algoexpert.io!B:D,Algoexpert.io!A:A = B97)))"),"")</f>
        <v/>
      </c>
      <c r="D97" s="18"/>
      <c r="E97" s="18"/>
      <c r="F97" s="18"/>
      <c r="G97" s="18"/>
      <c r="H97" s="18"/>
      <c r="I97" s="18">
        <f t="shared" si="0"/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1:31">
      <c r="A98" s="19"/>
      <c r="B98" s="20"/>
      <c r="C98" s="18" t="str">
        <f ca="1">IFERROR(__xludf.DUMMYFUNCTION("IF(ISBLANK(B98),,IFERROR(FILTER('Leetcode分类顺序表'!B:D,'Leetcode分类顺序表'!A:A = B98),FILTER(Algoexpert.io!B:D,Algoexpert.io!A:A = B98)))"),"")</f>
        <v/>
      </c>
      <c r="D98" s="18"/>
      <c r="E98" s="18"/>
      <c r="F98" s="18"/>
      <c r="G98" s="18"/>
      <c r="H98" s="18"/>
      <c r="I98" s="18">
        <f t="shared" si="0"/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1:31">
      <c r="A99" s="19"/>
      <c r="B99" s="20"/>
      <c r="C99" s="18" t="str">
        <f ca="1">IFERROR(__xludf.DUMMYFUNCTION("IF(ISBLANK(B99),,IFERROR(FILTER('Leetcode分类顺序表'!B:D,'Leetcode分类顺序表'!A:A = B99),FILTER(Algoexpert.io!B:D,Algoexpert.io!A:A = B99)))"),"")</f>
        <v/>
      </c>
      <c r="D99" s="18"/>
      <c r="E99" s="18"/>
      <c r="F99" s="18"/>
      <c r="G99" s="18"/>
      <c r="H99" s="18"/>
      <c r="I99" s="18">
        <f t="shared" si="0"/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1:31">
      <c r="A100" s="19"/>
      <c r="B100" s="20"/>
      <c r="C100" s="18" t="str">
        <f ca="1">IFERROR(__xludf.DUMMYFUNCTION("IF(ISBLANK(B100),,IFERROR(FILTER('Leetcode分类顺序表'!B:D,'Leetcode分类顺序表'!A:A = B100),FILTER(Algoexpert.io!B:D,Algoexpert.io!A:A = B100)))"),"")</f>
        <v/>
      </c>
      <c r="D100" s="18"/>
      <c r="E100" s="18"/>
      <c r="F100" s="18"/>
      <c r="G100" s="18"/>
      <c r="H100" s="18"/>
      <c r="I100" s="18">
        <f t="shared" si="0"/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 spans="1:31">
      <c r="A101" s="19"/>
      <c r="B101" s="20"/>
      <c r="C101" s="18" t="str">
        <f ca="1">IFERROR(__xludf.DUMMYFUNCTION("IF(ISBLANK(B101),,IFERROR(FILTER('Leetcode分类顺序表'!B:D,'Leetcode分类顺序表'!A:A = B101),FILTER(Algoexpert.io!B:D,Algoexpert.io!A:A = B101)))"),"")</f>
        <v/>
      </c>
      <c r="D101" s="18"/>
      <c r="E101" s="18"/>
      <c r="F101" s="18"/>
      <c r="G101" s="18"/>
      <c r="H101" s="18"/>
      <c r="I101" s="18">
        <f t="shared" si="0"/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 spans="1:31">
      <c r="A102" s="19"/>
      <c r="B102" s="20"/>
      <c r="C102" s="18" t="str">
        <f ca="1">IFERROR(__xludf.DUMMYFUNCTION("IF(ISBLANK(B102),,IFERROR(FILTER('Leetcode分类顺序表'!B:D,'Leetcode分类顺序表'!A:A = B102),FILTER(Algoexpert.io!B:D,Algoexpert.io!A:A = B102)))"),"")</f>
        <v/>
      </c>
      <c r="D102" s="18"/>
      <c r="E102" s="18"/>
      <c r="F102" s="18"/>
      <c r="G102" s="18"/>
      <c r="H102" s="18"/>
      <c r="I102" s="18">
        <f t="shared" si="0"/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spans="1:31">
      <c r="A103" s="19"/>
      <c r="B103" s="20"/>
      <c r="C103" s="18" t="str">
        <f ca="1">IFERROR(__xludf.DUMMYFUNCTION("IF(ISBLANK(B103),,IFERROR(FILTER('Leetcode分类顺序表'!B:D,'Leetcode分类顺序表'!A:A = B103),FILTER(Algoexpert.io!B:D,Algoexpert.io!A:A = B103)))"),"")</f>
        <v/>
      </c>
      <c r="D103" s="18"/>
      <c r="E103" s="18"/>
      <c r="F103" s="18"/>
      <c r="G103" s="18"/>
      <c r="H103" s="18"/>
      <c r="I103" s="18">
        <f t="shared" si="0"/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1:31">
      <c r="A104" s="19"/>
      <c r="B104" s="20"/>
      <c r="C104" s="18" t="str">
        <f ca="1">IFERROR(__xludf.DUMMYFUNCTION("IF(ISBLANK(B104),,IFERROR(FILTER('Leetcode分类顺序表'!B:D,'Leetcode分类顺序表'!A:A = B104),FILTER(Algoexpert.io!B:D,Algoexpert.io!A:A = B104)))"),"")</f>
        <v/>
      </c>
      <c r="D104" s="18"/>
      <c r="E104" s="18"/>
      <c r="F104" s="18"/>
      <c r="G104" s="18"/>
      <c r="H104" s="18"/>
      <c r="I104" s="18">
        <f t="shared" si="0"/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1:31">
      <c r="A105" s="19"/>
      <c r="B105" s="20"/>
      <c r="C105" s="18" t="str">
        <f ca="1">IFERROR(__xludf.DUMMYFUNCTION("IF(ISBLANK(B105),,IFERROR(FILTER('Leetcode分类顺序表'!B:D,'Leetcode分类顺序表'!A:A = B105),FILTER(Algoexpert.io!B:D,Algoexpert.io!A:A = B105)))"),"")</f>
        <v/>
      </c>
      <c r="D105" s="18"/>
      <c r="E105" s="18"/>
      <c r="F105" s="18"/>
      <c r="G105" s="18"/>
      <c r="H105" s="18"/>
      <c r="I105" s="18">
        <f t="shared" si="0"/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1:31">
      <c r="A106" s="19"/>
      <c r="B106" s="20"/>
      <c r="C106" s="18" t="str">
        <f ca="1">IFERROR(__xludf.DUMMYFUNCTION("IF(ISBLANK(B106),,IFERROR(FILTER('Leetcode分类顺序表'!B:D,'Leetcode分类顺序表'!A:A = B106),FILTER(Algoexpert.io!B:D,Algoexpert.io!A:A = B106)))"),"")</f>
        <v/>
      </c>
      <c r="D106" s="18"/>
      <c r="E106" s="18"/>
      <c r="F106" s="18"/>
      <c r="G106" s="18"/>
      <c r="H106" s="18"/>
      <c r="I106" s="18">
        <f t="shared" si="0"/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 spans="1:31">
      <c r="A107" s="19"/>
      <c r="B107" s="20"/>
      <c r="C107" s="18" t="str">
        <f ca="1">IFERROR(__xludf.DUMMYFUNCTION("IF(ISBLANK(B107),,IFERROR(FILTER('Leetcode分类顺序表'!B:D,'Leetcode分类顺序表'!A:A = B107),FILTER(Algoexpert.io!B:D,Algoexpert.io!A:A = B107)))"),"")</f>
        <v/>
      </c>
      <c r="D107" s="18"/>
      <c r="E107" s="18"/>
      <c r="F107" s="18"/>
      <c r="G107" s="18"/>
      <c r="H107" s="18"/>
      <c r="I107" s="18">
        <f t="shared" si="0"/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 spans="1:31">
      <c r="A108" s="19"/>
      <c r="B108" s="20"/>
      <c r="C108" s="18" t="str">
        <f ca="1">IFERROR(__xludf.DUMMYFUNCTION("IF(ISBLANK(B108),,IFERROR(FILTER('Leetcode分类顺序表'!B:D,'Leetcode分类顺序表'!A:A = B108),FILTER(Algoexpert.io!B:D,Algoexpert.io!A:A = B108)))"),"")</f>
        <v/>
      </c>
      <c r="D108" s="18"/>
      <c r="E108" s="18"/>
      <c r="F108" s="18"/>
      <c r="G108" s="18"/>
      <c r="H108" s="18"/>
      <c r="I108" s="18">
        <f t="shared" si="0"/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spans="1:31">
      <c r="A109" s="19"/>
      <c r="B109" s="20"/>
      <c r="C109" s="18" t="str">
        <f ca="1">IFERROR(__xludf.DUMMYFUNCTION("IF(ISBLANK(B109),,IFERROR(FILTER('Leetcode分类顺序表'!B:D,'Leetcode分类顺序表'!A:A = B109),FILTER(Algoexpert.io!B:D,Algoexpert.io!A:A = B109)))"),"")</f>
        <v/>
      </c>
      <c r="D109" s="18"/>
      <c r="E109" s="18"/>
      <c r="F109" s="18"/>
      <c r="G109" s="18"/>
      <c r="H109" s="18"/>
      <c r="I109" s="18">
        <f t="shared" si="0"/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 spans="1:31">
      <c r="A110" s="19"/>
      <c r="B110" s="20"/>
      <c r="C110" s="18" t="str">
        <f ca="1">IFERROR(__xludf.DUMMYFUNCTION("IF(ISBLANK(B110),,IFERROR(FILTER('Leetcode分类顺序表'!B:D,'Leetcode分类顺序表'!A:A = B110),FILTER(Algoexpert.io!B:D,Algoexpert.io!A:A = B110)))"),"")</f>
        <v/>
      </c>
      <c r="D110" s="18"/>
      <c r="E110" s="18"/>
      <c r="F110" s="18"/>
      <c r="G110" s="18"/>
      <c r="H110" s="18"/>
      <c r="I110" s="18">
        <f t="shared" si="0"/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spans="1:31">
      <c r="A111" s="19"/>
      <c r="B111" s="20"/>
      <c r="C111" s="18" t="str">
        <f ca="1">IFERROR(__xludf.DUMMYFUNCTION("IF(ISBLANK(B111),,IFERROR(FILTER('Leetcode分类顺序表'!B:D,'Leetcode分类顺序表'!A:A = B111),FILTER(Algoexpert.io!B:D,Algoexpert.io!A:A = B111)))"),"")</f>
        <v/>
      </c>
      <c r="D111" s="18"/>
      <c r="E111" s="18"/>
      <c r="F111" s="18"/>
      <c r="G111" s="18"/>
      <c r="H111" s="18"/>
      <c r="I111" s="18">
        <f t="shared" si="0"/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spans="1:31">
      <c r="A112" s="19"/>
      <c r="B112" s="20"/>
      <c r="C112" s="18" t="str">
        <f ca="1">IFERROR(__xludf.DUMMYFUNCTION("IF(ISBLANK(B112),,IFERROR(FILTER('Leetcode分类顺序表'!B:D,'Leetcode分类顺序表'!A:A = B112),FILTER(Algoexpert.io!B:D,Algoexpert.io!A:A = B112)))"),"")</f>
        <v/>
      </c>
      <c r="D112" s="18"/>
      <c r="E112" s="18"/>
      <c r="F112" s="18"/>
      <c r="G112" s="18"/>
      <c r="H112" s="18"/>
      <c r="I112" s="18">
        <f t="shared" si="0"/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spans="1:31">
      <c r="A113" s="19"/>
      <c r="B113" s="20"/>
      <c r="C113" s="18" t="str">
        <f ca="1">IFERROR(__xludf.DUMMYFUNCTION("IF(ISBLANK(B113),,IFERROR(FILTER('Leetcode分类顺序表'!B:D,'Leetcode分类顺序表'!A:A = B113),FILTER(Algoexpert.io!B:D,Algoexpert.io!A:A = B113)))"),"")</f>
        <v/>
      </c>
      <c r="D113" s="18"/>
      <c r="E113" s="18"/>
      <c r="F113" s="18"/>
      <c r="G113" s="18"/>
      <c r="H113" s="18"/>
      <c r="I113" s="18">
        <f t="shared" si="0"/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 spans="1:31">
      <c r="A114" s="19"/>
      <c r="B114" s="20"/>
      <c r="C114" s="18" t="str">
        <f ca="1">IFERROR(__xludf.DUMMYFUNCTION("IF(ISBLANK(B114),,IFERROR(FILTER('Leetcode分类顺序表'!B:D,'Leetcode分类顺序表'!A:A = B114),FILTER(Algoexpert.io!B:D,Algoexpert.io!A:A = B114)))"),"")</f>
        <v/>
      </c>
      <c r="D114" s="18"/>
      <c r="E114" s="18"/>
      <c r="F114" s="18"/>
      <c r="G114" s="18"/>
      <c r="H114" s="18"/>
      <c r="I114" s="18">
        <f t="shared" si="0"/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 spans="1:31">
      <c r="A115" s="19"/>
      <c r="B115" s="20"/>
      <c r="C115" s="18" t="str">
        <f ca="1">IFERROR(__xludf.DUMMYFUNCTION("IF(ISBLANK(B115),,IFERROR(FILTER('Leetcode分类顺序表'!B:D,'Leetcode分类顺序表'!A:A = B115),FILTER(Algoexpert.io!B:D,Algoexpert.io!A:A = B115)))"),"")</f>
        <v/>
      </c>
      <c r="D115" s="18"/>
      <c r="E115" s="18"/>
      <c r="F115" s="18"/>
      <c r="G115" s="18"/>
      <c r="H115" s="18"/>
      <c r="I115" s="18">
        <f t="shared" si="0"/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 spans="1:31">
      <c r="A116" s="19"/>
      <c r="B116" s="20"/>
      <c r="C116" s="18" t="str">
        <f ca="1">IFERROR(__xludf.DUMMYFUNCTION("IF(ISBLANK(B116),,IFERROR(FILTER('Leetcode分类顺序表'!B:D,'Leetcode分类顺序表'!A:A = B116),FILTER(Algoexpert.io!B:D,Algoexpert.io!A:A = B116)))"),"")</f>
        <v/>
      </c>
      <c r="D116" s="18"/>
      <c r="E116" s="18"/>
      <c r="F116" s="18"/>
      <c r="G116" s="18"/>
      <c r="H116" s="18"/>
      <c r="I116" s="18">
        <f t="shared" si="0"/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 spans="1:31">
      <c r="A117" s="19"/>
      <c r="B117" s="20"/>
      <c r="C117" s="18" t="str">
        <f ca="1">IFERROR(__xludf.DUMMYFUNCTION("IF(ISBLANK(B117),,IFERROR(FILTER('Leetcode分类顺序表'!B:D,'Leetcode分类顺序表'!A:A = B117),FILTER(Algoexpert.io!B:D,Algoexpert.io!A:A = B117)))"),"")</f>
        <v/>
      </c>
      <c r="D117" s="18"/>
      <c r="E117" s="18"/>
      <c r="F117" s="18"/>
      <c r="G117" s="18"/>
      <c r="H117" s="18"/>
      <c r="I117" s="18">
        <f t="shared" si="0"/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 spans="1:31">
      <c r="A118" s="19"/>
      <c r="B118" s="20"/>
      <c r="C118" s="18" t="str">
        <f ca="1">IFERROR(__xludf.DUMMYFUNCTION("IF(ISBLANK(B118),,IFERROR(FILTER('Leetcode分类顺序表'!B:D,'Leetcode分类顺序表'!A:A = B118),FILTER(Algoexpert.io!B:D,Algoexpert.io!A:A = B118)))"),"")</f>
        <v/>
      </c>
      <c r="D118" s="18"/>
      <c r="E118" s="18"/>
      <c r="F118" s="18"/>
      <c r="G118" s="18"/>
      <c r="H118" s="18"/>
      <c r="I118" s="18">
        <f t="shared" si="0"/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spans="1:31">
      <c r="A119" s="19"/>
      <c r="B119" s="20"/>
      <c r="C119" s="18" t="str">
        <f ca="1">IFERROR(__xludf.DUMMYFUNCTION("IF(ISBLANK(B119),,IFERROR(FILTER('Leetcode分类顺序表'!B:D,'Leetcode分类顺序表'!A:A = B119),FILTER(Algoexpert.io!B:D,Algoexpert.io!A:A = B119)))"),"")</f>
        <v/>
      </c>
      <c r="D119" s="18"/>
      <c r="E119" s="18"/>
      <c r="F119" s="18"/>
      <c r="G119" s="18"/>
      <c r="H119" s="18"/>
      <c r="I119" s="18">
        <f t="shared" si="0"/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1:31">
      <c r="A120" s="19"/>
      <c r="B120" s="20"/>
      <c r="C120" s="18" t="str">
        <f ca="1">IFERROR(__xludf.DUMMYFUNCTION("IF(ISBLANK(B120),,IFERROR(FILTER('Leetcode分类顺序表'!B:D,'Leetcode分类顺序表'!A:A = B120),FILTER(Algoexpert.io!B:D,Algoexpert.io!A:A = B120)))"),"")</f>
        <v/>
      </c>
      <c r="D120" s="18"/>
      <c r="E120" s="18"/>
      <c r="F120" s="18"/>
      <c r="G120" s="18"/>
      <c r="H120" s="18"/>
      <c r="I120" s="18">
        <f t="shared" si="0"/>
        <v>0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 spans="1:31">
      <c r="A121" s="19"/>
      <c r="B121" s="20"/>
      <c r="C121" s="18" t="str">
        <f ca="1">IFERROR(__xludf.DUMMYFUNCTION("IF(ISBLANK(B121),,IFERROR(FILTER('Leetcode分类顺序表'!B:D,'Leetcode分类顺序表'!A:A = B121),FILTER(Algoexpert.io!B:D,Algoexpert.io!A:A = B121)))"),"")</f>
        <v/>
      </c>
      <c r="D121" s="18"/>
      <c r="E121" s="18"/>
      <c r="F121" s="18"/>
      <c r="G121" s="18"/>
      <c r="H121" s="18"/>
      <c r="I121" s="18">
        <f t="shared" si="0"/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 spans="1:31">
      <c r="A122" s="19"/>
      <c r="B122" s="20"/>
      <c r="C122" s="18" t="str">
        <f ca="1">IFERROR(__xludf.DUMMYFUNCTION("IF(ISBLANK(B122),,IFERROR(FILTER('Leetcode分类顺序表'!B:D,'Leetcode分类顺序表'!A:A = B122),FILTER(Algoexpert.io!B:D,Algoexpert.io!A:A = B122)))"),"")</f>
        <v/>
      </c>
      <c r="D122" s="18"/>
      <c r="E122" s="18"/>
      <c r="F122" s="18"/>
      <c r="G122" s="18"/>
      <c r="H122" s="18"/>
      <c r="I122" s="18">
        <f t="shared" si="0"/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 spans="1:31">
      <c r="A123" s="19"/>
      <c r="B123" s="20"/>
      <c r="C123" s="18" t="str">
        <f ca="1">IFERROR(__xludf.DUMMYFUNCTION("IF(ISBLANK(B123),,IFERROR(FILTER('Leetcode分类顺序表'!B:D,'Leetcode分类顺序表'!A:A = B123),FILTER(Algoexpert.io!B:D,Algoexpert.io!A:A = B123)))"),"")</f>
        <v/>
      </c>
      <c r="D123" s="18"/>
      <c r="E123" s="18"/>
      <c r="F123" s="18"/>
      <c r="G123" s="18"/>
      <c r="H123" s="18"/>
      <c r="I123" s="18">
        <f t="shared" si="0"/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 spans="1:31">
      <c r="A124" s="19"/>
      <c r="B124" s="20"/>
      <c r="C124" s="18" t="str">
        <f ca="1">IFERROR(__xludf.DUMMYFUNCTION("IF(ISBLANK(B124),,IFERROR(FILTER('Leetcode分类顺序表'!B:D,'Leetcode分类顺序表'!A:A = B124),FILTER(Algoexpert.io!B:D,Algoexpert.io!A:A = B124)))"),"")</f>
        <v/>
      </c>
      <c r="D124" s="18"/>
      <c r="E124" s="18"/>
      <c r="F124" s="18"/>
      <c r="G124" s="18"/>
      <c r="H124" s="18"/>
      <c r="I124" s="18">
        <f t="shared" si="0"/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 spans="1:31">
      <c r="A125" s="19"/>
      <c r="B125" s="20"/>
      <c r="C125" s="18" t="str">
        <f ca="1">IFERROR(__xludf.DUMMYFUNCTION("IF(ISBLANK(B125),,IFERROR(FILTER('Leetcode分类顺序表'!B:D,'Leetcode分类顺序表'!A:A = B125),FILTER(Algoexpert.io!B:D,Algoexpert.io!A:A = B125)))"),"")</f>
        <v/>
      </c>
      <c r="D125" s="18"/>
      <c r="E125" s="18"/>
      <c r="F125" s="18"/>
      <c r="G125" s="18"/>
      <c r="H125" s="18"/>
      <c r="I125" s="18">
        <f t="shared" si="0"/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 spans="1:31">
      <c r="A126" s="19"/>
      <c r="B126" s="20"/>
      <c r="C126" s="18" t="str">
        <f ca="1">IFERROR(__xludf.DUMMYFUNCTION("IF(ISBLANK(B126),,IFERROR(FILTER('Leetcode分类顺序表'!B:D,'Leetcode分类顺序表'!A:A = B126),FILTER(Algoexpert.io!B:D,Algoexpert.io!A:A = B126)))"),"")</f>
        <v/>
      </c>
      <c r="D126" s="18"/>
      <c r="E126" s="18"/>
      <c r="F126" s="18"/>
      <c r="G126" s="18"/>
      <c r="H126" s="18"/>
      <c r="I126" s="18">
        <f t="shared" si="0"/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 spans="1:31">
      <c r="A127" s="19"/>
      <c r="B127" s="20"/>
      <c r="C127" s="18" t="str">
        <f ca="1">IFERROR(__xludf.DUMMYFUNCTION("IF(ISBLANK(B127),,IFERROR(FILTER('Leetcode分类顺序表'!B:D,'Leetcode分类顺序表'!A:A = B127),FILTER(Algoexpert.io!B:D,Algoexpert.io!A:A = B127)))"),"")</f>
        <v/>
      </c>
      <c r="D127" s="18"/>
      <c r="E127" s="18"/>
      <c r="F127" s="18"/>
      <c r="G127" s="18"/>
      <c r="H127" s="18"/>
      <c r="I127" s="18">
        <f t="shared" si="0"/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 spans="1:31">
      <c r="A128" s="19"/>
      <c r="B128" s="20"/>
      <c r="C128" s="18" t="str">
        <f ca="1">IFERROR(__xludf.DUMMYFUNCTION("IF(ISBLANK(B128),,IFERROR(FILTER('Leetcode分类顺序表'!B:D,'Leetcode分类顺序表'!A:A = B128),FILTER(Algoexpert.io!B:D,Algoexpert.io!A:A = B128)))"),"")</f>
        <v/>
      </c>
      <c r="D128" s="18"/>
      <c r="E128" s="18"/>
      <c r="F128" s="18"/>
      <c r="G128" s="18"/>
      <c r="H128" s="18"/>
      <c r="I128" s="18">
        <f t="shared" si="0"/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spans="1:31">
      <c r="A129" s="19"/>
      <c r="B129" s="20"/>
      <c r="C129" s="18" t="str">
        <f ca="1">IFERROR(__xludf.DUMMYFUNCTION("IF(ISBLANK(B129),,IFERROR(FILTER('Leetcode分类顺序表'!B:D,'Leetcode分类顺序表'!A:A = B129),FILTER(Algoexpert.io!B:D,Algoexpert.io!A:A = B129)))"),"")</f>
        <v/>
      </c>
      <c r="D129" s="18"/>
      <c r="E129" s="18"/>
      <c r="F129" s="18"/>
      <c r="G129" s="18"/>
      <c r="H129" s="18"/>
      <c r="I129" s="18">
        <f t="shared" si="0"/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 spans="1:31">
      <c r="A130" s="19"/>
      <c r="B130" s="20"/>
      <c r="C130" s="18" t="str">
        <f ca="1">IFERROR(__xludf.DUMMYFUNCTION("IF(ISBLANK(B130),,IFERROR(FILTER('Leetcode分类顺序表'!B:D,'Leetcode分类顺序表'!A:A = B130),FILTER(Algoexpert.io!B:D,Algoexpert.io!A:A = B130)))"),"")</f>
        <v/>
      </c>
      <c r="D130" s="18"/>
      <c r="E130" s="18"/>
      <c r="F130" s="18"/>
      <c r="G130" s="18"/>
      <c r="H130" s="18"/>
      <c r="I130" s="18">
        <f t="shared" si="0"/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 spans="1:31">
      <c r="A131" s="19"/>
      <c r="B131" s="20"/>
      <c r="C131" s="18" t="str">
        <f ca="1">IFERROR(__xludf.DUMMYFUNCTION("IF(ISBLANK(B131),,IFERROR(FILTER('Leetcode分类顺序表'!B:D,'Leetcode分类顺序表'!A:A = B131),FILTER(Algoexpert.io!B:D,Algoexpert.io!A:A = B131)))"),"")</f>
        <v/>
      </c>
      <c r="D131" s="18"/>
      <c r="E131" s="18"/>
      <c r="F131" s="18"/>
      <c r="G131" s="18"/>
      <c r="H131" s="18"/>
      <c r="I131" s="18">
        <f t="shared" si="0"/>
        <v>0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 spans="1:31">
      <c r="A132" s="19"/>
      <c r="B132" s="20"/>
      <c r="C132" s="18" t="str">
        <f ca="1">IFERROR(__xludf.DUMMYFUNCTION("IF(ISBLANK(B132),,IFERROR(FILTER('Leetcode分类顺序表'!B:D,'Leetcode分类顺序表'!A:A = B132),FILTER(Algoexpert.io!B:D,Algoexpert.io!A:A = B132)))"),"")</f>
        <v/>
      </c>
      <c r="D132" s="18"/>
      <c r="E132" s="18"/>
      <c r="F132" s="18"/>
      <c r="G132" s="18"/>
      <c r="H132" s="18"/>
      <c r="I132" s="18">
        <f t="shared" si="0"/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 spans="1:31">
      <c r="A133" s="19"/>
      <c r="B133" s="20"/>
      <c r="C133" s="18" t="str">
        <f ca="1">IFERROR(__xludf.DUMMYFUNCTION("IF(ISBLANK(B133),,IFERROR(FILTER('Leetcode分类顺序表'!B:D,'Leetcode分类顺序表'!A:A = B133),FILTER(Algoexpert.io!B:D,Algoexpert.io!A:A = B133)))"),"")</f>
        <v/>
      </c>
      <c r="D133" s="18"/>
      <c r="E133" s="18"/>
      <c r="F133" s="18"/>
      <c r="G133" s="18"/>
      <c r="H133" s="18"/>
      <c r="I133" s="18">
        <f t="shared" si="0"/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 spans="1:31">
      <c r="A134" s="19"/>
      <c r="B134" s="20"/>
      <c r="C134" s="18" t="str">
        <f ca="1">IFERROR(__xludf.DUMMYFUNCTION("IF(ISBLANK(B134),,IFERROR(FILTER('Leetcode分类顺序表'!B:D,'Leetcode分类顺序表'!A:A = B134),FILTER(Algoexpert.io!B:D,Algoexpert.io!A:A = B134)))"),"")</f>
        <v/>
      </c>
      <c r="D134" s="18"/>
      <c r="E134" s="18"/>
      <c r="F134" s="18"/>
      <c r="G134" s="18"/>
      <c r="H134" s="18"/>
      <c r="I134" s="18">
        <f t="shared" si="0"/>
        <v>0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 spans="1:31">
      <c r="A135" s="19"/>
      <c r="B135" s="20"/>
      <c r="C135" s="18" t="str">
        <f ca="1">IFERROR(__xludf.DUMMYFUNCTION("IF(ISBLANK(B135),,IFERROR(FILTER('Leetcode分类顺序表'!B:D,'Leetcode分类顺序表'!A:A = B135),FILTER(Algoexpert.io!B:D,Algoexpert.io!A:A = B135)))"),"")</f>
        <v/>
      </c>
      <c r="D135" s="18"/>
      <c r="E135" s="18"/>
      <c r="F135" s="18"/>
      <c r="G135" s="18"/>
      <c r="H135" s="18"/>
      <c r="I135" s="18">
        <f t="shared" si="0"/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 spans="1:31">
      <c r="A136" s="19"/>
      <c r="B136" s="20"/>
      <c r="C136" s="18" t="str">
        <f ca="1">IFERROR(__xludf.DUMMYFUNCTION("IF(ISBLANK(B136),,IFERROR(FILTER('Leetcode分类顺序表'!B:D,'Leetcode分类顺序表'!A:A = B136),FILTER(Algoexpert.io!B:D,Algoexpert.io!A:A = B136)))"),"")</f>
        <v/>
      </c>
      <c r="D136" s="18"/>
      <c r="E136" s="18"/>
      <c r="F136" s="18"/>
      <c r="G136" s="18"/>
      <c r="H136" s="18"/>
      <c r="I136" s="18">
        <f t="shared" si="0"/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 spans="1:31">
      <c r="A137" s="19"/>
      <c r="B137" s="20"/>
      <c r="C137" s="18" t="str">
        <f ca="1">IFERROR(__xludf.DUMMYFUNCTION("IF(ISBLANK(B137),,IFERROR(FILTER('Leetcode分类顺序表'!B:D,'Leetcode分类顺序表'!A:A = B137),FILTER(Algoexpert.io!B:D,Algoexpert.io!A:A = B137)))"),"")</f>
        <v/>
      </c>
      <c r="D137" s="18"/>
      <c r="E137" s="18"/>
      <c r="F137" s="18"/>
      <c r="G137" s="18"/>
      <c r="H137" s="18"/>
      <c r="I137" s="18">
        <f t="shared" si="0"/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 spans="1:31">
      <c r="A138" s="19"/>
      <c r="B138" s="20"/>
      <c r="C138" s="18" t="str">
        <f ca="1">IFERROR(__xludf.DUMMYFUNCTION("IF(ISBLANK(B138),,IFERROR(FILTER('Leetcode分类顺序表'!B:D,'Leetcode分类顺序表'!A:A = B138),FILTER(Algoexpert.io!B:D,Algoexpert.io!A:A = B138)))"),"")</f>
        <v/>
      </c>
      <c r="D138" s="18"/>
      <c r="E138" s="18"/>
      <c r="F138" s="18"/>
      <c r="G138" s="18"/>
      <c r="H138" s="18"/>
      <c r="I138" s="18">
        <f t="shared" si="0"/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 spans="1:31">
      <c r="A139" s="19"/>
      <c r="B139" s="20"/>
      <c r="C139" s="18" t="str">
        <f ca="1">IFERROR(__xludf.DUMMYFUNCTION("IF(ISBLANK(B139),,IFERROR(FILTER('Leetcode分类顺序表'!B:D,'Leetcode分类顺序表'!A:A = B139),FILTER(Algoexpert.io!B:D,Algoexpert.io!A:A = B139)))"),"")</f>
        <v/>
      </c>
      <c r="D139" s="18"/>
      <c r="E139" s="18"/>
      <c r="F139" s="18"/>
      <c r="G139" s="18"/>
      <c r="H139" s="18"/>
      <c r="I139" s="18">
        <f t="shared" si="0"/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 spans="1:31">
      <c r="A140" s="19"/>
      <c r="B140" s="20"/>
      <c r="C140" s="18" t="str">
        <f ca="1">IFERROR(__xludf.DUMMYFUNCTION("IF(ISBLANK(B140),,IFERROR(FILTER('Leetcode分类顺序表'!B:D,'Leetcode分类顺序表'!A:A = B140),FILTER(Algoexpert.io!B:D,Algoexpert.io!A:A = B140)))"),"")</f>
        <v/>
      </c>
      <c r="D140" s="18"/>
      <c r="E140" s="18"/>
      <c r="F140" s="18"/>
      <c r="G140" s="18"/>
      <c r="H140" s="18"/>
      <c r="I140" s="18">
        <f t="shared" si="0"/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 spans="1:31">
      <c r="A141" s="19"/>
      <c r="B141" s="20"/>
      <c r="C141" s="18" t="str">
        <f ca="1">IFERROR(__xludf.DUMMYFUNCTION("IF(ISBLANK(B141),,IFERROR(FILTER('Leetcode分类顺序表'!B:D,'Leetcode分类顺序表'!A:A = B141),FILTER(Algoexpert.io!B:D,Algoexpert.io!A:A = B141)))"),"")</f>
        <v/>
      </c>
      <c r="D141" s="18"/>
      <c r="E141" s="18"/>
      <c r="F141" s="18"/>
      <c r="G141" s="18"/>
      <c r="H141" s="18"/>
      <c r="I141" s="18">
        <f t="shared" si="0"/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 spans="1:31">
      <c r="A142" s="19"/>
      <c r="B142" s="20"/>
      <c r="C142" s="18" t="str">
        <f ca="1">IFERROR(__xludf.DUMMYFUNCTION("IF(ISBLANK(B142),,IFERROR(FILTER('Leetcode分类顺序表'!B:D,'Leetcode分类顺序表'!A:A = B142),FILTER(Algoexpert.io!B:D,Algoexpert.io!A:A = B142)))"),"")</f>
        <v/>
      </c>
      <c r="D142" s="18"/>
      <c r="E142" s="18"/>
      <c r="F142" s="18"/>
      <c r="G142" s="18"/>
      <c r="H142" s="18"/>
      <c r="I142" s="18">
        <f t="shared" si="0"/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 spans="1:31">
      <c r="A143" s="19"/>
      <c r="B143" s="20"/>
      <c r="C143" s="18" t="str">
        <f ca="1">IFERROR(__xludf.DUMMYFUNCTION("IF(ISBLANK(B143),,IFERROR(FILTER('Leetcode分类顺序表'!B:D,'Leetcode分类顺序表'!A:A = B143),FILTER(Algoexpert.io!B:D,Algoexpert.io!A:A = B143)))"),"")</f>
        <v/>
      </c>
      <c r="D143" s="18"/>
      <c r="E143" s="18"/>
      <c r="F143" s="18"/>
      <c r="G143" s="18"/>
      <c r="H143" s="18"/>
      <c r="I143" s="18">
        <f t="shared" si="0"/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 spans="1:31">
      <c r="A144" s="19"/>
      <c r="B144" s="20"/>
      <c r="C144" s="18" t="str">
        <f ca="1">IFERROR(__xludf.DUMMYFUNCTION("IF(ISBLANK(B144),,IFERROR(FILTER('Leetcode分类顺序表'!B:D,'Leetcode分类顺序表'!A:A = B144),FILTER(Algoexpert.io!B:D,Algoexpert.io!A:A = B144)))"),"")</f>
        <v/>
      </c>
      <c r="D144" s="18"/>
      <c r="E144" s="18"/>
      <c r="F144" s="18"/>
      <c r="G144" s="18"/>
      <c r="H144" s="18"/>
      <c r="I144" s="18">
        <f t="shared" si="0"/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 spans="1:31">
      <c r="A145" s="19"/>
      <c r="B145" s="20"/>
      <c r="C145" s="18" t="str">
        <f ca="1">IFERROR(__xludf.DUMMYFUNCTION("IF(ISBLANK(B145),,IFERROR(FILTER('Leetcode分类顺序表'!B:D,'Leetcode分类顺序表'!A:A = B145),FILTER(Algoexpert.io!B:D,Algoexpert.io!A:A = B145)))"),"")</f>
        <v/>
      </c>
      <c r="D145" s="18"/>
      <c r="E145" s="18"/>
      <c r="F145" s="18"/>
      <c r="G145" s="18"/>
      <c r="H145" s="18"/>
      <c r="I145" s="18">
        <f t="shared" si="0"/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 spans="1:31">
      <c r="A146" s="19"/>
      <c r="B146" s="20"/>
      <c r="C146" s="18" t="str">
        <f ca="1">IFERROR(__xludf.DUMMYFUNCTION("IF(ISBLANK(B146),,IFERROR(FILTER('Leetcode分类顺序表'!B:D,'Leetcode分类顺序表'!A:A = B146),FILTER(Algoexpert.io!B:D,Algoexpert.io!A:A = B146)))"),"")</f>
        <v/>
      </c>
      <c r="D146" s="18"/>
      <c r="E146" s="18"/>
      <c r="F146" s="18"/>
      <c r="G146" s="18"/>
      <c r="H146" s="18"/>
      <c r="I146" s="18">
        <f t="shared" si="0"/>
        <v>0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 spans="1:31">
      <c r="A147" s="19"/>
      <c r="B147" s="20"/>
      <c r="C147" s="18" t="str">
        <f ca="1">IFERROR(__xludf.DUMMYFUNCTION("IF(ISBLANK(B147),,IFERROR(FILTER('Leetcode分类顺序表'!B:D,'Leetcode分类顺序表'!A:A = B147),FILTER(Algoexpert.io!B:D,Algoexpert.io!A:A = B147)))"),"")</f>
        <v/>
      </c>
      <c r="D147" s="18"/>
      <c r="E147" s="18"/>
      <c r="F147" s="18"/>
      <c r="G147" s="18"/>
      <c r="H147" s="18"/>
      <c r="I147" s="18">
        <f t="shared" si="0"/>
        <v>0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 spans="1:31">
      <c r="A148" s="19"/>
      <c r="B148" s="20"/>
      <c r="C148" s="18" t="str">
        <f ca="1">IFERROR(__xludf.DUMMYFUNCTION("IF(ISBLANK(B148),,IFERROR(FILTER('Leetcode分类顺序表'!B:D,'Leetcode分类顺序表'!A:A = B148),FILTER(Algoexpert.io!B:D,Algoexpert.io!A:A = B148)))"),"")</f>
        <v/>
      </c>
      <c r="D148" s="18"/>
      <c r="E148" s="18"/>
      <c r="F148" s="18"/>
      <c r="G148" s="18"/>
      <c r="H148" s="18"/>
      <c r="I148" s="18">
        <f t="shared" si="0"/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 spans="1:31">
      <c r="A149" s="19"/>
      <c r="B149" s="20"/>
      <c r="C149" s="18" t="str">
        <f ca="1">IFERROR(__xludf.DUMMYFUNCTION("IF(ISBLANK(B149),,IFERROR(FILTER('Leetcode分类顺序表'!B:D,'Leetcode分类顺序表'!A:A = B149),FILTER(Algoexpert.io!B:D,Algoexpert.io!A:A = B149)))"),"")</f>
        <v/>
      </c>
      <c r="D149" s="18"/>
      <c r="E149" s="18"/>
      <c r="F149" s="18"/>
      <c r="G149" s="18"/>
      <c r="H149" s="18"/>
      <c r="I149" s="18">
        <f t="shared" si="0"/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 spans="1:31">
      <c r="A150" s="19"/>
      <c r="B150" s="20"/>
      <c r="C150" s="18" t="str">
        <f ca="1">IFERROR(__xludf.DUMMYFUNCTION("IF(ISBLANK(B150),,IFERROR(FILTER('Leetcode分类顺序表'!B:D,'Leetcode分类顺序表'!A:A = B150),FILTER(Algoexpert.io!B:D,Algoexpert.io!A:A = B150)))"),"")</f>
        <v/>
      </c>
      <c r="D150" s="18"/>
      <c r="E150" s="18"/>
      <c r="F150" s="18"/>
      <c r="G150" s="18"/>
      <c r="H150" s="18"/>
      <c r="I150" s="18">
        <f t="shared" si="0"/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 spans="1:31">
      <c r="A151" s="19"/>
      <c r="B151" s="20"/>
      <c r="C151" s="18" t="str">
        <f ca="1">IFERROR(__xludf.DUMMYFUNCTION("IF(ISBLANK(B151),,IFERROR(FILTER('Leetcode分类顺序表'!B:D,'Leetcode分类顺序表'!A:A = B151),FILTER(Algoexpert.io!B:D,Algoexpert.io!A:A = B151)))"),"")</f>
        <v/>
      </c>
      <c r="D151" s="18"/>
      <c r="E151" s="18"/>
      <c r="F151" s="18"/>
      <c r="G151" s="18"/>
      <c r="H151" s="18"/>
      <c r="I151" s="18">
        <f t="shared" si="0"/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 spans="1:31">
      <c r="A152" s="19"/>
      <c r="B152" s="20"/>
      <c r="C152" s="18" t="str">
        <f ca="1">IFERROR(__xludf.DUMMYFUNCTION("IF(ISBLANK(B152),,IFERROR(FILTER('Leetcode分类顺序表'!B:D,'Leetcode分类顺序表'!A:A = B152),FILTER(Algoexpert.io!B:D,Algoexpert.io!A:A = B152)))"),"")</f>
        <v/>
      </c>
      <c r="D152" s="18"/>
      <c r="E152" s="18"/>
      <c r="F152" s="18"/>
      <c r="G152" s="18"/>
      <c r="H152" s="18"/>
      <c r="I152" s="18">
        <f t="shared" si="0"/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 spans="1:31">
      <c r="A153" s="19"/>
      <c r="B153" s="20"/>
      <c r="C153" s="18" t="str">
        <f ca="1">IFERROR(__xludf.DUMMYFUNCTION("IF(ISBLANK(B153),,IFERROR(FILTER('Leetcode分类顺序表'!B:D,'Leetcode分类顺序表'!A:A = B153),FILTER(Algoexpert.io!B:D,Algoexpert.io!A:A = B153)))"),"")</f>
        <v/>
      </c>
      <c r="D153" s="18"/>
      <c r="E153" s="18"/>
      <c r="F153" s="18"/>
      <c r="G153" s="18"/>
      <c r="H153" s="18"/>
      <c r="I153" s="18">
        <f t="shared" si="0"/>
        <v>0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 spans="1:31">
      <c r="A154" s="19"/>
      <c r="B154" s="20"/>
      <c r="C154" s="18" t="str">
        <f ca="1">IFERROR(__xludf.DUMMYFUNCTION("IF(ISBLANK(B154),,IFERROR(FILTER('Leetcode分类顺序表'!B:D,'Leetcode分类顺序表'!A:A = B154),FILTER(Algoexpert.io!B:D,Algoexpert.io!A:A = B154)))"),"")</f>
        <v/>
      </c>
      <c r="D154" s="18"/>
      <c r="E154" s="18"/>
      <c r="F154" s="18"/>
      <c r="G154" s="18"/>
      <c r="H154" s="18"/>
      <c r="I154" s="18">
        <f t="shared" si="0"/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 spans="1:31">
      <c r="A155" s="19"/>
      <c r="B155" s="20"/>
      <c r="C155" s="18" t="str">
        <f ca="1">IFERROR(__xludf.DUMMYFUNCTION("IF(ISBLANK(B155),,IFERROR(FILTER('Leetcode分类顺序表'!B:D,'Leetcode分类顺序表'!A:A = B155),FILTER(Algoexpert.io!B:D,Algoexpert.io!A:A = B155)))"),"")</f>
        <v/>
      </c>
      <c r="D155" s="18"/>
      <c r="E155" s="18"/>
      <c r="F155" s="18"/>
      <c r="G155" s="18"/>
      <c r="H155" s="18"/>
      <c r="I155" s="18">
        <f t="shared" si="0"/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 spans="1:31">
      <c r="A156" s="19"/>
      <c r="B156" s="20"/>
      <c r="C156" s="18" t="str">
        <f ca="1">IFERROR(__xludf.DUMMYFUNCTION("IF(ISBLANK(B156),,IFERROR(FILTER('Leetcode分类顺序表'!B:D,'Leetcode分类顺序表'!A:A = B156),FILTER(Algoexpert.io!B:D,Algoexpert.io!A:A = B156)))"),"")</f>
        <v/>
      </c>
      <c r="D156" s="18"/>
      <c r="E156" s="18"/>
      <c r="F156" s="18"/>
      <c r="G156" s="18"/>
      <c r="H156" s="18"/>
      <c r="I156" s="18">
        <f t="shared" si="0"/>
        <v>0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 spans="1:31">
      <c r="A157" s="19"/>
      <c r="B157" s="20"/>
      <c r="C157" s="18" t="str">
        <f ca="1">IFERROR(__xludf.DUMMYFUNCTION("IF(ISBLANK(B157),,IFERROR(FILTER('Leetcode分类顺序表'!B:D,'Leetcode分类顺序表'!A:A = B157),FILTER(Algoexpert.io!B:D,Algoexpert.io!A:A = B157)))"),"")</f>
        <v/>
      </c>
      <c r="D157" s="18"/>
      <c r="E157" s="18"/>
      <c r="F157" s="18"/>
      <c r="G157" s="18"/>
      <c r="H157" s="18"/>
      <c r="I157" s="18">
        <f t="shared" si="0"/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 spans="1:31">
      <c r="A158" s="19"/>
      <c r="B158" s="20"/>
      <c r="C158" s="18" t="str">
        <f ca="1">IFERROR(__xludf.DUMMYFUNCTION("IF(ISBLANK(B158),,IFERROR(FILTER('Leetcode分类顺序表'!B:D,'Leetcode分类顺序表'!A:A = B158),FILTER(Algoexpert.io!B:D,Algoexpert.io!A:A = B158)))"),"")</f>
        <v/>
      </c>
      <c r="D158" s="18"/>
      <c r="E158" s="18"/>
      <c r="F158" s="18"/>
      <c r="G158" s="18"/>
      <c r="H158" s="18"/>
      <c r="I158" s="18">
        <f t="shared" si="0"/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 spans="1:31">
      <c r="A159" s="19"/>
      <c r="B159" s="20"/>
      <c r="C159" s="18" t="str">
        <f ca="1">IFERROR(__xludf.DUMMYFUNCTION("IF(ISBLANK(B159),,IFERROR(FILTER('Leetcode分类顺序表'!B:D,'Leetcode分类顺序表'!A:A = B159),FILTER(Algoexpert.io!B:D,Algoexpert.io!A:A = B159)))"),"")</f>
        <v/>
      </c>
      <c r="D159" s="18"/>
      <c r="E159" s="18"/>
      <c r="F159" s="18"/>
      <c r="G159" s="18"/>
      <c r="H159" s="18"/>
      <c r="I159" s="18">
        <f t="shared" si="0"/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 spans="1:31">
      <c r="A160" s="19"/>
      <c r="B160" s="20"/>
      <c r="C160" s="18" t="str">
        <f ca="1">IFERROR(__xludf.DUMMYFUNCTION("IF(ISBLANK(B160),,IFERROR(FILTER('Leetcode分类顺序表'!B:D,'Leetcode分类顺序表'!A:A = B160),FILTER(Algoexpert.io!B:D,Algoexpert.io!A:A = B160)))"),"")</f>
        <v/>
      </c>
      <c r="D160" s="18"/>
      <c r="E160" s="18"/>
      <c r="F160" s="18"/>
      <c r="G160" s="18"/>
      <c r="H160" s="18"/>
      <c r="I160" s="18">
        <f t="shared" si="0"/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 spans="1:31">
      <c r="A161" s="19"/>
      <c r="B161" s="20"/>
      <c r="C161" s="18" t="str">
        <f ca="1">IFERROR(__xludf.DUMMYFUNCTION("IF(ISBLANK(B161),,IFERROR(FILTER('Leetcode分类顺序表'!B:D,'Leetcode分类顺序表'!A:A = B161),FILTER(Algoexpert.io!B:D,Algoexpert.io!A:A = B161)))"),"")</f>
        <v/>
      </c>
      <c r="D161" s="18"/>
      <c r="E161" s="18"/>
      <c r="F161" s="18"/>
      <c r="G161" s="18"/>
      <c r="H161" s="18"/>
      <c r="I161" s="18">
        <f t="shared" si="0"/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 spans="1:31">
      <c r="A162" s="19"/>
      <c r="B162" s="20"/>
      <c r="C162" s="18" t="str">
        <f ca="1">IFERROR(__xludf.DUMMYFUNCTION("IF(ISBLANK(B162),,IFERROR(FILTER('Leetcode分类顺序表'!B:D,'Leetcode分类顺序表'!A:A = B162),FILTER(Algoexpert.io!B:D,Algoexpert.io!A:A = B162)))"),"")</f>
        <v/>
      </c>
      <c r="D162" s="18"/>
      <c r="E162" s="18"/>
      <c r="F162" s="18"/>
      <c r="G162" s="18"/>
      <c r="H162" s="18"/>
      <c r="I162" s="18">
        <f t="shared" si="0"/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 spans="1:31">
      <c r="A163" s="19"/>
      <c r="B163" s="20"/>
      <c r="C163" s="18" t="str">
        <f ca="1">IFERROR(__xludf.DUMMYFUNCTION("IF(ISBLANK(B163),,IFERROR(FILTER('Leetcode分类顺序表'!B:D,'Leetcode分类顺序表'!A:A = B163),FILTER(Algoexpert.io!B:D,Algoexpert.io!A:A = B163)))"),"")</f>
        <v/>
      </c>
      <c r="D163" s="18"/>
      <c r="E163" s="18"/>
      <c r="F163" s="18"/>
      <c r="G163" s="18"/>
      <c r="H163" s="18"/>
      <c r="I163" s="18">
        <f t="shared" si="0"/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 spans="1:31">
      <c r="A164" s="19"/>
      <c r="B164" s="20"/>
      <c r="C164" s="18" t="str">
        <f ca="1">IFERROR(__xludf.DUMMYFUNCTION("IF(ISBLANK(B164),,IFERROR(FILTER('Leetcode分类顺序表'!B:D,'Leetcode分类顺序表'!A:A = B164),FILTER(Algoexpert.io!B:D,Algoexpert.io!A:A = B164)))"),"")</f>
        <v/>
      </c>
      <c r="D164" s="18"/>
      <c r="E164" s="18"/>
      <c r="F164" s="18"/>
      <c r="G164" s="18"/>
      <c r="H164" s="18"/>
      <c r="I164" s="18">
        <f t="shared" si="0"/>
        <v>0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 spans="1:31">
      <c r="A165" s="19"/>
      <c r="B165" s="20"/>
      <c r="C165" s="18" t="str">
        <f ca="1">IFERROR(__xludf.DUMMYFUNCTION("IF(ISBLANK(B165),,IFERROR(FILTER('Leetcode分类顺序表'!B:D,'Leetcode分类顺序表'!A:A = B165),FILTER(Algoexpert.io!B:D,Algoexpert.io!A:A = B165)))"),"")</f>
        <v/>
      </c>
      <c r="D165" s="18"/>
      <c r="E165" s="18"/>
      <c r="F165" s="18"/>
      <c r="G165" s="18"/>
      <c r="H165" s="18"/>
      <c r="I165" s="18">
        <f t="shared" si="0"/>
        <v>0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 spans="1:31">
      <c r="A166" s="19"/>
      <c r="B166" s="20"/>
      <c r="C166" s="18" t="str">
        <f ca="1">IFERROR(__xludf.DUMMYFUNCTION("IF(ISBLANK(B166),,IFERROR(FILTER('Leetcode分类顺序表'!B:D,'Leetcode分类顺序表'!A:A = B166),FILTER(Algoexpert.io!B:D,Algoexpert.io!A:A = B166)))"),"")</f>
        <v/>
      </c>
      <c r="D166" s="18"/>
      <c r="E166" s="18"/>
      <c r="F166" s="18"/>
      <c r="G166" s="18"/>
      <c r="H166" s="18"/>
      <c r="I166" s="18">
        <f t="shared" si="0"/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 spans="1:31">
      <c r="A167" s="19"/>
      <c r="B167" s="20"/>
      <c r="C167" s="18" t="str">
        <f ca="1">IFERROR(__xludf.DUMMYFUNCTION("IF(ISBLANK(B167),,IFERROR(FILTER('Leetcode分类顺序表'!B:D,'Leetcode分类顺序表'!A:A = B167),FILTER(Algoexpert.io!B:D,Algoexpert.io!A:A = B167)))"),"")</f>
        <v/>
      </c>
      <c r="D167" s="18"/>
      <c r="E167" s="18"/>
      <c r="F167" s="18"/>
      <c r="G167" s="18"/>
      <c r="H167" s="18"/>
      <c r="I167" s="18">
        <f t="shared" si="0"/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 spans="1:31">
      <c r="A168" s="19"/>
      <c r="B168" s="20"/>
      <c r="C168" s="18" t="str">
        <f ca="1">IFERROR(__xludf.DUMMYFUNCTION("IF(ISBLANK(B168),,IFERROR(FILTER('Leetcode分类顺序表'!B:D,'Leetcode分类顺序表'!A:A = B168),FILTER(Algoexpert.io!B:D,Algoexpert.io!A:A = B168)))"),"")</f>
        <v/>
      </c>
      <c r="D168" s="18"/>
      <c r="E168" s="18"/>
      <c r="F168" s="18"/>
      <c r="G168" s="18"/>
      <c r="H168" s="18"/>
      <c r="I168" s="18">
        <f t="shared" si="0"/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 spans="1:31">
      <c r="A169" s="19"/>
      <c r="B169" s="20"/>
      <c r="C169" s="18" t="str">
        <f ca="1">IFERROR(__xludf.DUMMYFUNCTION("IF(ISBLANK(B169),,IFERROR(FILTER('Leetcode分类顺序表'!B:D,'Leetcode分类顺序表'!A:A = B169),FILTER(Algoexpert.io!B:D,Algoexpert.io!A:A = B169)))"),"")</f>
        <v/>
      </c>
      <c r="D169" s="18"/>
      <c r="E169" s="18"/>
      <c r="F169" s="18"/>
      <c r="G169" s="18"/>
      <c r="H169" s="18"/>
      <c r="I169" s="18">
        <f t="shared" si="0"/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 spans="1:31">
      <c r="A170" s="19"/>
      <c r="B170" s="20"/>
      <c r="C170" s="18" t="str">
        <f ca="1">IFERROR(__xludf.DUMMYFUNCTION("IF(ISBLANK(B170),,IFERROR(FILTER('Leetcode分类顺序表'!B:D,'Leetcode分类顺序表'!A:A = B170),FILTER(Algoexpert.io!B:D,Algoexpert.io!A:A = B170)))"),"")</f>
        <v/>
      </c>
      <c r="D170" s="18"/>
      <c r="E170" s="18"/>
      <c r="F170" s="18"/>
      <c r="G170" s="18"/>
      <c r="H170" s="18"/>
      <c r="I170" s="18">
        <f t="shared" si="0"/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 spans="1:31">
      <c r="A171" s="19"/>
      <c r="B171" s="20"/>
      <c r="C171" s="18" t="str">
        <f ca="1">IFERROR(__xludf.DUMMYFUNCTION("IF(ISBLANK(B171),,IFERROR(FILTER('Leetcode分类顺序表'!B:D,'Leetcode分类顺序表'!A:A = B171),FILTER(Algoexpert.io!B:D,Algoexpert.io!A:A = B171)))"),"")</f>
        <v/>
      </c>
      <c r="D171" s="18"/>
      <c r="E171" s="18"/>
      <c r="F171" s="18"/>
      <c r="G171" s="18"/>
      <c r="H171" s="18"/>
      <c r="I171" s="18">
        <f t="shared" si="0"/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 spans="1:31">
      <c r="A172" s="19"/>
      <c r="B172" s="20"/>
      <c r="C172" s="18" t="str">
        <f ca="1">IFERROR(__xludf.DUMMYFUNCTION("IF(ISBLANK(B172),,IFERROR(FILTER('Leetcode分类顺序表'!B:D,'Leetcode分类顺序表'!A:A = B172),FILTER(Algoexpert.io!B:D,Algoexpert.io!A:A = B172)))"),"")</f>
        <v/>
      </c>
      <c r="D172" s="18"/>
      <c r="E172" s="18"/>
      <c r="F172" s="18"/>
      <c r="G172" s="18"/>
      <c r="H172" s="18"/>
      <c r="I172" s="18">
        <f t="shared" si="0"/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 spans="1:31">
      <c r="A173" s="19"/>
      <c r="B173" s="20"/>
      <c r="C173" s="18" t="str">
        <f ca="1">IFERROR(__xludf.DUMMYFUNCTION("IF(ISBLANK(B173),,IFERROR(FILTER('Leetcode分类顺序表'!B:D,'Leetcode分类顺序表'!A:A = B173),FILTER(Algoexpert.io!B:D,Algoexpert.io!A:A = B173)))"),"")</f>
        <v/>
      </c>
      <c r="D173" s="18"/>
      <c r="E173" s="18"/>
      <c r="F173" s="18"/>
      <c r="G173" s="18"/>
      <c r="H173" s="18"/>
      <c r="I173" s="18">
        <f t="shared" si="0"/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 spans="1:31">
      <c r="A174" s="19"/>
      <c r="B174" s="20"/>
      <c r="C174" s="18" t="str">
        <f ca="1">IFERROR(__xludf.DUMMYFUNCTION("IF(ISBLANK(B174),,IFERROR(FILTER('Leetcode分类顺序表'!B:D,'Leetcode分类顺序表'!A:A = B174),FILTER(Algoexpert.io!B:D,Algoexpert.io!A:A = B174)))"),"")</f>
        <v/>
      </c>
      <c r="D174" s="18"/>
      <c r="E174" s="18"/>
      <c r="F174" s="18"/>
      <c r="G174" s="18"/>
      <c r="H174" s="18"/>
      <c r="I174" s="18">
        <f t="shared" si="0"/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 spans="1:31">
      <c r="A175" s="19"/>
      <c r="B175" s="20"/>
      <c r="C175" s="18" t="str">
        <f ca="1">IFERROR(__xludf.DUMMYFUNCTION("IF(ISBLANK(B175),,IFERROR(FILTER('Leetcode分类顺序表'!B:D,'Leetcode分类顺序表'!A:A = B175),FILTER(Algoexpert.io!B:D,Algoexpert.io!A:A = B175)))"),"")</f>
        <v/>
      </c>
      <c r="D175" s="18"/>
      <c r="E175" s="18"/>
      <c r="F175" s="18"/>
      <c r="G175" s="18"/>
      <c r="H175" s="18"/>
      <c r="I175" s="18">
        <f t="shared" si="0"/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 spans="1:31">
      <c r="A176" s="19"/>
      <c r="B176" s="20"/>
      <c r="C176" s="18" t="str">
        <f ca="1">IFERROR(__xludf.DUMMYFUNCTION("IF(ISBLANK(B176),,IFERROR(FILTER('Leetcode分类顺序表'!B:D,'Leetcode分类顺序表'!A:A = B176),FILTER(Algoexpert.io!B:D,Algoexpert.io!A:A = B176)))"),"")</f>
        <v/>
      </c>
      <c r="D176" s="18"/>
      <c r="E176" s="18"/>
      <c r="F176" s="18"/>
      <c r="G176" s="18"/>
      <c r="H176" s="18"/>
      <c r="I176" s="18">
        <f t="shared" si="0"/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 spans="1:31">
      <c r="A177" s="19"/>
      <c r="B177" s="20"/>
      <c r="C177" s="18" t="str">
        <f ca="1">IFERROR(__xludf.DUMMYFUNCTION("IF(ISBLANK(B177),,IFERROR(FILTER('Leetcode分类顺序表'!B:D,'Leetcode分类顺序表'!A:A = B177),FILTER(Algoexpert.io!B:D,Algoexpert.io!A:A = B177)))"),"")</f>
        <v/>
      </c>
      <c r="D177" s="18"/>
      <c r="E177" s="18"/>
      <c r="F177" s="18"/>
      <c r="G177" s="18"/>
      <c r="H177" s="18"/>
      <c r="I177" s="18">
        <f t="shared" si="0"/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 spans="1:31">
      <c r="A178" s="19"/>
      <c r="B178" s="20"/>
      <c r="C178" s="18" t="str">
        <f ca="1">IFERROR(__xludf.DUMMYFUNCTION("IF(ISBLANK(B178),,IFERROR(FILTER('Leetcode分类顺序表'!B:D,'Leetcode分类顺序表'!A:A = B178),FILTER(Algoexpert.io!B:D,Algoexpert.io!A:A = B178)))"),"")</f>
        <v/>
      </c>
      <c r="D178" s="18"/>
      <c r="E178" s="18"/>
      <c r="F178" s="18"/>
      <c r="G178" s="18"/>
      <c r="H178" s="18"/>
      <c r="I178" s="18">
        <f t="shared" si="0"/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 spans="1:31">
      <c r="A179" s="19"/>
      <c r="B179" s="20"/>
      <c r="C179" s="18" t="str">
        <f ca="1">IFERROR(__xludf.DUMMYFUNCTION("IF(ISBLANK(B179),,IFERROR(FILTER('Leetcode分类顺序表'!B:D,'Leetcode分类顺序表'!A:A = B179),FILTER(Algoexpert.io!B:D,Algoexpert.io!A:A = B179)))"),"")</f>
        <v/>
      </c>
      <c r="D179" s="18"/>
      <c r="E179" s="18"/>
      <c r="F179" s="18"/>
      <c r="G179" s="18"/>
      <c r="H179" s="18"/>
      <c r="I179" s="18">
        <f t="shared" si="0"/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 spans="1:31">
      <c r="A180" s="19"/>
      <c r="B180" s="20"/>
      <c r="C180" s="18" t="str">
        <f ca="1">IFERROR(__xludf.DUMMYFUNCTION("IF(ISBLANK(B180),,FILTER('Leetcode分类顺序表'!B:D,'Leetcode分类顺序表'!A:A = B180))"),"")</f>
        <v/>
      </c>
      <c r="D180" s="18"/>
      <c r="E180" s="18"/>
      <c r="F180" s="18"/>
      <c r="G180" s="18"/>
      <c r="H180" s="18"/>
      <c r="I180" s="18">
        <f t="shared" si="0"/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 spans="1:31">
      <c r="A181" s="19"/>
      <c r="B181" s="20"/>
      <c r="C181" s="18" t="str">
        <f ca="1">IFERROR(__xludf.DUMMYFUNCTION("IF(ISBLANK(B181),,FILTER('Leetcode分类顺序表'!B:D,'Leetcode分类顺序表'!A:A = B181))"),"")</f>
        <v/>
      </c>
      <c r="D181" s="18"/>
      <c r="E181" s="18"/>
      <c r="F181" s="18"/>
      <c r="G181" s="18"/>
      <c r="H181" s="18"/>
      <c r="I181" s="18">
        <f t="shared" si="0"/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 spans="1:31">
      <c r="A182" s="19"/>
      <c r="B182" s="20"/>
      <c r="C182" s="18" t="str">
        <f ca="1">IFERROR(__xludf.DUMMYFUNCTION("IF(ISBLANK(B182),,FILTER('Leetcode分类顺序表'!B:D,'Leetcode分类顺序表'!A:A = B182))"),"")</f>
        <v/>
      </c>
      <c r="D182" s="18"/>
      <c r="E182" s="18"/>
      <c r="F182" s="18"/>
      <c r="G182" s="18"/>
      <c r="H182" s="18"/>
      <c r="I182" s="18">
        <f t="shared" si="0"/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 spans="1:31">
      <c r="A183" s="19"/>
      <c r="B183" s="20"/>
      <c r="C183" s="18" t="str">
        <f ca="1">IFERROR(__xludf.DUMMYFUNCTION("IF(ISBLANK(B183),,FILTER('Leetcode分类顺序表'!B:D,'Leetcode分类顺序表'!A:A = B183))"),"")</f>
        <v/>
      </c>
      <c r="D183" s="18"/>
      <c r="E183" s="18"/>
      <c r="F183" s="18"/>
      <c r="G183" s="18"/>
      <c r="H183" s="18"/>
      <c r="I183" s="18">
        <f t="shared" si="0"/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 spans="1:31">
      <c r="A184" s="19"/>
      <c r="B184" s="20"/>
      <c r="C184" s="18" t="str">
        <f ca="1">IFERROR(__xludf.DUMMYFUNCTION("IF(ISBLANK(B184),,FILTER('Leetcode分类顺序表'!B:D,'Leetcode分类顺序表'!A:A = B184))"),"")</f>
        <v/>
      </c>
      <c r="D184" s="18"/>
      <c r="E184" s="18"/>
      <c r="F184" s="18"/>
      <c r="G184" s="18"/>
      <c r="H184" s="18"/>
      <c r="I184" s="18">
        <f t="shared" si="0"/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 spans="1:31">
      <c r="A185" s="19"/>
      <c r="B185" s="20"/>
      <c r="C185" s="18" t="str">
        <f ca="1">IFERROR(__xludf.DUMMYFUNCTION("IF(ISBLANK(B185),,FILTER('Leetcode分类顺序表'!B:D,'Leetcode分类顺序表'!A:A = B185))"),"")</f>
        <v/>
      </c>
      <c r="D185" s="18"/>
      <c r="E185" s="18"/>
      <c r="F185" s="18"/>
      <c r="G185" s="18"/>
      <c r="H185" s="18"/>
      <c r="I185" s="18">
        <f t="shared" si="0"/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 spans="1:31">
      <c r="A186" s="19"/>
      <c r="B186" s="20"/>
      <c r="C186" s="18" t="str">
        <f ca="1">IFERROR(__xludf.DUMMYFUNCTION("IF(ISBLANK(B186),,FILTER('Leetcode分类顺序表'!B:D,'Leetcode分类顺序表'!A:A = B186))"),"")</f>
        <v/>
      </c>
      <c r="D186" s="18"/>
      <c r="E186" s="18"/>
      <c r="F186" s="18"/>
      <c r="G186" s="18"/>
      <c r="H186" s="18"/>
      <c r="I186" s="18">
        <f t="shared" si="0"/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 spans="1:31">
      <c r="A187" s="19"/>
      <c r="B187" s="20"/>
      <c r="C187" s="18" t="str">
        <f ca="1">IFERROR(__xludf.DUMMYFUNCTION("IF(ISBLANK(B187),,FILTER('Leetcode分类顺序表'!B:D,'Leetcode分类顺序表'!A:A = B187))"),"")</f>
        <v/>
      </c>
      <c r="D187" s="18"/>
      <c r="E187" s="18"/>
      <c r="F187" s="18"/>
      <c r="G187" s="18"/>
      <c r="H187" s="18"/>
      <c r="I187" s="18">
        <f t="shared" si="0"/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 spans="1:31">
      <c r="A188" s="19"/>
      <c r="B188" s="20"/>
      <c r="C188" s="18" t="str">
        <f ca="1">IFERROR(__xludf.DUMMYFUNCTION("IF(ISBLANK(B188),,FILTER('Leetcode分类顺序表'!B:D,'Leetcode分类顺序表'!A:A = B188))"),"")</f>
        <v/>
      </c>
      <c r="D188" s="18"/>
      <c r="E188" s="18"/>
      <c r="F188" s="18"/>
      <c r="G188" s="18"/>
      <c r="H188" s="18"/>
      <c r="I188" s="18">
        <f t="shared" si="0"/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 spans="1:31">
      <c r="A189" s="19"/>
      <c r="B189" s="20"/>
      <c r="C189" s="18" t="str">
        <f ca="1">IFERROR(__xludf.DUMMYFUNCTION("IF(ISBLANK(B189),,FILTER('Leetcode分类顺序表'!B:D,'Leetcode分类顺序表'!A:A = B189))"),"")</f>
        <v/>
      </c>
      <c r="D189" s="18"/>
      <c r="E189" s="18"/>
      <c r="F189" s="18"/>
      <c r="G189" s="18"/>
      <c r="H189" s="18"/>
      <c r="I189" s="18">
        <f t="shared" si="0"/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 spans="1:31">
      <c r="A190" s="19"/>
      <c r="B190" s="20"/>
      <c r="C190" s="18" t="str">
        <f ca="1">IFERROR(__xludf.DUMMYFUNCTION("IF(ISBLANK(B190),,FILTER('Leetcode分类顺序表'!B:D,'Leetcode分类顺序表'!A:A = B190))"),"")</f>
        <v/>
      </c>
      <c r="D190" s="18"/>
      <c r="E190" s="18"/>
      <c r="F190" s="18"/>
      <c r="G190" s="18"/>
      <c r="H190" s="18"/>
      <c r="I190" s="18">
        <f t="shared" si="0"/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 spans="1:31">
      <c r="A191" s="19"/>
      <c r="B191" s="20"/>
      <c r="C191" s="18" t="str">
        <f ca="1">IFERROR(__xludf.DUMMYFUNCTION("IF(ISBLANK(B191),,FILTER('Leetcode分类顺序表'!B:D,'Leetcode分类顺序表'!A:A = B191))"),"")</f>
        <v/>
      </c>
      <c r="D191" s="18"/>
      <c r="E191" s="18"/>
      <c r="F191" s="18"/>
      <c r="G191" s="18"/>
      <c r="H191" s="18"/>
      <c r="I191" s="18">
        <f t="shared" si="0"/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 spans="1:31">
      <c r="A192" s="19"/>
      <c r="B192" s="20"/>
      <c r="C192" s="18" t="str">
        <f ca="1">IFERROR(__xludf.DUMMYFUNCTION("IF(ISBLANK(B192),,FILTER('Leetcode分类顺序表'!B:D,'Leetcode分类顺序表'!A:A = B192))"),"")</f>
        <v/>
      </c>
      <c r="D192" s="18"/>
      <c r="E192" s="18"/>
      <c r="F192" s="18"/>
      <c r="G192" s="18"/>
      <c r="H192" s="18"/>
      <c r="I192" s="18">
        <f t="shared" si="0"/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 spans="1:31">
      <c r="A193" s="19"/>
      <c r="B193" s="20"/>
      <c r="C193" s="18" t="str">
        <f ca="1">IFERROR(__xludf.DUMMYFUNCTION("IF(ISBLANK(B193),,FILTER('Leetcode分类顺序表'!B:D,'Leetcode分类顺序表'!A:A = B193))"),"")</f>
        <v/>
      </c>
      <c r="D193" s="18"/>
      <c r="E193" s="18"/>
      <c r="F193" s="18"/>
      <c r="G193" s="18"/>
      <c r="H193" s="18"/>
      <c r="I193" s="18">
        <f t="shared" si="0"/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 spans="1:31">
      <c r="A194" s="19"/>
      <c r="B194" s="20"/>
      <c r="C194" s="18" t="str">
        <f ca="1">IFERROR(__xludf.DUMMYFUNCTION("IF(ISBLANK(B194),,FILTER('Leetcode分类顺序表'!B:D,'Leetcode分类顺序表'!A:A = B194))"),"")</f>
        <v/>
      </c>
      <c r="D194" s="18"/>
      <c r="E194" s="18"/>
      <c r="F194" s="18"/>
      <c r="G194" s="18"/>
      <c r="H194" s="18"/>
      <c r="I194" s="18">
        <f t="shared" si="0"/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 spans="1:31">
      <c r="A195" s="19"/>
      <c r="B195" s="20"/>
      <c r="C195" s="18" t="str">
        <f ca="1">IFERROR(__xludf.DUMMYFUNCTION("IF(ISBLANK(B195),,FILTER('Leetcode分类顺序表'!B:D,'Leetcode分类顺序表'!A:A = B195))"),"")</f>
        <v/>
      </c>
      <c r="D195" s="18"/>
      <c r="E195" s="18"/>
      <c r="F195" s="18"/>
      <c r="G195" s="18"/>
      <c r="H195" s="18"/>
      <c r="I195" s="18">
        <f t="shared" si="0"/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 spans="1:31">
      <c r="A196" s="19"/>
      <c r="B196" s="20"/>
      <c r="C196" s="18" t="str">
        <f ca="1">IFERROR(__xludf.DUMMYFUNCTION("IF(ISBLANK(B196),,FILTER('Leetcode分类顺序表'!B:D,'Leetcode分类顺序表'!A:A = B196))"),"")</f>
        <v/>
      </c>
      <c r="D196" s="18"/>
      <c r="E196" s="18"/>
      <c r="F196" s="18"/>
      <c r="G196" s="18"/>
      <c r="H196" s="18"/>
      <c r="I196" s="18">
        <f t="shared" si="0"/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 spans="1:31">
      <c r="A197" s="19"/>
      <c r="B197" s="20"/>
      <c r="C197" s="18" t="str">
        <f ca="1">IFERROR(__xludf.DUMMYFUNCTION("IF(ISBLANK(B197),,FILTER('Leetcode分类顺序表'!B:D,'Leetcode分类顺序表'!A:A = B197))"),"")</f>
        <v/>
      </c>
      <c r="D197" s="18"/>
      <c r="E197" s="18"/>
      <c r="F197" s="18"/>
      <c r="G197" s="18"/>
      <c r="H197" s="18"/>
      <c r="I197" s="18">
        <f t="shared" si="0"/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 spans="1:31">
      <c r="A198" s="19"/>
      <c r="B198" s="20"/>
      <c r="C198" s="18" t="str">
        <f ca="1">IFERROR(__xludf.DUMMYFUNCTION("IF(ISBLANK(B198),,FILTER('Leetcode分类顺序表'!B:D,'Leetcode分类顺序表'!A:A = B198))"),"")</f>
        <v/>
      </c>
      <c r="D198" s="18"/>
      <c r="E198" s="18"/>
      <c r="F198" s="18"/>
      <c r="G198" s="18"/>
      <c r="H198" s="18"/>
      <c r="I198" s="18">
        <f t="shared" si="0"/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 spans="1:31">
      <c r="A199" s="19"/>
      <c r="B199" s="20"/>
      <c r="C199" s="18" t="str">
        <f ca="1">IFERROR(__xludf.DUMMYFUNCTION("IF(ISBLANK(B199),,FILTER('Leetcode分类顺序表'!B:D,'Leetcode分类顺序表'!A:A = B199))"),"")</f>
        <v/>
      </c>
      <c r="D199" s="18"/>
      <c r="E199" s="18"/>
      <c r="F199" s="18"/>
      <c r="G199" s="18"/>
      <c r="H199" s="18"/>
      <c r="I199" s="18">
        <f t="shared" si="0"/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 spans="1:31">
      <c r="A200" s="19"/>
      <c r="B200" s="20"/>
      <c r="C200" s="18" t="str">
        <f ca="1">IFERROR(__xludf.DUMMYFUNCTION("IF(ISBLANK(B200),,FILTER('Leetcode分类顺序表'!B:D,'Leetcode分类顺序表'!A:A = B200))"),"")</f>
        <v/>
      </c>
      <c r="D200" s="18"/>
      <c r="E200" s="18"/>
      <c r="F200" s="18"/>
      <c r="G200" s="18"/>
      <c r="H200" s="18"/>
      <c r="I200" s="18">
        <f t="shared" si="0"/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r="201" spans="1:31">
      <c r="A201" s="19"/>
      <c r="B201" s="20"/>
      <c r="C201" s="18" t="str">
        <f ca="1">IFERROR(__xludf.DUMMYFUNCTION("IF(ISBLANK(B201),,FILTER('Leetcode分类顺序表'!B:D,'Leetcode分类顺序表'!A:A = B201))"),"")</f>
        <v/>
      </c>
      <c r="D201" s="18"/>
      <c r="E201" s="18"/>
      <c r="F201" s="18"/>
      <c r="G201" s="18"/>
      <c r="H201" s="18"/>
      <c r="I201" s="18">
        <f t="shared" si="0"/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 spans="1:31">
      <c r="A202" s="19"/>
      <c r="B202" s="20"/>
      <c r="C202" s="18" t="str">
        <f ca="1">IFERROR(__xludf.DUMMYFUNCTION("IF(ISBLANK(B202),,FILTER('Leetcode分类顺序表'!B:D,'Leetcode分类顺序表'!A:A = B202))"),"")</f>
        <v/>
      </c>
      <c r="D202" s="18"/>
      <c r="E202" s="18"/>
      <c r="F202" s="18"/>
      <c r="G202" s="18"/>
      <c r="H202" s="18"/>
      <c r="I202" s="18">
        <f t="shared" si="0"/>
        <v>0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r="203" spans="1:31">
      <c r="A203" s="19"/>
      <c r="B203" s="20"/>
      <c r="C203" s="18" t="str">
        <f ca="1">IFERROR(__xludf.DUMMYFUNCTION("IF(ISBLANK(B203),,FILTER('Leetcode分类顺序表'!B:D,'Leetcode分类顺序表'!A:A = B203))"),"")</f>
        <v/>
      </c>
      <c r="D203" s="18"/>
      <c r="E203" s="18"/>
      <c r="F203" s="18"/>
      <c r="G203" s="18"/>
      <c r="H203" s="18"/>
      <c r="I203" s="18">
        <f t="shared" si="0"/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 spans="1:31">
      <c r="A204" s="19"/>
      <c r="B204" s="20"/>
      <c r="C204" s="18" t="str">
        <f ca="1">IFERROR(__xludf.DUMMYFUNCTION("IF(ISBLANK(B204),,FILTER('Leetcode分类顺序表'!B:D,'Leetcode分类顺序表'!A:A = B204))"),"")</f>
        <v/>
      </c>
      <c r="D204" s="18"/>
      <c r="E204" s="18"/>
      <c r="F204" s="18"/>
      <c r="G204" s="18"/>
      <c r="H204" s="18"/>
      <c r="I204" s="18">
        <f t="shared" si="0"/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r="205" spans="1:31">
      <c r="A205" s="19"/>
      <c r="B205" s="20"/>
      <c r="C205" s="18" t="str">
        <f ca="1">IFERROR(__xludf.DUMMYFUNCTION("IF(ISBLANK(B205),,FILTER('Leetcode分类顺序表'!B:D,'Leetcode分类顺序表'!A:A = B205))"),"")</f>
        <v/>
      </c>
      <c r="D205" s="18"/>
      <c r="E205" s="18"/>
      <c r="F205" s="18"/>
      <c r="G205" s="18"/>
      <c r="H205" s="18"/>
      <c r="I205" s="18">
        <f t="shared" si="0"/>
        <v>0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 spans="1:31">
      <c r="A206" s="19"/>
      <c r="B206" s="20"/>
      <c r="C206" s="18" t="str">
        <f ca="1">IFERROR(__xludf.DUMMYFUNCTION("IF(ISBLANK(B206),,FILTER('Leetcode分类顺序表'!B:D,'Leetcode分类顺序表'!A:A = B206))"),"")</f>
        <v/>
      </c>
      <c r="D206" s="18"/>
      <c r="E206" s="18"/>
      <c r="F206" s="18"/>
      <c r="G206" s="18"/>
      <c r="H206" s="18"/>
      <c r="I206" s="18">
        <f t="shared" si="0"/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 spans="1:31">
      <c r="A207" s="19"/>
      <c r="B207" s="20"/>
      <c r="C207" s="18" t="str">
        <f ca="1">IFERROR(__xludf.DUMMYFUNCTION("IF(ISBLANK(B207),,FILTER('Leetcode分类顺序表'!B:D,'Leetcode分类顺序表'!A:A = B207))"),"")</f>
        <v/>
      </c>
      <c r="D207" s="18"/>
      <c r="E207" s="18"/>
      <c r="F207" s="18"/>
      <c r="G207" s="18"/>
      <c r="H207" s="18"/>
      <c r="I207" s="18">
        <f t="shared" si="0"/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 spans="1:31">
      <c r="A208" s="19"/>
      <c r="B208" s="20"/>
      <c r="C208" s="18" t="str">
        <f ca="1">IFERROR(__xludf.DUMMYFUNCTION("IF(ISBLANK(B208),,FILTER('Leetcode分类顺序表'!B:D,'Leetcode分类顺序表'!A:A = B208))"),"")</f>
        <v/>
      </c>
      <c r="D208" s="18"/>
      <c r="E208" s="18"/>
      <c r="F208" s="18"/>
      <c r="G208" s="18"/>
      <c r="H208" s="18"/>
      <c r="I208" s="18">
        <f t="shared" si="0"/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 spans="1:31">
      <c r="A209" s="19"/>
      <c r="B209" s="20"/>
      <c r="C209" s="18" t="str">
        <f ca="1">IFERROR(__xludf.DUMMYFUNCTION("IF(ISBLANK(B209),,FILTER('Leetcode分类顺序表'!B:D,'Leetcode分类顺序表'!A:A = B209))"),"")</f>
        <v/>
      </c>
      <c r="D209" s="18"/>
      <c r="E209" s="18"/>
      <c r="F209" s="18"/>
      <c r="G209" s="18"/>
      <c r="H209" s="18"/>
      <c r="I209" s="18">
        <f t="shared" si="0"/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 spans="1:31">
      <c r="A210" s="19"/>
      <c r="B210" s="20"/>
      <c r="C210" s="18" t="str">
        <f ca="1">IFERROR(__xludf.DUMMYFUNCTION("IF(ISBLANK(B210),,FILTER('Leetcode分类顺序表'!B:D,'Leetcode分类顺序表'!A:A = B210))"),"")</f>
        <v/>
      </c>
      <c r="D210" s="18"/>
      <c r="E210" s="18"/>
      <c r="F210" s="18"/>
      <c r="G210" s="18"/>
      <c r="H210" s="18"/>
      <c r="I210" s="18">
        <f t="shared" si="0"/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 spans="1:31">
      <c r="A211" s="19"/>
      <c r="B211" s="20"/>
      <c r="C211" s="18" t="str">
        <f ca="1">IFERROR(__xludf.DUMMYFUNCTION("IF(ISBLANK(B211),,FILTER('Leetcode分类顺序表'!B:D,'Leetcode分类顺序表'!A:A = B211))"),"")</f>
        <v/>
      </c>
      <c r="D211" s="18"/>
      <c r="E211" s="18"/>
      <c r="F211" s="18"/>
      <c r="G211" s="18"/>
      <c r="H211" s="18"/>
      <c r="I211" s="18">
        <f t="shared" si="0"/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 spans="1:31">
      <c r="A212" s="19"/>
      <c r="B212" s="20"/>
      <c r="C212" s="18" t="str">
        <f ca="1">IFERROR(__xludf.DUMMYFUNCTION("IF(ISBLANK(B212),,FILTER('Leetcode分类顺序表'!B:D,'Leetcode分类顺序表'!A:A = B212))"),"")</f>
        <v/>
      </c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 spans="1:31">
      <c r="A213" s="19"/>
      <c r="B213" s="20"/>
      <c r="C213" s="18" t="str">
        <f ca="1">IFERROR(__xludf.DUMMYFUNCTION("IF(ISBLANK(B213),,FILTER('Leetcode分类顺序表'!B:D,'Leetcode分类顺序表'!A:A = B213))"),"")</f>
        <v/>
      </c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 spans="1:31">
      <c r="A214" s="19"/>
      <c r="B214" s="20"/>
      <c r="C214" s="18" t="str">
        <f ca="1">IFERROR(__xludf.DUMMYFUNCTION("IF(ISBLANK(B214),,FILTER('Leetcode分类顺序表'!B:D,'Leetcode分类顺序表'!A:A = B214))"),"")</f>
        <v/>
      </c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 spans="1:31">
      <c r="A215" s="19"/>
      <c r="B215" s="20"/>
      <c r="C215" s="18" t="str">
        <f ca="1">IFERROR(__xludf.DUMMYFUNCTION("IF(ISBLANK(B215),,FILTER('Leetcode分类顺序表'!B:D,'Leetcode分类顺序表'!A:A = B215))"),"")</f>
        <v/>
      </c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 spans="1:31">
      <c r="A216" s="19"/>
      <c r="B216" s="20"/>
      <c r="C216" s="18" t="str">
        <f ca="1">IFERROR(__xludf.DUMMYFUNCTION("IF(ISBLANK(B216),,FILTER('Leetcode分类顺序表'!B:D,'Leetcode分类顺序表'!A:A = B216))"),"")</f>
        <v/>
      </c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 spans="1:31">
      <c r="A217" s="19"/>
      <c r="B217" s="20"/>
      <c r="C217" s="18" t="str">
        <f ca="1">IFERROR(__xludf.DUMMYFUNCTION("IF(ISBLANK(B217),,FILTER('Leetcode分类顺序表'!B:D,'Leetcode分类顺序表'!A:A = B217))"),"")</f>
        <v/>
      </c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 spans="1:31">
      <c r="A218" s="19"/>
      <c r="B218" s="20"/>
      <c r="C218" s="18" t="str">
        <f ca="1">IFERROR(__xludf.DUMMYFUNCTION("IF(ISBLANK(B218),,FILTER('Leetcode分类顺序表'!B:D,'Leetcode分类顺序表'!A:A = B218))"),"")</f>
        <v/>
      </c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 spans="1:31">
      <c r="A219" s="19"/>
      <c r="B219" s="20"/>
      <c r="C219" s="18" t="str">
        <f ca="1">IFERROR(__xludf.DUMMYFUNCTION("IF(ISBLANK(B219),,FILTER('Leetcode分类顺序表'!B:D,'Leetcode分类顺序表'!A:A = B219))"),"")</f>
        <v/>
      </c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 spans="1:31">
      <c r="A220" s="19"/>
      <c r="B220" s="20"/>
      <c r="C220" s="18" t="str">
        <f ca="1">IFERROR(__xludf.DUMMYFUNCTION("IF(ISBLANK(B220),,FILTER('Leetcode分类顺序表'!B:D,'Leetcode分类顺序表'!A:A = B220))"),"")</f>
        <v/>
      </c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 spans="1:31">
      <c r="A221" s="19"/>
      <c r="B221" s="20"/>
      <c r="C221" s="18" t="str">
        <f ca="1">IFERROR(__xludf.DUMMYFUNCTION("IF(ISBLANK(B221),,FILTER('Leetcode分类顺序表'!B:D,'Leetcode分类顺序表'!A:A = B221))"),"")</f>
        <v/>
      </c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 spans="1:31">
      <c r="A222" s="19"/>
      <c r="B222" s="20"/>
      <c r="C222" s="18" t="str">
        <f ca="1">IFERROR(__xludf.DUMMYFUNCTION("IF(ISBLANK(B222),,FILTER('Leetcode分类顺序表'!B:D,'Leetcode分类顺序表'!A:A = B222))"),"")</f>
        <v/>
      </c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 spans="1:31">
      <c r="A223" s="19"/>
      <c r="B223" s="20"/>
      <c r="C223" s="18" t="str">
        <f ca="1">IFERROR(__xludf.DUMMYFUNCTION("IF(ISBLANK(B223),,FILTER('Leetcode分类顺序表'!B:D,'Leetcode分类顺序表'!A:A = B223))"),"")</f>
        <v/>
      </c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 spans="1:31">
      <c r="A224" s="19"/>
      <c r="B224" s="20"/>
      <c r="C224" s="18" t="str">
        <f ca="1">IFERROR(__xludf.DUMMYFUNCTION("IF(ISBLANK(B224),,FILTER('Leetcode分类顺序表'!B:D,'Leetcode分类顺序表'!A:A = B224))"),"")</f>
        <v/>
      </c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 spans="1:31">
      <c r="A225" s="19"/>
      <c r="B225" s="20"/>
      <c r="C225" s="18" t="str">
        <f ca="1">IFERROR(__xludf.DUMMYFUNCTION("IF(ISBLANK(B225),,FILTER('Leetcode分类顺序表'!B:D,'Leetcode分类顺序表'!A:A = B225))"),"")</f>
        <v/>
      </c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 spans="1:31">
      <c r="A226" s="19"/>
      <c r="B226" s="20"/>
      <c r="C226" s="18" t="str">
        <f ca="1">IFERROR(__xludf.DUMMYFUNCTION("IF(ISBLANK(B226),,FILTER('Leetcode分类顺序表'!B:D,'Leetcode分类顺序表'!A:A = B226))"),"")</f>
        <v/>
      </c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 spans="1:31">
      <c r="A227" s="19"/>
      <c r="B227" s="20"/>
      <c r="C227" s="18" t="str">
        <f ca="1">IFERROR(__xludf.DUMMYFUNCTION("IF(ISBLANK(B227),,FILTER('Leetcode分类顺序表'!B:D,'Leetcode分类顺序表'!A:A = B227))"),"")</f>
        <v/>
      </c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 spans="1:31">
      <c r="A228" s="19"/>
      <c r="B228" s="20"/>
      <c r="C228" s="18" t="str">
        <f ca="1">IFERROR(__xludf.DUMMYFUNCTION("IF(ISBLANK(B228),,FILTER('Leetcode分类顺序表'!B:D,'Leetcode分类顺序表'!A:A = B228))"),"")</f>
        <v/>
      </c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 spans="1:31">
      <c r="A229" s="19"/>
      <c r="B229" s="20"/>
      <c r="C229" s="18" t="str">
        <f ca="1">IFERROR(__xludf.DUMMYFUNCTION("IF(ISBLANK(B229),,FILTER('Leetcode分类顺序表'!B:D,'Leetcode分类顺序表'!A:A = B229))"),"")</f>
        <v/>
      </c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 spans="1:31">
      <c r="A230" s="19"/>
      <c r="B230" s="20"/>
      <c r="C230" s="18" t="str">
        <f ca="1">IFERROR(__xludf.DUMMYFUNCTION("IF(ISBLANK(B230),,FILTER('Leetcode分类顺序表'!B:D,'Leetcode分类顺序表'!A:A = B230))"),"")</f>
        <v/>
      </c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 spans="1:31">
      <c r="A231" s="19"/>
      <c r="B231" s="20"/>
      <c r="C231" s="18" t="str">
        <f ca="1">IFERROR(__xludf.DUMMYFUNCTION("IF(ISBLANK(B231),,FILTER('Leetcode分类顺序表'!B:D,'Leetcode分类顺序表'!A:A = B231))"),"")</f>
        <v/>
      </c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 spans="1:31">
      <c r="A232" s="19"/>
      <c r="B232" s="20"/>
      <c r="C232" s="18" t="str">
        <f ca="1">IFERROR(__xludf.DUMMYFUNCTION("IF(ISBLANK(B232),,FILTER('Leetcode分类顺序表'!B:D,'Leetcode分类顺序表'!A:A = B232))"),"")</f>
        <v/>
      </c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 spans="1:31">
      <c r="A233" s="19"/>
      <c r="B233" s="20"/>
      <c r="C233" s="18" t="str">
        <f ca="1">IFERROR(__xludf.DUMMYFUNCTION("IF(ISBLANK(B233),,FILTER('Leetcode分类顺序表'!B:D,'Leetcode分类顺序表'!A:A = B233))"),"")</f>
        <v/>
      </c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 spans="1:31">
      <c r="A234" s="19"/>
      <c r="B234" s="20"/>
      <c r="C234" s="18" t="str">
        <f ca="1">IFERROR(__xludf.DUMMYFUNCTION("IF(ISBLANK(B234),,FILTER('Leetcode分类顺序表'!B:D,'Leetcode分类顺序表'!A:A = B234))"),"")</f>
        <v/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 spans="1:31">
      <c r="A235" s="19"/>
      <c r="B235" s="20"/>
      <c r="C235" s="18" t="str">
        <f ca="1">IFERROR(__xludf.DUMMYFUNCTION("IF(ISBLANK(B235),,FILTER('Leetcode分类顺序表'!B:D,'Leetcode分类顺序表'!A:A = B235))"),"")</f>
        <v/>
      </c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 spans="1:31">
      <c r="A236" s="19"/>
      <c r="B236" s="20"/>
      <c r="C236" s="18" t="str">
        <f ca="1">IFERROR(__xludf.DUMMYFUNCTION("IF(ISBLANK(B236),,FILTER('Leetcode分类顺序表'!B:D,'Leetcode分类顺序表'!A:A = B236))"),"")</f>
        <v/>
      </c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 spans="1:31">
      <c r="A237" s="19"/>
      <c r="B237" s="20"/>
      <c r="C237" s="18" t="str">
        <f ca="1">IFERROR(__xludf.DUMMYFUNCTION("IF(ISBLANK(B237),,FILTER('Leetcode分类顺序表'!B:D,'Leetcode分类顺序表'!A:A = B237))"),"")</f>
        <v/>
      </c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 spans="1:31">
      <c r="A238" s="19"/>
      <c r="B238" s="20"/>
      <c r="C238" s="18" t="str">
        <f ca="1">IFERROR(__xludf.DUMMYFUNCTION("IF(ISBLANK(B238),,FILTER('Leetcode分类顺序表'!B:D,'Leetcode分类顺序表'!A:A = B238))"),"")</f>
        <v/>
      </c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 spans="1:31">
      <c r="A239" s="19"/>
      <c r="B239" s="20"/>
      <c r="C239" s="18" t="str">
        <f ca="1">IFERROR(__xludf.DUMMYFUNCTION("IF(ISBLANK(B239),,FILTER('Leetcode分类顺序表'!B:D,'Leetcode分类顺序表'!A:A = B239))"),"")</f>
        <v/>
      </c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 spans="1:31">
      <c r="A240" s="19"/>
      <c r="B240" s="20"/>
      <c r="C240" s="18" t="str">
        <f ca="1">IFERROR(__xludf.DUMMYFUNCTION("IF(ISBLANK(B240),,FILTER('Leetcode分类顺序表'!B:D,'Leetcode分类顺序表'!A:A = B240))"),"")</f>
        <v/>
      </c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 spans="1:31">
      <c r="A241" s="19"/>
      <c r="B241" s="20"/>
      <c r="C241" s="18" t="str">
        <f ca="1">IFERROR(__xludf.DUMMYFUNCTION("IF(ISBLANK(B241),,FILTER('Leetcode分类顺序表'!B:D,'Leetcode分类顺序表'!A:A = B241))"),"")</f>
        <v/>
      </c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 spans="1:31">
      <c r="A242" s="19"/>
      <c r="B242" s="20"/>
      <c r="C242" s="18" t="str">
        <f ca="1">IFERROR(__xludf.DUMMYFUNCTION("IF(ISBLANK(B242),,FILTER('Leetcode分类顺序表'!B:D,'Leetcode分类顺序表'!A:A = B242))"),"")</f>
        <v/>
      </c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 spans="1:31">
      <c r="A243" s="19"/>
      <c r="B243" s="20"/>
      <c r="C243" s="18" t="str">
        <f ca="1">IFERROR(__xludf.DUMMYFUNCTION("IF(ISBLANK(B243),,FILTER('Leetcode分类顺序表'!B:D,'Leetcode分类顺序表'!A:A = B243))"),"")</f>
        <v/>
      </c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 spans="1:31">
      <c r="A244" s="19"/>
      <c r="B244" s="20"/>
      <c r="C244" s="18" t="str">
        <f ca="1">IFERROR(__xludf.DUMMYFUNCTION("IF(ISBLANK(B244),,FILTER('Leetcode分类顺序表'!B:D,'Leetcode分类顺序表'!A:A = B244))"),"")</f>
        <v/>
      </c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 spans="1:31">
      <c r="A245" s="19"/>
      <c r="B245" s="20"/>
      <c r="C245" s="18" t="str">
        <f ca="1">IFERROR(__xludf.DUMMYFUNCTION("IF(ISBLANK(B245),,FILTER('Leetcode分类顺序表'!B:D,'Leetcode分类顺序表'!A:A = B245))"),"")</f>
        <v/>
      </c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 spans="1:31">
      <c r="A246" s="19"/>
      <c r="B246" s="20"/>
      <c r="C246" s="18" t="str">
        <f ca="1">IFERROR(__xludf.DUMMYFUNCTION("IF(ISBLANK(B246),,FILTER('Leetcode分类顺序表'!B:D,'Leetcode分类顺序表'!A:A = B246))"),"")</f>
        <v/>
      </c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 spans="1:31">
      <c r="A247" s="19"/>
      <c r="B247" s="20"/>
      <c r="C247" s="18" t="str">
        <f ca="1">IFERROR(__xludf.DUMMYFUNCTION("IF(ISBLANK(B247),,FILTER('Leetcode分类顺序表'!B:D,'Leetcode分类顺序表'!A:A = B247))"),"")</f>
        <v/>
      </c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 spans="1:31">
      <c r="A248" s="19"/>
      <c r="B248" s="20"/>
      <c r="C248" s="18" t="str">
        <f ca="1">IFERROR(__xludf.DUMMYFUNCTION("IF(ISBLANK(B248),,FILTER('Leetcode分类顺序表'!B:D,'Leetcode分类顺序表'!A:A = B248))"),"")</f>
        <v/>
      </c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 spans="1:31">
      <c r="A249" s="19"/>
      <c r="B249" s="20"/>
      <c r="C249" s="18" t="str">
        <f ca="1">IFERROR(__xludf.DUMMYFUNCTION("IF(ISBLANK(B249),,FILTER('Leetcode分类顺序表'!B:D,'Leetcode分类顺序表'!A:A = B249))"),"")</f>
        <v/>
      </c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 spans="1:31">
      <c r="A250" s="19"/>
      <c r="B250" s="20"/>
      <c r="C250" s="18" t="str">
        <f ca="1">IFERROR(__xludf.DUMMYFUNCTION("IF(ISBLANK(B250),,FILTER('Leetcode分类顺序表'!B:D,'Leetcode分类顺序表'!A:A = B250))"),"")</f>
        <v/>
      </c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 spans="1:31">
      <c r="A251" s="19"/>
      <c r="B251" s="20"/>
      <c r="C251" s="18" t="str">
        <f ca="1">IFERROR(__xludf.DUMMYFUNCTION("IF(ISBLANK(B251),,FILTER('Leetcode分类顺序表'!B:D,'Leetcode分类顺序表'!A:A = B251))"),"")</f>
        <v/>
      </c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 spans="1:31">
      <c r="A252" s="19"/>
      <c r="B252" s="20"/>
      <c r="C252" s="18" t="str">
        <f ca="1">IFERROR(__xludf.DUMMYFUNCTION("IF(ISBLANK(B252),,FILTER('Leetcode分类顺序表'!B:D,'Leetcode分类顺序表'!A:A = B252))"),"")</f>
        <v/>
      </c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 spans="1:31">
      <c r="A253" s="19"/>
      <c r="B253" s="20"/>
      <c r="C253" s="18" t="str">
        <f ca="1">IFERROR(__xludf.DUMMYFUNCTION("IF(ISBLANK(B253),,FILTER('Leetcode分类顺序表'!B:D,'Leetcode分类顺序表'!A:A = B253))"),"")</f>
        <v/>
      </c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 spans="1:31">
      <c r="A254" s="19"/>
      <c r="B254" s="20"/>
      <c r="C254" s="18" t="str">
        <f ca="1">IFERROR(__xludf.DUMMYFUNCTION("IF(ISBLANK(B254),,FILTER('Leetcode分类顺序表'!B:D,'Leetcode分类顺序表'!A:A = B254))"),"")</f>
        <v/>
      </c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 spans="1:31">
      <c r="A255" s="19"/>
      <c r="B255" s="20"/>
      <c r="C255" s="18" t="str">
        <f ca="1">IFERROR(__xludf.DUMMYFUNCTION("IF(ISBLANK(B255),,FILTER('Leetcode分类顺序表'!B:D,'Leetcode分类顺序表'!A:A = B255))"),"")</f>
        <v/>
      </c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 spans="1:31">
      <c r="A256" s="19"/>
      <c r="B256" s="20"/>
      <c r="C256" s="18" t="str">
        <f ca="1">IFERROR(__xludf.DUMMYFUNCTION("IF(ISBLANK(B256),,FILTER('Leetcode分类顺序表'!B:D,'Leetcode分类顺序表'!A:A = B256))"),"")</f>
        <v/>
      </c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 spans="1:31">
      <c r="A257" s="19"/>
      <c r="B257" s="20"/>
      <c r="C257" s="18" t="str">
        <f ca="1">IFERROR(__xludf.DUMMYFUNCTION("IF(ISBLANK(B257),,FILTER('Leetcode分类顺序表'!B:D,'Leetcode分类顺序表'!A:A = B257))"),"")</f>
        <v/>
      </c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 spans="1:31">
      <c r="A258" s="19"/>
      <c r="B258" s="20"/>
      <c r="C258" s="18" t="str">
        <f ca="1">IFERROR(__xludf.DUMMYFUNCTION("IF(ISBLANK(B258),,FILTER('Leetcode分类顺序表'!B:D,'Leetcode分类顺序表'!A:A = B258))"),"")</f>
        <v/>
      </c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 spans="1:31">
      <c r="A259" s="19"/>
      <c r="B259" s="20"/>
      <c r="C259" s="18" t="str">
        <f ca="1">IFERROR(__xludf.DUMMYFUNCTION("IF(ISBLANK(B259),,FILTER('Leetcode分类顺序表'!B:D,'Leetcode分类顺序表'!A:A = B259))"),"")</f>
        <v/>
      </c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 spans="1:31">
      <c r="A260" s="19"/>
      <c r="B260" s="20"/>
      <c r="C260" s="18" t="str">
        <f ca="1">IFERROR(__xludf.DUMMYFUNCTION("IF(ISBLANK(B260),,FILTER('Leetcode分类顺序表'!B:D,'Leetcode分类顺序表'!A:A = B260))"),"")</f>
        <v/>
      </c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 spans="1:31">
      <c r="A261" s="19"/>
      <c r="B261" s="20"/>
      <c r="C261" s="18" t="str">
        <f ca="1">IFERROR(__xludf.DUMMYFUNCTION("IF(ISBLANK(B261),,FILTER('Leetcode分类顺序表'!B:D,'Leetcode分类顺序表'!A:A = B261))"),"")</f>
        <v/>
      </c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 spans="1:31">
      <c r="A262" s="19"/>
      <c r="B262" s="20"/>
      <c r="C262" s="18" t="str">
        <f ca="1">IFERROR(__xludf.DUMMYFUNCTION("IF(ISBLANK(B262),,FILTER('Leetcode分类顺序表'!B:D,'Leetcode分类顺序表'!A:A = B262))"),"")</f>
        <v/>
      </c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 spans="1:31">
      <c r="A263" s="19"/>
      <c r="B263" s="20"/>
      <c r="C263" s="18" t="str">
        <f ca="1">IFERROR(__xludf.DUMMYFUNCTION("IF(ISBLANK(B263),,FILTER('Leetcode分类顺序表'!B:D,'Leetcode分类顺序表'!A:A = B263))"),"")</f>
        <v/>
      </c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 spans="1:31">
      <c r="A264" s="19"/>
      <c r="B264" s="20"/>
      <c r="C264" s="18" t="str">
        <f ca="1">IFERROR(__xludf.DUMMYFUNCTION("IF(ISBLANK(B264),,FILTER('Leetcode分类顺序表'!B:D,'Leetcode分类顺序表'!A:A = B264))"),"")</f>
        <v/>
      </c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 spans="1:31">
      <c r="A265" s="19"/>
      <c r="B265" s="20"/>
      <c r="C265" s="18" t="str">
        <f ca="1">IFERROR(__xludf.DUMMYFUNCTION("IF(ISBLANK(B265),,FILTER('Leetcode分类顺序表'!B:D,'Leetcode分类顺序表'!A:A = B265))"),"")</f>
        <v/>
      </c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 spans="1:31">
      <c r="A266" s="19"/>
      <c r="B266" s="20"/>
      <c r="C266" s="18" t="str">
        <f ca="1">IFERROR(__xludf.DUMMYFUNCTION("IF(ISBLANK(B266),,FILTER('Leetcode分类顺序表'!B:D,'Leetcode分类顺序表'!A:A = B266))"),"")</f>
        <v/>
      </c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 spans="1:31">
      <c r="A267" s="19"/>
      <c r="B267" s="20"/>
      <c r="C267" s="18" t="str">
        <f ca="1">IFERROR(__xludf.DUMMYFUNCTION("IF(ISBLANK(B267),,FILTER('Leetcode分类顺序表'!B:D,'Leetcode分类顺序表'!A:A = B267))"),"")</f>
        <v/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 spans="1:31">
      <c r="A268" s="19"/>
      <c r="B268" s="20"/>
      <c r="C268" s="18" t="str">
        <f ca="1">IFERROR(__xludf.DUMMYFUNCTION("IF(ISBLANK(B268),,FILTER('Leetcode分类顺序表'!B:D,'Leetcode分类顺序表'!A:A = B268))"),"")</f>
        <v/>
      </c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 spans="1:31">
      <c r="A269" s="19"/>
      <c r="B269" s="20"/>
      <c r="C269" s="18" t="str">
        <f ca="1">IFERROR(__xludf.DUMMYFUNCTION("IF(ISBLANK(B269),,FILTER('Leetcode分类顺序表'!B:D,'Leetcode分类顺序表'!A:A = B269))"),"")</f>
        <v/>
      </c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 spans="1:31">
      <c r="A270" s="19"/>
      <c r="B270" s="20"/>
      <c r="C270" s="18" t="str">
        <f ca="1">IFERROR(__xludf.DUMMYFUNCTION("IF(ISBLANK(B270),,FILTER('Leetcode分类顺序表'!B:D,'Leetcode分类顺序表'!A:A = B270))"),"")</f>
        <v/>
      </c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 spans="1:31">
      <c r="A271" s="19"/>
      <c r="B271" s="20"/>
      <c r="C271" s="18" t="str">
        <f ca="1">IFERROR(__xludf.DUMMYFUNCTION("IF(ISBLANK(B271),,FILTER('Leetcode分类顺序表'!B:D,'Leetcode分类顺序表'!A:A = B271))"),"")</f>
        <v/>
      </c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 spans="1:31">
      <c r="A272" s="19"/>
      <c r="B272" s="20"/>
      <c r="C272" s="18" t="str">
        <f ca="1">IFERROR(__xludf.DUMMYFUNCTION("IF(ISBLANK(B272),,FILTER('Leetcode分类顺序表'!B:D,'Leetcode分类顺序表'!A:A = B272))"),"")</f>
        <v/>
      </c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 spans="1:31">
      <c r="A273" s="19"/>
      <c r="B273" s="20"/>
      <c r="C273" s="18" t="str">
        <f ca="1">IFERROR(__xludf.DUMMYFUNCTION("IF(ISBLANK(B273),,FILTER('Leetcode分类顺序表'!B:D,'Leetcode分类顺序表'!A:A = B273))"),"")</f>
        <v/>
      </c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 spans="1:31">
      <c r="A274" s="19"/>
      <c r="B274" s="20"/>
      <c r="C274" s="18" t="str">
        <f ca="1">IFERROR(__xludf.DUMMYFUNCTION("IF(ISBLANK(B274),,FILTER('Leetcode分类顺序表'!B:D,'Leetcode分类顺序表'!A:A = B274))"),"")</f>
        <v/>
      </c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 spans="1:31">
      <c r="A275" s="19"/>
      <c r="B275" s="20"/>
      <c r="C275" s="18" t="str">
        <f ca="1">IFERROR(__xludf.DUMMYFUNCTION("IF(ISBLANK(B275),,FILTER('Leetcode分类顺序表'!B:D,'Leetcode分类顺序表'!A:A = B275))"),"")</f>
        <v/>
      </c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 spans="1:31">
      <c r="A276" s="19"/>
      <c r="B276" s="20"/>
      <c r="C276" s="18" t="str">
        <f ca="1">IFERROR(__xludf.DUMMYFUNCTION("IF(ISBLANK(B276),,FILTER('Leetcode分类顺序表'!B:D,'Leetcode分类顺序表'!A:A = B276))"),"")</f>
        <v/>
      </c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 spans="1:31">
      <c r="A277" s="19"/>
      <c r="B277" s="20"/>
      <c r="C277" s="18" t="str">
        <f ca="1">IFERROR(__xludf.DUMMYFUNCTION("IF(ISBLANK(B277),,FILTER('Leetcode分类顺序表'!B:D,'Leetcode分类顺序表'!A:A = B277))"),"")</f>
        <v/>
      </c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 spans="1:31">
      <c r="A278" s="19"/>
      <c r="B278" s="20"/>
      <c r="C278" s="18" t="str">
        <f ca="1">IFERROR(__xludf.DUMMYFUNCTION("IF(ISBLANK(B278),,FILTER('Leetcode分类顺序表'!B:D,'Leetcode分类顺序表'!A:A = B278))"),"")</f>
        <v/>
      </c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 spans="1:31">
      <c r="A279" s="19"/>
      <c r="B279" s="20"/>
      <c r="C279" s="18" t="str">
        <f ca="1">IFERROR(__xludf.DUMMYFUNCTION("IF(ISBLANK(B279),,FILTER('Leetcode分类顺序表'!B:D,'Leetcode分类顺序表'!A:A = B279))"),"")</f>
        <v/>
      </c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 spans="1:31">
      <c r="A280" s="19"/>
      <c r="B280" s="20"/>
      <c r="C280" s="18" t="str">
        <f ca="1">IFERROR(__xludf.DUMMYFUNCTION("IF(ISBLANK(B280),,FILTER('Leetcode分类顺序表'!B:D,'Leetcode分类顺序表'!A:A = B280))"),"")</f>
        <v/>
      </c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 spans="1:31">
      <c r="A281" s="19"/>
      <c r="B281" s="20"/>
      <c r="C281" s="18" t="str">
        <f ca="1">IFERROR(__xludf.DUMMYFUNCTION("IF(ISBLANK(B281),,FILTER('Leetcode分类顺序表'!B:D,'Leetcode分类顺序表'!A:A = B281))"),"")</f>
        <v/>
      </c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 spans="1:31">
      <c r="A282" s="19"/>
      <c r="B282" s="20"/>
      <c r="C282" s="18" t="str">
        <f ca="1">IFERROR(__xludf.DUMMYFUNCTION("IF(ISBLANK(B282),,FILTER('Leetcode分类顺序表'!B:D,'Leetcode分类顺序表'!A:A = B282))"),"")</f>
        <v/>
      </c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 spans="1:31">
      <c r="A283" s="19"/>
      <c r="B283" s="20"/>
      <c r="C283" s="18" t="str">
        <f ca="1">IFERROR(__xludf.DUMMYFUNCTION("IF(ISBLANK(B283),,FILTER('Leetcode分类顺序表'!B:D,'Leetcode分类顺序表'!A:A = B283))"),"")</f>
        <v/>
      </c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 spans="1:31">
      <c r="A284" s="19"/>
      <c r="B284" s="20"/>
      <c r="C284" s="18" t="str">
        <f ca="1">IFERROR(__xludf.DUMMYFUNCTION("IF(ISBLANK(B284),,FILTER('Leetcode分类顺序表'!B:D,'Leetcode分类顺序表'!A:A = B284))"),"")</f>
        <v/>
      </c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 spans="1:31">
      <c r="A285" s="19"/>
      <c r="B285" s="20"/>
      <c r="C285" s="18" t="str">
        <f ca="1">IFERROR(__xludf.DUMMYFUNCTION("IF(ISBLANK(B285),,FILTER('Leetcode分类顺序表'!B:D,'Leetcode分类顺序表'!A:A = B285))"),"")</f>
        <v/>
      </c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 spans="1:31">
      <c r="A286" s="19"/>
      <c r="B286" s="20"/>
      <c r="C286" s="18" t="str">
        <f ca="1">IFERROR(__xludf.DUMMYFUNCTION("IF(ISBLANK(B286),,FILTER('Leetcode分类顺序表'!B:D,'Leetcode分类顺序表'!A:A = B286))"),"")</f>
        <v/>
      </c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 spans="1:31">
      <c r="A287" s="19"/>
      <c r="B287" s="20"/>
      <c r="C287" s="18" t="str">
        <f ca="1">IFERROR(__xludf.DUMMYFUNCTION("IF(ISBLANK(B287),,FILTER('Leetcode分类顺序表'!B:D,'Leetcode分类顺序表'!A:A = B287))"),"")</f>
        <v/>
      </c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 spans="1:31">
      <c r="A288" s="19"/>
      <c r="B288" s="20"/>
      <c r="C288" s="18" t="str">
        <f ca="1">IFERROR(__xludf.DUMMYFUNCTION("IF(ISBLANK(B288),,FILTER('Leetcode分类顺序表'!B:D,'Leetcode分类顺序表'!A:A = B288))"),"")</f>
        <v/>
      </c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 spans="1:31">
      <c r="A289" s="19"/>
      <c r="B289" s="20"/>
      <c r="C289" s="18" t="str">
        <f ca="1">IFERROR(__xludf.DUMMYFUNCTION("IF(ISBLANK(B289),,FILTER('Leetcode分类顺序表'!B:D,'Leetcode分类顺序表'!A:A = B289))"),"")</f>
        <v/>
      </c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 spans="1:31">
      <c r="A290" s="19"/>
      <c r="B290" s="20"/>
      <c r="C290" s="18" t="str">
        <f ca="1">IFERROR(__xludf.DUMMYFUNCTION("IF(ISBLANK(B290),,FILTER('Leetcode分类顺序表'!B:D,'Leetcode分类顺序表'!A:A = B290))"),"")</f>
        <v/>
      </c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 spans="1:31">
      <c r="A291" s="19"/>
      <c r="B291" s="20"/>
      <c r="C291" s="18" t="str">
        <f ca="1">IFERROR(__xludf.DUMMYFUNCTION("IF(ISBLANK(B291),,FILTER('Leetcode分类顺序表'!B:D,'Leetcode分类顺序表'!A:A = B291))"),"")</f>
        <v/>
      </c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 spans="1:31">
      <c r="A292" s="19"/>
      <c r="B292" s="20"/>
      <c r="C292" s="18" t="str">
        <f ca="1">IFERROR(__xludf.DUMMYFUNCTION("IF(ISBLANK(B292),,FILTER('Leetcode分类顺序表'!B:D,'Leetcode分类顺序表'!A:A = B292))"),"")</f>
        <v/>
      </c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 spans="1:31">
      <c r="A293" s="19"/>
      <c r="B293" s="20"/>
      <c r="C293" s="18" t="str">
        <f ca="1">IFERROR(__xludf.DUMMYFUNCTION("IF(ISBLANK(B293),,FILTER('Leetcode分类顺序表'!B:D,'Leetcode分类顺序表'!A:A = B293))"),"")</f>
        <v/>
      </c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 spans="1:31">
      <c r="A294" s="19"/>
      <c r="B294" s="20"/>
      <c r="C294" s="18" t="str">
        <f ca="1">IFERROR(__xludf.DUMMYFUNCTION("IF(ISBLANK(B294),,FILTER('Leetcode分类顺序表'!B:D,'Leetcode分类顺序表'!A:A = B294))"),"")</f>
        <v/>
      </c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 spans="1:31">
      <c r="A295" s="19"/>
      <c r="B295" s="20"/>
      <c r="C295" s="18" t="str">
        <f ca="1">IFERROR(__xludf.DUMMYFUNCTION("IF(ISBLANK(B295),,FILTER('Leetcode分类顺序表'!B:D,'Leetcode分类顺序表'!A:A = B295))"),"")</f>
        <v/>
      </c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 spans="1:31">
      <c r="A296" s="19"/>
      <c r="B296" s="20"/>
      <c r="C296" s="18" t="str">
        <f ca="1">IFERROR(__xludf.DUMMYFUNCTION("IF(ISBLANK(B296),,FILTER('Leetcode分类顺序表'!B:D,'Leetcode分类顺序表'!A:A = B296))"),"")</f>
        <v/>
      </c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 spans="1:31">
      <c r="A297" s="19"/>
      <c r="B297" s="20"/>
      <c r="C297" s="18" t="str">
        <f ca="1">IFERROR(__xludf.DUMMYFUNCTION("IF(ISBLANK(B297),,FILTER('Leetcode分类顺序表'!B:D,'Leetcode分类顺序表'!A:A = B297))"),"")</f>
        <v/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 spans="1:31">
      <c r="A298" s="19"/>
      <c r="B298" s="20"/>
      <c r="C298" s="18" t="str">
        <f ca="1">IFERROR(__xludf.DUMMYFUNCTION("IF(ISBLANK(B298),,FILTER('Leetcode分类顺序表'!B:D,'Leetcode分类顺序表'!A:A = B298))"),"")</f>
        <v/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 spans="1:31">
      <c r="A299" s="19"/>
      <c r="B299" s="20"/>
      <c r="C299" s="18" t="str">
        <f ca="1">IFERROR(__xludf.DUMMYFUNCTION("IF(ISBLANK(B299),,FILTER('Leetcode分类顺序表'!B:D,'Leetcode分类顺序表'!A:A = B299))"),"")</f>
        <v/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 spans="1:31">
      <c r="A300" s="19"/>
      <c r="B300" s="20"/>
      <c r="C300" s="18" t="str">
        <f ca="1">IFERROR(__xludf.DUMMYFUNCTION("IF(ISBLANK(B300),,FILTER('Leetcode分类顺序表'!B:D,'Leetcode分类顺序表'!A:A = B300))"),"")</f>
        <v/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 spans="1:31">
      <c r="A301" s="19"/>
      <c r="B301" s="20"/>
      <c r="C301" s="18" t="str">
        <f ca="1">IFERROR(__xludf.DUMMYFUNCTION("IF(ISBLANK(B301),,FILTER('Leetcode分类顺序表'!B:D,'Leetcode分类顺序表'!A:A = B301))"),"")</f>
        <v/>
      </c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 spans="1:31">
      <c r="A302" s="19"/>
      <c r="B302" s="20"/>
      <c r="C302" s="18" t="str">
        <f ca="1">IFERROR(__xludf.DUMMYFUNCTION("IF(ISBLANK(B302),,FILTER('Leetcode分类顺序表'!B:D,'Leetcode分类顺序表'!A:A = B302))"),"")</f>
        <v/>
      </c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 spans="1:31">
      <c r="A303" s="19"/>
      <c r="B303" s="20"/>
      <c r="C303" s="18" t="str">
        <f ca="1">IFERROR(__xludf.DUMMYFUNCTION("IF(ISBLANK(B303),,FILTER('Leetcode分类顺序表'!B:D,'Leetcode分类顺序表'!A:A = B303))"),"")</f>
        <v/>
      </c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 spans="1:31">
      <c r="A304" s="19"/>
      <c r="B304" s="20"/>
      <c r="C304" s="18" t="str">
        <f ca="1">IFERROR(__xludf.DUMMYFUNCTION("IF(ISBLANK(B304),,FILTER('Leetcode分类顺序表'!B:D,'Leetcode分类顺序表'!A:A = B304))"),"")</f>
        <v/>
      </c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 spans="1:31">
      <c r="A305" s="19"/>
      <c r="B305" s="20"/>
      <c r="C305" s="18" t="str">
        <f ca="1">IFERROR(__xludf.DUMMYFUNCTION("IF(ISBLANK(B305),,FILTER('Leetcode分类顺序表'!B:D,'Leetcode分类顺序表'!A:A = B305))"),"")</f>
        <v/>
      </c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 spans="1:31">
      <c r="A306" s="19"/>
      <c r="B306" s="20"/>
      <c r="C306" s="18" t="str">
        <f ca="1">IFERROR(__xludf.DUMMYFUNCTION("IF(ISBLANK(B306),,FILTER('Leetcode分类顺序表'!B:D,'Leetcode分类顺序表'!A:A = B306))"),"")</f>
        <v/>
      </c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 spans="1:31">
      <c r="A307" s="19"/>
      <c r="B307" s="20"/>
      <c r="C307" s="18" t="str">
        <f ca="1">IFERROR(__xludf.DUMMYFUNCTION("IF(ISBLANK(B307),,FILTER('Leetcode分类顺序表'!B:D,'Leetcode分类顺序表'!A:A = B307))"),"")</f>
        <v/>
      </c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 spans="1:31">
      <c r="A308" s="19"/>
      <c r="B308" s="20"/>
      <c r="C308" s="18" t="str">
        <f ca="1">IFERROR(__xludf.DUMMYFUNCTION("IF(ISBLANK(B308),,FILTER('Leetcode分类顺序表'!B:D,'Leetcode分类顺序表'!A:A = B308))"),"")</f>
        <v/>
      </c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 spans="1:31">
      <c r="A309" s="19"/>
      <c r="B309" s="20"/>
      <c r="C309" s="18" t="str">
        <f ca="1">IFERROR(__xludf.DUMMYFUNCTION("IF(ISBLANK(B309),,FILTER('Leetcode分类顺序表'!B:D,'Leetcode分类顺序表'!A:A = B309))"),"")</f>
        <v/>
      </c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 spans="1:31">
      <c r="A310" s="19"/>
      <c r="B310" s="20"/>
      <c r="C310" s="18" t="str">
        <f ca="1">IFERROR(__xludf.DUMMYFUNCTION("IF(ISBLANK(B310),,FILTER('Leetcode分类顺序表'!B:D,'Leetcode分类顺序表'!A:A = B310))"),"")</f>
        <v/>
      </c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 spans="1:31">
      <c r="A311" s="19"/>
      <c r="B311" s="20"/>
      <c r="C311" s="18" t="str">
        <f ca="1">IFERROR(__xludf.DUMMYFUNCTION("IF(ISBLANK(B311),,FILTER('Leetcode分类顺序表'!B:D,'Leetcode分类顺序表'!A:A = B311))"),"")</f>
        <v/>
      </c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 spans="1:31">
      <c r="A312" s="19"/>
      <c r="B312" s="20"/>
      <c r="C312" s="18" t="str">
        <f ca="1">IFERROR(__xludf.DUMMYFUNCTION("IF(ISBLANK(B312),,FILTER('Leetcode分类顺序表'!B:D,'Leetcode分类顺序表'!A:A = B312))"),"")</f>
        <v/>
      </c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 spans="1:31">
      <c r="A313" s="19"/>
      <c r="B313" s="20"/>
      <c r="C313" s="18" t="str">
        <f ca="1">IFERROR(__xludf.DUMMYFUNCTION("IF(ISBLANK(B313),,FILTER('Leetcode分类顺序表'!B:D,'Leetcode分类顺序表'!A:A = B313))"),"")</f>
        <v/>
      </c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 spans="1:31">
      <c r="A314" s="19"/>
      <c r="B314" s="20"/>
      <c r="C314" s="18" t="str">
        <f ca="1">IFERROR(__xludf.DUMMYFUNCTION("IF(ISBLANK(B314),,FILTER('Leetcode分类顺序表'!B:D,'Leetcode分类顺序表'!A:A = B314))"),"")</f>
        <v/>
      </c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 spans="1:31">
      <c r="A315" s="19"/>
      <c r="B315" s="20"/>
      <c r="C315" s="18" t="str">
        <f ca="1">IFERROR(__xludf.DUMMYFUNCTION("IF(ISBLANK(B315),,FILTER('Leetcode分类顺序表'!B:D,'Leetcode分类顺序表'!A:A = B315))"),"")</f>
        <v/>
      </c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 spans="1:31">
      <c r="A316" s="19"/>
      <c r="B316" s="20"/>
      <c r="C316" s="18" t="str">
        <f ca="1">IFERROR(__xludf.DUMMYFUNCTION("IF(ISBLANK(B316),,FILTER('Leetcode分类顺序表'!B:D,'Leetcode分类顺序表'!A:A = B316))"),"")</f>
        <v/>
      </c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 spans="1:31">
      <c r="A317" s="19"/>
      <c r="B317" s="20"/>
      <c r="C317" s="18" t="str">
        <f ca="1">IFERROR(__xludf.DUMMYFUNCTION("IF(ISBLANK(B317),,FILTER('Leetcode分类顺序表'!B:D,'Leetcode分类顺序表'!A:A = B317))"),"")</f>
        <v/>
      </c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 spans="1:31">
      <c r="A318" s="19"/>
      <c r="B318" s="20"/>
      <c r="C318" s="18" t="str">
        <f ca="1">IFERROR(__xludf.DUMMYFUNCTION("IF(ISBLANK(B318),,FILTER('Leetcode分类顺序表'!B:D,'Leetcode分类顺序表'!A:A = B318))"),"")</f>
        <v/>
      </c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 spans="1:31">
      <c r="A319" s="19"/>
      <c r="B319" s="20"/>
      <c r="C319" s="18" t="str">
        <f ca="1">IFERROR(__xludf.DUMMYFUNCTION("IF(ISBLANK(B319),,FILTER('Leetcode分类顺序表'!B:D,'Leetcode分类顺序表'!A:A = B319))"),"")</f>
        <v/>
      </c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 spans="1:31">
      <c r="A320" s="19"/>
      <c r="B320" s="20"/>
      <c r="C320" s="18" t="str">
        <f ca="1">IFERROR(__xludf.DUMMYFUNCTION("IF(ISBLANK(B320),,FILTER('Leetcode分类顺序表'!B:D,'Leetcode分类顺序表'!A:A = B320))"),"")</f>
        <v/>
      </c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 spans="1:31">
      <c r="A321" s="19"/>
      <c r="B321" s="20"/>
      <c r="C321" s="18" t="str">
        <f ca="1">IFERROR(__xludf.DUMMYFUNCTION("IF(ISBLANK(B321),,FILTER('Leetcode分类顺序表'!B:D,'Leetcode分类顺序表'!A:A = B321))"),"")</f>
        <v/>
      </c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 spans="1:31">
      <c r="A322" s="19"/>
      <c r="B322" s="20"/>
      <c r="C322" s="18" t="str">
        <f ca="1">IFERROR(__xludf.DUMMYFUNCTION("IF(ISBLANK(B322),,FILTER('Leetcode分类顺序表'!B:D,'Leetcode分类顺序表'!A:A = B322))"),"")</f>
        <v/>
      </c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 spans="1:31">
      <c r="A323" s="19"/>
      <c r="B323" s="20"/>
      <c r="C323" s="18" t="str">
        <f ca="1">IFERROR(__xludf.DUMMYFUNCTION("IF(ISBLANK(B323),,FILTER('Leetcode分类顺序表'!B:D,'Leetcode分类顺序表'!A:A = B323))"),"")</f>
        <v/>
      </c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 spans="1:31">
      <c r="A324" s="19"/>
      <c r="B324" s="20"/>
      <c r="C324" s="18" t="str">
        <f ca="1">IFERROR(__xludf.DUMMYFUNCTION("IF(ISBLANK(B324),,FILTER('Leetcode分类顺序表'!B:D,'Leetcode分类顺序表'!A:A = B324))"),"")</f>
        <v/>
      </c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 spans="1:31">
      <c r="A325" s="19"/>
      <c r="B325" s="20"/>
      <c r="C325" s="18" t="str">
        <f ca="1">IFERROR(__xludf.DUMMYFUNCTION("IF(ISBLANK(B325),,FILTER('Leetcode分类顺序表'!B:D,'Leetcode分类顺序表'!A:A = B325))"),"")</f>
        <v/>
      </c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 spans="1:31">
      <c r="A326" s="19"/>
      <c r="B326" s="20"/>
      <c r="C326" s="18" t="str">
        <f ca="1">IFERROR(__xludf.DUMMYFUNCTION("IF(ISBLANK(B326),,FILTER('Leetcode分类顺序表'!B:D,'Leetcode分类顺序表'!A:A = B326))"),"")</f>
        <v/>
      </c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 spans="1:31">
      <c r="A327" s="19"/>
      <c r="B327" s="20"/>
      <c r="C327" s="18" t="str">
        <f ca="1">IFERROR(__xludf.DUMMYFUNCTION("IF(ISBLANK(B327),,FILTER('Leetcode分类顺序表'!B:D,'Leetcode分类顺序表'!A:A = B327))"),"")</f>
        <v/>
      </c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 spans="1:31">
      <c r="A328" s="19"/>
      <c r="B328" s="20"/>
      <c r="C328" s="18" t="str">
        <f ca="1">IFERROR(__xludf.DUMMYFUNCTION("IF(ISBLANK(B328),,FILTER('Leetcode分类顺序表'!B:D,'Leetcode分类顺序表'!A:A = B328))"),"")</f>
        <v/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 spans="1:31">
      <c r="A329" s="19"/>
      <c r="B329" s="20"/>
      <c r="C329" s="18" t="str">
        <f ca="1">IFERROR(__xludf.DUMMYFUNCTION("IF(ISBLANK(B329),,FILTER('Leetcode分类顺序表'!B:D,'Leetcode分类顺序表'!A:A = B329))"),"")</f>
        <v/>
      </c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 spans="1:31">
      <c r="A330" s="19"/>
      <c r="B330" s="20"/>
      <c r="C330" s="18" t="str">
        <f ca="1">IFERROR(__xludf.DUMMYFUNCTION("IF(ISBLANK(B330),,FILTER('Leetcode分类顺序表'!B:D,'Leetcode分类顺序表'!A:A = B330))"),"")</f>
        <v/>
      </c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 spans="1:31">
      <c r="A331" s="19"/>
      <c r="B331" s="20"/>
      <c r="C331" s="18" t="str">
        <f ca="1">IFERROR(__xludf.DUMMYFUNCTION("IF(ISBLANK(B331),,FILTER('Leetcode分类顺序表'!B:D,'Leetcode分类顺序表'!A:A = B331))"),"")</f>
        <v/>
      </c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 spans="1:31">
      <c r="A332" s="19"/>
      <c r="B332" s="20"/>
      <c r="C332" s="18" t="str">
        <f ca="1">IFERROR(__xludf.DUMMYFUNCTION("IF(ISBLANK(B332),,FILTER('Leetcode分类顺序表'!B:D,'Leetcode分类顺序表'!A:A = B332))"),"")</f>
        <v/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 spans="1:31">
      <c r="A333" s="19"/>
      <c r="B333" s="20"/>
      <c r="C333" s="18" t="str">
        <f ca="1">IFERROR(__xludf.DUMMYFUNCTION("IF(ISBLANK(B333),,FILTER('Leetcode分类顺序表'!B:D,'Leetcode分类顺序表'!A:A = B333))"),"")</f>
        <v/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 spans="1:31">
      <c r="A334" s="19"/>
      <c r="B334" s="20"/>
      <c r="C334" s="18" t="str">
        <f ca="1">IFERROR(__xludf.DUMMYFUNCTION("IF(ISBLANK(B334),,FILTER('Leetcode分类顺序表'!B:D,'Leetcode分类顺序表'!A:A = B334))"),"")</f>
        <v/>
      </c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 spans="1:31">
      <c r="A335" s="19"/>
      <c r="B335" s="20"/>
      <c r="C335" s="18" t="str">
        <f ca="1">IFERROR(__xludf.DUMMYFUNCTION("IF(ISBLANK(B335),,FILTER('Leetcode分类顺序表'!B:D,'Leetcode分类顺序表'!A:A = B335))"),"")</f>
        <v/>
      </c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 spans="1:31">
      <c r="A336" s="19"/>
      <c r="B336" s="20"/>
      <c r="C336" s="18" t="str">
        <f ca="1">IFERROR(__xludf.DUMMYFUNCTION("IF(ISBLANK(B336),,FILTER('Leetcode分类顺序表'!B:D,'Leetcode分类顺序表'!A:A = B336))"),"")</f>
        <v/>
      </c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 spans="1:31">
      <c r="A337" s="19"/>
      <c r="B337" s="20"/>
      <c r="C337" s="18" t="str">
        <f ca="1">IFERROR(__xludf.DUMMYFUNCTION("IF(ISBLANK(B337),,FILTER('Leetcode分类顺序表'!B:D,'Leetcode分类顺序表'!A:A = B337))"),"")</f>
        <v/>
      </c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 spans="1:31">
      <c r="A338" s="19"/>
      <c r="B338" s="20"/>
      <c r="C338" s="18" t="str">
        <f ca="1">IFERROR(__xludf.DUMMYFUNCTION("IF(ISBLANK(B338),,FILTER('Leetcode分类顺序表'!B:D,'Leetcode分类顺序表'!A:A = B338))"),"")</f>
        <v/>
      </c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 spans="1:31">
      <c r="A339" s="19"/>
      <c r="B339" s="20"/>
      <c r="C339" s="18" t="str">
        <f ca="1">IFERROR(__xludf.DUMMYFUNCTION("IF(ISBLANK(B339),,FILTER('Leetcode分类顺序表'!B:D,'Leetcode分类顺序表'!A:A = B339))"),"")</f>
        <v/>
      </c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 spans="1:31">
      <c r="A340" s="19"/>
      <c r="B340" s="20"/>
      <c r="C340" s="18" t="str">
        <f ca="1">IFERROR(__xludf.DUMMYFUNCTION("IF(ISBLANK(B340),,FILTER('Leetcode分类顺序表'!B:D,'Leetcode分类顺序表'!A:A = B340))"),"")</f>
        <v/>
      </c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 spans="1:31">
      <c r="A341" s="19"/>
      <c r="B341" s="20"/>
      <c r="C341" s="18" t="str">
        <f ca="1">IFERROR(__xludf.DUMMYFUNCTION("IF(ISBLANK(B341),,FILTER('Leetcode分类顺序表'!B:D,'Leetcode分类顺序表'!A:A = B341))"),"")</f>
        <v/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 spans="1:31">
      <c r="A342" s="19"/>
      <c r="B342" s="20"/>
      <c r="C342" s="18" t="str">
        <f ca="1">IFERROR(__xludf.DUMMYFUNCTION("IF(ISBLANK(B342),,FILTER('Leetcode分类顺序表'!B:D,'Leetcode分类顺序表'!A:A = B342))"),"")</f>
        <v/>
      </c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 spans="1:31">
      <c r="A343" s="19"/>
      <c r="B343" s="20"/>
      <c r="C343" s="18" t="str">
        <f ca="1">IFERROR(__xludf.DUMMYFUNCTION("IF(ISBLANK(B343),,FILTER('Leetcode分类顺序表'!B:D,'Leetcode分类顺序表'!A:A = B343))"),"")</f>
        <v/>
      </c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 spans="1:31">
      <c r="A344" s="19"/>
      <c r="B344" s="20"/>
      <c r="C344" s="18" t="str">
        <f ca="1">IFERROR(__xludf.DUMMYFUNCTION("IF(ISBLANK(B344),,FILTER('Leetcode分类顺序表'!B:D,'Leetcode分类顺序表'!A:A = B344))"),"")</f>
        <v/>
      </c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 spans="1:31">
      <c r="A345" s="19"/>
      <c r="B345" s="20"/>
      <c r="C345" s="18" t="str">
        <f ca="1">IFERROR(__xludf.DUMMYFUNCTION("IF(ISBLANK(B345),,FILTER('Leetcode分类顺序表'!B:D,'Leetcode分类顺序表'!A:A = B345))"),"")</f>
        <v/>
      </c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 spans="1:31">
      <c r="A346" s="19"/>
      <c r="B346" s="20"/>
      <c r="C346" s="18" t="str">
        <f ca="1">IFERROR(__xludf.DUMMYFUNCTION("IF(ISBLANK(B346),,FILTER('Leetcode分类顺序表'!B:D,'Leetcode分类顺序表'!A:A = B346))"),"")</f>
        <v/>
      </c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 spans="1:31">
      <c r="A347" s="19"/>
      <c r="B347" s="20"/>
      <c r="C347" s="18" t="str">
        <f ca="1">IFERROR(__xludf.DUMMYFUNCTION("IF(ISBLANK(B347),,FILTER('Leetcode分类顺序表'!B:D,'Leetcode分类顺序表'!A:A = B347))"),"")</f>
        <v/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 spans="1:31">
      <c r="A348" s="19"/>
      <c r="B348" s="20"/>
      <c r="C348" s="18" t="str">
        <f ca="1">IFERROR(__xludf.DUMMYFUNCTION("IF(ISBLANK(B348),,FILTER('Leetcode分类顺序表'!B:D,'Leetcode分类顺序表'!A:A = B348))"),"")</f>
        <v/>
      </c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 spans="1:31">
      <c r="A349" s="19"/>
      <c r="B349" s="20"/>
      <c r="C349" s="18" t="str">
        <f ca="1">IFERROR(__xludf.DUMMYFUNCTION("IF(ISBLANK(B349),,FILTER('Leetcode分类顺序表'!B:D,'Leetcode分类顺序表'!A:A = B349))"),"")</f>
        <v/>
      </c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 spans="1:31">
      <c r="A350" s="19"/>
      <c r="B350" s="20"/>
      <c r="C350" s="18" t="str">
        <f ca="1">IFERROR(__xludf.DUMMYFUNCTION("IF(ISBLANK(B350),,FILTER('Leetcode分类顺序表'!B:D,'Leetcode分类顺序表'!A:A = B350))"),"")</f>
        <v/>
      </c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 spans="1:31">
      <c r="A351" s="19"/>
      <c r="B351" s="20"/>
      <c r="C351" s="18" t="str">
        <f ca="1">IFERROR(__xludf.DUMMYFUNCTION("IF(ISBLANK(B351),,FILTER('Leetcode分类顺序表'!B:D,'Leetcode分类顺序表'!A:A = B351))"),"")</f>
        <v/>
      </c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 spans="1:31">
      <c r="A352" s="19"/>
      <c r="B352" s="20"/>
      <c r="C352" s="18" t="str">
        <f ca="1">IFERROR(__xludf.DUMMYFUNCTION("IF(ISBLANK(B352),,FILTER('Leetcode分类顺序表'!B:D,'Leetcode分类顺序表'!A:A = B352))"),"")</f>
        <v/>
      </c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 spans="1:31">
      <c r="A353" s="19"/>
      <c r="B353" s="20"/>
      <c r="C353" s="18" t="str">
        <f ca="1">IFERROR(__xludf.DUMMYFUNCTION("IF(ISBLANK(B353),,FILTER('Leetcode分类顺序表'!B:D,'Leetcode分类顺序表'!A:A = B353))"),"")</f>
        <v/>
      </c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 spans="1:31">
      <c r="A354" s="19"/>
      <c r="B354" s="20"/>
      <c r="C354" s="18" t="str">
        <f ca="1">IFERROR(__xludf.DUMMYFUNCTION("IF(ISBLANK(B354),,FILTER('Leetcode分类顺序表'!B:D,'Leetcode分类顺序表'!A:A = B354))"),"")</f>
        <v/>
      </c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 spans="1:31">
      <c r="A355" s="19"/>
      <c r="B355" s="20"/>
      <c r="C355" s="18" t="str">
        <f ca="1">IFERROR(__xludf.DUMMYFUNCTION("IF(ISBLANK(B355),,FILTER('Leetcode分类顺序表'!B:D,'Leetcode分类顺序表'!A:A = B355))"),"")</f>
        <v/>
      </c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 spans="1:31">
      <c r="A356" s="19"/>
      <c r="B356" s="20"/>
      <c r="C356" s="18" t="str">
        <f ca="1">IFERROR(__xludf.DUMMYFUNCTION("IF(ISBLANK(B356),,FILTER('Leetcode分类顺序表'!B:D,'Leetcode分类顺序表'!A:A = B356))"),"")</f>
        <v/>
      </c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 spans="1:31">
      <c r="A357" s="19"/>
      <c r="B357" s="20"/>
      <c r="C357" s="18" t="str">
        <f ca="1">IFERROR(__xludf.DUMMYFUNCTION("IF(ISBLANK(B357),,FILTER('Leetcode分类顺序表'!B:D,'Leetcode分类顺序表'!A:A = B357))"),"")</f>
        <v/>
      </c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 spans="1:31">
      <c r="A358" s="19"/>
      <c r="B358" s="20"/>
      <c r="C358" s="18" t="str">
        <f ca="1">IFERROR(__xludf.DUMMYFUNCTION("IF(ISBLANK(B358),,FILTER('Leetcode分类顺序表'!B:D,'Leetcode分类顺序表'!A:A = B358))"),"")</f>
        <v/>
      </c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 spans="1:31">
      <c r="A359" s="19"/>
      <c r="B359" s="20"/>
      <c r="C359" s="18" t="str">
        <f ca="1">IFERROR(__xludf.DUMMYFUNCTION("IF(ISBLANK(B359),,FILTER('Leetcode分类顺序表'!B:D,'Leetcode分类顺序表'!A:A = B359))"),"")</f>
        <v/>
      </c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 spans="1:31">
      <c r="A360" s="19"/>
      <c r="B360" s="20"/>
      <c r="C360" s="18" t="str">
        <f ca="1">IFERROR(__xludf.DUMMYFUNCTION("IF(ISBLANK(B360),,FILTER('Leetcode分类顺序表'!B:D,'Leetcode分类顺序表'!A:A = B360))"),"")</f>
        <v/>
      </c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 spans="1:31">
      <c r="A361" s="19"/>
      <c r="B361" s="20"/>
      <c r="C361" s="18" t="str">
        <f ca="1">IFERROR(__xludf.DUMMYFUNCTION("IF(ISBLANK(B361),,FILTER('Leetcode分类顺序表'!B:D,'Leetcode分类顺序表'!A:A = B361))"),"")</f>
        <v/>
      </c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 spans="1:31">
      <c r="A362" s="19"/>
      <c r="B362" s="20"/>
      <c r="C362" s="18" t="str">
        <f ca="1">IFERROR(__xludf.DUMMYFUNCTION("IF(ISBLANK(B362),,FILTER('Leetcode分类顺序表'!B:D,'Leetcode分类顺序表'!A:A = B362))"),"")</f>
        <v/>
      </c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 spans="1:31">
      <c r="A363" s="19"/>
      <c r="B363" s="20"/>
      <c r="C363" s="18" t="str">
        <f ca="1">IFERROR(__xludf.DUMMYFUNCTION("IF(ISBLANK(B363),,FILTER('Leetcode分类顺序表'!B:D,'Leetcode分类顺序表'!A:A = B363))"),"")</f>
        <v/>
      </c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 spans="1:31">
      <c r="A364" s="19"/>
      <c r="B364" s="20"/>
      <c r="C364" s="18" t="str">
        <f ca="1">IFERROR(__xludf.DUMMYFUNCTION("IF(ISBLANK(B364),,FILTER('Leetcode分类顺序表'!B:D,'Leetcode分类顺序表'!A:A = B364))"),"")</f>
        <v/>
      </c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 spans="1:31">
      <c r="A365" s="19"/>
      <c r="B365" s="20"/>
      <c r="C365" s="18" t="str">
        <f ca="1">IFERROR(__xludf.DUMMYFUNCTION("IF(ISBLANK(B365),,FILTER('Leetcode分类顺序表'!B:D,'Leetcode分类顺序表'!A:A = B365))"),"")</f>
        <v/>
      </c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 spans="1:31">
      <c r="A366" s="19"/>
      <c r="B366" s="20"/>
      <c r="C366" s="18" t="str">
        <f ca="1">IFERROR(__xludf.DUMMYFUNCTION("IF(ISBLANK(B366),,FILTER('Leetcode分类顺序表'!B:D,'Leetcode分类顺序表'!A:A = B366))"),"")</f>
        <v/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 spans="1:31">
      <c r="A367" s="19"/>
      <c r="B367" s="20"/>
      <c r="C367" s="18" t="str">
        <f ca="1">IFERROR(__xludf.DUMMYFUNCTION("IF(ISBLANK(B367),,FILTER('Leetcode分类顺序表'!B:D,'Leetcode分类顺序表'!A:A = B367))"),"")</f>
        <v/>
      </c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 spans="1:31">
      <c r="A368" s="19"/>
      <c r="B368" s="20"/>
      <c r="C368" s="18" t="str">
        <f ca="1">IFERROR(__xludf.DUMMYFUNCTION("IF(ISBLANK(B368),,FILTER('Leetcode分类顺序表'!B:D,'Leetcode分类顺序表'!A:A = B368))"),"")</f>
        <v/>
      </c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 spans="1:31">
      <c r="A369" s="19"/>
      <c r="B369" s="20"/>
      <c r="C369" s="18" t="str">
        <f ca="1">IFERROR(__xludf.DUMMYFUNCTION("IF(ISBLANK(B369),,FILTER('Leetcode分类顺序表'!B:D,'Leetcode分类顺序表'!A:A = B369))"),"")</f>
        <v/>
      </c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 spans="1:31">
      <c r="A370" s="19"/>
      <c r="B370" s="20"/>
      <c r="C370" s="18" t="str">
        <f ca="1">IFERROR(__xludf.DUMMYFUNCTION("IF(ISBLANK(B370),,FILTER('Leetcode分类顺序表'!B:D,'Leetcode分类顺序表'!A:A = B370))"),"")</f>
        <v/>
      </c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 spans="1:31">
      <c r="A371" s="19"/>
      <c r="B371" s="20"/>
      <c r="C371" s="18" t="str">
        <f ca="1">IFERROR(__xludf.DUMMYFUNCTION("IF(ISBLANK(B371),,FILTER('Leetcode分类顺序表'!B:D,'Leetcode分类顺序表'!A:A = B371))"),"")</f>
        <v/>
      </c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 spans="1:31">
      <c r="A372" s="19"/>
      <c r="B372" s="20"/>
      <c r="C372" s="18" t="str">
        <f ca="1">IFERROR(__xludf.DUMMYFUNCTION("IF(ISBLANK(B372),,FILTER('Leetcode分类顺序表'!B:D,'Leetcode分类顺序表'!A:A = B372))"),"")</f>
        <v/>
      </c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 spans="1:31">
      <c r="A373" s="19"/>
      <c r="B373" s="20"/>
      <c r="C373" s="18" t="str">
        <f ca="1">IFERROR(__xludf.DUMMYFUNCTION("IF(ISBLANK(B373),,FILTER('Leetcode分类顺序表'!B:D,'Leetcode分类顺序表'!A:A = B373))"),"")</f>
        <v/>
      </c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 spans="1:31">
      <c r="A374" s="19"/>
      <c r="B374" s="20"/>
      <c r="C374" s="18" t="str">
        <f ca="1">IFERROR(__xludf.DUMMYFUNCTION("IF(ISBLANK(B374),,FILTER('Leetcode分类顺序表'!B:D,'Leetcode分类顺序表'!A:A = B374))"),"")</f>
        <v/>
      </c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 spans="1:31">
      <c r="A375" s="19"/>
      <c r="B375" s="20"/>
      <c r="C375" s="18" t="str">
        <f ca="1">IFERROR(__xludf.DUMMYFUNCTION("IF(ISBLANK(B375),,FILTER('Leetcode分类顺序表'!B:D,'Leetcode分类顺序表'!A:A = B375))"),"")</f>
        <v/>
      </c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 spans="1:31">
      <c r="A376" s="19"/>
      <c r="B376" s="20"/>
      <c r="C376" s="18" t="str">
        <f ca="1">IFERROR(__xludf.DUMMYFUNCTION("IF(ISBLANK(B376),,FILTER('Leetcode分类顺序表'!B:D,'Leetcode分类顺序表'!A:A = B376))"),"")</f>
        <v/>
      </c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 spans="1:31">
      <c r="A377" s="19"/>
      <c r="B377" s="20"/>
      <c r="C377" s="18" t="str">
        <f ca="1">IFERROR(__xludf.DUMMYFUNCTION("IF(ISBLANK(B377),,FILTER('Leetcode分类顺序表'!B:D,'Leetcode分类顺序表'!A:A = B377))"),"")</f>
        <v/>
      </c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 spans="1:31">
      <c r="A378" s="19"/>
      <c r="B378" s="20"/>
      <c r="C378" s="18" t="str">
        <f ca="1">IFERROR(__xludf.DUMMYFUNCTION("IF(ISBLANK(B378),,FILTER('Leetcode分类顺序表'!B:D,'Leetcode分类顺序表'!A:A = B378))"),"")</f>
        <v/>
      </c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 spans="1:31">
      <c r="A379" s="19"/>
      <c r="B379" s="20"/>
      <c r="C379" s="18" t="str">
        <f ca="1">IFERROR(__xludf.DUMMYFUNCTION("IF(ISBLANK(B379),,FILTER('Leetcode分类顺序表'!B:D,'Leetcode分类顺序表'!A:A = B379))"),"")</f>
        <v/>
      </c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 spans="1:31">
      <c r="A380" s="19"/>
      <c r="B380" s="20"/>
      <c r="C380" s="18" t="str">
        <f ca="1">IFERROR(__xludf.DUMMYFUNCTION("IF(ISBLANK(B380),,FILTER('Leetcode分类顺序表'!B:D,'Leetcode分类顺序表'!A:A = B380))"),"")</f>
        <v/>
      </c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 spans="1:31">
      <c r="A381" s="19"/>
      <c r="B381" s="20"/>
      <c r="C381" s="18" t="str">
        <f ca="1">IFERROR(__xludf.DUMMYFUNCTION("IF(ISBLANK(B381),,FILTER('Leetcode分类顺序表'!B:D,'Leetcode分类顺序表'!A:A = B381))"),"")</f>
        <v/>
      </c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 spans="1:31">
      <c r="A382" s="19"/>
      <c r="B382" s="20"/>
      <c r="C382" s="18" t="str">
        <f ca="1">IFERROR(__xludf.DUMMYFUNCTION("IF(ISBLANK(B382),,FILTER('Leetcode分类顺序表'!B:D,'Leetcode分类顺序表'!A:A = B382))"),"")</f>
        <v/>
      </c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 spans="1:31">
      <c r="A383" s="19"/>
      <c r="B383" s="20"/>
      <c r="C383" s="18" t="str">
        <f ca="1">IFERROR(__xludf.DUMMYFUNCTION("IF(ISBLANK(B383),,FILTER('Leetcode分类顺序表'!B:D,'Leetcode分类顺序表'!A:A = B383))"),"")</f>
        <v/>
      </c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 spans="1:31">
      <c r="A384" s="19"/>
      <c r="B384" s="20"/>
      <c r="C384" s="18" t="str">
        <f ca="1">IFERROR(__xludf.DUMMYFUNCTION("IF(ISBLANK(B384),,FILTER('Leetcode分类顺序表'!B:D,'Leetcode分类顺序表'!A:A = B384))"),"")</f>
        <v/>
      </c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 spans="1:31">
      <c r="A385" s="19"/>
      <c r="B385" s="20"/>
      <c r="C385" s="18" t="str">
        <f ca="1">IFERROR(__xludf.DUMMYFUNCTION("IF(ISBLANK(B385),,FILTER('Leetcode分类顺序表'!B:D,'Leetcode分类顺序表'!A:A = B385))"),"")</f>
        <v/>
      </c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 spans="1:31">
      <c r="A386" s="19"/>
      <c r="B386" s="20"/>
      <c r="C386" s="18" t="str">
        <f ca="1">IFERROR(__xludf.DUMMYFUNCTION("IF(ISBLANK(B386),,FILTER('Leetcode分类顺序表'!B:D,'Leetcode分类顺序表'!A:A = B386))"),"")</f>
        <v/>
      </c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 spans="1:31">
      <c r="A387" s="19"/>
      <c r="B387" s="20"/>
      <c r="C387" s="18" t="str">
        <f ca="1">IFERROR(__xludf.DUMMYFUNCTION("IF(ISBLANK(B387),,FILTER('Leetcode分类顺序表'!B:D,'Leetcode分类顺序表'!A:A = B387))"),"")</f>
        <v/>
      </c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 spans="1:31">
      <c r="A388" s="19"/>
      <c r="B388" s="20"/>
      <c r="C388" s="18" t="str">
        <f ca="1">IFERROR(__xludf.DUMMYFUNCTION("IF(ISBLANK(B388),,FILTER('Leetcode分类顺序表'!B:D,'Leetcode分类顺序表'!A:A = B388))"),"")</f>
        <v/>
      </c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 spans="1:31">
      <c r="A389" s="19"/>
      <c r="B389" s="20"/>
      <c r="C389" s="18" t="str">
        <f ca="1">IFERROR(__xludf.DUMMYFUNCTION("IF(ISBLANK(B389),,FILTER('Leetcode分类顺序表'!B:D,'Leetcode分类顺序表'!A:A = B389))"),"")</f>
        <v/>
      </c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 spans="1:31">
      <c r="A390" s="19"/>
      <c r="B390" s="20"/>
      <c r="C390" s="18" t="str">
        <f ca="1">IFERROR(__xludf.DUMMYFUNCTION("IF(ISBLANK(B390),,FILTER('Leetcode分类顺序表'!B:D,'Leetcode分类顺序表'!A:A = B390))"),"")</f>
        <v/>
      </c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 spans="1:31">
      <c r="A391" s="19"/>
      <c r="B391" s="20"/>
      <c r="C391" s="18" t="str">
        <f ca="1">IFERROR(__xludf.DUMMYFUNCTION("IF(ISBLANK(B391),,FILTER('Leetcode分类顺序表'!B:D,'Leetcode分类顺序表'!A:A = B391))"),"")</f>
        <v/>
      </c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 spans="1:31">
      <c r="A392" s="19"/>
      <c r="B392" s="20"/>
      <c r="C392" s="18" t="str">
        <f ca="1">IFERROR(__xludf.DUMMYFUNCTION("IF(ISBLANK(B392),,FILTER('Leetcode分类顺序表'!B:D,'Leetcode分类顺序表'!A:A = B392))"),"")</f>
        <v/>
      </c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 spans="1:31">
      <c r="A393" s="19"/>
      <c r="B393" s="20"/>
      <c r="C393" s="18" t="str">
        <f ca="1">IFERROR(__xludf.DUMMYFUNCTION("IF(ISBLANK(B393),,FILTER('Leetcode分类顺序表'!B:D,'Leetcode分类顺序表'!A:A = B393))"),"")</f>
        <v/>
      </c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 spans="1:31">
      <c r="A394" s="19"/>
      <c r="B394" s="20"/>
      <c r="C394" s="18" t="str">
        <f ca="1">IFERROR(__xludf.DUMMYFUNCTION("IF(ISBLANK(B394),,FILTER('Leetcode分类顺序表'!B:D,'Leetcode分类顺序表'!A:A = B394))"),"")</f>
        <v/>
      </c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 spans="1:31">
      <c r="A395" s="19"/>
      <c r="B395" s="20"/>
      <c r="C395" s="18" t="str">
        <f ca="1">IFERROR(__xludf.DUMMYFUNCTION("IF(ISBLANK(B395),,FILTER('Leetcode分类顺序表'!B:D,'Leetcode分类顺序表'!A:A = B395))"),"")</f>
        <v/>
      </c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 spans="1:31">
      <c r="A396" s="19"/>
      <c r="B396" s="20"/>
      <c r="C396" s="18" t="str">
        <f ca="1">IFERROR(__xludf.DUMMYFUNCTION("IF(ISBLANK(B396),,FILTER('Leetcode分类顺序表'!B:D,'Leetcode分类顺序表'!A:A = B396))"),"")</f>
        <v/>
      </c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 spans="1:31">
      <c r="A397" s="19"/>
      <c r="B397" s="20"/>
      <c r="C397" s="18" t="str">
        <f ca="1">IFERROR(__xludf.DUMMYFUNCTION("IF(ISBLANK(B397),,FILTER('Leetcode分类顺序表'!B:D,'Leetcode分类顺序表'!A:A = B397))"),"")</f>
        <v/>
      </c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 spans="1:31">
      <c r="A398" s="19"/>
      <c r="B398" s="20"/>
      <c r="C398" s="18" t="str">
        <f ca="1">IFERROR(__xludf.DUMMYFUNCTION("IF(ISBLANK(B398),,FILTER('Leetcode分类顺序表'!B:D,'Leetcode分类顺序表'!A:A = B398))"),"")</f>
        <v/>
      </c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 spans="1:31">
      <c r="A399" s="19"/>
      <c r="B399" s="20"/>
      <c r="C399" s="18" t="str">
        <f ca="1">IFERROR(__xludf.DUMMYFUNCTION("IF(ISBLANK(B399),,FILTER('Leetcode分类顺序表'!B:D,'Leetcode分类顺序表'!A:A = B399))"),"")</f>
        <v/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 spans="1:31">
      <c r="A400" s="19"/>
      <c r="B400" s="20"/>
      <c r="C400" s="18" t="str">
        <f ca="1">IFERROR(__xludf.DUMMYFUNCTION("IF(ISBLANK(B400),,FILTER('Leetcode分类顺序表'!B:D,'Leetcode分类顺序表'!A:A = B400))"),"")</f>
        <v/>
      </c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 spans="1:31">
      <c r="A401" s="19"/>
      <c r="B401" s="20"/>
      <c r="C401" s="18" t="str">
        <f ca="1">IFERROR(__xludf.DUMMYFUNCTION("IF(ISBLANK(B401),,FILTER('Leetcode分类顺序表'!B:D,'Leetcode分类顺序表'!A:A = B401))"),"")</f>
        <v/>
      </c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 spans="1:31">
      <c r="A402" s="19"/>
      <c r="B402" s="20"/>
      <c r="C402" s="18" t="str">
        <f ca="1">IFERROR(__xludf.DUMMYFUNCTION("IF(ISBLANK(B402),,FILTER('Leetcode分类顺序表'!B:D,'Leetcode分类顺序表'!A:A = B402))"),"")</f>
        <v/>
      </c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 spans="1:31">
      <c r="A403" s="19"/>
      <c r="B403" s="20"/>
      <c r="C403" s="18" t="str">
        <f ca="1">IFERROR(__xludf.DUMMYFUNCTION("IF(ISBLANK(B403),,FILTER('Leetcode分类顺序表'!B:D,'Leetcode分类顺序表'!A:A = B403))"),"")</f>
        <v/>
      </c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 spans="1:31">
      <c r="A404" s="19"/>
      <c r="B404" s="20"/>
      <c r="C404" s="18" t="str">
        <f ca="1">IFERROR(__xludf.DUMMYFUNCTION("IF(ISBLANK(B404),,FILTER('Leetcode分类顺序表'!B:D,'Leetcode分类顺序表'!A:A = B404))"),"")</f>
        <v/>
      </c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 spans="1:31">
      <c r="A405" s="19"/>
      <c r="B405" s="20"/>
      <c r="C405" s="18" t="str">
        <f ca="1">IFERROR(__xludf.DUMMYFUNCTION("IF(ISBLANK(B405),,FILTER('Leetcode分类顺序表'!B:D,'Leetcode分类顺序表'!A:A = B405))"),"")</f>
        <v/>
      </c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 spans="1:31">
      <c r="A406" s="19"/>
      <c r="B406" s="20"/>
      <c r="C406" s="18" t="str">
        <f ca="1">IFERROR(__xludf.DUMMYFUNCTION("IF(ISBLANK(B406),,FILTER('Leetcode分类顺序表'!B:D,'Leetcode分类顺序表'!A:A = B406))"),"")</f>
        <v/>
      </c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 spans="1:31">
      <c r="A407" s="19"/>
      <c r="B407" s="20"/>
      <c r="C407" s="18" t="str">
        <f ca="1">IFERROR(__xludf.DUMMYFUNCTION("IF(ISBLANK(B407),,FILTER('Leetcode分类顺序表'!B:D,'Leetcode分类顺序表'!A:A = B407))"),"")</f>
        <v/>
      </c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 spans="1:31">
      <c r="A408" s="19"/>
      <c r="B408" s="20"/>
      <c r="C408" s="18" t="str">
        <f ca="1">IFERROR(__xludf.DUMMYFUNCTION("IF(ISBLANK(B408),,FILTER('Leetcode分类顺序表'!B:D,'Leetcode分类顺序表'!A:A = B408))"),"")</f>
        <v/>
      </c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 spans="1:31">
      <c r="A409" s="19"/>
      <c r="B409" s="20"/>
      <c r="C409" s="18" t="str">
        <f ca="1">IFERROR(__xludf.DUMMYFUNCTION("IF(ISBLANK(B409),,FILTER('Leetcode分类顺序表'!B:D,'Leetcode分类顺序表'!A:A = B409))"),"")</f>
        <v/>
      </c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 spans="1:31">
      <c r="A410" s="19"/>
      <c r="B410" s="20"/>
      <c r="C410" s="18" t="str">
        <f ca="1">IFERROR(__xludf.DUMMYFUNCTION("IF(ISBLANK(B410),,FILTER('Leetcode分类顺序表'!B:D,'Leetcode分类顺序表'!A:A = B410))"),"")</f>
        <v/>
      </c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 spans="1:31">
      <c r="A411" s="19"/>
      <c r="B411" s="20"/>
      <c r="C411" s="18" t="str">
        <f ca="1">IFERROR(__xludf.DUMMYFUNCTION("IF(ISBLANK(B411),,FILTER('Leetcode分类顺序表'!B:D,'Leetcode分类顺序表'!A:A = B411))"),"")</f>
        <v/>
      </c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 spans="1:31">
      <c r="A412" s="19"/>
      <c r="B412" s="20"/>
      <c r="C412" s="18" t="str">
        <f ca="1">IFERROR(__xludf.DUMMYFUNCTION("IF(ISBLANK(B412),,FILTER('Leetcode分类顺序表'!B:D,'Leetcode分类顺序表'!A:A = B412))"),"")</f>
        <v/>
      </c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 spans="1:31">
      <c r="A413" s="19"/>
      <c r="B413" s="20"/>
      <c r="C413" s="18" t="str">
        <f ca="1">IFERROR(__xludf.DUMMYFUNCTION("IF(ISBLANK(B413),,FILTER('Leetcode分类顺序表'!B:D,'Leetcode分类顺序表'!A:A = B413))"),"")</f>
        <v/>
      </c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 spans="1:31">
      <c r="A414" s="19"/>
      <c r="B414" s="20"/>
      <c r="C414" s="18" t="str">
        <f ca="1">IFERROR(__xludf.DUMMYFUNCTION("IF(ISBLANK(B414),,FILTER('Leetcode分类顺序表'!B:D,'Leetcode分类顺序表'!A:A = B414))"),"")</f>
        <v/>
      </c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 spans="1:31">
      <c r="A415" s="19"/>
      <c r="B415" s="20"/>
      <c r="C415" s="18" t="str">
        <f ca="1">IFERROR(__xludf.DUMMYFUNCTION("IF(ISBLANK(B415),,FILTER('Leetcode分类顺序表'!B:D,'Leetcode分类顺序表'!A:A = B415))"),"")</f>
        <v/>
      </c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 spans="1:31">
      <c r="A416" s="19"/>
      <c r="B416" s="20"/>
      <c r="C416" s="18" t="str">
        <f ca="1">IFERROR(__xludf.DUMMYFUNCTION("IF(ISBLANK(B416),,FILTER('Leetcode分类顺序表'!B:D,'Leetcode分类顺序表'!A:A = B416))"),"")</f>
        <v/>
      </c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 spans="1:31">
      <c r="A417" s="19"/>
      <c r="B417" s="20"/>
      <c r="C417" s="18" t="str">
        <f ca="1">IFERROR(__xludf.DUMMYFUNCTION("IF(ISBLANK(B417),,FILTER('Leetcode分类顺序表'!B:D,'Leetcode分类顺序表'!A:A = B417))"),"")</f>
        <v/>
      </c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 spans="1:31">
      <c r="A418" s="19"/>
      <c r="B418" s="20"/>
      <c r="C418" s="18" t="str">
        <f ca="1">IFERROR(__xludf.DUMMYFUNCTION("IF(ISBLANK(B418),,FILTER('Leetcode分类顺序表'!B:D,'Leetcode分类顺序表'!A:A = B418))"),"")</f>
        <v/>
      </c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 spans="1:31">
      <c r="A419" s="19"/>
      <c r="B419" s="20"/>
      <c r="C419" s="18" t="str">
        <f ca="1">IFERROR(__xludf.DUMMYFUNCTION("IF(ISBLANK(B419),,FILTER('Leetcode分类顺序表'!B:D,'Leetcode分类顺序表'!A:A = B419))"),"")</f>
        <v/>
      </c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 spans="1:31">
      <c r="A420" s="19"/>
      <c r="B420" s="20"/>
      <c r="C420" s="18" t="str">
        <f ca="1">IFERROR(__xludf.DUMMYFUNCTION("IF(ISBLANK(B420),,FILTER('Leetcode分类顺序表'!B:D,'Leetcode分类顺序表'!A:A = B420))"),"")</f>
        <v/>
      </c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 spans="1:31">
      <c r="A421" s="19"/>
      <c r="B421" s="20"/>
      <c r="C421" s="18" t="str">
        <f ca="1">IFERROR(__xludf.DUMMYFUNCTION("IF(ISBLANK(B421),,FILTER('Leetcode分类顺序表'!B:D,'Leetcode分类顺序表'!A:A = B421))"),"")</f>
        <v/>
      </c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 spans="1:31">
      <c r="A422" s="19"/>
      <c r="B422" s="20"/>
      <c r="C422" s="18" t="str">
        <f ca="1">IFERROR(__xludf.DUMMYFUNCTION("IF(ISBLANK(B422),,FILTER('Leetcode分类顺序表'!B:D,'Leetcode分类顺序表'!A:A = B422))"),"")</f>
        <v/>
      </c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 spans="1:31">
      <c r="A423" s="19"/>
      <c r="B423" s="20"/>
      <c r="C423" s="18" t="str">
        <f ca="1">IFERROR(__xludf.DUMMYFUNCTION("IF(ISBLANK(B423),,FILTER('Leetcode分类顺序表'!B:D,'Leetcode分类顺序表'!A:A = B423))"),"")</f>
        <v/>
      </c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 spans="1:31">
      <c r="A424" s="19"/>
      <c r="B424" s="20"/>
      <c r="C424" s="18" t="str">
        <f ca="1">IFERROR(__xludf.DUMMYFUNCTION("IF(ISBLANK(B424),,FILTER('Leetcode分类顺序表'!B:D,'Leetcode分类顺序表'!A:A = B424))"),"")</f>
        <v/>
      </c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 spans="1:31">
      <c r="A425" s="19"/>
      <c r="B425" s="20"/>
      <c r="C425" s="18" t="str">
        <f ca="1">IFERROR(__xludf.DUMMYFUNCTION("IF(ISBLANK(B425),,FILTER('Leetcode分类顺序表'!B:D,'Leetcode分类顺序表'!A:A = B425))"),"")</f>
        <v/>
      </c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 spans="1:31">
      <c r="A426" s="19"/>
      <c r="B426" s="20"/>
      <c r="C426" s="18" t="str">
        <f ca="1">IFERROR(__xludf.DUMMYFUNCTION("IF(ISBLANK(B426),,FILTER('Leetcode分类顺序表'!B:D,'Leetcode分类顺序表'!A:A = B426))"),"")</f>
        <v/>
      </c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 spans="1:31">
      <c r="A427" s="19"/>
      <c r="B427" s="20"/>
      <c r="C427" s="18" t="str">
        <f ca="1">IFERROR(__xludf.DUMMYFUNCTION("IF(ISBLANK(B427),,FILTER('Leetcode分类顺序表'!B:D,'Leetcode分类顺序表'!A:A = B427))"),"")</f>
        <v/>
      </c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 spans="1:31">
      <c r="A428" s="19"/>
      <c r="B428" s="20"/>
      <c r="C428" s="18" t="str">
        <f ca="1">IFERROR(__xludf.DUMMYFUNCTION("IF(ISBLANK(B428),,FILTER('Leetcode分类顺序表'!B:D,'Leetcode分类顺序表'!A:A = B428))"),"")</f>
        <v/>
      </c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 spans="1:31">
      <c r="A429" s="19"/>
      <c r="B429" s="20"/>
      <c r="C429" s="18" t="str">
        <f ca="1">IFERROR(__xludf.DUMMYFUNCTION("IF(ISBLANK(B429),,FILTER('Leetcode分类顺序表'!B:D,'Leetcode分类顺序表'!A:A = B429))"),"")</f>
        <v/>
      </c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 spans="1:31">
      <c r="A430" s="19"/>
      <c r="B430" s="20"/>
      <c r="C430" s="18" t="str">
        <f ca="1">IFERROR(__xludf.DUMMYFUNCTION("IF(ISBLANK(B430),,FILTER('Leetcode分类顺序表'!B:D,'Leetcode分类顺序表'!A:A = B430))"),"")</f>
        <v/>
      </c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 spans="1:31">
      <c r="A431" s="19"/>
      <c r="B431" s="20"/>
      <c r="C431" s="18" t="str">
        <f ca="1">IFERROR(__xludf.DUMMYFUNCTION("IF(ISBLANK(B431),,FILTER('Leetcode分类顺序表'!B:D,'Leetcode分类顺序表'!A:A = B431))"),"")</f>
        <v/>
      </c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 spans="1:31">
      <c r="A432" s="19"/>
      <c r="B432" s="20"/>
      <c r="C432" s="18" t="str">
        <f ca="1">IFERROR(__xludf.DUMMYFUNCTION("IF(ISBLANK(B432),,FILTER('Leetcode分类顺序表'!B:D,'Leetcode分类顺序表'!A:A = B432))"),"")</f>
        <v/>
      </c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 spans="1:31">
      <c r="A433" s="19"/>
      <c r="B433" s="20"/>
      <c r="C433" s="18" t="str">
        <f ca="1">IFERROR(__xludf.DUMMYFUNCTION("IF(ISBLANK(B433),,FILTER('Leetcode分类顺序表'!B:D,'Leetcode分类顺序表'!A:A = B433))"),"")</f>
        <v/>
      </c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 spans="1:31">
      <c r="A434" s="19"/>
      <c r="B434" s="20"/>
      <c r="C434" s="18" t="str">
        <f ca="1">IFERROR(__xludf.DUMMYFUNCTION("IF(ISBLANK(B434),,FILTER('Leetcode分类顺序表'!B:D,'Leetcode分类顺序表'!A:A = B434))"),"")</f>
        <v/>
      </c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 spans="1:31">
      <c r="A435" s="19"/>
      <c r="B435" s="20"/>
      <c r="C435" s="18" t="str">
        <f ca="1">IFERROR(__xludf.DUMMYFUNCTION("IF(ISBLANK(B435),,FILTER('Leetcode分类顺序表'!B:D,'Leetcode分类顺序表'!A:A = B435))"),"")</f>
        <v/>
      </c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 spans="1:31">
      <c r="A436" s="19"/>
      <c r="B436" s="20"/>
      <c r="C436" s="18" t="str">
        <f ca="1">IFERROR(__xludf.DUMMYFUNCTION("IF(ISBLANK(B436),,FILTER('Leetcode分类顺序表'!B:D,'Leetcode分类顺序表'!A:A = B436))"),"")</f>
        <v/>
      </c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 spans="1:31">
      <c r="A437" s="19"/>
      <c r="B437" s="20"/>
      <c r="C437" s="18" t="str">
        <f ca="1">IFERROR(__xludf.DUMMYFUNCTION("IF(ISBLANK(B437),,FILTER('Leetcode分类顺序表'!B:D,'Leetcode分类顺序表'!A:A = B437))"),"")</f>
        <v/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 spans="1:31">
      <c r="A438" s="19"/>
      <c r="B438" s="20"/>
      <c r="C438" s="18" t="str">
        <f ca="1">IFERROR(__xludf.DUMMYFUNCTION("IF(ISBLANK(B438),,FILTER('Leetcode分类顺序表'!B:D,'Leetcode分类顺序表'!A:A = B438))"),"")</f>
        <v/>
      </c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 spans="1:31">
      <c r="A439" s="19"/>
      <c r="B439" s="20"/>
      <c r="C439" s="18" t="str">
        <f ca="1">IFERROR(__xludf.DUMMYFUNCTION("IF(ISBLANK(B439),,FILTER('Leetcode分类顺序表'!B:D,'Leetcode分类顺序表'!A:A = B439))"),"")</f>
        <v/>
      </c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 spans="1:31">
      <c r="A440" s="19"/>
      <c r="B440" s="20"/>
      <c r="C440" s="18" t="str">
        <f ca="1">IFERROR(__xludf.DUMMYFUNCTION("IF(ISBLANK(B440),,FILTER('Leetcode分类顺序表'!B:D,'Leetcode分类顺序表'!A:A = B440))"),"")</f>
        <v/>
      </c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 spans="1:31">
      <c r="A441" s="19"/>
      <c r="B441" s="20"/>
      <c r="C441" s="18" t="str">
        <f ca="1">IFERROR(__xludf.DUMMYFUNCTION("IF(ISBLANK(B441),,FILTER('Leetcode分类顺序表'!B:D,'Leetcode分类顺序表'!A:A = B441))"),"")</f>
        <v/>
      </c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 spans="1:31">
      <c r="A442" s="19"/>
      <c r="B442" s="20"/>
      <c r="C442" s="18" t="str">
        <f ca="1">IFERROR(__xludf.DUMMYFUNCTION("IF(ISBLANK(B442),,FILTER('Leetcode分类顺序表'!B:D,'Leetcode分类顺序表'!A:A = B442))"),"")</f>
        <v/>
      </c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 spans="1:31">
      <c r="A443" s="19"/>
      <c r="B443" s="20"/>
      <c r="C443" s="18" t="str">
        <f ca="1">IFERROR(__xludf.DUMMYFUNCTION("IF(ISBLANK(B443),,FILTER('Leetcode分类顺序表'!B:D,'Leetcode分类顺序表'!A:A = B443))"),"")</f>
        <v/>
      </c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 spans="1:31">
      <c r="A444" s="19"/>
      <c r="B444" s="20"/>
      <c r="C444" s="18" t="str">
        <f ca="1">IFERROR(__xludf.DUMMYFUNCTION("IF(ISBLANK(B444),,FILTER('Leetcode分类顺序表'!B:D,'Leetcode分类顺序表'!A:A = B444))"),"")</f>
        <v/>
      </c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 spans="1:31">
      <c r="A445" s="19"/>
      <c r="B445" s="20"/>
      <c r="C445" s="18" t="str">
        <f ca="1">IFERROR(__xludf.DUMMYFUNCTION("IF(ISBLANK(B445),,FILTER('Leetcode分类顺序表'!B:D,'Leetcode分类顺序表'!A:A = B445))"),"")</f>
        <v/>
      </c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 spans="1:31">
      <c r="A446" s="19"/>
      <c r="B446" s="20"/>
      <c r="C446" s="18" t="str">
        <f ca="1">IFERROR(__xludf.DUMMYFUNCTION("IF(ISBLANK(B446),,FILTER('Leetcode分类顺序表'!B:D,'Leetcode分类顺序表'!A:A = B446))"),"")</f>
        <v/>
      </c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 spans="1:31">
      <c r="A447" s="19"/>
      <c r="B447" s="20"/>
      <c r="C447" s="18" t="str">
        <f ca="1">IFERROR(__xludf.DUMMYFUNCTION("IF(ISBLANK(B447),,FILTER('Leetcode分类顺序表'!B:D,'Leetcode分类顺序表'!A:A = B447))"),"")</f>
        <v/>
      </c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 spans="1:31">
      <c r="A448" s="19"/>
      <c r="B448" s="20"/>
      <c r="C448" s="18" t="str">
        <f ca="1">IFERROR(__xludf.DUMMYFUNCTION("IF(ISBLANK(B448),,FILTER('Leetcode分类顺序表'!B:D,'Leetcode分类顺序表'!A:A = B448))"),"")</f>
        <v/>
      </c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 spans="1:31">
      <c r="A449" s="19"/>
      <c r="B449" s="20"/>
      <c r="C449" s="18" t="str">
        <f ca="1">IFERROR(__xludf.DUMMYFUNCTION("IF(ISBLANK(B449),,FILTER('Leetcode分类顺序表'!B:D,'Leetcode分类顺序表'!A:A = B449))"),"")</f>
        <v/>
      </c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 spans="1:31">
      <c r="A450" s="19"/>
      <c r="B450" s="20"/>
      <c r="C450" s="18" t="str">
        <f ca="1">IFERROR(__xludf.DUMMYFUNCTION("IF(ISBLANK(B450),,FILTER('Leetcode分类顺序表'!B:D,'Leetcode分类顺序表'!A:A = B450))"),"")</f>
        <v/>
      </c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 spans="1:31">
      <c r="A451" s="19"/>
      <c r="B451" s="20"/>
      <c r="C451" s="18" t="str">
        <f ca="1">IFERROR(__xludf.DUMMYFUNCTION("IF(ISBLANK(B451),,FILTER('Leetcode分类顺序表'!B:D,'Leetcode分类顺序表'!A:A = B451))"),"")</f>
        <v/>
      </c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 spans="1:31">
      <c r="A452" s="19"/>
      <c r="B452" s="20"/>
      <c r="C452" s="18" t="str">
        <f ca="1">IFERROR(__xludf.DUMMYFUNCTION("IF(ISBLANK(B452),,FILTER('Leetcode分类顺序表'!B:D,'Leetcode分类顺序表'!A:A = B452))"),"")</f>
        <v/>
      </c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 spans="1:31">
      <c r="A453" s="19"/>
      <c r="B453" s="20"/>
      <c r="C453" s="18" t="str">
        <f ca="1">IFERROR(__xludf.DUMMYFUNCTION("IF(ISBLANK(B453),,FILTER('Leetcode分类顺序表'!B:D,'Leetcode分类顺序表'!A:A = B453))"),"")</f>
        <v/>
      </c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 spans="1:31">
      <c r="A454" s="19"/>
      <c r="B454" s="20"/>
      <c r="C454" s="18" t="str">
        <f ca="1">IFERROR(__xludf.DUMMYFUNCTION("IF(ISBLANK(B454),,FILTER('Leetcode分类顺序表'!B:D,'Leetcode分类顺序表'!A:A = B454))"),"")</f>
        <v/>
      </c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 spans="1:31">
      <c r="A455" s="19"/>
      <c r="B455" s="20"/>
      <c r="C455" s="18" t="str">
        <f ca="1">IFERROR(__xludf.DUMMYFUNCTION("IF(ISBLANK(B455),,FILTER('Leetcode分类顺序表'!B:D,'Leetcode分类顺序表'!A:A = B455))"),"")</f>
        <v/>
      </c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 spans="1:31">
      <c r="A456" s="19"/>
      <c r="B456" s="20"/>
      <c r="C456" s="18" t="str">
        <f ca="1">IFERROR(__xludf.DUMMYFUNCTION("IF(ISBLANK(B456),,FILTER('Leetcode分类顺序表'!B:D,'Leetcode分类顺序表'!A:A = B456))"),"")</f>
        <v/>
      </c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 spans="1:31">
      <c r="A457" s="19"/>
      <c r="B457" s="20"/>
      <c r="C457" s="18" t="str">
        <f ca="1">IFERROR(__xludf.DUMMYFUNCTION("IF(ISBLANK(B457),,FILTER('Leetcode分类顺序表'!B:D,'Leetcode分类顺序表'!A:A = B457))"),"")</f>
        <v/>
      </c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 spans="1:31">
      <c r="A458" s="19"/>
      <c r="B458" s="20"/>
      <c r="C458" s="18" t="str">
        <f ca="1">IFERROR(__xludf.DUMMYFUNCTION("IF(ISBLANK(B458),,FILTER('Leetcode分类顺序表'!B:D,'Leetcode分类顺序表'!A:A = B458))"),"")</f>
        <v/>
      </c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 spans="1:31">
      <c r="A459" s="19"/>
      <c r="B459" s="20"/>
      <c r="C459" s="18" t="str">
        <f ca="1">IFERROR(__xludf.DUMMYFUNCTION("IF(ISBLANK(B459),,FILTER('Leetcode分类顺序表'!B:D,'Leetcode分类顺序表'!A:A = B459))"),"")</f>
        <v/>
      </c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 spans="1:31">
      <c r="A460" s="19"/>
      <c r="B460" s="20"/>
      <c r="C460" s="18" t="str">
        <f ca="1">IFERROR(__xludf.DUMMYFUNCTION("IF(ISBLANK(B460),,FILTER('Leetcode分类顺序表'!B:D,'Leetcode分类顺序表'!A:A = B460))"),"")</f>
        <v/>
      </c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 spans="1:31">
      <c r="A461" s="19"/>
      <c r="B461" s="20"/>
      <c r="C461" s="18" t="str">
        <f ca="1">IFERROR(__xludf.DUMMYFUNCTION("IF(ISBLANK(B461),,FILTER('Leetcode分类顺序表'!B:D,'Leetcode分类顺序表'!A:A = B461))"),"")</f>
        <v/>
      </c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 spans="1:31">
      <c r="A462" s="19"/>
      <c r="B462" s="20"/>
      <c r="C462" s="18" t="str">
        <f ca="1">IFERROR(__xludf.DUMMYFUNCTION("IF(ISBLANK(B462),,FILTER('Leetcode分类顺序表'!B:D,'Leetcode分类顺序表'!A:A = B462))"),"")</f>
        <v/>
      </c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 spans="1:31">
      <c r="A463" s="19"/>
      <c r="B463" s="20"/>
      <c r="C463" s="18" t="str">
        <f ca="1">IFERROR(__xludf.DUMMYFUNCTION("IF(ISBLANK(B463),,FILTER('Leetcode分类顺序表'!B:D,'Leetcode分类顺序表'!A:A = B463))"),"")</f>
        <v/>
      </c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 spans="1:31">
      <c r="A464" s="19"/>
      <c r="B464" s="20"/>
      <c r="C464" s="18" t="str">
        <f ca="1">IFERROR(__xludf.DUMMYFUNCTION("IF(ISBLANK(B464),,FILTER('Leetcode分类顺序表'!B:D,'Leetcode分类顺序表'!A:A = B464))"),"")</f>
        <v/>
      </c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 spans="1:31">
      <c r="A465" s="19"/>
      <c r="B465" s="20"/>
      <c r="C465" s="18" t="str">
        <f ca="1">IFERROR(__xludf.DUMMYFUNCTION("IF(ISBLANK(B465),,FILTER('Leetcode分类顺序表'!B:D,'Leetcode分类顺序表'!A:A = B465))"),"")</f>
        <v/>
      </c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 spans="1:31">
      <c r="A466" s="19"/>
      <c r="B466" s="20"/>
      <c r="C466" s="18" t="str">
        <f ca="1">IFERROR(__xludf.DUMMYFUNCTION("IF(ISBLANK(B466),,FILTER('Leetcode分类顺序表'!B:D,'Leetcode分类顺序表'!A:A = B466))"),"")</f>
        <v/>
      </c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 spans="1:31">
      <c r="A467" s="19"/>
      <c r="B467" s="20"/>
      <c r="C467" s="18" t="str">
        <f ca="1">IFERROR(__xludf.DUMMYFUNCTION("IF(ISBLANK(B467),,FILTER('Leetcode分类顺序表'!B:D,'Leetcode分类顺序表'!A:A = B467))"),"")</f>
        <v/>
      </c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 spans="1:31">
      <c r="A468" s="19"/>
      <c r="B468" s="20"/>
      <c r="C468" s="18" t="str">
        <f ca="1">IFERROR(__xludf.DUMMYFUNCTION("IF(ISBLANK(B468),,FILTER('Leetcode分类顺序表'!B:D,'Leetcode分类顺序表'!A:A = B468))"),"")</f>
        <v/>
      </c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 spans="1:31">
      <c r="A469" s="19"/>
      <c r="B469" s="20"/>
      <c r="C469" s="18" t="str">
        <f ca="1">IFERROR(__xludf.DUMMYFUNCTION("IF(ISBLANK(B469),,FILTER('Leetcode分类顺序表'!B:D,'Leetcode分类顺序表'!A:A = B469))"),"")</f>
        <v/>
      </c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 spans="1:31">
      <c r="A470" s="19"/>
      <c r="B470" s="20"/>
      <c r="C470" s="18" t="str">
        <f ca="1">IFERROR(__xludf.DUMMYFUNCTION("IF(ISBLANK(B470),,FILTER('Leetcode分类顺序表'!B:D,'Leetcode分类顺序表'!A:A = B470))"),"")</f>
        <v/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 spans="1:31">
      <c r="A471" s="19"/>
      <c r="B471" s="20"/>
      <c r="C471" s="18" t="str">
        <f ca="1">IFERROR(__xludf.DUMMYFUNCTION("IF(ISBLANK(B471),,FILTER('Leetcode分类顺序表'!B:D,'Leetcode分类顺序表'!A:A = B471))"),"")</f>
        <v/>
      </c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 spans="1:31">
      <c r="A472" s="19"/>
      <c r="B472" s="20"/>
      <c r="C472" s="18" t="str">
        <f ca="1">IFERROR(__xludf.DUMMYFUNCTION("IF(ISBLANK(B472),,FILTER('Leetcode分类顺序表'!B:D,'Leetcode分类顺序表'!A:A = B472))"),"")</f>
        <v/>
      </c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 spans="1:31">
      <c r="A473" s="19"/>
      <c r="B473" s="20"/>
      <c r="C473" s="18" t="str">
        <f ca="1">IFERROR(__xludf.DUMMYFUNCTION("IF(ISBLANK(B473),,FILTER('Leetcode分类顺序表'!B:D,'Leetcode分类顺序表'!A:A = B473))"),"")</f>
        <v/>
      </c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 spans="1:31">
      <c r="A474" s="19"/>
      <c r="B474" s="20"/>
      <c r="C474" s="18" t="str">
        <f ca="1">IFERROR(__xludf.DUMMYFUNCTION("IF(ISBLANK(B474),,FILTER('Leetcode分类顺序表'!B:D,'Leetcode分类顺序表'!A:A = B474))"),"")</f>
        <v/>
      </c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 spans="1:31">
      <c r="A475" s="19"/>
      <c r="B475" s="20"/>
      <c r="C475" s="18" t="str">
        <f ca="1">IFERROR(__xludf.DUMMYFUNCTION("IF(ISBLANK(B475),,FILTER('Leetcode分类顺序表'!B:D,'Leetcode分类顺序表'!A:A = B475))"),"")</f>
        <v/>
      </c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 spans="1:31">
      <c r="A476" s="19"/>
      <c r="B476" s="20"/>
      <c r="C476" s="18" t="str">
        <f ca="1">IFERROR(__xludf.DUMMYFUNCTION("IF(ISBLANK(B476),,FILTER('Leetcode分类顺序表'!B:D,'Leetcode分类顺序表'!A:A = B476))"),"")</f>
        <v/>
      </c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 spans="1:31">
      <c r="A477" s="19"/>
      <c r="B477" s="20"/>
      <c r="C477" s="18" t="str">
        <f ca="1">IFERROR(__xludf.DUMMYFUNCTION("IF(ISBLANK(B477),,FILTER('Leetcode分类顺序表'!B:D,'Leetcode分类顺序表'!A:A = B477))"),"")</f>
        <v/>
      </c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 spans="1:31">
      <c r="A478" s="19"/>
      <c r="B478" s="20"/>
      <c r="C478" s="18" t="str">
        <f ca="1">IFERROR(__xludf.DUMMYFUNCTION("IF(ISBLANK(B478),,FILTER('Leetcode分类顺序表'!B:D,'Leetcode分类顺序表'!A:A = B478))"),"")</f>
        <v/>
      </c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 spans="1:31">
      <c r="A479" s="19"/>
      <c r="B479" s="20"/>
      <c r="C479" s="18" t="str">
        <f ca="1">IFERROR(__xludf.DUMMYFUNCTION("IF(ISBLANK(B479),,FILTER('Leetcode分类顺序表'!B:D,'Leetcode分类顺序表'!A:A = B479))"),"")</f>
        <v/>
      </c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 spans="1:31">
      <c r="A480" s="19"/>
      <c r="B480" s="20"/>
      <c r="C480" s="18" t="str">
        <f ca="1">IFERROR(__xludf.DUMMYFUNCTION("IF(ISBLANK(B480),,FILTER('Leetcode分类顺序表'!B:D,'Leetcode分类顺序表'!A:A = B480))"),"")</f>
        <v/>
      </c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 spans="1:31">
      <c r="A481" s="19"/>
      <c r="B481" s="20"/>
      <c r="C481" s="18" t="str">
        <f ca="1">IFERROR(__xludf.DUMMYFUNCTION("IF(ISBLANK(B481),,FILTER('Leetcode分类顺序表'!B:D,'Leetcode分类顺序表'!A:A = B481))"),"")</f>
        <v/>
      </c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 spans="1:31">
      <c r="A482" s="19"/>
      <c r="B482" s="20"/>
      <c r="C482" s="18" t="str">
        <f ca="1">IFERROR(__xludf.DUMMYFUNCTION("IF(ISBLANK(B482),,FILTER('Leetcode分类顺序表'!B:D,'Leetcode分类顺序表'!A:A = B482))"),"")</f>
        <v/>
      </c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 spans="1:31">
      <c r="A483" s="19"/>
      <c r="B483" s="20"/>
      <c r="C483" s="18" t="str">
        <f ca="1">IFERROR(__xludf.DUMMYFUNCTION("IF(ISBLANK(B483),,FILTER('Leetcode分类顺序表'!B:D,'Leetcode分类顺序表'!A:A = B483))"),"")</f>
        <v/>
      </c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 spans="1:31">
      <c r="A484" s="19"/>
      <c r="B484" s="20"/>
      <c r="C484" s="18" t="str">
        <f ca="1">IFERROR(__xludf.DUMMYFUNCTION("IF(ISBLANK(B484),,FILTER('Leetcode分类顺序表'!B:D,'Leetcode分类顺序表'!A:A = B484))"),"")</f>
        <v/>
      </c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 spans="1:31">
      <c r="A485" s="19"/>
      <c r="B485" s="20"/>
      <c r="C485" s="18" t="str">
        <f ca="1">IFERROR(__xludf.DUMMYFUNCTION("IF(ISBLANK(B485),,FILTER('Leetcode分类顺序表'!B:D,'Leetcode分类顺序表'!A:A = B485))"),"")</f>
        <v/>
      </c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 spans="1:31">
      <c r="A486" s="19"/>
      <c r="B486" s="20"/>
      <c r="C486" s="18" t="str">
        <f ca="1">IFERROR(__xludf.DUMMYFUNCTION("IF(ISBLANK(B486),,FILTER('Leetcode分类顺序表'!B:D,'Leetcode分类顺序表'!A:A = B486))"),"")</f>
        <v/>
      </c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 spans="1:31">
      <c r="A487" s="19"/>
      <c r="B487" s="20"/>
      <c r="C487" s="18" t="str">
        <f ca="1">IFERROR(__xludf.DUMMYFUNCTION("IF(ISBLANK(B487),,FILTER('Leetcode分类顺序表'!B:D,'Leetcode分类顺序表'!A:A = B487))"),"")</f>
        <v/>
      </c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 spans="1:31">
      <c r="A488" s="19"/>
      <c r="B488" s="20"/>
      <c r="C488" s="18" t="str">
        <f ca="1">IFERROR(__xludf.DUMMYFUNCTION("IF(ISBLANK(B488),,FILTER('Leetcode分类顺序表'!B:D,'Leetcode分类顺序表'!A:A = B488))"),"")</f>
        <v/>
      </c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 spans="1:31">
      <c r="A489" s="19"/>
      <c r="B489" s="20"/>
      <c r="C489" s="18" t="str">
        <f ca="1">IFERROR(__xludf.DUMMYFUNCTION("IF(ISBLANK(B489),,FILTER('Leetcode分类顺序表'!B:D,'Leetcode分类顺序表'!A:A = B489))"),"")</f>
        <v/>
      </c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 spans="1:31">
      <c r="A490" s="19"/>
      <c r="B490" s="20"/>
      <c r="C490" s="18" t="str">
        <f ca="1">IFERROR(__xludf.DUMMYFUNCTION("IF(ISBLANK(B490),,FILTER('Leetcode分类顺序表'!B:D,'Leetcode分类顺序表'!A:A = B490))"),"")</f>
        <v/>
      </c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 spans="1:31">
      <c r="A491" s="19"/>
      <c r="B491" s="20"/>
      <c r="C491" s="18" t="str">
        <f ca="1">IFERROR(__xludf.DUMMYFUNCTION("IF(ISBLANK(B491),,FILTER('Leetcode分类顺序表'!B:D,'Leetcode分类顺序表'!A:A = B491))"),"")</f>
        <v/>
      </c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 spans="1:31">
      <c r="A492" s="19"/>
      <c r="B492" s="20"/>
      <c r="C492" s="18" t="str">
        <f ca="1">IFERROR(__xludf.DUMMYFUNCTION("IF(ISBLANK(B492),,FILTER('Leetcode分类顺序表'!B:D,'Leetcode分类顺序表'!A:A = B492))"),"")</f>
        <v/>
      </c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 spans="1:31">
      <c r="A493" s="19"/>
      <c r="B493" s="20"/>
      <c r="C493" s="18" t="str">
        <f ca="1">IFERROR(__xludf.DUMMYFUNCTION("IF(ISBLANK(B493),,FILTER('Leetcode分类顺序表'!B:D,'Leetcode分类顺序表'!A:A = B493))"),"")</f>
        <v/>
      </c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 spans="1:31">
      <c r="A494" s="19"/>
      <c r="B494" s="20"/>
      <c r="C494" s="18" t="str">
        <f ca="1">IFERROR(__xludf.DUMMYFUNCTION("IF(ISBLANK(B494),,FILTER('Leetcode分类顺序表'!B:D,'Leetcode分类顺序表'!A:A = B494))"),"")</f>
        <v/>
      </c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 spans="1:31">
      <c r="A495" s="19"/>
      <c r="B495" s="20"/>
      <c r="C495" s="18" t="str">
        <f ca="1">IFERROR(__xludf.DUMMYFUNCTION("IF(ISBLANK(B495),,FILTER('Leetcode分类顺序表'!B:D,'Leetcode分类顺序表'!A:A = B495))"),"")</f>
        <v/>
      </c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 spans="1:31">
      <c r="A496" s="19"/>
      <c r="B496" s="20"/>
      <c r="C496" s="18" t="str">
        <f ca="1">IFERROR(__xludf.DUMMYFUNCTION("IF(ISBLANK(B496),,FILTER('Leetcode分类顺序表'!B:D,'Leetcode分类顺序表'!A:A = B496))"),"")</f>
        <v/>
      </c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 spans="1:31">
      <c r="A497" s="19"/>
      <c r="B497" s="20"/>
      <c r="C497" s="18" t="str">
        <f ca="1">IFERROR(__xludf.DUMMYFUNCTION("IF(ISBLANK(B497),,FILTER('Leetcode分类顺序表'!B:D,'Leetcode分类顺序表'!A:A = B497))"),"")</f>
        <v/>
      </c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 spans="1:31">
      <c r="A498" s="19"/>
      <c r="B498" s="20"/>
      <c r="C498" s="18" t="str">
        <f ca="1">IFERROR(__xludf.DUMMYFUNCTION("IF(ISBLANK(B498),,FILTER('Leetcode分类顺序表'!B:D,'Leetcode分类顺序表'!A:A = B498))"),"")</f>
        <v/>
      </c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 spans="1:31">
      <c r="A499" s="19"/>
      <c r="B499" s="20"/>
      <c r="C499" s="18" t="str">
        <f ca="1">IFERROR(__xludf.DUMMYFUNCTION("IF(ISBLANK(B499),,FILTER('Leetcode分类顺序表'!B:D,'Leetcode分类顺序表'!A:A = B499))"),"")</f>
        <v/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 spans="1:31">
      <c r="A500" s="19"/>
      <c r="B500" s="20"/>
      <c r="C500" s="18" t="str">
        <f ca="1">IFERROR(__xludf.DUMMYFUNCTION("IF(ISBLANK(B500),,FILTER('Leetcode分类顺序表'!B:D,'Leetcode分类顺序表'!A:A = B500))"),"")</f>
        <v/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 spans="1:31">
      <c r="A501" s="19"/>
      <c r="B501" s="20"/>
      <c r="C501" s="18" t="str">
        <f ca="1">IFERROR(__xludf.DUMMYFUNCTION("IF(ISBLANK(B501),,FILTER('Leetcode分类顺序表'!B:D,'Leetcode分类顺序表'!A:A = B501))"),"")</f>
        <v/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 spans="1:31">
      <c r="A502" s="19"/>
      <c r="B502" s="20"/>
      <c r="C502" s="18" t="str">
        <f ca="1">IFERROR(__xludf.DUMMYFUNCTION("IF(ISBLANK(B502),,FILTER('Leetcode分类顺序表'!B:D,'Leetcode分类顺序表'!A:A = B502))"),"")</f>
        <v/>
      </c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 spans="1:31">
      <c r="A503" s="19"/>
      <c r="B503" s="20"/>
      <c r="C503" s="18" t="str">
        <f ca="1">IFERROR(__xludf.DUMMYFUNCTION("IF(ISBLANK(B503),,FILTER('Leetcode分类顺序表'!B:D,'Leetcode分类顺序表'!A:A = B503))"),"")</f>
        <v/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 spans="1:31">
      <c r="A504" s="19"/>
      <c r="B504" s="20"/>
      <c r="C504" s="18" t="str">
        <f ca="1">IFERROR(__xludf.DUMMYFUNCTION("IF(ISBLANK(B504),,FILTER('Leetcode分类顺序表'!B:D,'Leetcode分类顺序表'!A:A = B504))"),"")</f>
        <v/>
      </c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 spans="1:31">
      <c r="A505" s="19"/>
      <c r="B505" s="20"/>
      <c r="C505" s="18" t="str">
        <f ca="1">IFERROR(__xludf.DUMMYFUNCTION("IF(ISBLANK(B505),,FILTER('Leetcode分类顺序表'!B:D,'Leetcode分类顺序表'!A:A = B505))"),"")</f>
        <v/>
      </c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 spans="1:31">
      <c r="A506" s="19"/>
      <c r="B506" s="20"/>
      <c r="C506" s="18" t="str">
        <f ca="1">IFERROR(__xludf.DUMMYFUNCTION("IF(ISBLANK(B506),,FILTER('Leetcode分类顺序表'!B:D,'Leetcode分类顺序表'!A:A = B506))"),"")</f>
        <v/>
      </c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 spans="1:31">
      <c r="A507" s="19"/>
      <c r="B507" s="20"/>
      <c r="C507" s="18" t="str">
        <f ca="1">IFERROR(__xludf.DUMMYFUNCTION("IF(ISBLANK(B507),,FILTER('Leetcode分类顺序表'!B:D,'Leetcode分类顺序表'!A:A = B507))"),"")</f>
        <v/>
      </c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 spans="1:31">
      <c r="A508" s="19"/>
      <c r="B508" s="20"/>
      <c r="C508" s="18" t="str">
        <f ca="1">IFERROR(__xludf.DUMMYFUNCTION("IF(ISBLANK(B508),,FILTER('Leetcode分类顺序表'!B:D,'Leetcode分类顺序表'!A:A = B508))"),"")</f>
        <v/>
      </c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 spans="1:31">
      <c r="A509" s="19"/>
      <c r="B509" s="20"/>
      <c r="C509" s="18" t="str">
        <f ca="1">IFERROR(__xludf.DUMMYFUNCTION("IF(ISBLANK(B509),,FILTER('Leetcode分类顺序表'!B:D,'Leetcode分类顺序表'!A:A = B509))"),"")</f>
        <v/>
      </c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 spans="1:31">
      <c r="A510" s="19"/>
      <c r="B510" s="20"/>
      <c r="C510" s="18" t="str">
        <f ca="1">IFERROR(__xludf.DUMMYFUNCTION("IF(ISBLANK(B510),,FILTER('Leetcode分类顺序表'!B:D,'Leetcode分类顺序表'!A:A = B510))"),"")</f>
        <v/>
      </c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 spans="1:31">
      <c r="A511" s="19"/>
      <c r="B511" s="20"/>
      <c r="C511" s="18" t="str">
        <f ca="1">IFERROR(__xludf.DUMMYFUNCTION("IF(ISBLANK(B511),,FILTER('Leetcode分类顺序表'!B:D,'Leetcode分类顺序表'!A:A = B511))"),"")</f>
        <v/>
      </c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 spans="1:31">
      <c r="A512" s="19"/>
      <c r="B512" s="20"/>
      <c r="C512" s="18" t="str">
        <f ca="1">IFERROR(__xludf.DUMMYFUNCTION("IF(ISBLANK(B512),,FILTER('Leetcode分类顺序表'!B:D,'Leetcode分类顺序表'!A:A = B512))"),"")</f>
        <v/>
      </c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 spans="1:31">
      <c r="A513" s="19"/>
      <c r="B513" s="20"/>
      <c r="C513" s="18" t="str">
        <f ca="1">IFERROR(__xludf.DUMMYFUNCTION("IF(ISBLANK(B513),,FILTER('Leetcode分类顺序表'!B:D,'Leetcode分类顺序表'!A:A = B513))"),"")</f>
        <v/>
      </c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 spans="1:31">
      <c r="A514" s="19"/>
      <c r="B514" s="20"/>
      <c r="C514" s="18" t="str">
        <f ca="1">IFERROR(__xludf.DUMMYFUNCTION("IF(ISBLANK(B514),,FILTER('Leetcode分类顺序表'!B:D,'Leetcode分类顺序表'!A:A = B514))"),"")</f>
        <v/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 spans="1:31">
      <c r="A515" s="19"/>
      <c r="B515" s="20"/>
      <c r="C515" s="18" t="str">
        <f ca="1">IFERROR(__xludf.DUMMYFUNCTION("IF(ISBLANK(B515),,FILTER('Leetcode分类顺序表'!B:D,'Leetcode分类顺序表'!A:A = B515))"),"")</f>
        <v/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 spans="1:31">
      <c r="A516" s="19"/>
      <c r="B516" s="20"/>
      <c r="C516" s="18" t="str">
        <f ca="1">IFERROR(__xludf.DUMMYFUNCTION("IF(ISBLANK(B516),,FILTER('Leetcode分类顺序表'!B:D,'Leetcode分类顺序表'!A:A = B516))"),"")</f>
        <v/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 spans="1:31">
      <c r="A517" s="19"/>
      <c r="B517" s="20"/>
      <c r="C517" s="18" t="str">
        <f ca="1">IFERROR(__xludf.DUMMYFUNCTION("IF(ISBLANK(B517),,FILTER('Leetcode分类顺序表'!B:D,'Leetcode分类顺序表'!A:A = B517))"),"")</f>
        <v/>
      </c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 spans="1:31">
      <c r="A518" s="19"/>
      <c r="B518" s="20"/>
      <c r="C518" s="18" t="str">
        <f ca="1">IFERROR(__xludf.DUMMYFUNCTION("IF(ISBLANK(B518),,FILTER('Leetcode分类顺序表'!B:D,'Leetcode分类顺序表'!A:A = B518))"),"")</f>
        <v/>
      </c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 spans="1:31">
      <c r="A519" s="19"/>
      <c r="B519" s="20"/>
      <c r="C519" s="18" t="str">
        <f ca="1">IFERROR(__xludf.DUMMYFUNCTION("IF(ISBLANK(B519),,FILTER('Leetcode分类顺序表'!B:D,'Leetcode分类顺序表'!A:A = B519))"),"")</f>
        <v/>
      </c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 spans="1:31">
      <c r="A520" s="19"/>
      <c r="B520" s="20"/>
      <c r="C520" s="18" t="str">
        <f ca="1">IFERROR(__xludf.DUMMYFUNCTION("IF(ISBLANK(B520),,FILTER('Leetcode分类顺序表'!B:D,'Leetcode分类顺序表'!A:A = B520))"),"")</f>
        <v/>
      </c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 spans="1:31">
      <c r="A521" s="19"/>
      <c r="B521" s="20"/>
      <c r="C521" s="18" t="str">
        <f ca="1">IFERROR(__xludf.DUMMYFUNCTION("IF(ISBLANK(B521),,FILTER('Leetcode分类顺序表'!B:D,'Leetcode分类顺序表'!A:A = B521))"),"")</f>
        <v/>
      </c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 spans="1:31">
      <c r="A522" s="19"/>
      <c r="B522" s="20"/>
      <c r="C522" s="18" t="str">
        <f ca="1">IFERROR(__xludf.DUMMYFUNCTION("IF(ISBLANK(B522),,FILTER('Leetcode分类顺序表'!B:D,'Leetcode分类顺序表'!A:A = B522))"),"")</f>
        <v/>
      </c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 spans="1:31">
      <c r="A523" s="19"/>
      <c r="B523" s="20"/>
      <c r="C523" s="18" t="str">
        <f ca="1">IFERROR(__xludf.DUMMYFUNCTION("IF(ISBLANK(B523),,FILTER('Leetcode分类顺序表'!B:D,'Leetcode分类顺序表'!A:A = B523))"),"")</f>
        <v/>
      </c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 spans="1:31">
      <c r="A524" s="19"/>
      <c r="B524" s="20"/>
      <c r="C524" s="18" t="str">
        <f ca="1">IFERROR(__xludf.DUMMYFUNCTION("IF(ISBLANK(B524),,FILTER('Leetcode分类顺序表'!B:D,'Leetcode分类顺序表'!A:A = B524))"),"")</f>
        <v/>
      </c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 spans="1:31">
      <c r="A525" s="19"/>
      <c r="B525" s="20"/>
      <c r="C525" s="18" t="str">
        <f ca="1">IFERROR(__xludf.DUMMYFUNCTION("IF(ISBLANK(B525),,FILTER('Leetcode分类顺序表'!B:D,'Leetcode分类顺序表'!A:A = B525))"),"")</f>
        <v/>
      </c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 spans="1:31">
      <c r="A526" s="19"/>
      <c r="B526" s="20"/>
      <c r="C526" s="18" t="str">
        <f ca="1">IFERROR(__xludf.DUMMYFUNCTION("IF(ISBLANK(B526),,FILTER('Leetcode分类顺序表'!B:D,'Leetcode分类顺序表'!A:A = B526))"),"")</f>
        <v/>
      </c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 spans="1:31">
      <c r="A527" s="19"/>
      <c r="B527" s="20"/>
      <c r="C527" s="18" t="str">
        <f ca="1">IFERROR(__xludf.DUMMYFUNCTION("IF(ISBLANK(B527),,FILTER('Leetcode分类顺序表'!B:D,'Leetcode分类顺序表'!A:A = B527))"),"")</f>
        <v/>
      </c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 spans="1:31">
      <c r="A528" s="19"/>
      <c r="B528" s="20"/>
      <c r="C528" s="18" t="str">
        <f ca="1">IFERROR(__xludf.DUMMYFUNCTION("IF(ISBLANK(B528),,FILTER('Leetcode分类顺序表'!B:D,'Leetcode分类顺序表'!A:A = B528))"),"")</f>
        <v/>
      </c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 spans="1:31">
      <c r="A529" s="19"/>
      <c r="B529" s="20"/>
      <c r="C529" s="18" t="str">
        <f ca="1">IFERROR(__xludf.DUMMYFUNCTION("IF(ISBLANK(B529),,FILTER('Leetcode分类顺序表'!B:D,'Leetcode分类顺序表'!A:A = B529))"),"")</f>
        <v/>
      </c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 spans="1:31">
      <c r="A530" s="19"/>
      <c r="B530" s="20"/>
      <c r="C530" s="18" t="str">
        <f ca="1">IFERROR(__xludf.DUMMYFUNCTION("IF(ISBLANK(B530),,FILTER('Leetcode分类顺序表'!B:D,'Leetcode分类顺序表'!A:A = B530))"),"")</f>
        <v/>
      </c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 spans="1:31">
      <c r="A531" s="19"/>
      <c r="B531" s="20"/>
      <c r="C531" s="18" t="str">
        <f ca="1">IFERROR(__xludf.DUMMYFUNCTION("IF(ISBLANK(B531),,FILTER('Leetcode分类顺序表'!B:D,'Leetcode分类顺序表'!A:A = B531))"),"")</f>
        <v/>
      </c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 spans="1:31">
      <c r="A532" s="19"/>
      <c r="B532" s="20"/>
      <c r="C532" s="18" t="str">
        <f ca="1">IFERROR(__xludf.DUMMYFUNCTION("IF(ISBLANK(B532),,FILTER('Leetcode分类顺序表'!B:D,'Leetcode分类顺序表'!A:A = B532))"),"")</f>
        <v/>
      </c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 spans="1:31">
      <c r="A533" s="19"/>
      <c r="B533" s="20"/>
      <c r="C533" s="18" t="str">
        <f ca="1">IFERROR(__xludf.DUMMYFUNCTION("IF(ISBLANK(B533),,FILTER('Leetcode分类顺序表'!B:D,'Leetcode分类顺序表'!A:A = B533))"),"")</f>
        <v/>
      </c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 spans="1:31">
      <c r="A534" s="19"/>
      <c r="B534" s="20"/>
      <c r="C534" s="18" t="str">
        <f ca="1">IFERROR(__xludf.DUMMYFUNCTION("IF(ISBLANK(B534),,FILTER('Leetcode分类顺序表'!B:D,'Leetcode分类顺序表'!A:A = B534))"),"")</f>
        <v/>
      </c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 spans="1:31">
      <c r="A535" s="19"/>
      <c r="B535" s="20"/>
      <c r="C535" s="18" t="str">
        <f ca="1">IFERROR(__xludf.DUMMYFUNCTION("IF(ISBLANK(B535),,FILTER('Leetcode分类顺序表'!B:D,'Leetcode分类顺序表'!A:A = B535))"),"")</f>
        <v/>
      </c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 spans="1:31">
      <c r="A536" s="19"/>
      <c r="B536" s="20"/>
      <c r="C536" s="18" t="str">
        <f ca="1">IFERROR(__xludf.DUMMYFUNCTION("IF(ISBLANK(B536),,FILTER('Leetcode分类顺序表'!B:D,'Leetcode分类顺序表'!A:A = B536))"),"")</f>
        <v/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 spans="1:31">
      <c r="A537" s="19"/>
      <c r="B537" s="20"/>
      <c r="C537" s="18" t="str">
        <f ca="1">IFERROR(__xludf.DUMMYFUNCTION("IF(ISBLANK(B537),,FILTER('Leetcode分类顺序表'!B:D,'Leetcode分类顺序表'!A:A = B537))"),"")</f>
        <v/>
      </c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 spans="1:31">
      <c r="A538" s="19"/>
      <c r="B538" s="20"/>
      <c r="C538" s="18" t="str">
        <f ca="1">IFERROR(__xludf.DUMMYFUNCTION("IF(ISBLANK(B538),,FILTER('Leetcode分类顺序表'!B:D,'Leetcode分类顺序表'!A:A = B538))"),"")</f>
        <v/>
      </c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 spans="1:31">
      <c r="A539" s="19"/>
      <c r="B539" s="20"/>
      <c r="C539" s="18" t="str">
        <f ca="1">IFERROR(__xludf.DUMMYFUNCTION("IF(ISBLANK(B539),,FILTER('Leetcode分类顺序表'!B:D,'Leetcode分类顺序表'!A:A = B539))"),"")</f>
        <v/>
      </c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 spans="1:31">
      <c r="A540" s="19"/>
      <c r="B540" s="20"/>
      <c r="C540" s="18" t="str">
        <f ca="1">IFERROR(__xludf.DUMMYFUNCTION("IF(ISBLANK(B540),,FILTER('Leetcode分类顺序表'!B:D,'Leetcode分类顺序表'!A:A = B540))"),"")</f>
        <v/>
      </c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 spans="1:31">
      <c r="A541" s="19"/>
      <c r="B541" s="20"/>
      <c r="C541" s="18" t="str">
        <f ca="1">IFERROR(__xludf.DUMMYFUNCTION("IF(ISBLANK(B541),,FILTER('Leetcode分类顺序表'!B:D,'Leetcode分类顺序表'!A:A = B541))"),"")</f>
        <v/>
      </c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 spans="1:31">
      <c r="A542" s="19"/>
      <c r="B542" s="20"/>
      <c r="C542" s="18" t="str">
        <f ca="1">IFERROR(__xludf.DUMMYFUNCTION("IF(ISBLANK(B542),,FILTER('Leetcode分类顺序表'!B:D,'Leetcode分类顺序表'!A:A = B542))"),"")</f>
        <v/>
      </c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 spans="1:31">
      <c r="A543" s="19"/>
      <c r="B543" s="20"/>
      <c r="C543" s="18" t="str">
        <f ca="1">IFERROR(__xludf.DUMMYFUNCTION("IF(ISBLANK(B543),,FILTER('Leetcode分类顺序表'!B:D,'Leetcode分类顺序表'!A:A = B543))"),"")</f>
        <v/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 spans="1:31">
      <c r="A544" s="19"/>
      <c r="B544" s="20"/>
      <c r="C544" s="18" t="str">
        <f ca="1">IFERROR(__xludf.DUMMYFUNCTION("IF(ISBLANK(B544),,FILTER('Leetcode分类顺序表'!B:D,'Leetcode分类顺序表'!A:A = B544))"),"")</f>
        <v/>
      </c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 spans="1:31">
      <c r="A545" s="19"/>
      <c r="B545" s="20"/>
      <c r="C545" s="18" t="str">
        <f ca="1">IFERROR(__xludf.DUMMYFUNCTION("IF(ISBLANK(B545),,FILTER('Leetcode分类顺序表'!B:D,'Leetcode分类顺序表'!A:A = B545))"),"")</f>
        <v/>
      </c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 spans="1:31">
      <c r="A546" s="19"/>
      <c r="B546" s="20"/>
      <c r="C546" s="18" t="str">
        <f ca="1">IFERROR(__xludf.DUMMYFUNCTION("IF(ISBLANK(B546),,FILTER('Leetcode分类顺序表'!B:D,'Leetcode分类顺序表'!A:A = B546))"),"")</f>
        <v/>
      </c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 spans="1:31">
      <c r="A547" s="19"/>
      <c r="B547" s="20"/>
      <c r="C547" s="18" t="str">
        <f ca="1">IFERROR(__xludf.DUMMYFUNCTION("IF(ISBLANK(B547),,FILTER('Leetcode分类顺序表'!B:D,'Leetcode分类顺序表'!A:A = B547))"),"")</f>
        <v/>
      </c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 spans="1:31">
      <c r="A548" s="19"/>
      <c r="B548" s="20"/>
      <c r="C548" s="18" t="str">
        <f ca="1">IFERROR(__xludf.DUMMYFUNCTION("IF(ISBLANK(B548),,FILTER('Leetcode分类顺序表'!B:D,'Leetcode分类顺序表'!A:A = B548))"),"")</f>
        <v/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 spans="1:31">
      <c r="A549" s="19"/>
      <c r="B549" s="20"/>
      <c r="C549" s="18" t="str">
        <f ca="1">IFERROR(__xludf.DUMMYFUNCTION("IF(ISBLANK(B549),,FILTER('Leetcode分类顺序表'!B:D,'Leetcode分类顺序表'!A:A = B549))"),"")</f>
        <v/>
      </c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 spans="1:31">
      <c r="A550" s="19"/>
      <c r="B550" s="20"/>
      <c r="C550" s="18" t="str">
        <f ca="1">IFERROR(__xludf.DUMMYFUNCTION("IF(ISBLANK(B550),,FILTER('Leetcode分类顺序表'!B:D,'Leetcode分类顺序表'!A:A = B550))"),"")</f>
        <v/>
      </c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 spans="1:31">
      <c r="A551" s="19"/>
      <c r="B551" s="20"/>
      <c r="C551" s="18" t="str">
        <f ca="1">IFERROR(__xludf.DUMMYFUNCTION("IF(ISBLANK(B551),,FILTER('Leetcode分类顺序表'!B:D,'Leetcode分类顺序表'!A:A = B551))"),"")</f>
        <v/>
      </c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 spans="1:31">
      <c r="A552" s="19"/>
      <c r="B552" s="20"/>
      <c r="C552" s="18" t="str">
        <f ca="1">IFERROR(__xludf.DUMMYFUNCTION("IF(ISBLANK(B552),,FILTER('Leetcode分类顺序表'!B:D,'Leetcode分类顺序表'!A:A = B552))"),"")</f>
        <v/>
      </c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 spans="1:31">
      <c r="A553" s="19"/>
      <c r="B553" s="20"/>
      <c r="C553" s="18" t="str">
        <f ca="1">IFERROR(__xludf.DUMMYFUNCTION("IF(ISBLANK(B553),,FILTER('Leetcode分类顺序表'!B:D,'Leetcode分类顺序表'!A:A = B553))"),"")</f>
        <v/>
      </c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 spans="1:31">
      <c r="A554" s="19"/>
      <c r="B554" s="20"/>
      <c r="C554" s="18" t="str">
        <f ca="1">IFERROR(__xludf.DUMMYFUNCTION("IF(ISBLANK(B554),,FILTER('Leetcode分类顺序表'!B:D,'Leetcode分类顺序表'!A:A = B554))"),"")</f>
        <v/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 spans="1:31">
      <c r="A555" s="19"/>
      <c r="B555" s="20"/>
      <c r="C555" s="18" t="str">
        <f ca="1">IFERROR(__xludf.DUMMYFUNCTION("IF(ISBLANK(B555),,FILTER('Leetcode分类顺序表'!B:D,'Leetcode分类顺序表'!A:A = B555))"),"")</f>
        <v/>
      </c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 spans="1:31">
      <c r="A556" s="19"/>
      <c r="B556" s="20"/>
      <c r="C556" s="18" t="str">
        <f ca="1">IFERROR(__xludf.DUMMYFUNCTION("IF(ISBLANK(B556),,FILTER('Leetcode分类顺序表'!B:D,'Leetcode分类顺序表'!A:A = B556))"),"")</f>
        <v/>
      </c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 spans="1:31">
      <c r="A557" s="19"/>
      <c r="B557" s="20"/>
      <c r="C557" s="18" t="str">
        <f ca="1">IFERROR(__xludf.DUMMYFUNCTION("IF(ISBLANK(B557),,FILTER('Leetcode分类顺序表'!B:D,'Leetcode分类顺序表'!A:A = B557))"),"")</f>
        <v/>
      </c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 spans="1:31">
      <c r="A558" s="19"/>
      <c r="B558" s="20"/>
      <c r="C558" s="18" t="str">
        <f ca="1">IFERROR(__xludf.DUMMYFUNCTION("IF(ISBLANK(B558),,FILTER('Leetcode分类顺序表'!B:D,'Leetcode分类顺序表'!A:A = B558))"),"")</f>
        <v/>
      </c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 spans="1:31">
      <c r="A559" s="19"/>
      <c r="B559" s="20"/>
      <c r="C559" s="18" t="str">
        <f ca="1">IFERROR(__xludf.DUMMYFUNCTION("IF(ISBLANK(B559),,FILTER('Leetcode分类顺序表'!B:D,'Leetcode分类顺序表'!A:A = B559))"),"")</f>
        <v/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 spans="1:31">
      <c r="A560" s="19"/>
      <c r="B560" s="20"/>
      <c r="C560" s="18" t="str">
        <f ca="1">IFERROR(__xludf.DUMMYFUNCTION("IF(ISBLANK(B560),,FILTER('Leetcode分类顺序表'!B:D,'Leetcode分类顺序表'!A:A = B560))"),"")</f>
        <v/>
      </c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 spans="1:31">
      <c r="A561" s="19"/>
      <c r="B561" s="20"/>
      <c r="C561" s="18" t="str">
        <f ca="1">IFERROR(__xludf.DUMMYFUNCTION("IF(ISBLANK(B561),,FILTER('Leetcode分类顺序表'!B:D,'Leetcode分类顺序表'!A:A = B561))"),"")</f>
        <v/>
      </c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 spans="1:31">
      <c r="A562" s="19"/>
      <c r="B562" s="20"/>
      <c r="C562" s="18" t="str">
        <f ca="1">IFERROR(__xludf.DUMMYFUNCTION("IF(ISBLANK(B562),,FILTER('Leetcode分类顺序表'!B:D,'Leetcode分类顺序表'!A:A = B562))"),"")</f>
        <v/>
      </c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 spans="1:31">
      <c r="A563" s="19"/>
      <c r="B563" s="20"/>
      <c r="C563" s="18" t="str">
        <f ca="1">IFERROR(__xludf.DUMMYFUNCTION("IF(ISBLANK(B563),,FILTER('Leetcode分类顺序表'!B:D,'Leetcode分类顺序表'!A:A = B563))"),"")</f>
        <v/>
      </c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 spans="1:31">
      <c r="A564" s="19"/>
      <c r="B564" s="20"/>
      <c r="C564" s="18" t="str">
        <f ca="1">IFERROR(__xludf.DUMMYFUNCTION("IF(ISBLANK(B564),,FILTER('Leetcode分类顺序表'!B:D,'Leetcode分类顺序表'!A:A = B564))"),"")</f>
        <v/>
      </c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 spans="1:31">
      <c r="A565" s="19"/>
      <c r="B565" s="20"/>
      <c r="C565" s="18" t="str">
        <f ca="1">IFERROR(__xludf.DUMMYFUNCTION("IF(ISBLANK(B565),,FILTER('Leetcode分类顺序表'!B:D,'Leetcode分类顺序表'!A:A = B565))"),"")</f>
        <v/>
      </c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 spans="1:31">
      <c r="A566" s="19"/>
      <c r="B566" s="20"/>
      <c r="C566" s="18" t="str">
        <f ca="1">IFERROR(__xludf.DUMMYFUNCTION("IF(ISBLANK(B566),,FILTER('Leetcode分类顺序表'!B:D,'Leetcode分类顺序表'!A:A = B566))"),"")</f>
        <v/>
      </c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 spans="1:31">
      <c r="A567" s="19"/>
      <c r="B567" s="20"/>
      <c r="C567" s="18" t="str">
        <f ca="1">IFERROR(__xludf.DUMMYFUNCTION("IF(ISBLANK(B567),,FILTER('Leetcode分类顺序表'!B:D,'Leetcode分类顺序表'!A:A = B567))"),"")</f>
        <v/>
      </c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 spans="1:31">
      <c r="A568" s="19"/>
      <c r="B568" s="20"/>
      <c r="C568" s="18" t="str">
        <f ca="1">IFERROR(__xludf.DUMMYFUNCTION("IF(ISBLANK(B568),,FILTER('Leetcode分类顺序表'!B:D,'Leetcode分类顺序表'!A:A = B568))"),"")</f>
        <v/>
      </c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 spans="1:31">
      <c r="A569" s="19"/>
      <c r="B569" s="20"/>
      <c r="C569" s="18" t="str">
        <f ca="1">IFERROR(__xludf.DUMMYFUNCTION("IF(ISBLANK(B569),,FILTER('Leetcode分类顺序表'!B:D,'Leetcode分类顺序表'!A:A = B569))"),"")</f>
        <v/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 spans="1:31">
      <c r="A570" s="19"/>
      <c r="B570" s="20"/>
      <c r="C570" s="18" t="str">
        <f ca="1">IFERROR(__xludf.DUMMYFUNCTION("IF(ISBLANK(B570),,FILTER('Leetcode分类顺序表'!B:D,'Leetcode分类顺序表'!A:A = B570))"),"")</f>
        <v/>
      </c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 spans="1:31">
      <c r="A571" s="19"/>
      <c r="B571" s="20"/>
      <c r="C571" s="18" t="str">
        <f ca="1">IFERROR(__xludf.DUMMYFUNCTION("IF(ISBLANK(B571),,FILTER('Leetcode分类顺序表'!B:D,'Leetcode分类顺序表'!A:A = B571))"),"")</f>
        <v/>
      </c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 spans="1:31">
      <c r="A572" s="19"/>
      <c r="B572" s="20"/>
      <c r="C572" s="18" t="str">
        <f ca="1">IFERROR(__xludf.DUMMYFUNCTION("IF(ISBLANK(B572),,FILTER('Leetcode分类顺序表'!B:D,'Leetcode分类顺序表'!A:A = B572))"),"")</f>
        <v/>
      </c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 spans="1:31">
      <c r="A573" s="19"/>
      <c r="B573" s="20"/>
      <c r="C573" s="18" t="str">
        <f ca="1">IFERROR(__xludf.DUMMYFUNCTION("IF(ISBLANK(B573),,FILTER('Leetcode分类顺序表'!B:D,'Leetcode分类顺序表'!A:A = B573))"),"")</f>
        <v/>
      </c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 spans="1:31">
      <c r="A574" s="19"/>
      <c r="B574" s="20"/>
      <c r="C574" s="18" t="str">
        <f ca="1">IFERROR(__xludf.DUMMYFUNCTION("IF(ISBLANK(B574),,FILTER('Leetcode分类顺序表'!B:D,'Leetcode分类顺序表'!A:A = B574))"),"")</f>
        <v/>
      </c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 spans="1:31">
      <c r="A575" s="19"/>
      <c r="B575" s="20"/>
      <c r="C575" s="18" t="str">
        <f ca="1">IFERROR(__xludf.DUMMYFUNCTION("IF(ISBLANK(B575),,FILTER('Leetcode分类顺序表'!B:D,'Leetcode分类顺序表'!A:A = B575))"),"")</f>
        <v/>
      </c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 spans="1:31">
      <c r="A576" s="19"/>
      <c r="B576" s="20"/>
      <c r="C576" s="18" t="str">
        <f ca="1">IFERROR(__xludf.DUMMYFUNCTION("IF(ISBLANK(B576),,FILTER('Leetcode分类顺序表'!B:D,'Leetcode分类顺序表'!A:A = B576))"),"")</f>
        <v/>
      </c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 spans="1:31">
      <c r="A577" s="19"/>
      <c r="B577" s="20"/>
      <c r="C577" s="18" t="str">
        <f ca="1">IFERROR(__xludf.DUMMYFUNCTION("IF(ISBLANK(B577),,FILTER('Leetcode分类顺序表'!B:D,'Leetcode分类顺序表'!A:A = B577))"),"")</f>
        <v/>
      </c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 spans="1:31">
      <c r="A578" s="19"/>
      <c r="B578" s="20"/>
      <c r="C578" s="18" t="str">
        <f ca="1">IFERROR(__xludf.DUMMYFUNCTION("IF(ISBLANK(B578),,FILTER('Leetcode分类顺序表'!B:D,'Leetcode分类顺序表'!A:A = B578))"),"")</f>
        <v/>
      </c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 spans="1:31">
      <c r="A579" s="19"/>
      <c r="B579" s="20"/>
      <c r="C579" s="18" t="str">
        <f ca="1">IFERROR(__xludf.DUMMYFUNCTION("IF(ISBLANK(B579),,FILTER('Leetcode分类顺序表'!B:D,'Leetcode分类顺序表'!A:A = B579))"),"")</f>
        <v/>
      </c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 spans="1:31">
      <c r="A580" s="19"/>
      <c r="B580" s="20"/>
      <c r="C580" s="18" t="str">
        <f ca="1">IFERROR(__xludf.DUMMYFUNCTION("IF(ISBLANK(B580),,FILTER('Leetcode分类顺序表'!B:D,'Leetcode分类顺序表'!A:A = B580))"),"")</f>
        <v/>
      </c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 spans="1:31">
      <c r="A581" s="19"/>
      <c r="B581" s="20"/>
      <c r="C581" s="18" t="str">
        <f ca="1">IFERROR(__xludf.DUMMYFUNCTION("IF(ISBLANK(B581),,FILTER('Leetcode分类顺序表'!B:D,'Leetcode分类顺序表'!A:A = B581))"),"")</f>
        <v/>
      </c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 spans="1:31">
      <c r="A582" s="19"/>
      <c r="B582" s="20"/>
      <c r="C582" s="18" t="str">
        <f ca="1">IFERROR(__xludf.DUMMYFUNCTION("IF(ISBLANK(B582),,FILTER('Leetcode分类顺序表'!B:D,'Leetcode分类顺序表'!A:A = B582))"),"")</f>
        <v/>
      </c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 spans="1:31">
      <c r="A583" s="19"/>
      <c r="B583" s="20"/>
      <c r="C583" s="18" t="str">
        <f ca="1">IFERROR(__xludf.DUMMYFUNCTION("IF(ISBLANK(B583),,FILTER('Leetcode分类顺序表'!B:D,'Leetcode分类顺序表'!A:A = B583))"),"")</f>
        <v/>
      </c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 spans="1:31">
      <c r="A584" s="19"/>
      <c r="B584" s="20"/>
      <c r="C584" s="18" t="str">
        <f ca="1">IFERROR(__xludf.DUMMYFUNCTION("IF(ISBLANK(B584),,FILTER('Leetcode分类顺序表'!B:D,'Leetcode分类顺序表'!A:A = B584))"),"")</f>
        <v/>
      </c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 spans="1:31">
      <c r="A585" s="19"/>
      <c r="B585" s="20"/>
      <c r="C585" s="18" t="str">
        <f ca="1">IFERROR(__xludf.DUMMYFUNCTION("IF(ISBLANK(B585),,FILTER('Leetcode分类顺序表'!B:D,'Leetcode分类顺序表'!A:A = B585))"),"")</f>
        <v/>
      </c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 spans="1:31">
      <c r="A586" s="19"/>
      <c r="B586" s="20"/>
      <c r="C586" s="18" t="str">
        <f ca="1">IFERROR(__xludf.DUMMYFUNCTION("IF(ISBLANK(B586),,FILTER('Leetcode分类顺序表'!B:D,'Leetcode分类顺序表'!A:A = B586))"),"")</f>
        <v/>
      </c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 spans="1:31">
      <c r="A587" s="19"/>
      <c r="B587" s="20"/>
      <c r="C587" s="18" t="str">
        <f ca="1">IFERROR(__xludf.DUMMYFUNCTION("IF(ISBLANK(B587),,FILTER('Leetcode分类顺序表'!B:D,'Leetcode分类顺序表'!A:A = B587))"),"")</f>
        <v/>
      </c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 spans="1:31">
      <c r="A588" s="19"/>
      <c r="B588" s="20"/>
      <c r="C588" s="18" t="str">
        <f ca="1">IFERROR(__xludf.DUMMYFUNCTION("IF(ISBLANK(B588),,FILTER('Leetcode分类顺序表'!B:D,'Leetcode分类顺序表'!A:A = B588))"),"")</f>
        <v/>
      </c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 spans="1:31">
      <c r="A589" s="19"/>
      <c r="B589" s="20"/>
      <c r="C589" s="18" t="str">
        <f ca="1">IFERROR(__xludf.DUMMYFUNCTION("IF(ISBLANK(B589),,FILTER('Leetcode分类顺序表'!B:D,'Leetcode分类顺序表'!A:A = B589))"),"")</f>
        <v/>
      </c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 spans="1:31">
      <c r="A590" s="19"/>
      <c r="B590" s="20"/>
      <c r="C590" s="18" t="str">
        <f ca="1">IFERROR(__xludf.DUMMYFUNCTION("IF(ISBLANK(B590),,FILTER('Leetcode分类顺序表'!B:D,'Leetcode分类顺序表'!A:A = B590))"),"")</f>
        <v/>
      </c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 spans="1:31">
      <c r="A591" s="19"/>
      <c r="B591" s="20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 spans="1:31">
      <c r="A592" s="19"/>
      <c r="B592" s="20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 spans="1:31">
      <c r="A593" s="19"/>
      <c r="B593" s="20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 spans="1:31">
      <c r="A594" s="19"/>
      <c r="B594" s="20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 spans="1:31">
      <c r="A595" s="19"/>
      <c r="B595" s="20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 spans="1:31">
      <c r="A596" s="19"/>
      <c r="B596" s="20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 spans="1:31">
      <c r="A597" s="19"/>
      <c r="B597" s="20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 spans="1:31">
      <c r="A598" s="19"/>
      <c r="B598" s="20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 spans="1:31">
      <c r="A599" s="19"/>
      <c r="B599" s="20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 spans="1:31">
      <c r="A600" s="19"/>
      <c r="B600" s="20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 spans="1:31">
      <c r="A601" s="19"/>
      <c r="B601" s="20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 spans="1:31">
      <c r="A602" s="19"/>
      <c r="B602" s="20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 spans="1:31">
      <c r="A603" s="19"/>
      <c r="B603" s="20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 spans="1:31">
      <c r="A604" s="19"/>
      <c r="B604" s="20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 spans="1:31">
      <c r="A605" s="19"/>
      <c r="B605" s="20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 spans="1:31">
      <c r="A606" s="19"/>
      <c r="B606" s="20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 spans="1:31">
      <c r="A607" s="19"/>
      <c r="B607" s="20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 spans="1:31">
      <c r="A608" s="19"/>
      <c r="B608" s="20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 spans="1:31">
      <c r="A609" s="19"/>
      <c r="B609" s="20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 spans="1:31">
      <c r="A610" s="19"/>
      <c r="B610" s="20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 spans="1:31">
      <c r="A611" s="19"/>
      <c r="B611" s="20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 spans="1:31">
      <c r="A612" s="19"/>
      <c r="B612" s="20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 spans="1:31">
      <c r="A613" s="19"/>
      <c r="B613" s="20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 spans="1:31">
      <c r="A614" s="19"/>
      <c r="B614" s="20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 spans="1:31">
      <c r="A615" s="19"/>
      <c r="B615" s="20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 spans="1:31">
      <c r="A616" s="19"/>
      <c r="B616" s="20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 spans="1:31">
      <c r="A617" s="19"/>
      <c r="B617" s="20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 spans="1:31">
      <c r="A618" s="19"/>
      <c r="B618" s="20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 spans="1:31">
      <c r="A619" s="19"/>
      <c r="B619" s="20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 spans="1:31">
      <c r="A620" s="19"/>
      <c r="B620" s="20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 spans="1:31">
      <c r="A621" s="19"/>
      <c r="B621" s="20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 spans="1:31">
      <c r="A622" s="19"/>
      <c r="B622" s="20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 spans="1:31">
      <c r="A623" s="19"/>
      <c r="B623" s="20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 spans="1:31">
      <c r="A624" s="19"/>
      <c r="B624" s="20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 spans="1:31">
      <c r="A625" s="19"/>
      <c r="B625" s="20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 spans="1:31">
      <c r="A626" s="19"/>
      <c r="B626" s="20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 spans="1:31">
      <c r="A627" s="19"/>
      <c r="B627" s="20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 spans="1:31">
      <c r="A628" s="19"/>
      <c r="B628" s="20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 spans="1:31">
      <c r="A629" s="19"/>
      <c r="B629" s="20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 spans="1:31">
      <c r="A630" s="19"/>
      <c r="B630" s="20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 spans="1:31">
      <c r="A631" s="19"/>
      <c r="B631" s="20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 spans="1:31">
      <c r="A632" s="19"/>
      <c r="B632" s="20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 spans="1:31">
      <c r="A633" s="19"/>
      <c r="B633" s="20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 spans="1:31">
      <c r="A634" s="19"/>
      <c r="B634" s="20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 spans="1:31">
      <c r="A635" s="19"/>
      <c r="B635" s="20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 spans="1:31">
      <c r="A636" s="19"/>
      <c r="B636" s="20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 spans="1:31">
      <c r="A637" s="19"/>
      <c r="B637" s="20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 spans="1:31">
      <c r="A638" s="19"/>
      <c r="B638" s="20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 spans="1:31">
      <c r="A639" s="19"/>
      <c r="B639" s="20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 spans="1:31">
      <c r="A640" s="19"/>
      <c r="B640" s="20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 spans="1:31">
      <c r="A641" s="19"/>
      <c r="B641" s="20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 spans="1:31">
      <c r="A642" s="19"/>
      <c r="B642" s="20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 spans="1:31">
      <c r="A643" s="19"/>
      <c r="B643" s="20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 spans="1:31">
      <c r="A644" s="19"/>
      <c r="B644" s="20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 spans="1:31">
      <c r="A645" s="19"/>
      <c r="B645" s="20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 spans="1:31">
      <c r="A646" s="19"/>
      <c r="B646" s="20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 spans="1:31">
      <c r="A647" s="19"/>
      <c r="B647" s="20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 spans="1:31">
      <c r="A648" s="19"/>
      <c r="B648" s="20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 spans="1:31">
      <c r="A649" s="19"/>
      <c r="B649" s="20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 spans="1:31">
      <c r="A650" s="19"/>
      <c r="B650" s="20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 spans="1:31">
      <c r="A651" s="19"/>
      <c r="B651" s="20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 spans="1:31">
      <c r="A652" s="19"/>
      <c r="B652" s="20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 spans="1:31">
      <c r="A653" s="19"/>
      <c r="B653" s="20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 spans="1:31">
      <c r="A654" s="19"/>
      <c r="B654" s="20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 spans="1:31">
      <c r="A655" s="19"/>
      <c r="B655" s="20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 spans="1:31">
      <c r="A656" s="19"/>
      <c r="B656" s="20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 spans="1:31">
      <c r="A657" s="19"/>
      <c r="B657" s="20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 spans="1:31">
      <c r="A658" s="19"/>
      <c r="B658" s="20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 spans="1:31">
      <c r="A659" s="19"/>
      <c r="B659" s="20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 spans="1:31">
      <c r="A660" s="19"/>
      <c r="B660" s="20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 spans="1:31">
      <c r="A661" s="19"/>
      <c r="B661" s="20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 spans="1:31">
      <c r="A662" s="19"/>
      <c r="B662" s="20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 spans="1:31">
      <c r="A663" s="19"/>
      <c r="B663" s="20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 spans="1:31">
      <c r="A664" s="19"/>
      <c r="B664" s="20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 spans="1:31">
      <c r="A665" s="19"/>
      <c r="B665" s="20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 spans="1:31">
      <c r="A666" s="19"/>
      <c r="B666" s="20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 spans="1:31">
      <c r="A667" s="19"/>
      <c r="B667" s="20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 spans="1:31">
      <c r="A668" s="19"/>
      <c r="B668" s="20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 spans="1:31">
      <c r="A669" s="19"/>
      <c r="B669" s="20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 spans="1:31">
      <c r="A670" s="19"/>
      <c r="B670" s="20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 spans="1:31">
      <c r="A671" s="19"/>
      <c r="B671" s="20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 spans="1:31">
      <c r="A672" s="19"/>
      <c r="B672" s="20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 spans="1:31">
      <c r="A673" s="19"/>
      <c r="B673" s="20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 spans="1:31">
      <c r="A674" s="19"/>
      <c r="B674" s="20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 spans="1:31">
      <c r="A675" s="19"/>
      <c r="B675" s="20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 spans="1:31">
      <c r="A676" s="19"/>
      <c r="B676" s="20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 spans="1:31">
      <c r="A677" s="19"/>
      <c r="B677" s="20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 spans="1:31">
      <c r="A678" s="19"/>
      <c r="B678" s="20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 spans="1:31">
      <c r="A679" s="19"/>
      <c r="B679" s="20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 spans="1:31">
      <c r="A680" s="19"/>
      <c r="B680" s="20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 spans="1:31">
      <c r="A681" s="19"/>
      <c r="B681" s="20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 spans="1:31">
      <c r="A682" s="19"/>
      <c r="B682" s="20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 spans="1:31">
      <c r="A683" s="19"/>
      <c r="B683" s="20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 spans="1:31">
      <c r="A684" s="19"/>
      <c r="B684" s="20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 spans="1:31">
      <c r="A685" s="19"/>
      <c r="B685" s="20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 spans="1:31">
      <c r="A686" s="19"/>
      <c r="B686" s="20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 spans="1:31">
      <c r="A687" s="19"/>
      <c r="B687" s="20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 spans="1:31">
      <c r="A688" s="19"/>
      <c r="B688" s="20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 spans="1:31">
      <c r="A689" s="19"/>
      <c r="B689" s="20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 spans="1:31">
      <c r="A690" s="19"/>
      <c r="B690" s="20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 spans="1:31">
      <c r="A691" s="19"/>
      <c r="B691" s="20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 spans="1:31">
      <c r="A692" s="19"/>
      <c r="B692" s="20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 spans="1:31">
      <c r="A693" s="19"/>
      <c r="B693" s="20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 spans="1:31">
      <c r="A694" s="19"/>
      <c r="B694" s="20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 spans="1:31">
      <c r="A695" s="19"/>
      <c r="B695" s="20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 spans="1:31">
      <c r="A696" s="19"/>
      <c r="B696" s="20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 spans="1:31">
      <c r="A697" s="19"/>
      <c r="B697" s="20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 spans="1:31">
      <c r="A698" s="19"/>
      <c r="B698" s="20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 spans="1:31">
      <c r="A699" s="19"/>
      <c r="B699" s="20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 spans="1:31">
      <c r="A700" s="19"/>
      <c r="B700" s="20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 spans="1:31">
      <c r="A701" s="19"/>
      <c r="B701" s="20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 spans="1:31">
      <c r="A702" s="19"/>
      <c r="B702" s="20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 spans="1:31">
      <c r="A703" s="19"/>
      <c r="B703" s="20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 spans="1:31">
      <c r="A704" s="19"/>
      <c r="B704" s="20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 spans="1:31">
      <c r="A705" s="19"/>
      <c r="B705" s="20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 spans="1:31">
      <c r="A706" s="19"/>
      <c r="B706" s="20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 spans="1:31">
      <c r="A707" s="19"/>
      <c r="B707" s="20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 spans="1:31">
      <c r="A708" s="19"/>
      <c r="B708" s="20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 spans="1:31">
      <c r="A709" s="19"/>
      <c r="B709" s="20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 spans="1:31">
      <c r="A710" s="19"/>
      <c r="B710" s="20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 spans="1:31">
      <c r="A711" s="19"/>
      <c r="B711" s="20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 spans="1:31">
      <c r="A712" s="19"/>
      <c r="B712" s="20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 spans="1:31">
      <c r="A713" s="19"/>
      <c r="B713" s="20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 spans="1:31">
      <c r="A714" s="19"/>
      <c r="B714" s="20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 spans="1:31">
      <c r="A715" s="19"/>
      <c r="B715" s="20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 spans="1:31">
      <c r="A716" s="19"/>
      <c r="B716" s="20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 spans="1:31">
      <c r="A717" s="19"/>
      <c r="B717" s="20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 spans="1:31">
      <c r="A718" s="19"/>
      <c r="B718" s="20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 spans="1:31">
      <c r="A719" s="19"/>
      <c r="B719" s="20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 spans="1:31">
      <c r="A720" s="19"/>
      <c r="B720" s="20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 spans="1:31">
      <c r="A721" s="19"/>
      <c r="B721" s="20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 spans="1:31">
      <c r="A722" s="19"/>
      <c r="B722" s="20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 spans="1:31">
      <c r="A723" s="19"/>
      <c r="B723" s="20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 spans="1:31">
      <c r="A724" s="19"/>
      <c r="B724" s="20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 spans="1:31">
      <c r="A725" s="19"/>
      <c r="B725" s="20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 spans="1:31">
      <c r="A726" s="19"/>
      <c r="B726" s="20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 spans="1:31">
      <c r="A727" s="19"/>
      <c r="B727" s="20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 spans="1:31">
      <c r="A728" s="19"/>
      <c r="B728" s="20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 spans="1:31">
      <c r="A729" s="19"/>
      <c r="B729" s="20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 spans="1:31">
      <c r="A730" s="19"/>
      <c r="B730" s="20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 spans="1:31">
      <c r="A731" s="19"/>
      <c r="B731" s="20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 spans="1:31">
      <c r="A732" s="19"/>
      <c r="B732" s="20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 spans="1:31">
      <c r="A733" s="19"/>
      <c r="B733" s="20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 spans="1:31">
      <c r="A734" s="19"/>
      <c r="B734" s="20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 spans="1:31">
      <c r="A735" s="19"/>
      <c r="B735" s="20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 spans="1:31">
      <c r="A736" s="19"/>
      <c r="B736" s="20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 spans="1:31">
      <c r="A737" s="19"/>
      <c r="B737" s="20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 spans="1:31">
      <c r="A738" s="19"/>
      <c r="B738" s="20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 spans="1:31">
      <c r="A739" s="19"/>
      <c r="B739" s="20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 spans="1:31">
      <c r="A740" s="19"/>
      <c r="B740" s="20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 spans="1:31">
      <c r="A741" s="19"/>
      <c r="B741" s="20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 spans="1:31">
      <c r="A742" s="19"/>
      <c r="B742" s="20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 spans="1:31">
      <c r="A743" s="19"/>
      <c r="B743" s="20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 spans="1:31">
      <c r="A744" s="19"/>
      <c r="B744" s="20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 spans="1:31">
      <c r="A745" s="19"/>
      <c r="B745" s="20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 spans="1:31">
      <c r="A746" s="19"/>
      <c r="B746" s="20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 spans="1:31">
      <c r="A747" s="19"/>
      <c r="B747" s="20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 spans="1:31">
      <c r="A748" s="19"/>
      <c r="B748" s="20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 spans="1:31">
      <c r="A749" s="19"/>
      <c r="B749" s="20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 spans="1:31">
      <c r="A750" s="19"/>
      <c r="B750" s="20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 spans="1:31">
      <c r="A751" s="19"/>
      <c r="B751" s="20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 spans="1:31">
      <c r="A752" s="19"/>
      <c r="B752" s="20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 spans="1:31">
      <c r="A753" s="19"/>
      <c r="B753" s="20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 spans="1:31">
      <c r="A754" s="19"/>
      <c r="B754" s="20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 spans="1:31">
      <c r="A755" s="19"/>
      <c r="B755" s="20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 spans="1:31">
      <c r="A756" s="19"/>
      <c r="B756" s="20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 spans="1:31">
      <c r="A757" s="19"/>
      <c r="B757" s="20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 spans="1:31">
      <c r="A758" s="19"/>
      <c r="B758" s="20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 spans="1:31">
      <c r="A759" s="19"/>
      <c r="B759" s="20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 spans="1:31">
      <c r="A760" s="19"/>
      <c r="B760" s="20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 spans="1:31">
      <c r="A761" s="19"/>
      <c r="B761" s="20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 spans="1:31">
      <c r="A762" s="19"/>
      <c r="B762" s="20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 spans="1:31">
      <c r="A763" s="19"/>
      <c r="B763" s="20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 spans="1:31">
      <c r="A764" s="19"/>
      <c r="B764" s="20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 spans="1:31">
      <c r="A765" s="19"/>
      <c r="B765" s="20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 spans="1:31">
      <c r="A766" s="19"/>
      <c r="B766" s="20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 spans="1:31">
      <c r="A767" s="19"/>
      <c r="B767" s="20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 spans="1:31">
      <c r="A768" s="19"/>
      <c r="B768" s="20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 spans="1:31">
      <c r="A769" s="19"/>
      <c r="B769" s="20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 spans="1:31">
      <c r="A770" s="19"/>
      <c r="B770" s="20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 spans="1:31">
      <c r="A771" s="19"/>
      <c r="B771" s="20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 spans="1:31">
      <c r="A772" s="19"/>
      <c r="B772" s="20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 spans="1:31">
      <c r="A773" s="19"/>
      <c r="B773" s="20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 spans="1:31">
      <c r="A774" s="19"/>
      <c r="B774" s="20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 spans="1:31">
      <c r="A775" s="19"/>
      <c r="B775" s="20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 spans="1:31">
      <c r="A776" s="19"/>
      <c r="B776" s="20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 spans="1:31">
      <c r="A777" s="19"/>
      <c r="B777" s="20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 spans="1:31">
      <c r="A778" s="19"/>
      <c r="B778" s="20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 spans="1:31">
      <c r="A779" s="19"/>
      <c r="B779" s="20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 spans="1:31">
      <c r="A780" s="19"/>
      <c r="B780" s="20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 spans="1:31">
      <c r="A781" s="19"/>
      <c r="B781" s="20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 spans="1:31">
      <c r="A782" s="19"/>
      <c r="B782" s="20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 spans="1:31">
      <c r="A783" s="19"/>
      <c r="B783" s="20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 spans="1:31">
      <c r="A784" s="19"/>
      <c r="B784" s="20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 spans="1:31">
      <c r="A785" s="19"/>
      <c r="B785" s="20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 spans="1:31">
      <c r="A786" s="19"/>
      <c r="B786" s="20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 spans="1:31">
      <c r="A787" s="19"/>
      <c r="B787" s="20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 spans="1:31">
      <c r="A788" s="19"/>
      <c r="B788" s="20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 spans="1:31">
      <c r="A789" s="19"/>
      <c r="B789" s="20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 spans="1:31">
      <c r="A790" s="19"/>
      <c r="B790" s="20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 spans="1:31">
      <c r="A791" s="19"/>
      <c r="B791" s="20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 spans="1:31">
      <c r="A792" s="19"/>
      <c r="B792" s="20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 spans="1:31">
      <c r="A793" s="19"/>
      <c r="B793" s="20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 spans="1:31">
      <c r="A794" s="19"/>
      <c r="B794" s="20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 spans="1:31">
      <c r="A795" s="19"/>
      <c r="B795" s="20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 spans="1:31">
      <c r="A796" s="19"/>
      <c r="B796" s="20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 spans="1:31">
      <c r="A797" s="19"/>
      <c r="B797" s="20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 spans="1:31">
      <c r="A798" s="19"/>
      <c r="B798" s="20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 spans="1:31">
      <c r="A799" s="19"/>
      <c r="B799" s="20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 spans="1:31">
      <c r="A800" s="19"/>
      <c r="B800" s="20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 spans="1:31">
      <c r="A801" s="19"/>
      <c r="B801" s="20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 spans="1:31">
      <c r="A802" s="19"/>
      <c r="B802" s="20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 spans="1:31">
      <c r="A803" s="19"/>
      <c r="B803" s="20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 spans="1:31">
      <c r="A804" s="19"/>
      <c r="B804" s="20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 spans="1:31">
      <c r="A805" s="19"/>
      <c r="B805" s="20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 spans="1:31">
      <c r="A806" s="19"/>
      <c r="B806" s="20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 spans="1:31">
      <c r="A807" s="19"/>
      <c r="B807" s="20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 spans="1:31">
      <c r="A808" s="19"/>
      <c r="B808" s="20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 spans="1:31">
      <c r="A809" s="19"/>
      <c r="B809" s="20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 spans="1:31">
      <c r="A810" s="19"/>
      <c r="B810" s="20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 spans="1:31">
      <c r="A811" s="19"/>
      <c r="B811" s="20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 spans="1:31">
      <c r="A812" s="19"/>
      <c r="B812" s="20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 spans="1:31">
      <c r="A813" s="19"/>
      <c r="B813" s="20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 spans="1:31">
      <c r="A814" s="19"/>
      <c r="B814" s="20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 spans="1:31">
      <c r="A815" s="19"/>
      <c r="B815" s="20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 spans="1:31">
      <c r="A816" s="19"/>
      <c r="B816" s="20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 spans="1:31">
      <c r="A817" s="19"/>
      <c r="B817" s="20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 spans="1:31">
      <c r="A818" s="19"/>
      <c r="B818" s="20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 spans="1:31">
      <c r="A819" s="19"/>
      <c r="B819" s="20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 spans="1:31">
      <c r="A820" s="19"/>
      <c r="B820" s="20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 spans="1:31">
      <c r="A821" s="19"/>
      <c r="B821" s="20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 spans="1:31">
      <c r="A822" s="19"/>
      <c r="B822" s="20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 spans="1:31">
      <c r="A823" s="19"/>
      <c r="B823" s="20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 spans="1:31">
      <c r="A824" s="19"/>
      <c r="B824" s="20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 spans="1:31">
      <c r="A825" s="19"/>
      <c r="B825" s="20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 spans="1:31">
      <c r="A826" s="19"/>
      <c r="B826" s="20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 spans="1:31">
      <c r="A827" s="19"/>
      <c r="B827" s="20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 spans="1:31">
      <c r="A828" s="19"/>
      <c r="B828" s="20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 spans="1:31">
      <c r="A829" s="19"/>
      <c r="B829" s="20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 spans="1:31">
      <c r="A830" s="19"/>
      <c r="B830" s="20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 spans="1:31">
      <c r="A831" s="19"/>
      <c r="B831" s="20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 spans="1:31">
      <c r="A832" s="19"/>
      <c r="B832" s="20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 spans="1:31">
      <c r="A833" s="19"/>
      <c r="B833" s="20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 spans="1:31">
      <c r="A834" s="19"/>
      <c r="B834" s="20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 spans="1:31">
      <c r="A835" s="19"/>
      <c r="B835" s="20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 spans="1:31">
      <c r="A836" s="19"/>
      <c r="B836" s="20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 spans="1:31">
      <c r="A837" s="19"/>
      <c r="B837" s="20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 spans="1:31">
      <c r="A838" s="19"/>
      <c r="B838" s="20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 spans="1:31">
      <c r="A839" s="19"/>
      <c r="B839" s="20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 spans="1:31">
      <c r="A840" s="19"/>
      <c r="B840" s="20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 spans="1:31">
      <c r="A841" s="19"/>
      <c r="B841" s="20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 spans="1:31">
      <c r="A842" s="19"/>
      <c r="B842" s="20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 spans="1:31">
      <c r="A843" s="19"/>
      <c r="B843" s="20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 spans="1:31">
      <c r="A844" s="19"/>
      <c r="B844" s="20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 spans="1:31">
      <c r="A845" s="19"/>
      <c r="B845" s="20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 spans="1:31">
      <c r="A846" s="19"/>
      <c r="B846" s="20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 spans="1:31">
      <c r="A847" s="19"/>
      <c r="B847" s="20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 spans="1:31">
      <c r="A848" s="19"/>
      <c r="B848" s="20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 spans="1:31">
      <c r="A849" s="19"/>
      <c r="B849" s="20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 spans="1:31">
      <c r="A850" s="19"/>
      <c r="B850" s="20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 spans="1:31">
      <c r="A851" s="19"/>
      <c r="B851" s="20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 spans="1:31">
      <c r="A852" s="19"/>
      <c r="B852" s="20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 spans="1:31">
      <c r="A853" s="19"/>
      <c r="B853" s="20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 spans="1:31">
      <c r="A854" s="19"/>
      <c r="B854" s="20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 spans="1:31">
      <c r="A855" s="19"/>
      <c r="B855" s="20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 spans="1:31">
      <c r="A856" s="19"/>
      <c r="B856" s="20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 spans="1:31">
      <c r="A857" s="19"/>
      <c r="B857" s="20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 spans="1:31">
      <c r="A858" s="19"/>
      <c r="B858" s="20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 spans="1:31">
      <c r="A859" s="19"/>
      <c r="B859" s="20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 spans="1:31">
      <c r="A860" s="19"/>
      <c r="B860" s="20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 spans="1:31">
      <c r="A861" s="19"/>
      <c r="B861" s="20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 spans="1:31">
      <c r="A862" s="19"/>
      <c r="B862" s="20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 spans="1:31">
      <c r="A863" s="19"/>
      <c r="B863" s="20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 spans="1:31">
      <c r="A864" s="19"/>
      <c r="B864" s="20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 spans="1:31">
      <c r="A865" s="19"/>
      <c r="B865" s="20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 spans="1:31">
      <c r="A866" s="19"/>
      <c r="B866" s="20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 spans="1:31">
      <c r="A867" s="19"/>
      <c r="B867" s="20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 spans="1:31">
      <c r="A868" s="19"/>
      <c r="B868" s="20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 spans="1:31">
      <c r="A869" s="19"/>
      <c r="B869" s="20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 spans="1:31">
      <c r="A870" s="19"/>
      <c r="B870" s="20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 spans="1:31">
      <c r="A871" s="19"/>
      <c r="B871" s="20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 spans="1:31">
      <c r="A872" s="19"/>
      <c r="B872" s="20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 spans="1:31">
      <c r="A873" s="19"/>
      <c r="B873" s="20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 spans="1:31">
      <c r="A874" s="19"/>
      <c r="B874" s="20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 spans="1:31">
      <c r="A875" s="19"/>
      <c r="B875" s="20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 spans="1:31">
      <c r="A876" s="19"/>
      <c r="B876" s="20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 spans="1:31">
      <c r="A877" s="19"/>
      <c r="B877" s="20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 spans="1:31">
      <c r="A878" s="19"/>
      <c r="B878" s="20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 spans="1:31">
      <c r="A879" s="19"/>
      <c r="B879" s="20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 spans="1:31">
      <c r="A880" s="19"/>
      <c r="B880" s="20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 spans="1:31">
      <c r="A881" s="19"/>
      <c r="B881" s="20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 spans="1:31">
      <c r="A882" s="19"/>
      <c r="B882" s="20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 spans="1:31">
      <c r="A883" s="19"/>
      <c r="B883" s="20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 spans="1:31">
      <c r="A884" s="19"/>
      <c r="B884" s="20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 spans="1:31">
      <c r="A885" s="19"/>
      <c r="B885" s="20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 spans="1:31">
      <c r="A886" s="19"/>
      <c r="B886" s="20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 spans="1:31">
      <c r="A887" s="19"/>
      <c r="B887" s="20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 spans="1:31">
      <c r="A888" s="19"/>
      <c r="B888" s="20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 spans="1:31">
      <c r="A889" s="19"/>
      <c r="B889" s="20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 spans="1:31">
      <c r="A890" s="19"/>
      <c r="B890" s="20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 spans="1:31">
      <c r="A891" s="19"/>
      <c r="B891" s="20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 spans="1:31">
      <c r="A892" s="19"/>
      <c r="B892" s="20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 spans="1:31">
      <c r="A893" s="19"/>
      <c r="B893" s="20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 spans="1:31">
      <c r="A894" s="19"/>
      <c r="B894" s="20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 spans="1:31">
      <c r="A895" s="19"/>
      <c r="B895" s="20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 spans="1:31">
      <c r="A896" s="19"/>
      <c r="B896" s="20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 spans="1:31">
      <c r="A897" s="19"/>
      <c r="B897" s="20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 spans="1:31">
      <c r="A898" s="19"/>
      <c r="B898" s="20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 spans="1:31">
      <c r="A899" s="19"/>
      <c r="B899" s="20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 spans="1:31">
      <c r="A900" s="19"/>
      <c r="B900" s="20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 spans="1:31">
      <c r="A901" s="19"/>
      <c r="B901" s="20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 spans="1:31">
      <c r="A902" s="19"/>
      <c r="B902" s="20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 spans="1:31">
      <c r="A903" s="19"/>
      <c r="B903" s="20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 spans="1:31">
      <c r="A904" s="19"/>
      <c r="B904" s="20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 spans="1:31">
      <c r="A905" s="19"/>
      <c r="B905" s="20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 spans="1:31">
      <c r="A906" s="19"/>
      <c r="B906" s="20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 spans="1:31">
      <c r="A907" s="19"/>
      <c r="B907" s="20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 spans="1:31">
      <c r="A908" s="19"/>
      <c r="B908" s="20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 spans="1:31">
      <c r="A909" s="19"/>
      <c r="B909" s="20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 spans="1:31">
      <c r="A910" s="19"/>
      <c r="B910" s="20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 spans="1:31">
      <c r="A911" s="19"/>
      <c r="B911" s="20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 spans="1:31">
      <c r="A912" s="19"/>
      <c r="B912" s="20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 spans="1:31">
      <c r="A913" s="19"/>
      <c r="B913" s="20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 spans="1:31">
      <c r="A914" s="19"/>
      <c r="B914" s="20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 spans="1:31">
      <c r="A915" s="19"/>
      <c r="B915" s="20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 spans="1:31">
      <c r="A916" s="19"/>
      <c r="B916" s="20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 spans="1:31">
      <c r="A917" s="19"/>
      <c r="B917" s="20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 spans="1:31">
      <c r="A918" s="19"/>
      <c r="B918" s="20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 spans="1:31">
      <c r="A919" s="19"/>
      <c r="B919" s="20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 spans="1:31">
      <c r="A920" s="19"/>
      <c r="B920" s="20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 spans="1:31">
      <c r="A921" s="19"/>
      <c r="B921" s="20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 spans="1:31">
      <c r="A922" s="19"/>
      <c r="B922" s="20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 spans="1:31">
      <c r="A923" s="19"/>
      <c r="B923" s="20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 spans="1:31">
      <c r="A924" s="19"/>
      <c r="B924" s="20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 spans="1:31">
      <c r="A925" s="19"/>
      <c r="B925" s="20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 spans="1:31">
      <c r="A926" s="19"/>
      <c r="B926" s="20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 spans="1:31">
      <c r="A927" s="19"/>
      <c r="B927" s="20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 spans="1:31">
      <c r="A928" s="19"/>
      <c r="B928" s="20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 spans="1:31">
      <c r="A929" s="19"/>
      <c r="B929" s="20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 spans="1:31">
      <c r="A930" s="19"/>
      <c r="B930" s="20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 spans="1:31">
      <c r="A931" s="19"/>
      <c r="B931" s="20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 spans="1:31">
      <c r="A932" s="19"/>
      <c r="B932" s="20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 spans="1:31">
      <c r="A933" s="19"/>
      <c r="B933" s="20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 spans="1:31">
      <c r="A934" s="19"/>
      <c r="B934" s="20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 spans="1:31">
      <c r="A935" s="19"/>
      <c r="B935" s="20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 spans="1:31">
      <c r="A936" s="19"/>
      <c r="B936" s="20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 spans="1:31">
      <c r="A937" s="19"/>
      <c r="B937" s="20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 spans="1:31">
      <c r="A938" s="19"/>
      <c r="B938" s="20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 spans="1:31">
      <c r="A939" s="19"/>
      <c r="B939" s="20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 spans="1:31">
      <c r="A940" s="19"/>
      <c r="B940" s="20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 spans="1:31">
      <c r="A941" s="19"/>
      <c r="B941" s="20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 spans="1:31">
      <c r="A942" s="19"/>
      <c r="B942" s="20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 spans="1:31">
      <c r="A943" s="19"/>
      <c r="B943" s="20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 spans="1:31">
      <c r="A944" s="19"/>
      <c r="B944" s="20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 spans="1:31">
      <c r="A945" s="19"/>
      <c r="B945" s="20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 spans="1:31">
      <c r="A946" s="19"/>
      <c r="B946" s="20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 spans="1:31">
      <c r="A947" s="19"/>
      <c r="B947" s="20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 spans="1:31">
      <c r="A948" s="19"/>
      <c r="B948" s="20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 spans="1:31">
      <c r="A949" s="19"/>
      <c r="B949" s="20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 spans="1:31">
      <c r="A950" s="19"/>
      <c r="B950" s="20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 spans="1:31">
      <c r="A951" s="19"/>
      <c r="B951" s="20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 spans="1:31">
      <c r="A952" s="19"/>
      <c r="B952" s="20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 spans="1:31">
      <c r="A953" s="19"/>
      <c r="B953" s="20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 spans="1:31">
      <c r="A954" s="19"/>
      <c r="B954" s="20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 spans="1:31">
      <c r="A955" s="19"/>
      <c r="B955" s="20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 spans="1:31">
      <c r="A956" s="19"/>
      <c r="B956" s="20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 spans="1:31">
      <c r="A957" s="19"/>
      <c r="B957" s="20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 spans="1:31">
      <c r="A958" s="19"/>
      <c r="B958" s="20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 spans="1:31">
      <c r="A959" s="19"/>
      <c r="B959" s="20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 spans="1:31">
      <c r="A960" s="19"/>
      <c r="B960" s="20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 spans="1:31">
      <c r="A961" s="19"/>
      <c r="B961" s="20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 spans="1:31">
      <c r="A962" s="19"/>
      <c r="B962" s="20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 spans="1:31">
      <c r="A963" s="19"/>
      <c r="B963" s="20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 spans="1:31">
      <c r="A964" s="19"/>
      <c r="B964" s="20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 spans="1:31">
      <c r="A965" s="19"/>
      <c r="B965" s="20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 spans="1:31">
      <c r="A966" s="19"/>
      <c r="B966" s="20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 spans="1:31">
      <c r="A967" s="19"/>
      <c r="B967" s="20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 spans="1:31">
      <c r="A968" s="19"/>
      <c r="B968" s="20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 spans="1:31">
      <c r="A969" s="19"/>
      <c r="B969" s="20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 spans="1:31">
      <c r="A970" s="19"/>
      <c r="B970" s="20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 spans="1:31">
      <c r="A971" s="19"/>
      <c r="B971" s="20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 spans="1:31">
      <c r="A972" s="19"/>
      <c r="B972" s="20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 spans="1:31">
      <c r="A973" s="19"/>
      <c r="B973" s="20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 spans="1:31">
      <c r="A974" s="19"/>
      <c r="B974" s="20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</row>
    <row r="975" spans="1:31">
      <c r="A975" s="19"/>
      <c r="B975" s="20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</row>
    <row r="976" spans="1:31">
      <c r="A976" s="19"/>
      <c r="B976" s="20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</row>
    <row r="977" spans="1:31">
      <c r="A977" s="19"/>
      <c r="B977" s="20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</row>
    <row r="978" spans="1:31">
      <c r="A978" s="19"/>
      <c r="B978" s="20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</row>
    <row r="979" spans="1:31">
      <c r="A979" s="19"/>
      <c r="B979" s="20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</row>
    <row r="980" spans="1:31">
      <c r="A980" s="19"/>
      <c r="B980" s="20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</row>
    <row r="981" spans="1:31">
      <c r="A981" s="19"/>
      <c r="B981" s="20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</row>
    <row r="982" spans="1:31">
      <c r="A982" s="19"/>
      <c r="B982" s="20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</row>
    <row r="983" spans="1:31">
      <c r="A983" s="19"/>
      <c r="B983" s="20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</row>
    <row r="984" spans="1:31">
      <c r="A984" s="19"/>
      <c r="B984" s="20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 spans="1:31">
      <c r="A985" s="19"/>
      <c r="B985" s="20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 spans="1:31">
      <c r="A986" s="19"/>
      <c r="B986" s="20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 spans="1:31">
      <c r="A987" s="19"/>
      <c r="B987" s="20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 spans="1:31">
      <c r="A988" s="19"/>
      <c r="B988" s="20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 spans="1:31">
      <c r="A989" s="19"/>
      <c r="B989" s="20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 spans="1:31">
      <c r="A990" s="19"/>
      <c r="B990" s="20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  <row r="991" spans="1:31">
      <c r="A991" s="19"/>
      <c r="B991" s="20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</row>
    <row r="992" spans="1:31">
      <c r="A992" s="19"/>
      <c r="B992" s="20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</row>
    <row r="993" spans="1:31">
      <c r="A993" s="19"/>
      <c r="B993" s="20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</row>
    <row r="994" spans="1:31">
      <c r="A994" s="19"/>
      <c r="B994" s="20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</row>
    <row r="995" spans="1:31">
      <c r="A995" s="19"/>
      <c r="B995" s="20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</row>
    <row r="996" spans="1:31">
      <c r="A996" s="19"/>
      <c r="B996" s="20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 spans="1:31">
      <c r="A997" s="19"/>
      <c r="B997" s="20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 spans="1:31">
      <c r="A998" s="19"/>
      <c r="B998" s="20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 spans="1:31">
      <c r="A999" s="19"/>
      <c r="B999" s="20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 spans="1:31">
      <c r="A1000" s="19"/>
      <c r="B1000" s="20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</sheetData>
  <phoneticPr fontId="18" type="noConversion"/>
  <conditionalFormatting sqref="C1:D1">
    <cfRule type="expression" dxfId="38" priority="1">
      <formula>AND(ISNUMBER($I2),$I2=0)</formula>
    </cfRule>
  </conditionalFormatting>
  <conditionalFormatting sqref="C1:D1">
    <cfRule type="expression" dxfId="37" priority="2">
      <formula>AND(ISNUMBER($I2),$I2&gt;0)</formula>
    </cfRule>
  </conditionalFormatting>
  <conditionalFormatting sqref="C1:D1">
    <cfRule type="expression" dxfId="36" priority="3">
      <formula>AND(ISNUMBER($I2),$I2&gt;3)</formula>
    </cfRule>
  </conditionalFormatting>
  <conditionalFormatting sqref="C31">
    <cfRule type="expression" dxfId="35" priority="4">
      <formula>AND(ISNUMBER($I29),$I29&gt;3)</formula>
    </cfRule>
  </conditionalFormatting>
  <conditionalFormatting sqref="C31">
    <cfRule type="expression" dxfId="34" priority="5">
      <formula>AND(ISNUMBER($I29),$I29&gt;0)</formula>
    </cfRule>
  </conditionalFormatting>
  <conditionalFormatting sqref="C31">
    <cfRule type="expression" dxfId="33" priority="6">
      <formula>AND(ISNUMBER($I29),$I29=0)</formula>
    </cfRule>
  </conditionalFormatting>
  <conditionalFormatting sqref="A1:C1000 E1:AE1000 D3:D1000">
    <cfRule type="expression" dxfId="32" priority="7">
      <formula>AND(ISNUMBER($I1),$I1&gt;3)</formula>
    </cfRule>
  </conditionalFormatting>
  <conditionalFormatting sqref="A1:C1000 E1:AE1000 D3:D1000">
    <cfRule type="expression" dxfId="31" priority="8">
      <formula>AND(ISNUMBER($I1),$I1&gt;0)</formula>
    </cfRule>
  </conditionalFormatting>
  <conditionalFormatting sqref="A1:C1000 E1:AE1000 D3:D1000">
    <cfRule type="expression" dxfId="30" priority="9">
      <formula>AND(ISNUMBER($I1),$I1=0)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3" max="3" width="22.7109375" customWidth="1"/>
    <col min="6" max="6" width="14.42578125" hidden="1"/>
  </cols>
  <sheetData>
    <row r="1" spans="1:31">
      <c r="A1" s="8" t="s">
        <v>2</v>
      </c>
      <c r="B1" s="9" t="s">
        <v>14</v>
      </c>
      <c r="C1" s="8" t="s">
        <v>3</v>
      </c>
      <c r="D1" s="10" t="str">
        <f ca="1">IFERROR(__xludf.DUMMYFUNCTION("IF(COUNTUNIQUE(B3:B1000)&gt;0,COUNTUNIQUE(B3:B1000),)"),"")</f>
        <v/>
      </c>
      <c r="E1" s="8" t="s">
        <v>4</v>
      </c>
      <c r="F1" s="8"/>
      <c r="G1" s="8"/>
      <c r="H1" s="8"/>
      <c r="I1" s="8"/>
      <c r="J1" s="11"/>
      <c r="K1" s="12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>
      <c r="A2" s="13" t="s">
        <v>5</v>
      </c>
      <c r="B2" s="8" t="s">
        <v>6</v>
      </c>
      <c r="C2" s="14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11"/>
      <c r="K2" s="18"/>
      <c r="L2" s="18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>
      <c r="A3" s="16"/>
      <c r="B3" s="17"/>
      <c r="C3" s="18" t="str">
        <f ca="1">IFERROR(__xludf.DUMMYFUNCTION("IF(ISBLANK(B3),,IFERROR(FILTER('Leetcode分类顺序表'!B:G,'Leetcode分类顺序表'!A:A = B3),IFERROR(FILTER(Algoexpert.io!B:D,Algoexpert.io!A:A = B3),FILTER('Leetcode List'!B:G,'Leetcode List'!A:A = B3))))"),"")</f>
        <v/>
      </c>
      <c r="D3" s="18"/>
      <c r="E3" s="18"/>
      <c r="F3" s="18"/>
      <c r="G3" s="18"/>
      <c r="H3" s="18"/>
      <c r="I3" s="18">
        <f t="shared" ref="I3:I211" si="0">IF(ISBLANK(B3),,COUNTIF(B:B,"="&amp;B3)-1)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1">
      <c r="A4" s="16"/>
      <c r="B4" s="17"/>
      <c r="C4" s="18" t="str">
        <f ca="1">IFERROR(__xludf.DUMMYFUNCTION("IF(ISBLANK(B4),,IFERROR(FILTER('Leetcode分类顺序表'!B:G,'Leetcode分类顺序表'!A:A = B4),IFERROR(FILTER(Algoexpert.io!B:D,Algoexpert.io!A:A = B4),FILTER('Leetcode List'!B:G,'Leetcode List'!A:A = B4))))"),"")</f>
        <v/>
      </c>
      <c r="D4" s="18"/>
      <c r="E4" s="18"/>
      <c r="F4" s="18"/>
      <c r="G4" s="18"/>
      <c r="H4" s="18"/>
      <c r="I4" s="18">
        <f t="shared" si="0"/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1">
      <c r="A5" s="16"/>
      <c r="B5" s="17"/>
      <c r="C5" s="18" t="str">
        <f ca="1">IFERROR(__xludf.DUMMYFUNCTION("IF(ISBLANK(B5),,IFERROR(FILTER('Leetcode分类顺序表'!B:G,'Leetcode分类顺序表'!A:A = B5),IFERROR(FILTER(Algoexpert.io!B:D,Algoexpert.io!A:A = B5),FILTER('Leetcode List'!B:G,'Leetcode List'!A:A = B5))))"),"")</f>
        <v/>
      </c>
      <c r="D5" s="18"/>
      <c r="E5" s="18"/>
      <c r="F5" s="18"/>
      <c r="G5" s="18"/>
      <c r="H5" s="18"/>
      <c r="I5" s="18">
        <f t="shared" si="0"/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1">
      <c r="A6" s="16"/>
      <c r="B6" s="17"/>
      <c r="C6" s="18" t="str">
        <f ca="1">IFERROR(__xludf.DUMMYFUNCTION("IF(ISBLANK(B6),,IFERROR(FILTER('Leetcode分类顺序表'!B:G,'Leetcode分类顺序表'!A:A = B6),IFERROR(FILTER(Algoexpert.io!B:D,Algoexpert.io!A:A = B6),FILTER('Leetcode List'!B:G,'Leetcode List'!A:A = B6))))"),"")</f>
        <v/>
      </c>
      <c r="D6" s="18"/>
      <c r="E6" s="18"/>
      <c r="F6" s="18"/>
      <c r="G6" s="18"/>
      <c r="H6" s="18"/>
      <c r="I6" s="18">
        <f t="shared" si="0"/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>
      <c r="A7" s="16"/>
      <c r="B7" s="17"/>
      <c r="C7" s="18" t="str">
        <f ca="1">IFERROR(__xludf.DUMMYFUNCTION("IF(ISBLANK(B7),,IFERROR(FILTER('Leetcode分类顺序表'!B:G,'Leetcode分类顺序表'!A:A = B7),IFERROR(FILTER(Algoexpert.io!B:D,Algoexpert.io!A:A = B7),FILTER('Leetcode List'!B:G,'Leetcode List'!A:A = B7))))"),"")</f>
        <v/>
      </c>
      <c r="D7" s="18"/>
      <c r="E7" s="18"/>
      <c r="F7" s="18"/>
      <c r="G7" s="18"/>
      <c r="H7" s="18"/>
      <c r="I7" s="18">
        <f t="shared" si="0"/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>
      <c r="A8" s="16"/>
      <c r="B8" s="17"/>
      <c r="C8" s="18" t="str">
        <f ca="1">IFERROR(__xludf.DUMMYFUNCTION("IF(ISBLANK(B8),,IFERROR(FILTER('Leetcode分类顺序表'!B:G,'Leetcode分类顺序表'!A:A = B8),IFERROR(FILTER(Algoexpert.io!B:D,Algoexpert.io!A:A = B8),FILTER('Leetcode List'!B:G,'Leetcode List'!A:A = B8))))"),"")</f>
        <v/>
      </c>
      <c r="D8" s="18"/>
      <c r="E8" s="18"/>
      <c r="F8" s="18"/>
      <c r="G8" s="18"/>
      <c r="H8" s="18"/>
      <c r="I8" s="18">
        <f t="shared" si="0"/>
        <v>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>
      <c r="A9" s="16"/>
      <c r="B9" s="17"/>
      <c r="C9" s="18" t="str">
        <f ca="1">IFERROR(__xludf.DUMMYFUNCTION("IF(ISBLANK(B9),,IFERROR(FILTER('Leetcode分类顺序表'!B:G,'Leetcode分类顺序表'!A:A = B9),IFERROR(FILTER(Algoexpert.io!B:D,Algoexpert.io!A:A = B9),FILTER('Leetcode List'!B:G,'Leetcode List'!A:A = B9))))"),"")</f>
        <v/>
      </c>
      <c r="D9" s="18"/>
      <c r="E9" s="18"/>
      <c r="F9" s="18"/>
      <c r="G9" s="18"/>
      <c r="H9" s="18"/>
      <c r="I9" s="18">
        <f t="shared" si="0"/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>
      <c r="A10" s="16"/>
      <c r="B10" s="17"/>
      <c r="C10" s="18" t="str">
        <f ca="1">IFERROR(__xludf.DUMMYFUNCTION("IF(ISBLANK(B10),,IFERROR(FILTER('Leetcode分类顺序表'!B:G,'Leetcode分类顺序表'!A:A = B10),IFERROR(FILTER(Algoexpert.io!B:D,Algoexpert.io!A:A = B10),FILTER('Leetcode List'!B:G,'Leetcode List'!A:A = B10))))"),"")</f>
        <v/>
      </c>
      <c r="D10" s="18"/>
      <c r="E10" s="18"/>
      <c r="F10" s="18"/>
      <c r="G10" s="18"/>
      <c r="H10" s="18"/>
      <c r="I10" s="18">
        <f t="shared" si="0"/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>
      <c r="A11" s="16"/>
      <c r="B11" s="17"/>
      <c r="C11" s="18" t="str">
        <f ca="1">IFERROR(__xludf.DUMMYFUNCTION("IF(ISBLANK(B11),,IFERROR(FILTER('Leetcode分类顺序表'!B:G,'Leetcode分类顺序表'!A:A = B11),IFERROR(FILTER(Algoexpert.io!B:D,Algoexpert.io!A:A = B11),FILTER('Leetcode List'!B:G,'Leetcode List'!A:A = B11))))"),"")</f>
        <v/>
      </c>
      <c r="D11" s="18"/>
      <c r="E11" s="18"/>
      <c r="F11" s="18"/>
      <c r="G11" s="18"/>
      <c r="H11" s="18"/>
      <c r="I11" s="18">
        <f t="shared" si="0"/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1">
      <c r="A12" s="16"/>
      <c r="B12" s="17"/>
      <c r="C12" s="18" t="str">
        <f ca="1">IFERROR(__xludf.DUMMYFUNCTION("IF(ISBLANK(B12),,IFERROR(FILTER('Leetcode分类顺序表'!B:G,'Leetcode分类顺序表'!A:A = B12),IFERROR(FILTER(Algoexpert.io!B:D,Algoexpert.io!A:A = B12),FILTER('Leetcode List'!B:G,'Leetcode List'!A:A = B12))))"),"")</f>
        <v/>
      </c>
      <c r="D12" s="18"/>
      <c r="E12" s="18"/>
      <c r="F12" s="18"/>
      <c r="G12" s="18"/>
      <c r="H12" s="18"/>
      <c r="I12" s="18">
        <f t="shared" si="0"/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1">
      <c r="A13" s="16"/>
      <c r="B13" s="17"/>
      <c r="C13" s="18" t="str">
        <f ca="1">IFERROR(__xludf.DUMMYFUNCTION("IF(ISBLANK(B13),,IFERROR(FILTER('Leetcode分类顺序表'!B:G,'Leetcode分类顺序表'!A:A = B13),IFERROR(FILTER(Algoexpert.io!B:D,Algoexpert.io!A:A = B13),FILTER('Leetcode List'!B:G,'Leetcode List'!A:A = B13))))"),"")</f>
        <v/>
      </c>
      <c r="D13" s="18"/>
      <c r="E13" s="18"/>
      <c r="F13" s="18"/>
      <c r="G13" s="18"/>
      <c r="H13" s="18"/>
      <c r="I13" s="18">
        <f t="shared" si="0"/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>
      <c r="A14" s="16"/>
      <c r="B14" s="17"/>
      <c r="C14" s="18" t="str">
        <f ca="1">IFERROR(__xludf.DUMMYFUNCTION("IF(ISBLANK(B14),,IFERROR(FILTER('Leetcode分类顺序表'!B:G,'Leetcode分类顺序表'!A:A = B14),IFERROR(FILTER(Algoexpert.io!B:D,Algoexpert.io!A:A = B14),FILTER('Leetcode List'!B:G,'Leetcode List'!A:A = B14))))"),"")</f>
        <v/>
      </c>
      <c r="D14" s="18"/>
      <c r="E14" s="18"/>
      <c r="F14" s="18"/>
      <c r="G14" s="18"/>
      <c r="H14" s="18"/>
      <c r="I14" s="18">
        <f t="shared" si="0"/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1">
      <c r="A15" s="16"/>
      <c r="B15" s="17"/>
      <c r="C15" s="18" t="str">
        <f ca="1">IFERROR(__xludf.DUMMYFUNCTION("IF(ISBLANK(B15),,IFERROR(FILTER('Leetcode分类顺序表'!B:G,'Leetcode分类顺序表'!A:A = B15),IFERROR(FILTER(Algoexpert.io!B:D,Algoexpert.io!A:A = B15),FILTER('Leetcode List'!B:G,'Leetcode List'!A:A = B15))))"),"")</f>
        <v/>
      </c>
      <c r="D15" s="18"/>
      <c r="E15" s="18"/>
      <c r="F15" s="18"/>
      <c r="G15" s="18"/>
      <c r="H15" s="18"/>
      <c r="I15" s="18">
        <f t="shared" si="0"/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31">
      <c r="A16" s="16"/>
      <c r="B16" s="17"/>
      <c r="C16" s="18" t="str">
        <f ca="1">IFERROR(__xludf.DUMMYFUNCTION("IF(ISBLANK(B16),,IFERROR(FILTER('Leetcode分类顺序表'!B:G,'Leetcode分类顺序表'!A:A = B16),IFERROR(FILTER(Algoexpert.io!B:D,Algoexpert.io!A:A = B16),FILTER('Leetcode List'!B:G,'Leetcode List'!A:A = B16))))"),"")</f>
        <v/>
      </c>
      <c r="D16" s="18"/>
      <c r="E16" s="18"/>
      <c r="F16" s="18"/>
      <c r="G16" s="18"/>
      <c r="H16" s="18"/>
      <c r="I16" s="18">
        <f t="shared" si="0"/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>
      <c r="A17" s="16"/>
      <c r="B17" s="17"/>
      <c r="C17" s="18" t="str">
        <f ca="1">IFERROR(__xludf.DUMMYFUNCTION("IF(ISBLANK(B17),,IFERROR(FILTER('Leetcode分类顺序表'!B:G,'Leetcode分类顺序表'!A:A = B17),IFERROR(FILTER(Algoexpert.io!B:D,Algoexpert.io!A:A = B17),FILTER('Leetcode List'!B:G,'Leetcode List'!A:A = B17))))"),"")</f>
        <v/>
      </c>
      <c r="D17" s="18"/>
      <c r="E17" s="18"/>
      <c r="F17" s="18"/>
      <c r="G17" s="18"/>
      <c r="H17" s="18"/>
      <c r="I17" s="18">
        <f t="shared" si="0"/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>
      <c r="A18" s="16"/>
      <c r="B18" s="17"/>
      <c r="C18" s="18" t="str">
        <f ca="1">IFERROR(__xludf.DUMMYFUNCTION("IF(ISBLANK(B18),,IFERROR(FILTER('Leetcode分类顺序表'!B:G,'Leetcode分类顺序表'!A:A = B18),IFERROR(FILTER(Algoexpert.io!B:D,Algoexpert.io!A:A = B18),FILTER('Leetcode List'!B:G,'Leetcode List'!A:A = B18))))"),"")</f>
        <v/>
      </c>
      <c r="D18" s="18"/>
      <c r="E18" s="18"/>
      <c r="F18" s="18"/>
      <c r="G18" s="18"/>
      <c r="H18" s="18"/>
      <c r="I18" s="18">
        <f t="shared" si="0"/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>
      <c r="A19" s="16"/>
      <c r="B19" s="17"/>
      <c r="C19" s="18" t="str">
        <f ca="1">IFERROR(__xludf.DUMMYFUNCTION("IF(ISBLANK(B19),,IFERROR(FILTER('Leetcode分类顺序表'!B:G,'Leetcode分类顺序表'!A:A = B19),IFERROR(FILTER(Algoexpert.io!B:D,Algoexpert.io!A:A = B19),FILTER('Leetcode List'!B:G,'Leetcode List'!A:A = B19))))"),"")</f>
        <v/>
      </c>
      <c r="D19" s="18"/>
      <c r="E19" s="18"/>
      <c r="F19" s="18"/>
      <c r="G19" s="18"/>
      <c r="H19" s="18"/>
      <c r="I19" s="18">
        <f t="shared" si="0"/>
        <v>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spans="1:31">
      <c r="A20" s="16"/>
      <c r="B20" s="17"/>
      <c r="C20" s="18" t="str">
        <f ca="1">IFERROR(__xludf.DUMMYFUNCTION("IF(ISBLANK(B20),,IFERROR(FILTER('Leetcode分类顺序表'!B:G,'Leetcode分类顺序表'!A:A = B20),IFERROR(FILTER(Algoexpert.io!B:D,Algoexpert.io!A:A = B20),FILTER('Leetcode List'!B:G,'Leetcode List'!A:A = B20))))"),"")</f>
        <v/>
      </c>
      <c r="D20" s="18"/>
      <c r="E20" s="18"/>
      <c r="F20" s="18"/>
      <c r="G20" s="18"/>
      <c r="H20" s="18"/>
      <c r="I20" s="18">
        <f t="shared" si="0"/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1:31">
      <c r="A21" s="16"/>
      <c r="B21" s="17"/>
      <c r="C21" s="18" t="str">
        <f ca="1">IFERROR(__xludf.DUMMYFUNCTION("IF(ISBLANK(B21),,IFERROR(FILTER('Leetcode分类顺序表'!B:G,'Leetcode分类顺序表'!A:A = B21),IFERROR(FILTER(Algoexpert.io!B:D,Algoexpert.io!A:A = B21),FILTER('Leetcode List'!B:G,'Leetcode List'!A:A = B21))))"),"")</f>
        <v/>
      </c>
      <c r="D21" s="18"/>
      <c r="E21" s="18"/>
      <c r="F21" s="18"/>
      <c r="G21" s="18"/>
      <c r="H21" s="18"/>
      <c r="I21" s="18">
        <f t="shared" si="0"/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spans="1:31">
      <c r="A22" s="16"/>
      <c r="B22" s="17"/>
      <c r="C22" s="18" t="str">
        <f ca="1">IFERROR(__xludf.DUMMYFUNCTION("IF(ISBLANK(B22),,IFERROR(FILTER('Leetcode分类顺序表'!B:G,'Leetcode分类顺序表'!A:A = B22),IFERROR(FILTER(Algoexpert.io!B:D,Algoexpert.io!A:A = B22),FILTER('Leetcode List'!B:G,'Leetcode List'!A:A = B22))))"),"")</f>
        <v/>
      </c>
      <c r="D22" s="18"/>
      <c r="E22" s="18"/>
      <c r="F22" s="18"/>
      <c r="G22" s="18"/>
      <c r="H22" s="18"/>
      <c r="I22" s="18">
        <f t="shared" si="0"/>
        <v>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pans="1:31">
      <c r="A23" s="16"/>
      <c r="B23" s="17"/>
      <c r="C23" s="18" t="str">
        <f ca="1">IFERROR(__xludf.DUMMYFUNCTION("IF(ISBLANK(B23),,IFERROR(FILTER('Leetcode分类顺序表'!B:G,'Leetcode分类顺序表'!A:A = B23),IFERROR(FILTER(Algoexpert.io!B:D,Algoexpert.io!A:A = B23),FILTER('Leetcode List'!B:G,'Leetcode List'!A:A = B23))))"),"")</f>
        <v/>
      </c>
      <c r="D23" s="18"/>
      <c r="E23" s="18"/>
      <c r="F23" s="18"/>
      <c r="G23" s="18"/>
      <c r="H23" s="18"/>
      <c r="I23" s="18">
        <f t="shared" si="0"/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1">
      <c r="A24" s="16"/>
      <c r="B24" s="17"/>
      <c r="C24" s="18" t="str">
        <f ca="1">IFERROR(__xludf.DUMMYFUNCTION("IF(ISBLANK(B24),,IFERROR(FILTER('Leetcode分类顺序表'!B:G,'Leetcode分类顺序表'!A:A = B24),IFERROR(FILTER(Algoexpert.io!B:D,Algoexpert.io!A:A = B24),FILTER('Leetcode List'!B:G,'Leetcode List'!A:A = B24))))"),"")</f>
        <v/>
      </c>
      <c r="D24" s="18"/>
      <c r="E24" s="18"/>
      <c r="F24" s="18"/>
      <c r="G24" s="18"/>
      <c r="H24" s="18"/>
      <c r="I24" s="18">
        <f t="shared" si="0"/>
        <v>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1">
      <c r="A25" s="16"/>
      <c r="B25" s="17"/>
      <c r="C25" s="18" t="str">
        <f ca="1">IFERROR(__xludf.DUMMYFUNCTION("IF(ISBLANK(B25),,IFERROR(FILTER('Leetcode分类顺序表'!B:G,'Leetcode分类顺序表'!A:A = B25),IFERROR(FILTER(Algoexpert.io!B:D,Algoexpert.io!A:A = B25),FILTER('Leetcode List'!B:G,'Leetcode List'!A:A = B25))))"),"")</f>
        <v/>
      </c>
      <c r="D25" s="18"/>
      <c r="E25" s="18"/>
      <c r="F25" s="18"/>
      <c r="G25" s="18"/>
      <c r="H25" s="18"/>
      <c r="I25" s="18">
        <f t="shared" si="0"/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spans="1:31">
      <c r="A26" s="16"/>
      <c r="B26" s="17"/>
      <c r="C26" s="18" t="str">
        <f ca="1">IFERROR(__xludf.DUMMYFUNCTION("IF(ISBLANK(B26),,IFERROR(FILTER('Leetcode分类顺序表'!B:G,'Leetcode分类顺序表'!A:A = B26),IFERROR(FILTER(Algoexpert.io!B:D,Algoexpert.io!A:A = B26),FILTER('Leetcode List'!B:G,'Leetcode List'!A:A = B26))))"),"")</f>
        <v/>
      </c>
      <c r="D26" s="18"/>
      <c r="E26" s="18"/>
      <c r="F26" s="18"/>
      <c r="G26" s="18"/>
      <c r="H26" s="18"/>
      <c r="I26" s="18">
        <f t="shared" si="0"/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spans="1:31">
      <c r="A27" s="16"/>
      <c r="B27" s="17"/>
      <c r="C27" s="18" t="str">
        <f ca="1">IFERROR(__xludf.DUMMYFUNCTION("IF(ISBLANK(B27),,IFERROR(FILTER('Leetcode分类顺序表'!B:G,'Leetcode分类顺序表'!A:A = B27),IFERROR(FILTER(Algoexpert.io!B:D,Algoexpert.io!A:A = B27),FILTER('Leetcode List'!B:G,'Leetcode List'!A:A = B27))))"),"")</f>
        <v/>
      </c>
      <c r="D27" s="18"/>
      <c r="E27" s="18"/>
      <c r="F27" s="18"/>
      <c r="G27" s="18"/>
      <c r="H27" s="18"/>
      <c r="I27" s="18">
        <f t="shared" si="0"/>
        <v>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spans="1:31">
      <c r="A28" s="16"/>
      <c r="B28" s="17"/>
      <c r="C28" s="18" t="str">
        <f ca="1">IFERROR(__xludf.DUMMYFUNCTION("IF(ISBLANK(B28),,IFERROR(FILTER('Leetcode分类顺序表'!B:G,'Leetcode分类顺序表'!A:A = B28),IFERROR(FILTER(Algoexpert.io!B:D,Algoexpert.io!A:A = B28),FILTER('Leetcode List'!B:G,'Leetcode List'!A:A = B28))))"),"")</f>
        <v/>
      </c>
      <c r="D28" s="18"/>
      <c r="E28" s="18"/>
      <c r="F28" s="18"/>
      <c r="G28" s="18"/>
      <c r="H28" s="18"/>
      <c r="I28" s="18">
        <f t="shared" si="0"/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spans="1:31">
      <c r="A29" s="16"/>
      <c r="B29" s="17"/>
      <c r="C29" s="18" t="str">
        <f ca="1">IFERROR(__xludf.DUMMYFUNCTION("IF(ISBLANK(B29),,IFERROR(FILTER('Leetcode分类顺序表'!B:G,'Leetcode分类顺序表'!A:A = B29),IFERROR(FILTER(Algoexpert.io!B:D,Algoexpert.io!A:A = B29),FILTER('Leetcode List'!B:G,'Leetcode List'!A:A = B29))))"),"")</f>
        <v/>
      </c>
      <c r="D29" s="18"/>
      <c r="E29" s="18"/>
      <c r="F29" s="18"/>
      <c r="G29" s="18"/>
      <c r="H29" s="18"/>
      <c r="I29" s="18">
        <f t="shared" si="0"/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 spans="1:31">
      <c r="A30" s="16"/>
      <c r="B30" s="17"/>
      <c r="C30" s="18" t="str">
        <f ca="1">IFERROR(__xludf.DUMMYFUNCTION("IF(ISBLANK(B30),,IFERROR(FILTER('Leetcode分类顺序表'!B:G,'Leetcode分类顺序表'!A:A = B30),IFERROR(FILTER(Algoexpert.io!B:D,Algoexpert.io!A:A = B30),FILTER('Leetcode List'!B:G,'Leetcode List'!A:A = B30))))"),"")</f>
        <v/>
      </c>
      <c r="D30" s="18"/>
      <c r="E30" s="18"/>
      <c r="F30" s="18"/>
      <c r="G30" s="18"/>
      <c r="H30" s="18"/>
      <c r="I30" s="18">
        <f t="shared" si="0"/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 spans="1:31">
      <c r="A31" s="16"/>
      <c r="B31" s="17"/>
      <c r="C31" s="18" t="str">
        <f ca="1">IFERROR(__xludf.DUMMYFUNCTION("IF(ISBLANK(B31),,IFERROR(FILTER('Leetcode分类顺序表'!B:G,'Leetcode分类顺序表'!A:A = B31),IFERROR(FILTER(Algoexpert.io!B:D,Algoexpert.io!A:A = B31),FILTER('Leetcode List'!B:G,'Leetcode List'!A:A = B31))))"),"")</f>
        <v/>
      </c>
      <c r="D31" s="18"/>
      <c r="E31" s="18"/>
      <c r="F31" s="18"/>
      <c r="G31" s="18"/>
      <c r="H31" s="18"/>
      <c r="I31" s="18">
        <f t="shared" si="0"/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 spans="1:31">
      <c r="A32" s="16"/>
      <c r="B32" s="17"/>
      <c r="C32" s="18" t="str">
        <f ca="1">IFERROR(__xludf.DUMMYFUNCTION("IF(ISBLANK(B32),,IFERROR(FILTER('Leetcode分类顺序表'!B:G,'Leetcode分类顺序表'!A:A = B32),IFERROR(FILTER(Algoexpert.io!B:D,Algoexpert.io!A:A = B32),FILTER('Leetcode List'!B:G,'Leetcode List'!A:A = B32))))"),"")</f>
        <v/>
      </c>
      <c r="D32" s="18"/>
      <c r="E32" s="18"/>
      <c r="F32" s="18"/>
      <c r="G32" s="18"/>
      <c r="H32" s="18"/>
      <c r="I32" s="18">
        <f t="shared" si="0"/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31">
      <c r="A33" s="16"/>
      <c r="B33" s="17"/>
      <c r="C33" s="18" t="str">
        <f ca="1">IFERROR(__xludf.DUMMYFUNCTION("IF(ISBLANK(B33),,IFERROR(FILTER('Leetcode分类顺序表'!B:G,'Leetcode分类顺序表'!A:A = B33),IFERROR(FILTER(Algoexpert.io!B:D,Algoexpert.io!A:A = B33),FILTER('Leetcode List'!B:G,'Leetcode List'!A:A = B33))))"),"")</f>
        <v/>
      </c>
      <c r="D33" s="18"/>
      <c r="E33" s="18"/>
      <c r="F33" s="18"/>
      <c r="G33" s="18"/>
      <c r="H33" s="18"/>
      <c r="I33" s="18">
        <f t="shared" si="0"/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>
      <c r="A34" s="16"/>
      <c r="B34" s="17"/>
      <c r="C34" s="18" t="str">
        <f ca="1">IFERROR(__xludf.DUMMYFUNCTION("IF(ISBLANK(B34),,IFERROR(FILTER('Leetcode分类顺序表'!B:G,'Leetcode分类顺序表'!A:A = B34),IFERROR(FILTER(Algoexpert.io!B:D,Algoexpert.io!A:A = B34),FILTER('Leetcode List'!B:G,'Leetcode List'!A:A = B34))))"),"")</f>
        <v/>
      </c>
      <c r="D34" s="18"/>
      <c r="E34" s="18"/>
      <c r="F34" s="18"/>
      <c r="G34" s="18"/>
      <c r="H34" s="18"/>
      <c r="I34" s="18">
        <f t="shared" si="0"/>
        <v>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>
      <c r="A35" s="16"/>
      <c r="B35" s="17"/>
      <c r="C35" s="18" t="str">
        <f ca="1">IFERROR(__xludf.DUMMYFUNCTION("IF(ISBLANK(B35),,IFERROR(FILTER('Leetcode分类顺序表'!B:G,'Leetcode分类顺序表'!A:A = B35),IFERROR(FILTER(Algoexpert.io!B:D,Algoexpert.io!A:A = B35),FILTER('Leetcode List'!B:G,'Leetcode List'!A:A = B35))))"),"")</f>
        <v/>
      </c>
      <c r="D35" s="18"/>
      <c r="E35" s="18"/>
      <c r="F35" s="18"/>
      <c r="G35" s="18"/>
      <c r="H35" s="18"/>
      <c r="I35" s="18">
        <f t="shared" si="0"/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>
      <c r="A36" s="16"/>
      <c r="B36" s="17"/>
      <c r="C36" s="18" t="str">
        <f ca="1">IFERROR(__xludf.DUMMYFUNCTION("IF(ISBLANK(B36),,IFERROR(FILTER('Leetcode分类顺序表'!B:G,'Leetcode分类顺序表'!A:A = B36),IFERROR(FILTER(Algoexpert.io!B:D,Algoexpert.io!A:A = B36),FILTER('Leetcode List'!B:G,'Leetcode List'!A:A = B36))))"),"")</f>
        <v/>
      </c>
      <c r="D36" s="18"/>
      <c r="E36" s="18"/>
      <c r="F36" s="18"/>
      <c r="G36" s="18"/>
      <c r="H36" s="18"/>
      <c r="I36" s="18">
        <f t="shared" si="0"/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1:31">
      <c r="A37" s="16"/>
      <c r="B37" s="17"/>
      <c r="C37" s="18" t="str">
        <f ca="1">IFERROR(__xludf.DUMMYFUNCTION("IF(ISBLANK(B37),,IFERROR(FILTER('Leetcode分类顺序表'!B:G,'Leetcode分类顺序表'!A:A = B37),IFERROR(FILTER(Algoexpert.io!B:D,Algoexpert.io!A:A = B37),FILTER('Leetcode List'!B:G,'Leetcode List'!A:A = B37))))"),"")</f>
        <v/>
      </c>
      <c r="D37" s="18"/>
      <c r="E37" s="18"/>
      <c r="F37" s="18"/>
      <c r="G37" s="18"/>
      <c r="H37" s="18"/>
      <c r="I37" s="18">
        <f t="shared" si="0"/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>
      <c r="A38" s="16"/>
      <c r="B38" s="17"/>
      <c r="C38" s="18" t="str">
        <f ca="1">IFERROR(__xludf.DUMMYFUNCTION("IF(ISBLANK(B38),,IFERROR(FILTER('Leetcode分类顺序表'!B:G,'Leetcode分类顺序表'!A:A = B38),IFERROR(FILTER(Algoexpert.io!B:D,Algoexpert.io!A:A = B38),FILTER('Leetcode List'!B:G,'Leetcode List'!A:A = B38))))"),"")</f>
        <v/>
      </c>
      <c r="D38" s="18"/>
      <c r="E38" s="18"/>
      <c r="F38" s="18"/>
      <c r="G38" s="18"/>
      <c r="H38" s="18"/>
      <c r="I38" s="18">
        <f t="shared" si="0"/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>
      <c r="A39" s="16"/>
      <c r="B39" s="17"/>
      <c r="C39" s="18" t="str">
        <f ca="1">IFERROR(__xludf.DUMMYFUNCTION("IF(ISBLANK(B39),,IFERROR(FILTER('Leetcode分类顺序表'!B:G,'Leetcode分类顺序表'!A:A = B39),IFERROR(FILTER(Algoexpert.io!B:D,Algoexpert.io!A:A = B39),FILTER('Leetcode List'!B:G,'Leetcode List'!A:A = B39))))"),"")</f>
        <v/>
      </c>
      <c r="D39" s="18"/>
      <c r="E39" s="18"/>
      <c r="F39" s="18"/>
      <c r="G39" s="18"/>
      <c r="H39" s="18"/>
      <c r="I39" s="18">
        <f t="shared" si="0"/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>
      <c r="A40" s="16"/>
      <c r="B40" s="17"/>
      <c r="C40" s="18" t="str">
        <f ca="1">IFERROR(__xludf.DUMMYFUNCTION("IF(ISBLANK(B40),,IFERROR(FILTER('Leetcode分类顺序表'!B:G,'Leetcode分类顺序表'!A:A = B40),IFERROR(FILTER(Algoexpert.io!B:D,Algoexpert.io!A:A = B40),FILTER('Leetcode List'!B:G,'Leetcode List'!A:A = B40))))"),"")</f>
        <v/>
      </c>
      <c r="D40" s="18"/>
      <c r="E40" s="18"/>
      <c r="F40" s="18"/>
      <c r="G40" s="18"/>
      <c r="H40" s="18"/>
      <c r="I40" s="18">
        <f t="shared" si="0"/>
        <v>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>
      <c r="A41" s="16"/>
      <c r="B41" s="17"/>
      <c r="C41" s="18" t="str">
        <f ca="1">IFERROR(__xludf.DUMMYFUNCTION("IF(ISBLANK(B41),,IFERROR(FILTER('Leetcode分类顺序表'!B:G,'Leetcode分类顺序表'!A:A = B41),IFERROR(FILTER(Algoexpert.io!B:D,Algoexpert.io!A:A = B41),FILTER('Leetcode List'!B:G,'Leetcode List'!A:A = B41))))"),"")</f>
        <v/>
      </c>
      <c r="D41" s="18"/>
      <c r="E41" s="18"/>
      <c r="F41" s="18"/>
      <c r="G41" s="18"/>
      <c r="H41" s="18"/>
      <c r="I41" s="18">
        <f t="shared" si="0"/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>
      <c r="A42" s="16"/>
      <c r="B42" s="17"/>
      <c r="C42" s="18" t="str">
        <f ca="1">IFERROR(__xludf.DUMMYFUNCTION("IF(ISBLANK(B42),,IFERROR(FILTER('Leetcode分类顺序表'!B:G,'Leetcode分类顺序表'!A:A = B42),IFERROR(FILTER(Algoexpert.io!B:D,Algoexpert.io!A:A = B42),FILTER('Leetcode List'!B:G,'Leetcode List'!A:A = B42))))"),"")</f>
        <v/>
      </c>
      <c r="D42" s="18"/>
      <c r="E42" s="18"/>
      <c r="F42" s="18"/>
      <c r="G42" s="18"/>
      <c r="H42" s="18"/>
      <c r="I42" s="18">
        <f t="shared" si="0"/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1:31">
      <c r="A43" s="16"/>
      <c r="B43" s="17"/>
      <c r="C43" s="18" t="str">
        <f ca="1">IFERROR(__xludf.DUMMYFUNCTION("IF(ISBLANK(B43),,IFERROR(FILTER('Leetcode分类顺序表'!B:G,'Leetcode分类顺序表'!A:A = B43),IFERROR(FILTER(Algoexpert.io!B:D,Algoexpert.io!A:A = B43),FILTER('Leetcode List'!B:G,'Leetcode List'!A:A = B43))))"),"")</f>
        <v/>
      </c>
      <c r="D43" s="18"/>
      <c r="E43" s="18"/>
      <c r="F43" s="18"/>
      <c r="G43" s="18"/>
      <c r="H43" s="18"/>
      <c r="I43" s="18">
        <f t="shared" si="0"/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 spans="1:31">
      <c r="A44" s="16"/>
      <c r="B44" s="17"/>
      <c r="C44" s="18" t="str">
        <f ca="1">IFERROR(__xludf.DUMMYFUNCTION("IF(ISBLANK(B44),,IFERROR(FILTER('Leetcode分类顺序表'!B:G,'Leetcode分类顺序表'!A:A = B44),IFERROR(FILTER(Algoexpert.io!B:D,Algoexpert.io!A:A = B44),FILTER('Leetcode List'!B:G,'Leetcode List'!A:A = B44))))"),"")</f>
        <v/>
      </c>
      <c r="D44" s="18"/>
      <c r="E44" s="18"/>
      <c r="F44" s="18"/>
      <c r="G44" s="18"/>
      <c r="H44" s="18"/>
      <c r="I44" s="18">
        <f t="shared" si="0"/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 spans="1:31">
      <c r="A45" s="16"/>
      <c r="B45" s="17"/>
      <c r="C45" s="18" t="str">
        <f ca="1">IFERROR(__xludf.DUMMYFUNCTION("IF(ISBLANK(B45),,IFERROR(FILTER('Leetcode分类顺序表'!B:G,'Leetcode分类顺序表'!A:A = B45),IFERROR(FILTER(Algoexpert.io!B:D,Algoexpert.io!A:A = B45),FILTER('Leetcode List'!B:G,'Leetcode List'!A:A = B45))))"),"")</f>
        <v/>
      </c>
      <c r="D45" s="18"/>
      <c r="E45" s="18"/>
      <c r="F45" s="18"/>
      <c r="G45" s="18"/>
      <c r="H45" s="18"/>
      <c r="I45" s="18">
        <f t="shared" si="0"/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 spans="1:31">
      <c r="A46" s="16"/>
      <c r="B46" s="17"/>
      <c r="C46" s="18" t="str">
        <f ca="1">IFERROR(__xludf.DUMMYFUNCTION("IF(ISBLANK(B46),,IFERROR(FILTER('Leetcode分类顺序表'!B:G,'Leetcode分类顺序表'!A:A = B46),IFERROR(FILTER(Algoexpert.io!B:D,Algoexpert.io!A:A = B46),FILTER('Leetcode List'!B:G,'Leetcode List'!A:A = B46))))"),"")</f>
        <v/>
      </c>
      <c r="D46" s="18"/>
      <c r="E46" s="18"/>
      <c r="F46" s="18"/>
      <c r="G46" s="18"/>
      <c r="H46" s="18"/>
      <c r="I46" s="18">
        <f t="shared" si="0"/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 spans="1:31">
      <c r="A47" s="16"/>
      <c r="B47" s="17"/>
      <c r="C47" s="18" t="str">
        <f ca="1">IFERROR(__xludf.DUMMYFUNCTION("IF(ISBLANK(B47),,IFERROR(FILTER('Leetcode分类顺序表'!B:G,'Leetcode分类顺序表'!A:A = B47),IFERROR(FILTER(Algoexpert.io!B:D,Algoexpert.io!A:A = B47),FILTER('Leetcode List'!B:G,'Leetcode List'!A:A = B47))))"),"")</f>
        <v/>
      </c>
      <c r="D47" s="18"/>
      <c r="E47" s="18"/>
      <c r="F47" s="18"/>
      <c r="G47" s="18"/>
      <c r="H47" s="18"/>
      <c r="I47" s="18">
        <f t="shared" si="0"/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 spans="1:31">
      <c r="A48" s="16"/>
      <c r="B48" s="17"/>
      <c r="C48" s="18" t="str">
        <f ca="1">IFERROR(__xludf.DUMMYFUNCTION("IF(ISBLANK(B48),,IFERROR(FILTER('Leetcode分类顺序表'!B:G,'Leetcode分类顺序表'!A:A = B48),IFERROR(FILTER(Algoexpert.io!B:D,Algoexpert.io!A:A = B48),FILTER('Leetcode List'!B:G,'Leetcode List'!A:A = B48))))"),"")</f>
        <v/>
      </c>
      <c r="D48" s="18"/>
      <c r="E48" s="18"/>
      <c r="F48" s="18"/>
      <c r="G48" s="18"/>
      <c r="H48" s="18"/>
      <c r="I48" s="18">
        <f t="shared" si="0"/>
        <v>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 spans="1:31">
      <c r="A49" s="16"/>
      <c r="B49" s="17"/>
      <c r="C49" s="18" t="str">
        <f ca="1">IFERROR(__xludf.DUMMYFUNCTION("IF(ISBLANK(B49),,IFERROR(FILTER('Leetcode分类顺序表'!B:G,'Leetcode分类顺序表'!A:A = B49),IFERROR(FILTER(Algoexpert.io!B:D,Algoexpert.io!A:A = B49),FILTER('Leetcode List'!B:G,'Leetcode List'!A:A = B49))))"),"")</f>
        <v/>
      </c>
      <c r="D49" s="18"/>
      <c r="E49" s="18"/>
      <c r="F49" s="18"/>
      <c r="G49" s="18"/>
      <c r="H49" s="18"/>
      <c r="I49" s="18">
        <f t="shared" si="0"/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spans="1:31">
      <c r="A50" s="16"/>
      <c r="B50" s="17"/>
      <c r="C50" s="18" t="str">
        <f ca="1">IFERROR(__xludf.DUMMYFUNCTION("IF(ISBLANK(B50),,IFERROR(FILTER('Leetcode分类顺序表'!B:G,'Leetcode分类顺序表'!A:A = B50),IFERROR(FILTER(Algoexpert.io!B:D,Algoexpert.io!A:A = B50),FILTER('Leetcode List'!B:G,'Leetcode List'!A:A = B50))))"),"")</f>
        <v/>
      </c>
      <c r="D50" s="18"/>
      <c r="E50" s="18"/>
      <c r="F50" s="18"/>
      <c r="G50" s="18"/>
      <c r="H50" s="18"/>
      <c r="I50" s="18">
        <f t="shared" si="0"/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 spans="1:31">
      <c r="A51" s="16"/>
      <c r="B51" s="17"/>
      <c r="C51" s="18" t="str">
        <f ca="1">IFERROR(__xludf.DUMMYFUNCTION("IF(ISBLANK(B51),,IFERROR(FILTER('Leetcode分类顺序表'!B:G,'Leetcode分类顺序表'!A:A = B51),IFERROR(FILTER(Algoexpert.io!B:D,Algoexpert.io!A:A = B51),FILTER('Leetcode List'!B:G,'Leetcode List'!A:A = B51))))"),"")</f>
        <v/>
      </c>
      <c r="D51" s="18"/>
      <c r="E51" s="18"/>
      <c r="F51" s="18"/>
      <c r="G51" s="18"/>
      <c r="H51" s="18"/>
      <c r="I51" s="18">
        <f t="shared" si="0"/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 spans="1:31">
      <c r="A52" s="16"/>
      <c r="B52" s="17"/>
      <c r="C52" s="18" t="str">
        <f ca="1">IFERROR(__xludf.DUMMYFUNCTION("IF(ISBLANK(B52),,IFERROR(FILTER('Leetcode分类顺序表'!B:G,'Leetcode分类顺序表'!A:A = B52),IFERROR(FILTER(Algoexpert.io!B:D,Algoexpert.io!A:A = B52),FILTER('Leetcode List'!B:G,'Leetcode List'!A:A = B52))))"),"")</f>
        <v/>
      </c>
      <c r="D52" s="18"/>
      <c r="E52" s="18"/>
      <c r="F52" s="18"/>
      <c r="G52" s="18"/>
      <c r="H52" s="18"/>
      <c r="I52" s="18">
        <f t="shared" si="0"/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1:31">
      <c r="A53" s="16"/>
      <c r="B53" s="17"/>
      <c r="C53" s="18" t="str">
        <f ca="1">IFERROR(__xludf.DUMMYFUNCTION("IF(ISBLANK(B53),,IFERROR(FILTER('Leetcode分类顺序表'!B:G,'Leetcode分类顺序表'!A:A = B53),IFERROR(FILTER(Algoexpert.io!B:D,Algoexpert.io!A:A = B53),FILTER('Leetcode List'!B:G,'Leetcode List'!A:A = B53))))"),"")</f>
        <v/>
      </c>
      <c r="D53" s="18"/>
      <c r="E53" s="18"/>
      <c r="F53" s="18"/>
      <c r="G53" s="18"/>
      <c r="H53" s="18"/>
      <c r="I53" s="18">
        <f t="shared" si="0"/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1:31">
      <c r="A54" s="16"/>
      <c r="B54" s="17"/>
      <c r="C54" s="18" t="str">
        <f ca="1">IFERROR(__xludf.DUMMYFUNCTION("IF(ISBLANK(B54),,IFERROR(FILTER('Leetcode分类顺序表'!B:G,'Leetcode分类顺序表'!A:A = B54),IFERROR(FILTER(Algoexpert.io!B:D,Algoexpert.io!A:A = B54),FILTER('Leetcode List'!B:G,'Leetcode List'!A:A = B54))))"),"")</f>
        <v/>
      </c>
      <c r="D54" s="18"/>
      <c r="E54" s="18"/>
      <c r="F54" s="18"/>
      <c r="G54" s="18"/>
      <c r="H54" s="18"/>
      <c r="I54" s="18">
        <f t="shared" si="0"/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 spans="1:31">
      <c r="A55" s="16"/>
      <c r="B55" s="17"/>
      <c r="C55" s="18" t="str">
        <f ca="1">IFERROR(__xludf.DUMMYFUNCTION("IF(ISBLANK(B55),,IFERROR(FILTER('Leetcode分类顺序表'!B:G,'Leetcode分类顺序表'!A:A = B55),IFERROR(FILTER(Algoexpert.io!B:D,Algoexpert.io!A:A = B55),FILTER('Leetcode List'!B:G,'Leetcode List'!A:A = B55))))"),"")</f>
        <v/>
      </c>
      <c r="D55" s="18"/>
      <c r="E55" s="18"/>
      <c r="F55" s="18"/>
      <c r="G55" s="18"/>
      <c r="H55" s="18"/>
      <c r="I55" s="18">
        <f t="shared" si="0"/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1">
      <c r="A56" s="16"/>
      <c r="B56" s="17"/>
      <c r="C56" s="18" t="str">
        <f ca="1">IFERROR(__xludf.DUMMYFUNCTION("IF(ISBLANK(B56),,IFERROR(FILTER('Leetcode分类顺序表'!B:G,'Leetcode分类顺序表'!A:A = B56),IFERROR(FILTER(Algoexpert.io!B:D,Algoexpert.io!A:A = B56),FILTER('Leetcode List'!B:G,'Leetcode List'!A:A = B56))))"),"")</f>
        <v/>
      </c>
      <c r="D56" s="18"/>
      <c r="E56" s="18"/>
      <c r="F56" s="18"/>
      <c r="G56" s="18"/>
      <c r="H56" s="18"/>
      <c r="I56" s="18">
        <f t="shared" si="0"/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1">
      <c r="A57" s="16"/>
      <c r="B57" s="17"/>
      <c r="C57" s="18" t="str">
        <f ca="1">IFERROR(__xludf.DUMMYFUNCTION("IF(ISBLANK(B57),,IFERROR(FILTER('Leetcode分类顺序表'!B:G,'Leetcode分类顺序表'!A:A = B57),IFERROR(FILTER(Algoexpert.io!B:D,Algoexpert.io!A:A = B57),FILTER('Leetcode List'!B:G,'Leetcode List'!A:A = B57))))"),"")</f>
        <v/>
      </c>
      <c r="D57" s="18"/>
      <c r="E57" s="18"/>
      <c r="F57" s="18"/>
      <c r="G57" s="18"/>
      <c r="H57" s="18"/>
      <c r="I57" s="18">
        <f t="shared" si="0"/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1">
      <c r="A58" s="16"/>
      <c r="B58" s="17"/>
      <c r="C58" s="18" t="str">
        <f ca="1">IFERROR(__xludf.DUMMYFUNCTION("IF(ISBLANK(B58),,IFERROR(FILTER('Leetcode分类顺序表'!B:G,'Leetcode分类顺序表'!A:A = B58),IFERROR(FILTER(Algoexpert.io!B:D,Algoexpert.io!A:A = B58),FILTER('Leetcode List'!B:G,'Leetcode List'!A:A = B58))))"),"")</f>
        <v/>
      </c>
      <c r="D58" s="18"/>
      <c r="E58" s="18"/>
      <c r="F58" s="18"/>
      <c r="G58" s="18"/>
      <c r="H58" s="18"/>
      <c r="I58" s="18">
        <f t="shared" si="0"/>
        <v>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 spans="1:31">
      <c r="A59" s="19"/>
      <c r="B59" s="17"/>
      <c r="C59" s="18" t="str">
        <f ca="1">IFERROR(__xludf.DUMMYFUNCTION("IF(ISBLANK(B59),,IFERROR(FILTER('Leetcode分类顺序表'!B:G,'Leetcode分类顺序表'!A:A = B59),IFERROR(FILTER(Algoexpert.io!B:D,Algoexpert.io!A:A = B59),FILTER('Leetcode List'!B:G,'Leetcode List'!A:A = B59))))"),"")</f>
        <v/>
      </c>
      <c r="D59" s="18"/>
      <c r="E59" s="18"/>
      <c r="F59" s="18"/>
      <c r="G59" s="18"/>
      <c r="H59" s="18"/>
      <c r="I59" s="18">
        <f t="shared" si="0"/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 spans="1:31">
      <c r="A60" s="19"/>
      <c r="B60" s="20"/>
      <c r="C60" s="18" t="str">
        <f ca="1">IFERROR(__xludf.DUMMYFUNCTION("IF(ISBLANK(B60),,IFERROR(FILTER('Leetcode分类顺序表'!B:D,'Leetcode分类顺序表'!A:A = B60),FILTER(Algoexpert.io!B:D,Algoexpert.io!A:A = B60)))"),"")</f>
        <v/>
      </c>
      <c r="D60" s="18"/>
      <c r="E60" s="18"/>
      <c r="F60" s="18"/>
      <c r="G60" s="18"/>
      <c r="H60" s="18"/>
      <c r="I60" s="18">
        <f t="shared" si="0"/>
        <v>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 spans="1:31">
      <c r="A61" s="19"/>
      <c r="B61" s="20"/>
      <c r="C61" s="18" t="str">
        <f ca="1">IFERROR(__xludf.DUMMYFUNCTION("IF(ISBLANK(B61),,IFERROR(FILTER('Leetcode分类顺序表'!B:D,'Leetcode分类顺序表'!A:A = B61),FILTER(Algoexpert.io!B:D,Algoexpert.io!A:A = B61)))"),"")</f>
        <v/>
      </c>
      <c r="D61" s="18"/>
      <c r="E61" s="18"/>
      <c r="F61" s="18"/>
      <c r="G61" s="18"/>
      <c r="H61" s="18"/>
      <c r="I61" s="18">
        <f t="shared" si="0"/>
        <v>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 spans="1:31">
      <c r="A62" s="19"/>
      <c r="B62" s="20"/>
      <c r="C62" s="18" t="str">
        <f ca="1">IFERROR(__xludf.DUMMYFUNCTION("IF(ISBLANK(B62),,IFERROR(FILTER('Leetcode分类顺序表'!B:D,'Leetcode分类顺序表'!A:A = B62),FILTER(Algoexpert.io!B:D,Algoexpert.io!A:A = B62)))"),"")</f>
        <v/>
      </c>
      <c r="D62" s="18"/>
      <c r="E62" s="18"/>
      <c r="F62" s="18"/>
      <c r="G62" s="18"/>
      <c r="H62" s="18"/>
      <c r="I62" s="18">
        <f t="shared" si="0"/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 spans="1:31">
      <c r="A63" s="19"/>
      <c r="B63" s="20"/>
      <c r="C63" s="18" t="str">
        <f ca="1">IFERROR(__xludf.DUMMYFUNCTION("IF(ISBLANK(B63),,IFERROR(FILTER('Leetcode分类顺序表'!B:D,'Leetcode分类顺序表'!A:A = B63),FILTER(Algoexpert.io!B:D,Algoexpert.io!A:A = B63)))"),"")</f>
        <v/>
      </c>
      <c r="D63" s="18"/>
      <c r="E63" s="18"/>
      <c r="F63" s="18"/>
      <c r="G63" s="18"/>
      <c r="H63" s="18"/>
      <c r="I63" s="18">
        <f t="shared" si="0"/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1:31">
      <c r="A64" s="19"/>
      <c r="B64" s="20"/>
      <c r="C64" s="18" t="str">
        <f ca="1">IFERROR(__xludf.DUMMYFUNCTION("IF(ISBLANK(B64),,IFERROR(FILTER('Leetcode分类顺序表'!B:D,'Leetcode分类顺序表'!A:A = B64),FILTER(Algoexpert.io!B:D,Algoexpert.io!A:A = B64)))"),"")</f>
        <v/>
      </c>
      <c r="D64" s="18"/>
      <c r="E64" s="18"/>
      <c r="F64" s="18"/>
      <c r="G64" s="18"/>
      <c r="H64" s="18"/>
      <c r="I64" s="18">
        <f t="shared" si="0"/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 spans="1:31">
      <c r="A65" s="19"/>
      <c r="B65" s="20"/>
      <c r="C65" s="18" t="str">
        <f ca="1">IFERROR(__xludf.DUMMYFUNCTION("IF(ISBLANK(B65),,IFERROR(FILTER('Leetcode分类顺序表'!B:D,'Leetcode分类顺序表'!A:A = B65),FILTER(Algoexpert.io!B:D,Algoexpert.io!A:A = B65)))"),"")</f>
        <v/>
      </c>
      <c r="D65" s="18"/>
      <c r="E65" s="18"/>
      <c r="F65" s="18"/>
      <c r="G65" s="18"/>
      <c r="H65" s="18"/>
      <c r="I65" s="18">
        <f t="shared" si="0"/>
        <v>0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 spans="1:31">
      <c r="A66" s="19"/>
      <c r="B66" s="20"/>
      <c r="C66" s="18" t="str">
        <f ca="1">IFERROR(__xludf.DUMMYFUNCTION("IF(ISBLANK(B66),,IFERROR(FILTER('Leetcode分类顺序表'!B:D,'Leetcode分类顺序表'!A:A = B66),FILTER(Algoexpert.io!B:D,Algoexpert.io!A:A = B66)))"),"")</f>
        <v/>
      </c>
      <c r="D66" s="18"/>
      <c r="E66" s="18"/>
      <c r="F66" s="18"/>
      <c r="G66" s="18"/>
      <c r="H66" s="18"/>
      <c r="I66" s="18">
        <f t="shared" si="0"/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1">
      <c r="A67" s="19"/>
      <c r="B67" s="20"/>
      <c r="C67" s="18" t="str">
        <f ca="1">IFERROR(__xludf.DUMMYFUNCTION("IF(ISBLANK(B67),,IFERROR(FILTER('Leetcode分类顺序表'!B:D,'Leetcode分类顺序表'!A:A = B67),FILTER(Algoexpert.io!B:D,Algoexpert.io!A:A = B67)))"),"")</f>
        <v/>
      </c>
      <c r="D67" s="18"/>
      <c r="E67" s="18"/>
      <c r="F67" s="18"/>
      <c r="G67" s="18"/>
      <c r="H67" s="18"/>
      <c r="I67" s="18">
        <f t="shared" si="0"/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1">
      <c r="A68" s="19"/>
      <c r="B68" s="20"/>
      <c r="C68" s="18" t="str">
        <f ca="1">IFERROR(__xludf.DUMMYFUNCTION("IF(ISBLANK(B68),,IFERROR(FILTER('Leetcode分类顺序表'!B:D,'Leetcode分类顺序表'!A:A = B68),FILTER(Algoexpert.io!B:D,Algoexpert.io!A:A = B68)))"),"")</f>
        <v/>
      </c>
      <c r="D68" s="18"/>
      <c r="E68" s="18"/>
      <c r="F68" s="18"/>
      <c r="G68" s="18"/>
      <c r="H68" s="18"/>
      <c r="I68" s="18">
        <f t="shared" si="0"/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1">
      <c r="A69" s="19"/>
      <c r="B69" s="20"/>
      <c r="C69" s="18" t="str">
        <f ca="1">IFERROR(__xludf.DUMMYFUNCTION("IF(ISBLANK(B69),,IFERROR(FILTER('Leetcode分类顺序表'!B:D,'Leetcode分类顺序表'!A:A = B69),FILTER(Algoexpert.io!B:D,Algoexpert.io!A:A = B69)))"),"")</f>
        <v/>
      </c>
      <c r="D69" s="18"/>
      <c r="E69" s="18"/>
      <c r="F69" s="18"/>
      <c r="G69" s="18"/>
      <c r="H69" s="18"/>
      <c r="I69" s="18">
        <f t="shared" si="0"/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1">
      <c r="A70" s="19"/>
      <c r="B70" s="20"/>
      <c r="C70" s="18" t="str">
        <f ca="1">IFERROR(__xludf.DUMMYFUNCTION("IF(ISBLANK(B70),,IFERROR(FILTER('Leetcode分类顺序表'!B:D,'Leetcode分类顺序表'!A:A = B70),FILTER(Algoexpert.io!B:D,Algoexpert.io!A:A = B70)))"),"")</f>
        <v/>
      </c>
      <c r="D70" s="18"/>
      <c r="E70" s="18"/>
      <c r="F70" s="18"/>
      <c r="G70" s="18"/>
      <c r="H70" s="18"/>
      <c r="I70" s="18">
        <f t="shared" si="0"/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spans="1:31">
      <c r="A71" s="19"/>
      <c r="B71" s="20"/>
      <c r="C71" s="18" t="str">
        <f ca="1">IFERROR(__xludf.DUMMYFUNCTION("IF(ISBLANK(B71),,IFERROR(FILTER('Leetcode分类顺序表'!B:D,'Leetcode分类顺序表'!A:A = B71),FILTER(Algoexpert.io!B:D,Algoexpert.io!A:A = B71)))"),"")</f>
        <v/>
      </c>
      <c r="D71" s="18"/>
      <c r="E71" s="18"/>
      <c r="F71" s="18"/>
      <c r="G71" s="18"/>
      <c r="H71" s="18"/>
      <c r="I71" s="18">
        <f t="shared" si="0"/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1:31">
      <c r="A72" s="19"/>
      <c r="B72" s="20"/>
      <c r="C72" s="18" t="str">
        <f ca="1">IFERROR(__xludf.DUMMYFUNCTION("IF(ISBLANK(B72),,IFERROR(FILTER('Leetcode分类顺序表'!B:D,'Leetcode分类顺序表'!A:A = B72),FILTER(Algoexpert.io!B:D,Algoexpert.io!A:A = B72)))"),"")</f>
        <v/>
      </c>
      <c r="D72" s="18"/>
      <c r="E72" s="18"/>
      <c r="F72" s="18"/>
      <c r="G72" s="18"/>
      <c r="H72" s="18"/>
      <c r="I72" s="18">
        <f t="shared" si="0"/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1:31">
      <c r="A73" s="19"/>
      <c r="B73" s="20"/>
      <c r="C73" s="18" t="str">
        <f ca="1">IFERROR(__xludf.DUMMYFUNCTION("IF(ISBLANK(B73),,IFERROR(FILTER('Leetcode分类顺序表'!B:D,'Leetcode分类顺序表'!A:A = B73),FILTER(Algoexpert.io!B:D,Algoexpert.io!A:A = B73)))"),"")</f>
        <v/>
      </c>
      <c r="D73" s="18"/>
      <c r="E73" s="18"/>
      <c r="F73" s="18"/>
      <c r="G73" s="18"/>
      <c r="H73" s="18"/>
      <c r="I73" s="18">
        <f t="shared" si="0"/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1">
      <c r="A74" s="19"/>
      <c r="B74" s="20"/>
      <c r="C74" s="18" t="str">
        <f ca="1">IFERROR(__xludf.DUMMYFUNCTION("IF(ISBLANK(B74),,IFERROR(FILTER('Leetcode分类顺序表'!B:D,'Leetcode分类顺序表'!A:A = B74),FILTER(Algoexpert.io!B:D,Algoexpert.io!A:A = B74)))"),"")</f>
        <v/>
      </c>
      <c r="D74" s="18"/>
      <c r="E74" s="18"/>
      <c r="F74" s="18"/>
      <c r="G74" s="18"/>
      <c r="H74" s="18"/>
      <c r="I74" s="18">
        <f t="shared" si="0"/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1">
      <c r="A75" s="19"/>
      <c r="B75" s="20"/>
      <c r="C75" s="18" t="str">
        <f ca="1">IFERROR(__xludf.DUMMYFUNCTION("IF(ISBLANK(B75),,IFERROR(FILTER('Leetcode分类顺序表'!B:D,'Leetcode分类顺序表'!A:A = B75),FILTER(Algoexpert.io!B:D,Algoexpert.io!A:A = B75)))"),"")</f>
        <v/>
      </c>
      <c r="D75" s="18"/>
      <c r="E75" s="18"/>
      <c r="F75" s="18"/>
      <c r="G75" s="18"/>
      <c r="H75" s="18"/>
      <c r="I75" s="18">
        <f t="shared" si="0"/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 spans="1:31">
      <c r="A76" s="19"/>
      <c r="B76" s="20"/>
      <c r="C76" s="18" t="str">
        <f ca="1">IFERROR(__xludf.DUMMYFUNCTION("IF(ISBLANK(B76),,IFERROR(FILTER('Leetcode分类顺序表'!B:D,'Leetcode分类顺序表'!A:A = B76),FILTER(Algoexpert.io!B:D,Algoexpert.io!A:A = B76)))"),"")</f>
        <v/>
      </c>
      <c r="D76" s="18"/>
      <c r="E76" s="18"/>
      <c r="F76" s="18"/>
      <c r="G76" s="18"/>
      <c r="H76" s="18"/>
      <c r="I76" s="18">
        <f t="shared" si="0"/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1">
      <c r="A77" s="19"/>
      <c r="B77" s="20"/>
      <c r="C77" s="18" t="str">
        <f ca="1">IFERROR(__xludf.DUMMYFUNCTION("IF(ISBLANK(B77),,IFERROR(FILTER('Leetcode分类顺序表'!B:D,'Leetcode分类顺序表'!A:A = B77),FILTER(Algoexpert.io!B:D,Algoexpert.io!A:A = B77)))"),"")</f>
        <v/>
      </c>
      <c r="D77" s="18"/>
      <c r="E77" s="18"/>
      <c r="F77" s="18"/>
      <c r="G77" s="18"/>
      <c r="H77" s="18"/>
      <c r="I77" s="18">
        <f t="shared" si="0"/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1">
      <c r="A78" s="19"/>
      <c r="B78" s="20"/>
      <c r="C78" s="18" t="str">
        <f ca="1">IFERROR(__xludf.DUMMYFUNCTION("IF(ISBLANK(B78),,IFERROR(FILTER('Leetcode分类顺序表'!B:D,'Leetcode分类顺序表'!A:A = B78),FILTER(Algoexpert.io!B:D,Algoexpert.io!A:A = B78)))"),"")</f>
        <v/>
      </c>
      <c r="D78" s="18"/>
      <c r="E78" s="18"/>
      <c r="F78" s="18"/>
      <c r="G78" s="18"/>
      <c r="H78" s="18"/>
      <c r="I78" s="18">
        <f t="shared" si="0"/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 spans="1:31">
      <c r="A79" s="19"/>
      <c r="B79" s="20"/>
      <c r="C79" s="18" t="str">
        <f ca="1">IFERROR(__xludf.DUMMYFUNCTION("IF(ISBLANK(B79),,IFERROR(FILTER('Leetcode分类顺序表'!B:D,'Leetcode分类顺序表'!A:A = B79),FILTER(Algoexpert.io!B:D,Algoexpert.io!A:A = B79)))"),"")</f>
        <v/>
      </c>
      <c r="D79" s="18"/>
      <c r="E79" s="18"/>
      <c r="F79" s="18"/>
      <c r="G79" s="18"/>
      <c r="H79" s="18"/>
      <c r="I79" s="18">
        <f t="shared" si="0"/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1">
      <c r="A80" s="19"/>
      <c r="B80" s="20"/>
      <c r="C80" s="18" t="str">
        <f ca="1">IFERROR(__xludf.DUMMYFUNCTION("IF(ISBLANK(B80),,IFERROR(FILTER('Leetcode分类顺序表'!B:D,'Leetcode分类顺序表'!A:A = B80),FILTER(Algoexpert.io!B:D,Algoexpert.io!A:A = B80)))"),"")</f>
        <v/>
      </c>
      <c r="D80" s="18"/>
      <c r="E80" s="18"/>
      <c r="F80" s="18"/>
      <c r="G80" s="18"/>
      <c r="H80" s="18"/>
      <c r="I80" s="18">
        <f t="shared" si="0"/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1">
      <c r="A81" s="19"/>
      <c r="B81" s="20"/>
      <c r="C81" s="18" t="str">
        <f ca="1">IFERROR(__xludf.DUMMYFUNCTION("IF(ISBLANK(B81),,IFERROR(FILTER('Leetcode分类顺序表'!B:D,'Leetcode分类顺序表'!A:A = B81),FILTER(Algoexpert.io!B:D,Algoexpert.io!A:A = B81)))"),"")</f>
        <v/>
      </c>
      <c r="D81" s="18"/>
      <c r="E81" s="18"/>
      <c r="F81" s="18"/>
      <c r="G81" s="18"/>
      <c r="H81" s="18"/>
      <c r="I81" s="18">
        <f t="shared" si="0"/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 spans="1:31">
      <c r="A82" s="19"/>
      <c r="B82" s="20"/>
      <c r="C82" s="18" t="str">
        <f ca="1">IFERROR(__xludf.DUMMYFUNCTION("IF(ISBLANK(B82),,IFERROR(FILTER('Leetcode分类顺序表'!B:D,'Leetcode分类顺序表'!A:A = B82),FILTER(Algoexpert.io!B:D,Algoexpert.io!A:A = B82)))"),"")</f>
        <v/>
      </c>
      <c r="D82" s="18"/>
      <c r="E82" s="18"/>
      <c r="F82" s="18"/>
      <c r="G82" s="18"/>
      <c r="H82" s="18"/>
      <c r="I82" s="18">
        <f t="shared" si="0"/>
        <v>0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1">
      <c r="A83" s="19"/>
      <c r="B83" s="20"/>
      <c r="C83" s="18" t="str">
        <f ca="1">IFERROR(__xludf.DUMMYFUNCTION("IF(ISBLANK(B83),,IFERROR(FILTER('Leetcode分类顺序表'!B:D,'Leetcode分类顺序表'!A:A = B83),FILTER(Algoexpert.io!B:D,Algoexpert.io!A:A = B83)))"),"")</f>
        <v/>
      </c>
      <c r="D83" s="18"/>
      <c r="E83" s="18"/>
      <c r="F83" s="18"/>
      <c r="G83" s="18"/>
      <c r="H83" s="18"/>
      <c r="I83" s="18">
        <f t="shared" si="0"/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 spans="1:31">
      <c r="A84" s="19"/>
      <c r="B84" s="20"/>
      <c r="C84" s="18" t="str">
        <f ca="1">IFERROR(__xludf.DUMMYFUNCTION("IF(ISBLANK(B84),,IFERROR(FILTER('Leetcode分类顺序表'!B:D,'Leetcode分类顺序表'!A:A = B84),FILTER(Algoexpert.io!B:D,Algoexpert.io!A:A = B84)))"),"")</f>
        <v/>
      </c>
      <c r="D84" s="18"/>
      <c r="E84" s="18"/>
      <c r="F84" s="18"/>
      <c r="G84" s="18"/>
      <c r="H84" s="18"/>
      <c r="I84" s="18">
        <f t="shared" si="0"/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 spans="1:31">
      <c r="A85" s="19"/>
      <c r="B85" s="20"/>
      <c r="C85" s="18" t="str">
        <f ca="1">IFERROR(__xludf.DUMMYFUNCTION("IF(ISBLANK(B85),,IFERROR(FILTER('Leetcode分类顺序表'!B:D,'Leetcode分类顺序表'!A:A = B85),FILTER(Algoexpert.io!B:D,Algoexpert.io!A:A = B85)))"),"")</f>
        <v/>
      </c>
      <c r="D85" s="18"/>
      <c r="E85" s="18"/>
      <c r="F85" s="18"/>
      <c r="G85" s="18"/>
      <c r="H85" s="18"/>
      <c r="I85" s="18">
        <f t="shared" si="0"/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 spans="1:31">
      <c r="A86" s="19"/>
      <c r="B86" s="20"/>
      <c r="C86" s="18" t="str">
        <f ca="1">IFERROR(__xludf.DUMMYFUNCTION("IF(ISBLANK(B86),,IFERROR(FILTER('Leetcode分类顺序表'!B:D,'Leetcode分类顺序表'!A:A = B86),FILTER(Algoexpert.io!B:D,Algoexpert.io!A:A = B86)))"),"")</f>
        <v/>
      </c>
      <c r="D86" s="18"/>
      <c r="E86" s="18"/>
      <c r="F86" s="18"/>
      <c r="G86" s="18"/>
      <c r="H86" s="18"/>
      <c r="I86" s="18">
        <f t="shared" si="0"/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 spans="1:31">
      <c r="A87" s="19"/>
      <c r="B87" s="20"/>
      <c r="C87" s="18" t="str">
        <f ca="1">IFERROR(__xludf.DUMMYFUNCTION("IF(ISBLANK(B87),,IFERROR(FILTER('Leetcode分类顺序表'!B:D,'Leetcode分类顺序表'!A:A = B87),FILTER(Algoexpert.io!B:D,Algoexpert.io!A:A = B87)))"),"")</f>
        <v/>
      </c>
      <c r="D87" s="18"/>
      <c r="E87" s="18"/>
      <c r="F87" s="18"/>
      <c r="G87" s="18"/>
      <c r="H87" s="18"/>
      <c r="I87" s="18">
        <f t="shared" si="0"/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 spans="1:31">
      <c r="A88" s="19"/>
      <c r="B88" s="20"/>
      <c r="C88" s="18" t="str">
        <f ca="1">IFERROR(__xludf.DUMMYFUNCTION("IF(ISBLANK(B88),,IFERROR(FILTER('Leetcode分类顺序表'!B:D,'Leetcode分类顺序表'!A:A = B88),FILTER(Algoexpert.io!B:D,Algoexpert.io!A:A = B88)))"),"")</f>
        <v/>
      </c>
      <c r="D88" s="18"/>
      <c r="E88" s="18"/>
      <c r="F88" s="18"/>
      <c r="G88" s="18"/>
      <c r="H88" s="18"/>
      <c r="I88" s="18">
        <f t="shared" si="0"/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 spans="1:31">
      <c r="A89" s="19"/>
      <c r="B89" s="20"/>
      <c r="C89" s="18" t="str">
        <f ca="1">IFERROR(__xludf.DUMMYFUNCTION("IF(ISBLANK(B89),,IFERROR(FILTER('Leetcode分类顺序表'!B:D,'Leetcode分类顺序表'!A:A = B89),FILTER(Algoexpert.io!B:D,Algoexpert.io!A:A = B89)))"),"")</f>
        <v/>
      </c>
      <c r="D89" s="18"/>
      <c r="E89" s="18"/>
      <c r="F89" s="18"/>
      <c r="G89" s="18"/>
      <c r="H89" s="18"/>
      <c r="I89" s="18">
        <f t="shared" si="0"/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 spans="1:31">
      <c r="A90" s="19"/>
      <c r="B90" s="20"/>
      <c r="C90" s="18" t="str">
        <f ca="1">IFERROR(__xludf.DUMMYFUNCTION("IF(ISBLANK(B90),,IFERROR(FILTER('Leetcode分类顺序表'!B:D,'Leetcode分类顺序表'!A:A = B90),FILTER(Algoexpert.io!B:D,Algoexpert.io!A:A = B90)))"),"")</f>
        <v/>
      </c>
      <c r="D90" s="18"/>
      <c r="E90" s="18"/>
      <c r="F90" s="18"/>
      <c r="G90" s="18"/>
      <c r="H90" s="18"/>
      <c r="I90" s="18">
        <f t="shared" si="0"/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 spans="1:31">
      <c r="A91" s="19"/>
      <c r="B91" s="20"/>
      <c r="C91" s="18" t="str">
        <f ca="1">IFERROR(__xludf.DUMMYFUNCTION("IF(ISBLANK(B91),,IFERROR(FILTER('Leetcode分类顺序表'!B:D,'Leetcode分类顺序表'!A:A = B91),FILTER(Algoexpert.io!B:D,Algoexpert.io!A:A = B91)))"),"")</f>
        <v/>
      </c>
      <c r="D91" s="18"/>
      <c r="E91" s="18"/>
      <c r="F91" s="18"/>
      <c r="G91" s="18"/>
      <c r="H91" s="18"/>
      <c r="I91" s="18">
        <f t="shared" si="0"/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 spans="1:31">
      <c r="A92" s="19"/>
      <c r="B92" s="20"/>
      <c r="C92" s="18" t="str">
        <f ca="1">IFERROR(__xludf.DUMMYFUNCTION("IF(ISBLANK(B92),,IFERROR(FILTER('Leetcode分类顺序表'!B:D,'Leetcode分类顺序表'!A:A = B92),FILTER(Algoexpert.io!B:D,Algoexpert.io!A:A = B92)))"),"")</f>
        <v/>
      </c>
      <c r="D92" s="18"/>
      <c r="E92" s="18"/>
      <c r="F92" s="18"/>
      <c r="G92" s="18"/>
      <c r="H92" s="18"/>
      <c r="I92" s="18">
        <f t="shared" si="0"/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 spans="1:31">
      <c r="A93" s="19"/>
      <c r="B93" s="20"/>
      <c r="C93" s="18" t="str">
        <f ca="1">IFERROR(__xludf.DUMMYFUNCTION("IF(ISBLANK(B93),,IFERROR(FILTER('Leetcode分类顺序表'!B:D,'Leetcode分类顺序表'!A:A = B93),FILTER(Algoexpert.io!B:D,Algoexpert.io!A:A = B93)))"),"")</f>
        <v/>
      </c>
      <c r="D93" s="18"/>
      <c r="E93" s="18"/>
      <c r="F93" s="18"/>
      <c r="G93" s="18"/>
      <c r="H93" s="18"/>
      <c r="I93" s="18">
        <f t="shared" si="0"/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 spans="1:31">
      <c r="A94" s="19"/>
      <c r="B94" s="20"/>
      <c r="C94" s="18" t="str">
        <f ca="1">IFERROR(__xludf.DUMMYFUNCTION("IF(ISBLANK(B94),,IFERROR(FILTER('Leetcode分类顺序表'!B:D,'Leetcode分类顺序表'!A:A = B94),FILTER(Algoexpert.io!B:D,Algoexpert.io!A:A = B94)))"),"")</f>
        <v/>
      </c>
      <c r="D94" s="18"/>
      <c r="E94" s="18"/>
      <c r="F94" s="18"/>
      <c r="G94" s="18"/>
      <c r="H94" s="18"/>
      <c r="I94" s="18">
        <f t="shared" si="0"/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 spans="1:31">
      <c r="A95" s="19"/>
      <c r="B95" s="20"/>
      <c r="C95" s="18" t="str">
        <f ca="1">IFERROR(__xludf.DUMMYFUNCTION("IF(ISBLANK(B95),,IFERROR(FILTER('Leetcode分类顺序表'!B:D,'Leetcode分类顺序表'!A:A = B95),FILTER(Algoexpert.io!B:D,Algoexpert.io!A:A = B95)))"),"")</f>
        <v/>
      </c>
      <c r="D95" s="18"/>
      <c r="E95" s="18"/>
      <c r="F95" s="18"/>
      <c r="G95" s="18"/>
      <c r="H95" s="18"/>
      <c r="I95" s="18">
        <f t="shared" si="0"/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 spans="1:31">
      <c r="A96" s="19"/>
      <c r="B96" s="20"/>
      <c r="C96" s="18" t="str">
        <f ca="1">IFERROR(__xludf.DUMMYFUNCTION("IF(ISBLANK(B96),,IFERROR(FILTER('Leetcode分类顺序表'!B:D,'Leetcode分类顺序表'!A:A = B96),FILTER(Algoexpert.io!B:D,Algoexpert.io!A:A = B96)))"),"")</f>
        <v/>
      </c>
      <c r="D96" s="18"/>
      <c r="E96" s="18"/>
      <c r="F96" s="18"/>
      <c r="G96" s="18"/>
      <c r="H96" s="18"/>
      <c r="I96" s="18">
        <f t="shared" si="0"/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 spans="1:31">
      <c r="A97" s="19"/>
      <c r="B97" s="20"/>
      <c r="C97" s="18" t="str">
        <f ca="1">IFERROR(__xludf.DUMMYFUNCTION("IF(ISBLANK(B97),,IFERROR(FILTER('Leetcode分类顺序表'!B:D,'Leetcode分类顺序表'!A:A = B97),FILTER(Algoexpert.io!B:D,Algoexpert.io!A:A = B97)))"),"")</f>
        <v/>
      </c>
      <c r="D97" s="18"/>
      <c r="E97" s="18"/>
      <c r="F97" s="18"/>
      <c r="G97" s="18"/>
      <c r="H97" s="18"/>
      <c r="I97" s="18">
        <f t="shared" si="0"/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1:31">
      <c r="A98" s="19"/>
      <c r="B98" s="20"/>
      <c r="C98" s="18" t="str">
        <f ca="1">IFERROR(__xludf.DUMMYFUNCTION("IF(ISBLANK(B98),,IFERROR(FILTER('Leetcode分类顺序表'!B:D,'Leetcode分类顺序表'!A:A = B98),FILTER(Algoexpert.io!B:D,Algoexpert.io!A:A = B98)))"),"")</f>
        <v/>
      </c>
      <c r="D98" s="18"/>
      <c r="E98" s="18"/>
      <c r="F98" s="18"/>
      <c r="G98" s="18"/>
      <c r="H98" s="18"/>
      <c r="I98" s="18">
        <f t="shared" si="0"/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1:31">
      <c r="A99" s="19"/>
      <c r="B99" s="20"/>
      <c r="C99" s="18" t="str">
        <f ca="1">IFERROR(__xludf.DUMMYFUNCTION("IF(ISBLANK(B99),,IFERROR(FILTER('Leetcode分类顺序表'!B:D,'Leetcode分类顺序表'!A:A = B99),FILTER(Algoexpert.io!B:D,Algoexpert.io!A:A = B99)))"),"")</f>
        <v/>
      </c>
      <c r="D99" s="18"/>
      <c r="E99" s="18"/>
      <c r="F99" s="18"/>
      <c r="G99" s="18"/>
      <c r="H99" s="18"/>
      <c r="I99" s="18">
        <f t="shared" si="0"/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1:31">
      <c r="A100" s="19"/>
      <c r="B100" s="20"/>
      <c r="C100" s="18" t="str">
        <f ca="1">IFERROR(__xludf.DUMMYFUNCTION("IF(ISBLANK(B100),,IFERROR(FILTER('Leetcode分类顺序表'!B:D,'Leetcode分类顺序表'!A:A = B100),FILTER(Algoexpert.io!B:D,Algoexpert.io!A:A = B100)))"),"")</f>
        <v/>
      </c>
      <c r="D100" s="18"/>
      <c r="E100" s="18"/>
      <c r="F100" s="18"/>
      <c r="G100" s="18"/>
      <c r="H100" s="18"/>
      <c r="I100" s="18">
        <f t="shared" si="0"/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 spans="1:31">
      <c r="A101" s="19"/>
      <c r="B101" s="20"/>
      <c r="C101" s="18" t="str">
        <f ca="1">IFERROR(__xludf.DUMMYFUNCTION("IF(ISBLANK(B101),,IFERROR(FILTER('Leetcode分类顺序表'!B:D,'Leetcode分类顺序表'!A:A = B101),FILTER(Algoexpert.io!B:D,Algoexpert.io!A:A = B101)))"),"")</f>
        <v/>
      </c>
      <c r="D101" s="18"/>
      <c r="E101" s="18"/>
      <c r="F101" s="18"/>
      <c r="G101" s="18"/>
      <c r="H101" s="18"/>
      <c r="I101" s="18">
        <f t="shared" si="0"/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 spans="1:31">
      <c r="A102" s="19"/>
      <c r="B102" s="20"/>
      <c r="C102" s="18" t="str">
        <f ca="1">IFERROR(__xludf.DUMMYFUNCTION("IF(ISBLANK(B102),,IFERROR(FILTER('Leetcode分类顺序表'!B:D,'Leetcode分类顺序表'!A:A = B102),FILTER(Algoexpert.io!B:D,Algoexpert.io!A:A = B102)))"),"")</f>
        <v/>
      </c>
      <c r="D102" s="18"/>
      <c r="E102" s="18"/>
      <c r="F102" s="18"/>
      <c r="G102" s="18"/>
      <c r="H102" s="18"/>
      <c r="I102" s="18">
        <f t="shared" si="0"/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spans="1:31">
      <c r="A103" s="19"/>
      <c r="B103" s="20"/>
      <c r="C103" s="18" t="str">
        <f ca="1">IFERROR(__xludf.DUMMYFUNCTION("IF(ISBLANK(B103),,IFERROR(FILTER('Leetcode分类顺序表'!B:D,'Leetcode分类顺序表'!A:A = B103),FILTER(Algoexpert.io!B:D,Algoexpert.io!A:A = B103)))"),"")</f>
        <v/>
      </c>
      <c r="D103" s="18"/>
      <c r="E103" s="18"/>
      <c r="F103" s="18"/>
      <c r="G103" s="18"/>
      <c r="H103" s="18"/>
      <c r="I103" s="18">
        <f t="shared" si="0"/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1:31">
      <c r="A104" s="19"/>
      <c r="B104" s="20"/>
      <c r="C104" s="18" t="str">
        <f ca="1">IFERROR(__xludf.DUMMYFUNCTION("IF(ISBLANK(B104),,IFERROR(FILTER('Leetcode分类顺序表'!B:D,'Leetcode分类顺序表'!A:A = B104),FILTER(Algoexpert.io!B:D,Algoexpert.io!A:A = B104)))"),"")</f>
        <v/>
      </c>
      <c r="D104" s="18"/>
      <c r="E104" s="18"/>
      <c r="F104" s="18"/>
      <c r="G104" s="18"/>
      <c r="H104" s="18"/>
      <c r="I104" s="18">
        <f t="shared" si="0"/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1:31">
      <c r="A105" s="19"/>
      <c r="B105" s="20"/>
      <c r="C105" s="18" t="str">
        <f ca="1">IFERROR(__xludf.DUMMYFUNCTION("IF(ISBLANK(B105),,IFERROR(FILTER('Leetcode分类顺序表'!B:D,'Leetcode分类顺序表'!A:A = B105),FILTER(Algoexpert.io!B:D,Algoexpert.io!A:A = B105)))"),"")</f>
        <v/>
      </c>
      <c r="D105" s="18"/>
      <c r="E105" s="18"/>
      <c r="F105" s="18"/>
      <c r="G105" s="18"/>
      <c r="H105" s="18"/>
      <c r="I105" s="18">
        <f t="shared" si="0"/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1:31">
      <c r="A106" s="19"/>
      <c r="B106" s="20"/>
      <c r="C106" s="18" t="str">
        <f ca="1">IFERROR(__xludf.DUMMYFUNCTION("IF(ISBLANK(B106),,IFERROR(FILTER('Leetcode分类顺序表'!B:D,'Leetcode分类顺序表'!A:A = B106),FILTER(Algoexpert.io!B:D,Algoexpert.io!A:A = B106)))"),"")</f>
        <v/>
      </c>
      <c r="D106" s="18"/>
      <c r="E106" s="18"/>
      <c r="F106" s="18"/>
      <c r="G106" s="18"/>
      <c r="H106" s="18"/>
      <c r="I106" s="18">
        <f t="shared" si="0"/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 spans="1:31">
      <c r="A107" s="19"/>
      <c r="B107" s="20"/>
      <c r="C107" s="18" t="str">
        <f ca="1">IFERROR(__xludf.DUMMYFUNCTION("IF(ISBLANK(B107),,IFERROR(FILTER('Leetcode分类顺序表'!B:D,'Leetcode分类顺序表'!A:A = B107),FILTER(Algoexpert.io!B:D,Algoexpert.io!A:A = B107)))"),"")</f>
        <v/>
      </c>
      <c r="D107" s="18"/>
      <c r="E107" s="18"/>
      <c r="F107" s="18"/>
      <c r="G107" s="18"/>
      <c r="H107" s="18"/>
      <c r="I107" s="18">
        <f t="shared" si="0"/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 spans="1:31">
      <c r="A108" s="19"/>
      <c r="B108" s="20"/>
      <c r="C108" s="18" t="str">
        <f ca="1">IFERROR(__xludf.DUMMYFUNCTION("IF(ISBLANK(B108),,IFERROR(FILTER('Leetcode分类顺序表'!B:D,'Leetcode分类顺序表'!A:A = B108),FILTER(Algoexpert.io!B:D,Algoexpert.io!A:A = B108)))"),"")</f>
        <v/>
      </c>
      <c r="D108" s="18"/>
      <c r="E108" s="18"/>
      <c r="F108" s="18"/>
      <c r="G108" s="18"/>
      <c r="H108" s="18"/>
      <c r="I108" s="18">
        <f t="shared" si="0"/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spans="1:31">
      <c r="A109" s="19"/>
      <c r="B109" s="20"/>
      <c r="C109" s="18" t="str">
        <f ca="1">IFERROR(__xludf.DUMMYFUNCTION("IF(ISBLANK(B109),,IFERROR(FILTER('Leetcode分类顺序表'!B:D,'Leetcode分类顺序表'!A:A = B109),FILTER(Algoexpert.io!B:D,Algoexpert.io!A:A = B109)))"),"")</f>
        <v/>
      </c>
      <c r="D109" s="18"/>
      <c r="E109" s="18"/>
      <c r="F109" s="18"/>
      <c r="G109" s="18"/>
      <c r="H109" s="18"/>
      <c r="I109" s="18">
        <f t="shared" si="0"/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 spans="1:31">
      <c r="A110" s="19"/>
      <c r="B110" s="20"/>
      <c r="C110" s="18" t="str">
        <f ca="1">IFERROR(__xludf.DUMMYFUNCTION("IF(ISBLANK(B110),,IFERROR(FILTER('Leetcode分类顺序表'!B:D,'Leetcode分类顺序表'!A:A = B110),FILTER(Algoexpert.io!B:D,Algoexpert.io!A:A = B110)))"),"")</f>
        <v/>
      </c>
      <c r="D110" s="18"/>
      <c r="E110" s="18"/>
      <c r="F110" s="18"/>
      <c r="G110" s="18"/>
      <c r="H110" s="18"/>
      <c r="I110" s="18">
        <f t="shared" si="0"/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spans="1:31">
      <c r="A111" s="19"/>
      <c r="B111" s="20"/>
      <c r="C111" s="18" t="str">
        <f ca="1">IFERROR(__xludf.DUMMYFUNCTION("IF(ISBLANK(B111),,IFERROR(FILTER('Leetcode分类顺序表'!B:D,'Leetcode分类顺序表'!A:A = B111),FILTER(Algoexpert.io!B:D,Algoexpert.io!A:A = B111)))"),"")</f>
        <v/>
      </c>
      <c r="D111" s="18"/>
      <c r="E111" s="18"/>
      <c r="F111" s="18"/>
      <c r="G111" s="18"/>
      <c r="H111" s="18"/>
      <c r="I111" s="18">
        <f t="shared" si="0"/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spans="1:31">
      <c r="A112" s="19"/>
      <c r="B112" s="20"/>
      <c r="C112" s="18" t="str">
        <f ca="1">IFERROR(__xludf.DUMMYFUNCTION("IF(ISBLANK(B112),,IFERROR(FILTER('Leetcode分类顺序表'!B:D,'Leetcode分类顺序表'!A:A = B112),FILTER(Algoexpert.io!B:D,Algoexpert.io!A:A = B112)))"),"")</f>
        <v/>
      </c>
      <c r="D112" s="18"/>
      <c r="E112" s="18"/>
      <c r="F112" s="18"/>
      <c r="G112" s="18"/>
      <c r="H112" s="18"/>
      <c r="I112" s="18">
        <f t="shared" si="0"/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spans="1:31">
      <c r="A113" s="19"/>
      <c r="B113" s="20"/>
      <c r="C113" s="18" t="str">
        <f ca="1">IFERROR(__xludf.DUMMYFUNCTION("IF(ISBLANK(B113),,IFERROR(FILTER('Leetcode分类顺序表'!B:D,'Leetcode分类顺序表'!A:A = B113),FILTER(Algoexpert.io!B:D,Algoexpert.io!A:A = B113)))"),"")</f>
        <v/>
      </c>
      <c r="D113" s="18"/>
      <c r="E113" s="18"/>
      <c r="F113" s="18"/>
      <c r="G113" s="18"/>
      <c r="H113" s="18"/>
      <c r="I113" s="18">
        <f t="shared" si="0"/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 spans="1:31">
      <c r="A114" s="19"/>
      <c r="B114" s="20"/>
      <c r="C114" s="18" t="str">
        <f ca="1">IFERROR(__xludf.DUMMYFUNCTION("IF(ISBLANK(B114),,IFERROR(FILTER('Leetcode分类顺序表'!B:D,'Leetcode分类顺序表'!A:A = B114),FILTER(Algoexpert.io!B:D,Algoexpert.io!A:A = B114)))"),"")</f>
        <v/>
      </c>
      <c r="D114" s="18"/>
      <c r="E114" s="18"/>
      <c r="F114" s="18"/>
      <c r="G114" s="18"/>
      <c r="H114" s="18"/>
      <c r="I114" s="18">
        <f t="shared" si="0"/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 spans="1:31">
      <c r="A115" s="19"/>
      <c r="B115" s="20"/>
      <c r="C115" s="18" t="str">
        <f ca="1">IFERROR(__xludf.DUMMYFUNCTION("IF(ISBLANK(B115),,IFERROR(FILTER('Leetcode分类顺序表'!B:D,'Leetcode分类顺序表'!A:A = B115),FILTER(Algoexpert.io!B:D,Algoexpert.io!A:A = B115)))"),"")</f>
        <v/>
      </c>
      <c r="D115" s="18"/>
      <c r="E115" s="18"/>
      <c r="F115" s="18"/>
      <c r="G115" s="18"/>
      <c r="H115" s="18"/>
      <c r="I115" s="18">
        <f t="shared" si="0"/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 spans="1:31">
      <c r="A116" s="19"/>
      <c r="B116" s="20"/>
      <c r="C116" s="18" t="str">
        <f ca="1">IFERROR(__xludf.DUMMYFUNCTION("IF(ISBLANK(B116),,IFERROR(FILTER('Leetcode分类顺序表'!B:D,'Leetcode分类顺序表'!A:A = B116),FILTER(Algoexpert.io!B:D,Algoexpert.io!A:A = B116)))"),"")</f>
        <v/>
      </c>
      <c r="D116" s="18"/>
      <c r="E116" s="18"/>
      <c r="F116" s="18"/>
      <c r="G116" s="18"/>
      <c r="H116" s="18"/>
      <c r="I116" s="18">
        <f t="shared" si="0"/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 spans="1:31">
      <c r="A117" s="19"/>
      <c r="B117" s="20"/>
      <c r="C117" s="18" t="str">
        <f ca="1">IFERROR(__xludf.DUMMYFUNCTION("IF(ISBLANK(B117),,IFERROR(FILTER('Leetcode分类顺序表'!B:D,'Leetcode分类顺序表'!A:A = B117),FILTER(Algoexpert.io!B:D,Algoexpert.io!A:A = B117)))"),"")</f>
        <v/>
      </c>
      <c r="D117" s="18"/>
      <c r="E117" s="18"/>
      <c r="F117" s="18"/>
      <c r="G117" s="18"/>
      <c r="H117" s="18"/>
      <c r="I117" s="18">
        <f t="shared" si="0"/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 spans="1:31">
      <c r="A118" s="19"/>
      <c r="B118" s="20"/>
      <c r="C118" s="18" t="str">
        <f ca="1">IFERROR(__xludf.DUMMYFUNCTION("IF(ISBLANK(B118),,IFERROR(FILTER('Leetcode分类顺序表'!B:D,'Leetcode分类顺序表'!A:A = B118),FILTER(Algoexpert.io!B:D,Algoexpert.io!A:A = B118)))"),"")</f>
        <v/>
      </c>
      <c r="D118" s="18"/>
      <c r="E118" s="18"/>
      <c r="F118" s="18"/>
      <c r="G118" s="18"/>
      <c r="H118" s="18"/>
      <c r="I118" s="18">
        <f t="shared" si="0"/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spans="1:31">
      <c r="A119" s="19"/>
      <c r="B119" s="20"/>
      <c r="C119" s="18" t="str">
        <f ca="1">IFERROR(__xludf.DUMMYFUNCTION("IF(ISBLANK(B119),,IFERROR(FILTER('Leetcode分类顺序表'!B:D,'Leetcode分类顺序表'!A:A = B119),FILTER(Algoexpert.io!B:D,Algoexpert.io!A:A = B119)))"),"")</f>
        <v/>
      </c>
      <c r="D119" s="18"/>
      <c r="E119" s="18"/>
      <c r="F119" s="18"/>
      <c r="G119" s="18"/>
      <c r="H119" s="18"/>
      <c r="I119" s="18">
        <f t="shared" si="0"/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1:31">
      <c r="A120" s="19"/>
      <c r="B120" s="20"/>
      <c r="C120" s="18" t="str">
        <f ca="1">IFERROR(__xludf.DUMMYFUNCTION("IF(ISBLANK(B120),,IFERROR(FILTER('Leetcode分类顺序表'!B:D,'Leetcode分类顺序表'!A:A = B120),FILTER(Algoexpert.io!B:D,Algoexpert.io!A:A = B120)))"),"")</f>
        <v/>
      </c>
      <c r="D120" s="18"/>
      <c r="E120" s="18"/>
      <c r="F120" s="18"/>
      <c r="G120" s="18"/>
      <c r="H120" s="18"/>
      <c r="I120" s="18">
        <f t="shared" si="0"/>
        <v>0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 spans="1:31">
      <c r="A121" s="19"/>
      <c r="B121" s="20"/>
      <c r="C121" s="18" t="str">
        <f ca="1">IFERROR(__xludf.DUMMYFUNCTION("IF(ISBLANK(B121),,IFERROR(FILTER('Leetcode分类顺序表'!B:D,'Leetcode分类顺序表'!A:A = B121),FILTER(Algoexpert.io!B:D,Algoexpert.io!A:A = B121)))"),"")</f>
        <v/>
      </c>
      <c r="D121" s="18"/>
      <c r="E121" s="18"/>
      <c r="F121" s="18"/>
      <c r="G121" s="18"/>
      <c r="H121" s="18"/>
      <c r="I121" s="18">
        <f t="shared" si="0"/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 spans="1:31">
      <c r="A122" s="19"/>
      <c r="B122" s="20"/>
      <c r="C122" s="18" t="str">
        <f ca="1">IFERROR(__xludf.DUMMYFUNCTION("IF(ISBLANK(B122),,IFERROR(FILTER('Leetcode分类顺序表'!B:D,'Leetcode分类顺序表'!A:A = B122),FILTER(Algoexpert.io!B:D,Algoexpert.io!A:A = B122)))"),"")</f>
        <v/>
      </c>
      <c r="D122" s="18"/>
      <c r="E122" s="18"/>
      <c r="F122" s="18"/>
      <c r="G122" s="18"/>
      <c r="H122" s="18"/>
      <c r="I122" s="18">
        <f t="shared" si="0"/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 spans="1:31">
      <c r="A123" s="19"/>
      <c r="B123" s="20"/>
      <c r="C123" s="18" t="str">
        <f ca="1">IFERROR(__xludf.DUMMYFUNCTION("IF(ISBLANK(B123),,IFERROR(FILTER('Leetcode分类顺序表'!B:D,'Leetcode分类顺序表'!A:A = B123),FILTER(Algoexpert.io!B:D,Algoexpert.io!A:A = B123)))"),"")</f>
        <v/>
      </c>
      <c r="D123" s="18"/>
      <c r="E123" s="18"/>
      <c r="F123" s="18"/>
      <c r="G123" s="18"/>
      <c r="H123" s="18"/>
      <c r="I123" s="18">
        <f t="shared" si="0"/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 spans="1:31">
      <c r="A124" s="19"/>
      <c r="B124" s="20"/>
      <c r="C124" s="18" t="str">
        <f ca="1">IFERROR(__xludf.DUMMYFUNCTION("IF(ISBLANK(B124),,IFERROR(FILTER('Leetcode分类顺序表'!B:D,'Leetcode分类顺序表'!A:A = B124),FILTER(Algoexpert.io!B:D,Algoexpert.io!A:A = B124)))"),"")</f>
        <v/>
      </c>
      <c r="D124" s="18"/>
      <c r="E124" s="18"/>
      <c r="F124" s="18"/>
      <c r="G124" s="18"/>
      <c r="H124" s="18"/>
      <c r="I124" s="18">
        <f t="shared" si="0"/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 spans="1:31">
      <c r="A125" s="19"/>
      <c r="B125" s="20"/>
      <c r="C125" s="18" t="str">
        <f ca="1">IFERROR(__xludf.DUMMYFUNCTION("IF(ISBLANK(B125),,IFERROR(FILTER('Leetcode分类顺序表'!B:D,'Leetcode分类顺序表'!A:A = B125),FILTER(Algoexpert.io!B:D,Algoexpert.io!A:A = B125)))"),"")</f>
        <v/>
      </c>
      <c r="D125" s="18"/>
      <c r="E125" s="18"/>
      <c r="F125" s="18"/>
      <c r="G125" s="18"/>
      <c r="H125" s="18"/>
      <c r="I125" s="18">
        <f t="shared" si="0"/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 spans="1:31">
      <c r="A126" s="19"/>
      <c r="B126" s="20"/>
      <c r="C126" s="18" t="str">
        <f ca="1">IFERROR(__xludf.DUMMYFUNCTION("IF(ISBLANK(B126),,IFERROR(FILTER('Leetcode分类顺序表'!B:D,'Leetcode分类顺序表'!A:A = B126),FILTER(Algoexpert.io!B:D,Algoexpert.io!A:A = B126)))"),"")</f>
        <v/>
      </c>
      <c r="D126" s="18"/>
      <c r="E126" s="18"/>
      <c r="F126" s="18"/>
      <c r="G126" s="18"/>
      <c r="H126" s="18"/>
      <c r="I126" s="18">
        <f t="shared" si="0"/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 spans="1:31">
      <c r="A127" s="19"/>
      <c r="B127" s="20"/>
      <c r="C127" s="18" t="str">
        <f ca="1">IFERROR(__xludf.DUMMYFUNCTION("IF(ISBLANK(B127),,IFERROR(FILTER('Leetcode分类顺序表'!B:D,'Leetcode分类顺序表'!A:A = B127),FILTER(Algoexpert.io!B:D,Algoexpert.io!A:A = B127)))"),"")</f>
        <v/>
      </c>
      <c r="D127" s="18"/>
      <c r="E127" s="18"/>
      <c r="F127" s="18"/>
      <c r="G127" s="18"/>
      <c r="H127" s="18"/>
      <c r="I127" s="18">
        <f t="shared" si="0"/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 spans="1:31">
      <c r="A128" s="19"/>
      <c r="B128" s="20"/>
      <c r="C128" s="18" t="str">
        <f ca="1">IFERROR(__xludf.DUMMYFUNCTION("IF(ISBLANK(B128),,IFERROR(FILTER('Leetcode分类顺序表'!B:D,'Leetcode分类顺序表'!A:A = B128),FILTER(Algoexpert.io!B:D,Algoexpert.io!A:A = B128)))"),"")</f>
        <v/>
      </c>
      <c r="D128" s="18"/>
      <c r="E128" s="18"/>
      <c r="F128" s="18"/>
      <c r="G128" s="18"/>
      <c r="H128" s="18"/>
      <c r="I128" s="18">
        <f t="shared" si="0"/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spans="1:31">
      <c r="A129" s="19"/>
      <c r="B129" s="20"/>
      <c r="C129" s="18" t="str">
        <f ca="1">IFERROR(__xludf.DUMMYFUNCTION("IF(ISBLANK(B129),,IFERROR(FILTER('Leetcode分类顺序表'!B:D,'Leetcode分类顺序表'!A:A = B129),FILTER(Algoexpert.io!B:D,Algoexpert.io!A:A = B129)))"),"")</f>
        <v/>
      </c>
      <c r="D129" s="18"/>
      <c r="E129" s="18"/>
      <c r="F129" s="18"/>
      <c r="G129" s="18"/>
      <c r="H129" s="18"/>
      <c r="I129" s="18">
        <f t="shared" si="0"/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 spans="1:31">
      <c r="A130" s="19"/>
      <c r="B130" s="20"/>
      <c r="C130" s="18" t="str">
        <f ca="1">IFERROR(__xludf.DUMMYFUNCTION("IF(ISBLANK(B130),,IFERROR(FILTER('Leetcode分类顺序表'!B:D,'Leetcode分类顺序表'!A:A = B130),FILTER(Algoexpert.io!B:D,Algoexpert.io!A:A = B130)))"),"")</f>
        <v/>
      </c>
      <c r="D130" s="18"/>
      <c r="E130" s="18"/>
      <c r="F130" s="18"/>
      <c r="G130" s="18"/>
      <c r="H130" s="18"/>
      <c r="I130" s="18">
        <f t="shared" si="0"/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 spans="1:31">
      <c r="A131" s="19"/>
      <c r="B131" s="20"/>
      <c r="C131" s="18" t="str">
        <f ca="1">IFERROR(__xludf.DUMMYFUNCTION("IF(ISBLANK(B131),,IFERROR(FILTER('Leetcode分类顺序表'!B:D,'Leetcode分类顺序表'!A:A = B131),FILTER(Algoexpert.io!B:D,Algoexpert.io!A:A = B131)))"),"")</f>
        <v/>
      </c>
      <c r="D131" s="18"/>
      <c r="E131" s="18"/>
      <c r="F131" s="18"/>
      <c r="G131" s="18"/>
      <c r="H131" s="18"/>
      <c r="I131" s="18">
        <f t="shared" si="0"/>
        <v>0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 spans="1:31">
      <c r="A132" s="19"/>
      <c r="B132" s="20"/>
      <c r="C132" s="18" t="str">
        <f ca="1">IFERROR(__xludf.DUMMYFUNCTION("IF(ISBLANK(B132),,IFERROR(FILTER('Leetcode分类顺序表'!B:D,'Leetcode分类顺序表'!A:A = B132),FILTER(Algoexpert.io!B:D,Algoexpert.io!A:A = B132)))"),"")</f>
        <v/>
      </c>
      <c r="D132" s="18"/>
      <c r="E132" s="18"/>
      <c r="F132" s="18"/>
      <c r="G132" s="18"/>
      <c r="H132" s="18"/>
      <c r="I132" s="18">
        <f t="shared" si="0"/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 spans="1:31">
      <c r="A133" s="19"/>
      <c r="B133" s="20"/>
      <c r="C133" s="18" t="str">
        <f ca="1">IFERROR(__xludf.DUMMYFUNCTION("IF(ISBLANK(B133),,IFERROR(FILTER('Leetcode分类顺序表'!B:D,'Leetcode分类顺序表'!A:A = B133),FILTER(Algoexpert.io!B:D,Algoexpert.io!A:A = B133)))"),"")</f>
        <v/>
      </c>
      <c r="D133" s="18"/>
      <c r="E133" s="18"/>
      <c r="F133" s="18"/>
      <c r="G133" s="18"/>
      <c r="H133" s="18"/>
      <c r="I133" s="18">
        <f t="shared" si="0"/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 spans="1:31">
      <c r="A134" s="19"/>
      <c r="B134" s="20"/>
      <c r="C134" s="18" t="str">
        <f ca="1">IFERROR(__xludf.DUMMYFUNCTION("IF(ISBLANK(B134),,IFERROR(FILTER('Leetcode分类顺序表'!B:D,'Leetcode分类顺序表'!A:A = B134),FILTER(Algoexpert.io!B:D,Algoexpert.io!A:A = B134)))"),"")</f>
        <v/>
      </c>
      <c r="D134" s="18"/>
      <c r="E134" s="18"/>
      <c r="F134" s="18"/>
      <c r="G134" s="18"/>
      <c r="H134" s="18"/>
      <c r="I134" s="18">
        <f t="shared" si="0"/>
        <v>0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 spans="1:31">
      <c r="A135" s="19"/>
      <c r="B135" s="20"/>
      <c r="C135" s="18" t="str">
        <f ca="1">IFERROR(__xludf.DUMMYFUNCTION("IF(ISBLANK(B135),,IFERROR(FILTER('Leetcode分类顺序表'!B:D,'Leetcode分类顺序表'!A:A = B135),FILTER(Algoexpert.io!B:D,Algoexpert.io!A:A = B135)))"),"")</f>
        <v/>
      </c>
      <c r="D135" s="18"/>
      <c r="E135" s="18"/>
      <c r="F135" s="18"/>
      <c r="G135" s="18"/>
      <c r="H135" s="18"/>
      <c r="I135" s="18">
        <f t="shared" si="0"/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 spans="1:31">
      <c r="A136" s="19"/>
      <c r="B136" s="20"/>
      <c r="C136" s="18" t="str">
        <f ca="1">IFERROR(__xludf.DUMMYFUNCTION("IF(ISBLANK(B136),,IFERROR(FILTER('Leetcode分类顺序表'!B:D,'Leetcode分类顺序表'!A:A = B136),FILTER(Algoexpert.io!B:D,Algoexpert.io!A:A = B136)))"),"")</f>
        <v/>
      </c>
      <c r="D136" s="18"/>
      <c r="E136" s="18"/>
      <c r="F136" s="18"/>
      <c r="G136" s="18"/>
      <c r="H136" s="18"/>
      <c r="I136" s="18">
        <f t="shared" si="0"/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 spans="1:31">
      <c r="A137" s="19"/>
      <c r="B137" s="20"/>
      <c r="C137" s="18" t="str">
        <f ca="1">IFERROR(__xludf.DUMMYFUNCTION("IF(ISBLANK(B137),,IFERROR(FILTER('Leetcode分类顺序表'!B:D,'Leetcode分类顺序表'!A:A = B137),FILTER(Algoexpert.io!B:D,Algoexpert.io!A:A = B137)))"),"")</f>
        <v/>
      </c>
      <c r="D137" s="18"/>
      <c r="E137" s="18"/>
      <c r="F137" s="18"/>
      <c r="G137" s="18"/>
      <c r="H137" s="18"/>
      <c r="I137" s="18">
        <f t="shared" si="0"/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 spans="1:31">
      <c r="A138" s="19"/>
      <c r="B138" s="20"/>
      <c r="C138" s="18" t="str">
        <f ca="1">IFERROR(__xludf.DUMMYFUNCTION("IF(ISBLANK(B138),,IFERROR(FILTER('Leetcode分类顺序表'!B:D,'Leetcode分类顺序表'!A:A = B138),FILTER(Algoexpert.io!B:D,Algoexpert.io!A:A = B138)))"),"")</f>
        <v/>
      </c>
      <c r="D138" s="18"/>
      <c r="E138" s="18"/>
      <c r="F138" s="18"/>
      <c r="G138" s="18"/>
      <c r="H138" s="18"/>
      <c r="I138" s="18">
        <f t="shared" si="0"/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 spans="1:31">
      <c r="A139" s="19"/>
      <c r="B139" s="20"/>
      <c r="C139" s="18" t="str">
        <f ca="1">IFERROR(__xludf.DUMMYFUNCTION("IF(ISBLANK(B139),,IFERROR(FILTER('Leetcode分类顺序表'!B:D,'Leetcode分类顺序表'!A:A = B139),FILTER(Algoexpert.io!B:D,Algoexpert.io!A:A = B139)))"),"")</f>
        <v/>
      </c>
      <c r="D139" s="18"/>
      <c r="E139" s="18"/>
      <c r="F139" s="18"/>
      <c r="G139" s="18"/>
      <c r="H139" s="18"/>
      <c r="I139" s="18">
        <f t="shared" si="0"/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 spans="1:31">
      <c r="A140" s="19"/>
      <c r="B140" s="20"/>
      <c r="C140" s="18" t="str">
        <f ca="1">IFERROR(__xludf.DUMMYFUNCTION("IF(ISBLANK(B140),,IFERROR(FILTER('Leetcode分类顺序表'!B:D,'Leetcode分类顺序表'!A:A = B140),FILTER(Algoexpert.io!B:D,Algoexpert.io!A:A = B140)))"),"")</f>
        <v/>
      </c>
      <c r="D140" s="18"/>
      <c r="E140" s="18"/>
      <c r="F140" s="18"/>
      <c r="G140" s="18"/>
      <c r="H140" s="18"/>
      <c r="I140" s="18">
        <f t="shared" si="0"/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 spans="1:31">
      <c r="A141" s="19"/>
      <c r="B141" s="20"/>
      <c r="C141" s="18" t="str">
        <f ca="1">IFERROR(__xludf.DUMMYFUNCTION("IF(ISBLANK(B141),,IFERROR(FILTER('Leetcode分类顺序表'!B:D,'Leetcode分类顺序表'!A:A = B141),FILTER(Algoexpert.io!B:D,Algoexpert.io!A:A = B141)))"),"")</f>
        <v/>
      </c>
      <c r="D141" s="18"/>
      <c r="E141" s="18"/>
      <c r="F141" s="18"/>
      <c r="G141" s="18"/>
      <c r="H141" s="18"/>
      <c r="I141" s="18">
        <f t="shared" si="0"/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 spans="1:31">
      <c r="A142" s="19"/>
      <c r="B142" s="20"/>
      <c r="C142" s="18" t="str">
        <f ca="1">IFERROR(__xludf.DUMMYFUNCTION("IF(ISBLANK(B142),,IFERROR(FILTER('Leetcode分类顺序表'!B:D,'Leetcode分类顺序表'!A:A = B142),FILTER(Algoexpert.io!B:D,Algoexpert.io!A:A = B142)))"),"")</f>
        <v/>
      </c>
      <c r="D142" s="18"/>
      <c r="E142" s="18"/>
      <c r="F142" s="18"/>
      <c r="G142" s="18"/>
      <c r="H142" s="18"/>
      <c r="I142" s="18">
        <f t="shared" si="0"/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 spans="1:31">
      <c r="A143" s="19"/>
      <c r="B143" s="20"/>
      <c r="C143" s="18" t="str">
        <f ca="1">IFERROR(__xludf.DUMMYFUNCTION("IF(ISBLANK(B143),,IFERROR(FILTER('Leetcode分类顺序表'!B:D,'Leetcode分类顺序表'!A:A = B143),FILTER(Algoexpert.io!B:D,Algoexpert.io!A:A = B143)))"),"")</f>
        <v/>
      </c>
      <c r="D143" s="18"/>
      <c r="E143" s="18"/>
      <c r="F143" s="18"/>
      <c r="G143" s="18"/>
      <c r="H143" s="18"/>
      <c r="I143" s="18">
        <f t="shared" si="0"/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 spans="1:31">
      <c r="A144" s="19"/>
      <c r="B144" s="20"/>
      <c r="C144" s="18" t="str">
        <f ca="1">IFERROR(__xludf.DUMMYFUNCTION("IF(ISBLANK(B144),,IFERROR(FILTER('Leetcode分类顺序表'!B:D,'Leetcode分类顺序表'!A:A = B144),FILTER(Algoexpert.io!B:D,Algoexpert.io!A:A = B144)))"),"")</f>
        <v/>
      </c>
      <c r="D144" s="18"/>
      <c r="E144" s="18"/>
      <c r="F144" s="18"/>
      <c r="G144" s="18"/>
      <c r="H144" s="18"/>
      <c r="I144" s="18">
        <f t="shared" si="0"/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 spans="1:31">
      <c r="A145" s="19"/>
      <c r="B145" s="20"/>
      <c r="C145" s="18" t="str">
        <f ca="1">IFERROR(__xludf.DUMMYFUNCTION("IF(ISBLANK(B145),,IFERROR(FILTER('Leetcode分类顺序表'!B:D,'Leetcode分类顺序表'!A:A = B145),FILTER(Algoexpert.io!B:D,Algoexpert.io!A:A = B145)))"),"")</f>
        <v/>
      </c>
      <c r="D145" s="18"/>
      <c r="E145" s="18"/>
      <c r="F145" s="18"/>
      <c r="G145" s="18"/>
      <c r="H145" s="18"/>
      <c r="I145" s="18">
        <f t="shared" si="0"/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 spans="1:31">
      <c r="A146" s="19"/>
      <c r="B146" s="20"/>
      <c r="C146" s="18" t="str">
        <f ca="1">IFERROR(__xludf.DUMMYFUNCTION("IF(ISBLANK(B146),,IFERROR(FILTER('Leetcode分类顺序表'!B:D,'Leetcode分类顺序表'!A:A = B146),FILTER(Algoexpert.io!B:D,Algoexpert.io!A:A = B146)))"),"")</f>
        <v/>
      </c>
      <c r="D146" s="18"/>
      <c r="E146" s="18"/>
      <c r="F146" s="18"/>
      <c r="G146" s="18"/>
      <c r="H146" s="18"/>
      <c r="I146" s="18">
        <f t="shared" si="0"/>
        <v>0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 spans="1:31">
      <c r="A147" s="19"/>
      <c r="B147" s="20"/>
      <c r="C147" s="18" t="str">
        <f ca="1">IFERROR(__xludf.DUMMYFUNCTION("IF(ISBLANK(B147),,IFERROR(FILTER('Leetcode分类顺序表'!B:D,'Leetcode分类顺序表'!A:A = B147),FILTER(Algoexpert.io!B:D,Algoexpert.io!A:A = B147)))"),"")</f>
        <v/>
      </c>
      <c r="D147" s="18"/>
      <c r="E147" s="18"/>
      <c r="F147" s="18"/>
      <c r="G147" s="18"/>
      <c r="H147" s="18"/>
      <c r="I147" s="18">
        <f t="shared" si="0"/>
        <v>0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 spans="1:31">
      <c r="A148" s="19"/>
      <c r="B148" s="20"/>
      <c r="C148" s="18" t="str">
        <f ca="1">IFERROR(__xludf.DUMMYFUNCTION("IF(ISBLANK(B148),,IFERROR(FILTER('Leetcode分类顺序表'!B:D,'Leetcode分类顺序表'!A:A = B148),FILTER(Algoexpert.io!B:D,Algoexpert.io!A:A = B148)))"),"")</f>
        <v/>
      </c>
      <c r="D148" s="18"/>
      <c r="E148" s="18"/>
      <c r="F148" s="18"/>
      <c r="G148" s="18"/>
      <c r="H148" s="18"/>
      <c r="I148" s="18">
        <f t="shared" si="0"/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 spans="1:31">
      <c r="A149" s="19"/>
      <c r="B149" s="20"/>
      <c r="C149" s="18" t="str">
        <f ca="1">IFERROR(__xludf.DUMMYFUNCTION("IF(ISBLANK(B149),,IFERROR(FILTER('Leetcode分类顺序表'!B:D,'Leetcode分类顺序表'!A:A = B149),FILTER(Algoexpert.io!B:D,Algoexpert.io!A:A = B149)))"),"")</f>
        <v/>
      </c>
      <c r="D149" s="18"/>
      <c r="E149" s="18"/>
      <c r="F149" s="18"/>
      <c r="G149" s="18"/>
      <c r="H149" s="18"/>
      <c r="I149" s="18">
        <f t="shared" si="0"/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 spans="1:31">
      <c r="A150" s="19"/>
      <c r="B150" s="20"/>
      <c r="C150" s="18" t="str">
        <f ca="1">IFERROR(__xludf.DUMMYFUNCTION("IF(ISBLANK(B150),,IFERROR(FILTER('Leetcode分类顺序表'!B:D,'Leetcode分类顺序表'!A:A = B150),FILTER(Algoexpert.io!B:D,Algoexpert.io!A:A = B150)))"),"")</f>
        <v/>
      </c>
      <c r="D150" s="18"/>
      <c r="E150" s="18"/>
      <c r="F150" s="18"/>
      <c r="G150" s="18"/>
      <c r="H150" s="18"/>
      <c r="I150" s="18">
        <f t="shared" si="0"/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 spans="1:31">
      <c r="A151" s="19"/>
      <c r="B151" s="20"/>
      <c r="C151" s="18" t="str">
        <f ca="1">IFERROR(__xludf.DUMMYFUNCTION("IF(ISBLANK(B151),,IFERROR(FILTER('Leetcode分类顺序表'!B:D,'Leetcode分类顺序表'!A:A = B151),FILTER(Algoexpert.io!B:D,Algoexpert.io!A:A = B151)))"),"")</f>
        <v/>
      </c>
      <c r="D151" s="18"/>
      <c r="E151" s="18"/>
      <c r="F151" s="18"/>
      <c r="G151" s="18"/>
      <c r="H151" s="18"/>
      <c r="I151" s="18">
        <f t="shared" si="0"/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 spans="1:31">
      <c r="A152" s="19"/>
      <c r="B152" s="20"/>
      <c r="C152" s="18" t="str">
        <f ca="1">IFERROR(__xludf.DUMMYFUNCTION("IF(ISBLANK(B152),,IFERROR(FILTER('Leetcode分类顺序表'!B:D,'Leetcode分类顺序表'!A:A = B152),FILTER(Algoexpert.io!B:D,Algoexpert.io!A:A = B152)))"),"")</f>
        <v/>
      </c>
      <c r="D152" s="18"/>
      <c r="E152" s="18"/>
      <c r="F152" s="18"/>
      <c r="G152" s="18"/>
      <c r="H152" s="18"/>
      <c r="I152" s="18">
        <f t="shared" si="0"/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 spans="1:31">
      <c r="A153" s="19"/>
      <c r="B153" s="20"/>
      <c r="C153" s="18" t="str">
        <f ca="1">IFERROR(__xludf.DUMMYFUNCTION("IF(ISBLANK(B153),,IFERROR(FILTER('Leetcode分类顺序表'!B:D,'Leetcode分类顺序表'!A:A = B153),FILTER(Algoexpert.io!B:D,Algoexpert.io!A:A = B153)))"),"")</f>
        <v/>
      </c>
      <c r="D153" s="18"/>
      <c r="E153" s="18"/>
      <c r="F153" s="18"/>
      <c r="G153" s="18"/>
      <c r="H153" s="18"/>
      <c r="I153" s="18">
        <f t="shared" si="0"/>
        <v>0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 spans="1:31">
      <c r="A154" s="19"/>
      <c r="B154" s="20"/>
      <c r="C154" s="18" t="str">
        <f ca="1">IFERROR(__xludf.DUMMYFUNCTION("IF(ISBLANK(B154),,IFERROR(FILTER('Leetcode分类顺序表'!B:D,'Leetcode分类顺序表'!A:A = B154),FILTER(Algoexpert.io!B:D,Algoexpert.io!A:A = B154)))"),"")</f>
        <v/>
      </c>
      <c r="D154" s="18"/>
      <c r="E154" s="18"/>
      <c r="F154" s="18"/>
      <c r="G154" s="18"/>
      <c r="H154" s="18"/>
      <c r="I154" s="18">
        <f t="shared" si="0"/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 spans="1:31">
      <c r="A155" s="19"/>
      <c r="B155" s="20"/>
      <c r="C155" s="18" t="str">
        <f ca="1">IFERROR(__xludf.DUMMYFUNCTION("IF(ISBLANK(B155),,IFERROR(FILTER('Leetcode分类顺序表'!B:D,'Leetcode分类顺序表'!A:A = B155),FILTER(Algoexpert.io!B:D,Algoexpert.io!A:A = B155)))"),"")</f>
        <v/>
      </c>
      <c r="D155" s="18"/>
      <c r="E155" s="18"/>
      <c r="F155" s="18"/>
      <c r="G155" s="18"/>
      <c r="H155" s="18"/>
      <c r="I155" s="18">
        <f t="shared" si="0"/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 spans="1:31">
      <c r="A156" s="19"/>
      <c r="B156" s="20"/>
      <c r="C156" s="18" t="str">
        <f ca="1">IFERROR(__xludf.DUMMYFUNCTION("IF(ISBLANK(B156),,IFERROR(FILTER('Leetcode分类顺序表'!B:D,'Leetcode分类顺序表'!A:A = B156),FILTER(Algoexpert.io!B:D,Algoexpert.io!A:A = B156)))"),"")</f>
        <v/>
      </c>
      <c r="D156" s="18"/>
      <c r="E156" s="18"/>
      <c r="F156" s="18"/>
      <c r="G156" s="18"/>
      <c r="H156" s="18"/>
      <c r="I156" s="18">
        <f t="shared" si="0"/>
        <v>0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 spans="1:31">
      <c r="A157" s="19"/>
      <c r="B157" s="20"/>
      <c r="C157" s="18" t="str">
        <f ca="1">IFERROR(__xludf.DUMMYFUNCTION("IF(ISBLANK(B157),,IFERROR(FILTER('Leetcode分类顺序表'!B:D,'Leetcode分类顺序表'!A:A = B157),FILTER(Algoexpert.io!B:D,Algoexpert.io!A:A = B157)))"),"")</f>
        <v/>
      </c>
      <c r="D157" s="18"/>
      <c r="E157" s="18"/>
      <c r="F157" s="18"/>
      <c r="G157" s="18"/>
      <c r="H157" s="18"/>
      <c r="I157" s="18">
        <f t="shared" si="0"/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 spans="1:31">
      <c r="A158" s="19"/>
      <c r="B158" s="20"/>
      <c r="C158" s="18" t="str">
        <f ca="1">IFERROR(__xludf.DUMMYFUNCTION("IF(ISBLANK(B158),,IFERROR(FILTER('Leetcode分类顺序表'!B:D,'Leetcode分类顺序表'!A:A = B158),FILTER(Algoexpert.io!B:D,Algoexpert.io!A:A = B158)))"),"")</f>
        <v/>
      </c>
      <c r="D158" s="18"/>
      <c r="E158" s="18"/>
      <c r="F158" s="18"/>
      <c r="G158" s="18"/>
      <c r="H158" s="18"/>
      <c r="I158" s="18">
        <f t="shared" si="0"/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 spans="1:31">
      <c r="A159" s="19"/>
      <c r="B159" s="20"/>
      <c r="C159" s="18" t="str">
        <f ca="1">IFERROR(__xludf.DUMMYFUNCTION("IF(ISBLANK(B159),,IFERROR(FILTER('Leetcode分类顺序表'!B:D,'Leetcode分类顺序表'!A:A = B159),FILTER(Algoexpert.io!B:D,Algoexpert.io!A:A = B159)))"),"")</f>
        <v/>
      </c>
      <c r="D159" s="18"/>
      <c r="E159" s="18"/>
      <c r="F159" s="18"/>
      <c r="G159" s="18"/>
      <c r="H159" s="18"/>
      <c r="I159" s="18">
        <f t="shared" si="0"/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 spans="1:31">
      <c r="A160" s="19"/>
      <c r="B160" s="20"/>
      <c r="C160" s="18" t="str">
        <f ca="1">IFERROR(__xludf.DUMMYFUNCTION("IF(ISBLANK(B160),,IFERROR(FILTER('Leetcode分类顺序表'!B:D,'Leetcode分类顺序表'!A:A = B160),FILTER(Algoexpert.io!B:D,Algoexpert.io!A:A = B160)))"),"")</f>
        <v/>
      </c>
      <c r="D160" s="18"/>
      <c r="E160" s="18"/>
      <c r="F160" s="18"/>
      <c r="G160" s="18"/>
      <c r="H160" s="18"/>
      <c r="I160" s="18">
        <f t="shared" si="0"/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 spans="1:31">
      <c r="A161" s="19"/>
      <c r="B161" s="20"/>
      <c r="C161" s="18" t="str">
        <f ca="1">IFERROR(__xludf.DUMMYFUNCTION("IF(ISBLANK(B161),,IFERROR(FILTER('Leetcode分类顺序表'!B:D,'Leetcode分类顺序表'!A:A = B161),FILTER(Algoexpert.io!B:D,Algoexpert.io!A:A = B161)))"),"")</f>
        <v/>
      </c>
      <c r="D161" s="18"/>
      <c r="E161" s="18"/>
      <c r="F161" s="18"/>
      <c r="G161" s="18"/>
      <c r="H161" s="18"/>
      <c r="I161" s="18">
        <f t="shared" si="0"/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 spans="1:31">
      <c r="A162" s="19"/>
      <c r="B162" s="20"/>
      <c r="C162" s="18" t="str">
        <f ca="1">IFERROR(__xludf.DUMMYFUNCTION("IF(ISBLANK(B162),,IFERROR(FILTER('Leetcode分类顺序表'!B:D,'Leetcode分类顺序表'!A:A = B162),FILTER(Algoexpert.io!B:D,Algoexpert.io!A:A = B162)))"),"")</f>
        <v/>
      </c>
      <c r="D162" s="18"/>
      <c r="E162" s="18"/>
      <c r="F162" s="18"/>
      <c r="G162" s="18"/>
      <c r="H162" s="18"/>
      <c r="I162" s="18">
        <f t="shared" si="0"/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 spans="1:31">
      <c r="A163" s="19"/>
      <c r="B163" s="20"/>
      <c r="C163" s="18" t="str">
        <f ca="1">IFERROR(__xludf.DUMMYFUNCTION("IF(ISBLANK(B163),,IFERROR(FILTER('Leetcode分类顺序表'!B:D,'Leetcode分类顺序表'!A:A = B163),FILTER(Algoexpert.io!B:D,Algoexpert.io!A:A = B163)))"),"")</f>
        <v/>
      </c>
      <c r="D163" s="18"/>
      <c r="E163" s="18"/>
      <c r="F163" s="18"/>
      <c r="G163" s="18"/>
      <c r="H163" s="18"/>
      <c r="I163" s="18">
        <f t="shared" si="0"/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 spans="1:31">
      <c r="A164" s="19"/>
      <c r="B164" s="20"/>
      <c r="C164" s="18" t="str">
        <f ca="1">IFERROR(__xludf.DUMMYFUNCTION("IF(ISBLANK(B164),,IFERROR(FILTER('Leetcode分类顺序表'!B:D,'Leetcode分类顺序表'!A:A = B164),FILTER(Algoexpert.io!B:D,Algoexpert.io!A:A = B164)))"),"")</f>
        <v/>
      </c>
      <c r="D164" s="18"/>
      <c r="E164" s="18"/>
      <c r="F164" s="18"/>
      <c r="G164" s="18"/>
      <c r="H164" s="18"/>
      <c r="I164" s="18">
        <f t="shared" si="0"/>
        <v>0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 spans="1:31">
      <c r="A165" s="19"/>
      <c r="B165" s="20"/>
      <c r="C165" s="18" t="str">
        <f ca="1">IFERROR(__xludf.DUMMYFUNCTION("IF(ISBLANK(B165),,IFERROR(FILTER('Leetcode分类顺序表'!B:D,'Leetcode分类顺序表'!A:A = B165),FILTER(Algoexpert.io!B:D,Algoexpert.io!A:A = B165)))"),"")</f>
        <v/>
      </c>
      <c r="D165" s="18"/>
      <c r="E165" s="18"/>
      <c r="F165" s="18"/>
      <c r="G165" s="18"/>
      <c r="H165" s="18"/>
      <c r="I165" s="18">
        <f t="shared" si="0"/>
        <v>0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 spans="1:31">
      <c r="A166" s="19"/>
      <c r="B166" s="20"/>
      <c r="C166" s="18" t="str">
        <f ca="1">IFERROR(__xludf.DUMMYFUNCTION("IF(ISBLANK(B166),,IFERROR(FILTER('Leetcode分类顺序表'!B:D,'Leetcode分类顺序表'!A:A = B166),FILTER(Algoexpert.io!B:D,Algoexpert.io!A:A = B166)))"),"")</f>
        <v/>
      </c>
      <c r="D166" s="18"/>
      <c r="E166" s="18"/>
      <c r="F166" s="18"/>
      <c r="G166" s="18"/>
      <c r="H166" s="18"/>
      <c r="I166" s="18">
        <f t="shared" si="0"/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 spans="1:31">
      <c r="A167" s="19"/>
      <c r="B167" s="20"/>
      <c r="C167" s="18" t="str">
        <f ca="1">IFERROR(__xludf.DUMMYFUNCTION("IF(ISBLANK(B167),,IFERROR(FILTER('Leetcode分类顺序表'!B:D,'Leetcode分类顺序表'!A:A = B167),FILTER(Algoexpert.io!B:D,Algoexpert.io!A:A = B167)))"),"")</f>
        <v/>
      </c>
      <c r="D167" s="18"/>
      <c r="E167" s="18"/>
      <c r="F167" s="18"/>
      <c r="G167" s="18"/>
      <c r="H167" s="18"/>
      <c r="I167" s="18">
        <f t="shared" si="0"/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 spans="1:31">
      <c r="A168" s="19"/>
      <c r="B168" s="20"/>
      <c r="C168" s="18" t="str">
        <f ca="1">IFERROR(__xludf.DUMMYFUNCTION("IF(ISBLANK(B168),,IFERROR(FILTER('Leetcode分类顺序表'!B:D,'Leetcode分类顺序表'!A:A = B168),FILTER(Algoexpert.io!B:D,Algoexpert.io!A:A = B168)))"),"")</f>
        <v/>
      </c>
      <c r="D168" s="18"/>
      <c r="E168" s="18"/>
      <c r="F168" s="18"/>
      <c r="G168" s="18"/>
      <c r="H168" s="18"/>
      <c r="I168" s="18">
        <f t="shared" si="0"/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 spans="1:31">
      <c r="A169" s="19"/>
      <c r="B169" s="20"/>
      <c r="C169" s="18" t="str">
        <f ca="1">IFERROR(__xludf.DUMMYFUNCTION("IF(ISBLANK(B169),,IFERROR(FILTER('Leetcode分类顺序表'!B:D,'Leetcode分类顺序表'!A:A = B169),FILTER(Algoexpert.io!B:D,Algoexpert.io!A:A = B169)))"),"")</f>
        <v/>
      </c>
      <c r="D169" s="18"/>
      <c r="E169" s="18"/>
      <c r="F169" s="18"/>
      <c r="G169" s="18"/>
      <c r="H169" s="18"/>
      <c r="I169" s="18">
        <f t="shared" si="0"/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 spans="1:31">
      <c r="A170" s="19"/>
      <c r="B170" s="20"/>
      <c r="C170" s="18" t="str">
        <f ca="1">IFERROR(__xludf.DUMMYFUNCTION("IF(ISBLANK(B170),,IFERROR(FILTER('Leetcode分类顺序表'!B:D,'Leetcode分类顺序表'!A:A = B170),FILTER(Algoexpert.io!B:D,Algoexpert.io!A:A = B170)))"),"")</f>
        <v/>
      </c>
      <c r="D170" s="18"/>
      <c r="E170" s="18"/>
      <c r="F170" s="18"/>
      <c r="G170" s="18"/>
      <c r="H170" s="18"/>
      <c r="I170" s="18">
        <f t="shared" si="0"/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 spans="1:31">
      <c r="A171" s="19"/>
      <c r="B171" s="20"/>
      <c r="C171" s="18" t="str">
        <f ca="1">IFERROR(__xludf.DUMMYFUNCTION("IF(ISBLANK(B171),,IFERROR(FILTER('Leetcode分类顺序表'!B:D,'Leetcode分类顺序表'!A:A = B171),FILTER(Algoexpert.io!B:D,Algoexpert.io!A:A = B171)))"),"")</f>
        <v/>
      </c>
      <c r="D171" s="18"/>
      <c r="E171" s="18"/>
      <c r="F171" s="18"/>
      <c r="G171" s="18"/>
      <c r="H171" s="18"/>
      <c r="I171" s="18">
        <f t="shared" si="0"/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 spans="1:31">
      <c r="A172" s="19"/>
      <c r="B172" s="20"/>
      <c r="C172" s="18" t="str">
        <f ca="1">IFERROR(__xludf.DUMMYFUNCTION("IF(ISBLANK(B172),,IFERROR(FILTER('Leetcode分类顺序表'!B:D,'Leetcode分类顺序表'!A:A = B172),FILTER(Algoexpert.io!B:D,Algoexpert.io!A:A = B172)))"),"")</f>
        <v/>
      </c>
      <c r="D172" s="18"/>
      <c r="E172" s="18"/>
      <c r="F172" s="18"/>
      <c r="G172" s="18"/>
      <c r="H172" s="18"/>
      <c r="I172" s="18">
        <f t="shared" si="0"/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 spans="1:31">
      <c r="A173" s="19"/>
      <c r="B173" s="20"/>
      <c r="C173" s="18" t="str">
        <f ca="1">IFERROR(__xludf.DUMMYFUNCTION("IF(ISBLANK(B173),,IFERROR(FILTER('Leetcode分类顺序表'!B:D,'Leetcode分类顺序表'!A:A = B173),FILTER(Algoexpert.io!B:D,Algoexpert.io!A:A = B173)))"),"")</f>
        <v/>
      </c>
      <c r="D173" s="18"/>
      <c r="E173" s="18"/>
      <c r="F173" s="18"/>
      <c r="G173" s="18"/>
      <c r="H173" s="18"/>
      <c r="I173" s="18">
        <f t="shared" si="0"/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 spans="1:31">
      <c r="A174" s="19"/>
      <c r="B174" s="20"/>
      <c r="C174" s="18" t="str">
        <f ca="1">IFERROR(__xludf.DUMMYFUNCTION("IF(ISBLANK(B174),,IFERROR(FILTER('Leetcode分类顺序表'!B:D,'Leetcode分类顺序表'!A:A = B174),FILTER(Algoexpert.io!B:D,Algoexpert.io!A:A = B174)))"),"")</f>
        <v/>
      </c>
      <c r="D174" s="18"/>
      <c r="E174" s="18"/>
      <c r="F174" s="18"/>
      <c r="G174" s="18"/>
      <c r="H174" s="18"/>
      <c r="I174" s="18">
        <f t="shared" si="0"/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 spans="1:31">
      <c r="A175" s="19"/>
      <c r="B175" s="20"/>
      <c r="C175" s="18" t="str">
        <f ca="1">IFERROR(__xludf.DUMMYFUNCTION("IF(ISBLANK(B175),,IFERROR(FILTER('Leetcode分类顺序表'!B:D,'Leetcode分类顺序表'!A:A = B175),FILTER(Algoexpert.io!B:D,Algoexpert.io!A:A = B175)))"),"")</f>
        <v/>
      </c>
      <c r="D175" s="18"/>
      <c r="E175" s="18"/>
      <c r="F175" s="18"/>
      <c r="G175" s="18"/>
      <c r="H175" s="18"/>
      <c r="I175" s="18">
        <f t="shared" si="0"/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 spans="1:31">
      <c r="A176" s="19"/>
      <c r="B176" s="20"/>
      <c r="C176" s="18" t="str">
        <f ca="1">IFERROR(__xludf.DUMMYFUNCTION("IF(ISBLANK(B176),,IFERROR(FILTER('Leetcode分类顺序表'!B:D,'Leetcode分类顺序表'!A:A = B176),FILTER(Algoexpert.io!B:D,Algoexpert.io!A:A = B176)))"),"")</f>
        <v/>
      </c>
      <c r="D176" s="18"/>
      <c r="E176" s="18"/>
      <c r="F176" s="18"/>
      <c r="G176" s="18"/>
      <c r="H176" s="18"/>
      <c r="I176" s="18">
        <f t="shared" si="0"/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 spans="1:31">
      <c r="A177" s="19"/>
      <c r="B177" s="20"/>
      <c r="C177" s="18" t="str">
        <f ca="1">IFERROR(__xludf.DUMMYFUNCTION("IF(ISBLANK(B177),,IFERROR(FILTER('Leetcode分类顺序表'!B:D,'Leetcode分类顺序表'!A:A = B177),FILTER(Algoexpert.io!B:D,Algoexpert.io!A:A = B177)))"),"")</f>
        <v/>
      </c>
      <c r="D177" s="18"/>
      <c r="E177" s="18"/>
      <c r="F177" s="18"/>
      <c r="G177" s="18"/>
      <c r="H177" s="18"/>
      <c r="I177" s="18">
        <f t="shared" si="0"/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 spans="1:31">
      <c r="A178" s="19"/>
      <c r="B178" s="20"/>
      <c r="C178" s="18" t="str">
        <f ca="1">IFERROR(__xludf.DUMMYFUNCTION("IF(ISBLANK(B178),,IFERROR(FILTER('Leetcode分类顺序表'!B:D,'Leetcode分类顺序表'!A:A = B178),FILTER(Algoexpert.io!B:D,Algoexpert.io!A:A = B178)))"),"")</f>
        <v/>
      </c>
      <c r="D178" s="18"/>
      <c r="E178" s="18"/>
      <c r="F178" s="18"/>
      <c r="G178" s="18"/>
      <c r="H178" s="18"/>
      <c r="I178" s="18">
        <f t="shared" si="0"/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 spans="1:31">
      <c r="A179" s="19"/>
      <c r="B179" s="20"/>
      <c r="C179" s="18" t="str">
        <f ca="1">IFERROR(__xludf.DUMMYFUNCTION("IF(ISBLANK(B179),,IFERROR(FILTER('Leetcode分类顺序表'!B:D,'Leetcode分类顺序表'!A:A = B179),FILTER(Algoexpert.io!B:D,Algoexpert.io!A:A = B179)))"),"")</f>
        <v/>
      </c>
      <c r="D179" s="18"/>
      <c r="E179" s="18"/>
      <c r="F179" s="18"/>
      <c r="G179" s="18"/>
      <c r="H179" s="18"/>
      <c r="I179" s="18">
        <f t="shared" si="0"/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 spans="1:31">
      <c r="A180" s="19"/>
      <c r="B180" s="20"/>
      <c r="C180" s="18" t="str">
        <f ca="1">IFERROR(__xludf.DUMMYFUNCTION("IF(ISBLANK(B180),,FILTER('Leetcode分类顺序表'!B:D,'Leetcode分类顺序表'!A:A = B180))"),"")</f>
        <v/>
      </c>
      <c r="D180" s="18"/>
      <c r="E180" s="18"/>
      <c r="F180" s="18"/>
      <c r="G180" s="18"/>
      <c r="H180" s="18"/>
      <c r="I180" s="18">
        <f t="shared" si="0"/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 spans="1:31">
      <c r="A181" s="19"/>
      <c r="B181" s="20"/>
      <c r="C181" s="18" t="str">
        <f ca="1">IFERROR(__xludf.DUMMYFUNCTION("IF(ISBLANK(B181),,FILTER('Leetcode分类顺序表'!B:D,'Leetcode分类顺序表'!A:A = B181))"),"")</f>
        <v/>
      </c>
      <c r="D181" s="18"/>
      <c r="E181" s="18"/>
      <c r="F181" s="18"/>
      <c r="G181" s="18"/>
      <c r="H181" s="18"/>
      <c r="I181" s="18">
        <f t="shared" si="0"/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 spans="1:31">
      <c r="A182" s="19"/>
      <c r="B182" s="20"/>
      <c r="C182" s="18" t="str">
        <f ca="1">IFERROR(__xludf.DUMMYFUNCTION("IF(ISBLANK(B182),,FILTER('Leetcode分类顺序表'!B:D,'Leetcode分类顺序表'!A:A = B182))"),"")</f>
        <v/>
      </c>
      <c r="D182" s="18"/>
      <c r="E182" s="18"/>
      <c r="F182" s="18"/>
      <c r="G182" s="18"/>
      <c r="H182" s="18"/>
      <c r="I182" s="18">
        <f t="shared" si="0"/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 spans="1:31">
      <c r="A183" s="19"/>
      <c r="B183" s="20"/>
      <c r="C183" s="18" t="str">
        <f ca="1">IFERROR(__xludf.DUMMYFUNCTION("IF(ISBLANK(B183),,FILTER('Leetcode分类顺序表'!B:D,'Leetcode分类顺序表'!A:A = B183))"),"")</f>
        <v/>
      </c>
      <c r="D183" s="18"/>
      <c r="E183" s="18"/>
      <c r="F183" s="18"/>
      <c r="G183" s="18"/>
      <c r="H183" s="18"/>
      <c r="I183" s="18">
        <f t="shared" si="0"/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 spans="1:31">
      <c r="A184" s="19"/>
      <c r="B184" s="20"/>
      <c r="C184" s="18" t="str">
        <f ca="1">IFERROR(__xludf.DUMMYFUNCTION("IF(ISBLANK(B184),,FILTER('Leetcode分类顺序表'!B:D,'Leetcode分类顺序表'!A:A = B184))"),"")</f>
        <v/>
      </c>
      <c r="D184" s="18"/>
      <c r="E184" s="18"/>
      <c r="F184" s="18"/>
      <c r="G184" s="18"/>
      <c r="H184" s="18"/>
      <c r="I184" s="18">
        <f t="shared" si="0"/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 spans="1:31">
      <c r="A185" s="19"/>
      <c r="B185" s="20"/>
      <c r="C185" s="18" t="str">
        <f ca="1">IFERROR(__xludf.DUMMYFUNCTION("IF(ISBLANK(B185),,FILTER('Leetcode分类顺序表'!B:D,'Leetcode分类顺序表'!A:A = B185))"),"")</f>
        <v/>
      </c>
      <c r="D185" s="18"/>
      <c r="E185" s="18"/>
      <c r="F185" s="18"/>
      <c r="G185" s="18"/>
      <c r="H185" s="18"/>
      <c r="I185" s="18">
        <f t="shared" si="0"/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 spans="1:31">
      <c r="A186" s="19"/>
      <c r="B186" s="20"/>
      <c r="C186" s="18" t="str">
        <f ca="1">IFERROR(__xludf.DUMMYFUNCTION("IF(ISBLANK(B186),,FILTER('Leetcode分类顺序表'!B:D,'Leetcode分类顺序表'!A:A = B186))"),"")</f>
        <v/>
      </c>
      <c r="D186" s="18"/>
      <c r="E186" s="18"/>
      <c r="F186" s="18"/>
      <c r="G186" s="18"/>
      <c r="H186" s="18"/>
      <c r="I186" s="18">
        <f t="shared" si="0"/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 spans="1:31">
      <c r="A187" s="19"/>
      <c r="B187" s="20"/>
      <c r="C187" s="18" t="str">
        <f ca="1">IFERROR(__xludf.DUMMYFUNCTION("IF(ISBLANK(B187),,FILTER('Leetcode分类顺序表'!B:D,'Leetcode分类顺序表'!A:A = B187))"),"")</f>
        <v/>
      </c>
      <c r="D187" s="18"/>
      <c r="E187" s="18"/>
      <c r="F187" s="18"/>
      <c r="G187" s="18"/>
      <c r="H187" s="18"/>
      <c r="I187" s="18">
        <f t="shared" si="0"/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 spans="1:31">
      <c r="A188" s="19"/>
      <c r="B188" s="20"/>
      <c r="C188" s="18" t="str">
        <f ca="1">IFERROR(__xludf.DUMMYFUNCTION("IF(ISBLANK(B188),,FILTER('Leetcode分类顺序表'!B:D,'Leetcode分类顺序表'!A:A = B188))"),"")</f>
        <v/>
      </c>
      <c r="D188" s="18"/>
      <c r="E188" s="18"/>
      <c r="F188" s="18"/>
      <c r="G188" s="18"/>
      <c r="H188" s="18"/>
      <c r="I188" s="18">
        <f t="shared" si="0"/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 spans="1:31">
      <c r="A189" s="19"/>
      <c r="B189" s="20"/>
      <c r="C189" s="18" t="str">
        <f ca="1">IFERROR(__xludf.DUMMYFUNCTION("IF(ISBLANK(B189),,FILTER('Leetcode分类顺序表'!B:D,'Leetcode分类顺序表'!A:A = B189))"),"")</f>
        <v/>
      </c>
      <c r="D189" s="18"/>
      <c r="E189" s="18"/>
      <c r="F189" s="18"/>
      <c r="G189" s="18"/>
      <c r="H189" s="18"/>
      <c r="I189" s="18">
        <f t="shared" si="0"/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 spans="1:31">
      <c r="A190" s="19"/>
      <c r="B190" s="20"/>
      <c r="C190" s="18" t="str">
        <f ca="1">IFERROR(__xludf.DUMMYFUNCTION("IF(ISBLANK(B190),,FILTER('Leetcode分类顺序表'!B:D,'Leetcode分类顺序表'!A:A = B190))"),"")</f>
        <v/>
      </c>
      <c r="D190" s="18"/>
      <c r="E190" s="18"/>
      <c r="F190" s="18"/>
      <c r="G190" s="18"/>
      <c r="H190" s="18"/>
      <c r="I190" s="18">
        <f t="shared" si="0"/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 spans="1:31">
      <c r="A191" s="19"/>
      <c r="B191" s="20"/>
      <c r="C191" s="18" t="str">
        <f ca="1">IFERROR(__xludf.DUMMYFUNCTION("IF(ISBLANK(B191),,FILTER('Leetcode分类顺序表'!B:D,'Leetcode分类顺序表'!A:A = B191))"),"")</f>
        <v/>
      </c>
      <c r="D191" s="18"/>
      <c r="E191" s="18"/>
      <c r="F191" s="18"/>
      <c r="G191" s="18"/>
      <c r="H191" s="18"/>
      <c r="I191" s="18">
        <f t="shared" si="0"/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 spans="1:31">
      <c r="A192" s="19"/>
      <c r="B192" s="20"/>
      <c r="C192" s="18" t="str">
        <f ca="1">IFERROR(__xludf.DUMMYFUNCTION("IF(ISBLANK(B192),,FILTER('Leetcode分类顺序表'!B:D,'Leetcode分类顺序表'!A:A = B192))"),"")</f>
        <v/>
      </c>
      <c r="D192" s="18"/>
      <c r="E192" s="18"/>
      <c r="F192" s="18"/>
      <c r="G192" s="18"/>
      <c r="H192" s="18"/>
      <c r="I192" s="18">
        <f t="shared" si="0"/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 spans="1:31">
      <c r="A193" s="19"/>
      <c r="B193" s="20"/>
      <c r="C193" s="18" t="str">
        <f ca="1">IFERROR(__xludf.DUMMYFUNCTION("IF(ISBLANK(B193),,FILTER('Leetcode分类顺序表'!B:D,'Leetcode分类顺序表'!A:A = B193))"),"")</f>
        <v/>
      </c>
      <c r="D193" s="18"/>
      <c r="E193" s="18"/>
      <c r="F193" s="18"/>
      <c r="G193" s="18"/>
      <c r="H193" s="18"/>
      <c r="I193" s="18">
        <f t="shared" si="0"/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 spans="1:31">
      <c r="A194" s="19"/>
      <c r="B194" s="20"/>
      <c r="C194" s="18" t="str">
        <f ca="1">IFERROR(__xludf.DUMMYFUNCTION("IF(ISBLANK(B194),,FILTER('Leetcode分类顺序表'!B:D,'Leetcode分类顺序表'!A:A = B194))"),"")</f>
        <v/>
      </c>
      <c r="D194" s="18"/>
      <c r="E194" s="18"/>
      <c r="F194" s="18"/>
      <c r="G194" s="18"/>
      <c r="H194" s="18"/>
      <c r="I194" s="18">
        <f t="shared" si="0"/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 spans="1:31">
      <c r="A195" s="19"/>
      <c r="B195" s="20"/>
      <c r="C195" s="18" t="str">
        <f ca="1">IFERROR(__xludf.DUMMYFUNCTION("IF(ISBLANK(B195),,FILTER('Leetcode分类顺序表'!B:D,'Leetcode分类顺序表'!A:A = B195))"),"")</f>
        <v/>
      </c>
      <c r="D195" s="18"/>
      <c r="E195" s="18"/>
      <c r="F195" s="18"/>
      <c r="G195" s="18"/>
      <c r="H195" s="18"/>
      <c r="I195" s="18">
        <f t="shared" si="0"/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 spans="1:31">
      <c r="A196" s="19"/>
      <c r="B196" s="20"/>
      <c r="C196" s="18" t="str">
        <f ca="1">IFERROR(__xludf.DUMMYFUNCTION("IF(ISBLANK(B196),,FILTER('Leetcode分类顺序表'!B:D,'Leetcode分类顺序表'!A:A = B196))"),"")</f>
        <v/>
      </c>
      <c r="D196" s="18"/>
      <c r="E196" s="18"/>
      <c r="F196" s="18"/>
      <c r="G196" s="18"/>
      <c r="H196" s="18"/>
      <c r="I196" s="18">
        <f t="shared" si="0"/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 spans="1:31">
      <c r="A197" s="19"/>
      <c r="B197" s="20"/>
      <c r="C197" s="18" t="str">
        <f ca="1">IFERROR(__xludf.DUMMYFUNCTION("IF(ISBLANK(B197),,FILTER('Leetcode分类顺序表'!B:D,'Leetcode分类顺序表'!A:A = B197))"),"")</f>
        <v/>
      </c>
      <c r="D197" s="18"/>
      <c r="E197" s="18"/>
      <c r="F197" s="18"/>
      <c r="G197" s="18"/>
      <c r="H197" s="18"/>
      <c r="I197" s="18">
        <f t="shared" si="0"/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 spans="1:31">
      <c r="A198" s="19"/>
      <c r="B198" s="20"/>
      <c r="C198" s="18" t="str">
        <f ca="1">IFERROR(__xludf.DUMMYFUNCTION("IF(ISBLANK(B198),,FILTER('Leetcode分类顺序表'!B:D,'Leetcode分类顺序表'!A:A = B198))"),"")</f>
        <v/>
      </c>
      <c r="D198" s="18"/>
      <c r="E198" s="18"/>
      <c r="F198" s="18"/>
      <c r="G198" s="18"/>
      <c r="H198" s="18"/>
      <c r="I198" s="18">
        <f t="shared" si="0"/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 spans="1:31">
      <c r="A199" s="19"/>
      <c r="B199" s="20"/>
      <c r="C199" s="18" t="str">
        <f ca="1">IFERROR(__xludf.DUMMYFUNCTION("IF(ISBLANK(B199),,FILTER('Leetcode分类顺序表'!B:D,'Leetcode分类顺序表'!A:A = B199))"),"")</f>
        <v/>
      </c>
      <c r="D199" s="18"/>
      <c r="E199" s="18"/>
      <c r="F199" s="18"/>
      <c r="G199" s="18"/>
      <c r="H199" s="18"/>
      <c r="I199" s="18">
        <f t="shared" si="0"/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 spans="1:31">
      <c r="A200" s="19"/>
      <c r="B200" s="20"/>
      <c r="C200" s="18" t="str">
        <f ca="1">IFERROR(__xludf.DUMMYFUNCTION("IF(ISBLANK(B200),,FILTER('Leetcode分类顺序表'!B:D,'Leetcode分类顺序表'!A:A = B200))"),"")</f>
        <v/>
      </c>
      <c r="D200" s="18"/>
      <c r="E200" s="18"/>
      <c r="F200" s="18"/>
      <c r="G200" s="18"/>
      <c r="H200" s="18"/>
      <c r="I200" s="18">
        <f t="shared" si="0"/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r="201" spans="1:31">
      <c r="A201" s="19"/>
      <c r="B201" s="20"/>
      <c r="C201" s="18" t="str">
        <f ca="1">IFERROR(__xludf.DUMMYFUNCTION("IF(ISBLANK(B201),,FILTER('Leetcode分类顺序表'!B:D,'Leetcode分类顺序表'!A:A = B201))"),"")</f>
        <v/>
      </c>
      <c r="D201" s="18"/>
      <c r="E201" s="18"/>
      <c r="F201" s="18"/>
      <c r="G201" s="18"/>
      <c r="H201" s="18"/>
      <c r="I201" s="18">
        <f t="shared" si="0"/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 spans="1:31">
      <c r="A202" s="19"/>
      <c r="B202" s="20"/>
      <c r="C202" s="18" t="str">
        <f ca="1">IFERROR(__xludf.DUMMYFUNCTION("IF(ISBLANK(B202),,FILTER('Leetcode分类顺序表'!B:D,'Leetcode分类顺序表'!A:A = B202))"),"")</f>
        <v/>
      </c>
      <c r="D202" s="18"/>
      <c r="E202" s="18"/>
      <c r="F202" s="18"/>
      <c r="G202" s="18"/>
      <c r="H202" s="18"/>
      <c r="I202" s="18">
        <f t="shared" si="0"/>
        <v>0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r="203" spans="1:31">
      <c r="A203" s="19"/>
      <c r="B203" s="20"/>
      <c r="C203" s="18" t="str">
        <f ca="1">IFERROR(__xludf.DUMMYFUNCTION("IF(ISBLANK(B203),,FILTER('Leetcode分类顺序表'!B:D,'Leetcode分类顺序表'!A:A = B203))"),"")</f>
        <v/>
      </c>
      <c r="D203" s="18"/>
      <c r="E203" s="18"/>
      <c r="F203" s="18"/>
      <c r="G203" s="18"/>
      <c r="H203" s="18"/>
      <c r="I203" s="18">
        <f t="shared" si="0"/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 spans="1:31">
      <c r="A204" s="19"/>
      <c r="B204" s="20"/>
      <c r="C204" s="18" t="str">
        <f ca="1">IFERROR(__xludf.DUMMYFUNCTION("IF(ISBLANK(B204),,FILTER('Leetcode分类顺序表'!B:D,'Leetcode分类顺序表'!A:A = B204))"),"")</f>
        <v/>
      </c>
      <c r="D204" s="18"/>
      <c r="E204" s="18"/>
      <c r="F204" s="18"/>
      <c r="G204" s="18"/>
      <c r="H204" s="18"/>
      <c r="I204" s="18">
        <f t="shared" si="0"/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r="205" spans="1:31">
      <c r="A205" s="19"/>
      <c r="B205" s="20"/>
      <c r="C205" s="18" t="str">
        <f ca="1">IFERROR(__xludf.DUMMYFUNCTION("IF(ISBLANK(B205),,FILTER('Leetcode分类顺序表'!B:D,'Leetcode分类顺序表'!A:A = B205))"),"")</f>
        <v/>
      </c>
      <c r="D205" s="18"/>
      <c r="E205" s="18"/>
      <c r="F205" s="18"/>
      <c r="G205" s="18"/>
      <c r="H205" s="18"/>
      <c r="I205" s="18">
        <f t="shared" si="0"/>
        <v>0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 spans="1:31">
      <c r="A206" s="19"/>
      <c r="B206" s="20"/>
      <c r="C206" s="18" t="str">
        <f ca="1">IFERROR(__xludf.DUMMYFUNCTION("IF(ISBLANK(B206),,FILTER('Leetcode分类顺序表'!B:D,'Leetcode分类顺序表'!A:A = B206))"),"")</f>
        <v/>
      </c>
      <c r="D206" s="18"/>
      <c r="E206" s="18"/>
      <c r="F206" s="18"/>
      <c r="G206" s="18"/>
      <c r="H206" s="18"/>
      <c r="I206" s="18">
        <f t="shared" si="0"/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 spans="1:31">
      <c r="A207" s="19"/>
      <c r="B207" s="20"/>
      <c r="C207" s="18" t="str">
        <f ca="1">IFERROR(__xludf.DUMMYFUNCTION("IF(ISBLANK(B207),,FILTER('Leetcode分类顺序表'!B:D,'Leetcode分类顺序表'!A:A = B207))"),"")</f>
        <v/>
      </c>
      <c r="D207" s="18"/>
      <c r="E207" s="18"/>
      <c r="F207" s="18"/>
      <c r="G207" s="18"/>
      <c r="H207" s="18"/>
      <c r="I207" s="18">
        <f t="shared" si="0"/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 spans="1:31">
      <c r="A208" s="19"/>
      <c r="B208" s="20"/>
      <c r="C208" s="18" t="str">
        <f ca="1">IFERROR(__xludf.DUMMYFUNCTION("IF(ISBLANK(B208),,FILTER('Leetcode分类顺序表'!B:D,'Leetcode分类顺序表'!A:A = B208))"),"")</f>
        <v/>
      </c>
      <c r="D208" s="18"/>
      <c r="E208" s="18"/>
      <c r="F208" s="18"/>
      <c r="G208" s="18"/>
      <c r="H208" s="18"/>
      <c r="I208" s="18">
        <f t="shared" si="0"/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 spans="1:31">
      <c r="A209" s="19"/>
      <c r="B209" s="20"/>
      <c r="C209" s="18" t="str">
        <f ca="1">IFERROR(__xludf.DUMMYFUNCTION("IF(ISBLANK(B209),,FILTER('Leetcode分类顺序表'!B:D,'Leetcode分类顺序表'!A:A = B209))"),"")</f>
        <v/>
      </c>
      <c r="D209" s="18"/>
      <c r="E209" s="18"/>
      <c r="F209" s="18"/>
      <c r="G209" s="18"/>
      <c r="H209" s="18"/>
      <c r="I209" s="18">
        <f t="shared" si="0"/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 spans="1:31">
      <c r="A210" s="19"/>
      <c r="B210" s="20"/>
      <c r="C210" s="18" t="str">
        <f ca="1">IFERROR(__xludf.DUMMYFUNCTION("IF(ISBLANK(B210),,FILTER('Leetcode分类顺序表'!B:D,'Leetcode分类顺序表'!A:A = B210))"),"")</f>
        <v/>
      </c>
      <c r="D210" s="18"/>
      <c r="E210" s="18"/>
      <c r="F210" s="18"/>
      <c r="G210" s="18"/>
      <c r="H210" s="18"/>
      <c r="I210" s="18">
        <f t="shared" si="0"/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 spans="1:31">
      <c r="A211" s="19"/>
      <c r="B211" s="20"/>
      <c r="C211" s="18" t="str">
        <f ca="1">IFERROR(__xludf.DUMMYFUNCTION("IF(ISBLANK(B211),,FILTER('Leetcode分类顺序表'!B:D,'Leetcode分类顺序表'!A:A = B211))"),"")</f>
        <v/>
      </c>
      <c r="D211" s="18"/>
      <c r="E211" s="18"/>
      <c r="F211" s="18"/>
      <c r="G211" s="18"/>
      <c r="H211" s="18"/>
      <c r="I211" s="18">
        <f t="shared" si="0"/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 spans="1:31">
      <c r="A212" s="19"/>
      <c r="B212" s="20"/>
      <c r="C212" s="18" t="str">
        <f ca="1">IFERROR(__xludf.DUMMYFUNCTION("IF(ISBLANK(B212),,FILTER('Leetcode分类顺序表'!B:D,'Leetcode分类顺序表'!A:A = B212))"),"")</f>
        <v/>
      </c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 spans="1:31">
      <c r="A213" s="19"/>
      <c r="B213" s="20"/>
      <c r="C213" s="18" t="str">
        <f ca="1">IFERROR(__xludf.DUMMYFUNCTION("IF(ISBLANK(B213),,FILTER('Leetcode分类顺序表'!B:D,'Leetcode分类顺序表'!A:A = B213))"),"")</f>
        <v/>
      </c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 spans="1:31">
      <c r="A214" s="19"/>
      <c r="B214" s="20"/>
      <c r="C214" s="18" t="str">
        <f ca="1">IFERROR(__xludf.DUMMYFUNCTION("IF(ISBLANK(B214),,FILTER('Leetcode分类顺序表'!B:D,'Leetcode分类顺序表'!A:A = B214))"),"")</f>
        <v/>
      </c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 spans="1:31">
      <c r="A215" s="19"/>
      <c r="B215" s="20"/>
      <c r="C215" s="18" t="str">
        <f ca="1">IFERROR(__xludf.DUMMYFUNCTION("IF(ISBLANK(B215),,FILTER('Leetcode分类顺序表'!B:D,'Leetcode分类顺序表'!A:A = B215))"),"")</f>
        <v/>
      </c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 spans="1:31">
      <c r="A216" s="19"/>
      <c r="B216" s="20"/>
      <c r="C216" s="18" t="str">
        <f ca="1">IFERROR(__xludf.DUMMYFUNCTION("IF(ISBLANK(B216),,FILTER('Leetcode分类顺序表'!B:D,'Leetcode分类顺序表'!A:A = B216))"),"")</f>
        <v/>
      </c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 spans="1:31">
      <c r="A217" s="19"/>
      <c r="B217" s="20"/>
      <c r="C217" s="18" t="str">
        <f ca="1">IFERROR(__xludf.DUMMYFUNCTION("IF(ISBLANK(B217),,FILTER('Leetcode分类顺序表'!B:D,'Leetcode分类顺序表'!A:A = B217))"),"")</f>
        <v/>
      </c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 spans="1:31">
      <c r="A218" s="19"/>
      <c r="B218" s="20"/>
      <c r="C218" s="18" t="str">
        <f ca="1">IFERROR(__xludf.DUMMYFUNCTION("IF(ISBLANK(B218),,FILTER('Leetcode分类顺序表'!B:D,'Leetcode分类顺序表'!A:A = B218))"),"")</f>
        <v/>
      </c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 spans="1:31">
      <c r="A219" s="19"/>
      <c r="B219" s="20"/>
      <c r="C219" s="18" t="str">
        <f ca="1">IFERROR(__xludf.DUMMYFUNCTION("IF(ISBLANK(B219),,FILTER('Leetcode分类顺序表'!B:D,'Leetcode分类顺序表'!A:A = B219))"),"")</f>
        <v/>
      </c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 spans="1:31">
      <c r="A220" s="19"/>
      <c r="B220" s="20"/>
      <c r="C220" s="18" t="str">
        <f ca="1">IFERROR(__xludf.DUMMYFUNCTION("IF(ISBLANK(B220),,FILTER('Leetcode分类顺序表'!B:D,'Leetcode分类顺序表'!A:A = B220))"),"")</f>
        <v/>
      </c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 spans="1:31">
      <c r="A221" s="19"/>
      <c r="B221" s="20"/>
      <c r="C221" s="18" t="str">
        <f ca="1">IFERROR(__xludf.DUMMYFUNCTION("IF(ISBLANK(B221),,FILTER('Leetcode分类顺序表'!B:D,'Leetcode分类顺序表'!A:A = B221))"),"")</f>
        <v/>
      </c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 spans="1:31">
      <c r="A222" s="19"/>
      <c r="B222" s="20"/>
      <c r="C222" s="18" t="str">
        <f ca="1">IFERROR(__xludf.DUMMYFUNCTION("IF(ISBLANK(B222),,FILTER('Leetcode分类顺序表'!B:D,'Leetcode分类顺序表'!A:A = B222))"),"")</f>
        <v/>
      </c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 spans="1:31">
      <c r="A223" s="19"/>
      <c r="B223" s="20"/>
      <c r="C223" s="18" t="str">
        <f ca="1">IFERROR(__xludf.DUMMYFUNCTION("IF(ISBLANK(B223),,FILTER('Leetcode分类顺序表'!B:D,'Leetcode分类顺序表'!A:A = B223))"),"")</f>
        <v/>
      </c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 spans="1:31">
      <c r="A224" s="19"/>
      <c r="B224" s="20"/>
      <c r="C224" s="18" t="str">
        <f ca="1">IFERROR(__xludf.DUMMYFUNCTION("IF(ISBLANK(B224),,FILTER('Leetcode分类顺序表'!B:D,'Leetcode分类顺序表'!A:A = B224))"),"")</f>
        <v/>
      </c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 spans="1:31">
      <c r="A225" s="19"/>
      <c r="B225" s="20"/>
      <c r="C225" s="18" t="str">
        <f ca="1">IFERROR(__xludf.DUMMYFUNCTION("IF(ISBLANK(B225),,FILTER('Leetcode分类顺序表'!B:D,'Leetcode分类顺序表'!A:A = B225))"),"")</f>
        <v/>
      </c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 spans="1:31">
      <c r="A226" s="19"/>
      <c r="B226" s="20"/>
      <c r="C226" s="18" t="str">
        <f ca="1">IFERROR(__xludf.DUMMYFUNCTION("IF(ISBLANK(B226),,FILTER('Leetcode分类顺序表'!B:D,'Leetcode分类顺序表'!A:A = B226))"),"")</f>
        <v/>
      </c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 spans="1:31">
      <c r="A227" s="19"/>
      <c r="B227" s="20"/>
      <c r="C227" s="18" t="str">
        <f ca="1">IFERROR(__xludf.DUMMYFUNCTION("IF(ISBLANK(B227),,FILTER('Leetcode分类顺序表'!B:D,'Leetcode分类顺序表'!A:A = B227))"),"")</f>
        <v/>
      </c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 spans="1:31">
      <c r="A228" s="19"/>
      <c r="B228" s="20"/>
      <c r="C228" s="18" t="str">
        <f ca="1">IFERROR(__xludf.DUMMYFUNCTION("IF(ISBLANK(B228),,FILTER('Leetcode分类顺序表'!B:D,'Leetcode分类顺序表'!A:A = B228))"),"")</f>
        <v/>
      </c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 spans="1:31">
      <c r="A229" s="19"/>
      <c r="B229" s="20"/>
      <c r="C229" s="18" t="str">
        <f ca="1">IFERROR(__xludf.DUMMYFUNCTION("IF(ISBLANK(B229),,FILTER('Leetcode分类顺序表'!B:D,'Leetcode分类顺序表'!A:A = B229))"),"")</f>
        <v/>
      </c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 spans="1:31">
      <c r="A230" s="19"/>
      <c r="B230" s="20"/>
      <c r="C230" s="18" t="str">
        <f ca="1">IFERROR(__xludf.DUMMYFUNCTION("IF(ISBLANK(B230),,FILTER('Leetcode分类顺序表'!B:D,'Leetcode分类顺序表'!A:A = B230))"),"")</f>
        <v/>
      </c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 spans="1:31">
      <c r="A231" s="19"/>
      <c r="B231" s="20"/>
      <c r="C231" s="18" t="str">
        <f ca="1">IFERROR(__xludf.DUMMYFUNCTION("IF(ISBLANK(B231),,FILTER('Leetcode分类顺序表'!B:D,'Leetcode分类顺序表'!A:A = B231))"),"")</f>
        <v/>
      </c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 spans="1:31">
      <c r="A232" s="19"/>
      <c r="B232" s="20"/>
      <c r="C232" s="18" t="str">
        <f ca="1">IFERROR(__xludf.DUMMYFUNCTION("IF(ISBLANK(B232),,FILTER('Leetcode分类顺序表'!B:D,'Leetcode分类顺序表'!A:A = B232))"),"")</f>
        <v/>
      </c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 spans="1:31">
      <c r="A233" s="19"/>
      <c r="B233" s="20"/>
      <c r="C233" s="18" t="str">
        <f ca="1">IFERROR(__xludf.DUMMYFUNCTION("IF(ISBLANK(B233),,FILTER('Leetcode分类顺序表'!B:D,'Leetcode分类顺序表'!A:A = B233))"),"")</f>
        <v/>
      </c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 spans="1:31">
      <c r="A234" s="19"/>
      <c r="B234" s="20"/>
      <c r="C234" s="18" t="str">
        <f ca="1">IFERROR(__xludf.DUMMYFUNCTION("IF(ISBLANK(B234),,FILTER('Leetcode分类顺序表'!B:D,'Leetcode分类顺序表'!A:A = B234))"),"")</f>
        <v/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 spans="1:31">
      <c r="A235" s="19"/>
      <c r="B235" s="20"/>
      <c r="C235" s="18" t="str">
        <f ca="1">IFERROR(__xludf.DUMMYFUNCTION("IF(ISBLANK(B235),,FILTER('Leetcode分类顺序表'!B:D,'Leetcode分类顺序表'!A:A = B235))"),"")</f>
        <v/>
      </c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 spans="1:31">
      <c r="A236" s="19"/>
      <c r="B236" s="20"/>
      <c r="C236" s="18" t="str">
        <f ca="1">IFERROR(__xludf.DUMMYFUNCTION("IF(ISBLANK(B236),,FILTER('Leetcode分类顺序表'!B:D,'Leetcode分类顺序表'!A:A = B236))"),"")</f>
        <v/>
      </c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 spans="1:31">
      <c r="A237" s="19"/>
      <c r="B237" s="20"/>
      <c r="C237" s="18" t="str">
        <f ca="1">IFERROR(__xludf.DUMMYFUNCTION("IF(ISBLANK(B237),,FILTER('Leetcode分类顺序表'!B:D,'Leetcode分类顺序表'!A:A = B237))"),"")</f>
        <v/>
      </c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 spans="1:31">
      <c r="A238" s="19"/>
      <c r="B238" s="20"/>
      <c r="C238" s="18" t="str">
        <f ca="1">IFERROR(__xludf.DUMMYFUNCTION("IF(ISBLANK(B238),,FILTER('Leetcode分类顺序表'!B:D,'Leetcode分类顺序表'!A:A = B238))"),"")</f>
        <v/>
      </c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 spans="1:31">
      <c r="A239" s="19"/>
      <c r="B239" s="20"/>
      <c r="C239" s="18" t="str">
        <f ca="1">IFERROR(__xludf.DUMMYFUNCTION("IF(ISBLANK(B239),,FILTER('Leetcode分类顺序表'!B:D,'Leetcode分类顺序表'!A:A = B239))"),"")</f>
        <v/>
      </c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 spans="1:31">
      <c r="A240" s="19"/>
      <c r="B240" s="20"/>
      <c r="C240" s="18" t="str">
        <f ca="1">IFERROR(__xludf.DUMMYFUNCTION("IF(ISBLANK(B240),,FILTER('Leetcode分类顺序表'!B:D,'Leetcode分类顺序表'!A:A = B240))"),"")</f>
        <v/>
      </c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 spans="1:31">
      <c r="A241" s="19"/>
      <c r="B241" s="20"/>
      <c r="C241" s="18" t="str">
        <f ca="1">IFERROR(__xludf.DUMMYFUNCTION("IF(ISBLANK(B241),,FILTER('Leetcode分类顺序表'!B:D,'Leetcode分类顺序表'!A:A = B241))"),"")</f>
        <v/>
      </c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 spans="1:31">
      <c r="A242" s="19"/>
      <c r="B242" s="20"/>
      <c r="C242" s="18" t="str">
        <f ca="1">IFERROR(__xludf.DUMMYFUNCTION("IF(ISBLANK(B242),,FILTER('Leetcode分类顺序表'!B:D,'Leetcode分类顺序表'!A:A = B242))"),"")</f>
        <v/>
      </c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 spans="1:31">
      <c r="A243" s="19"/>
      <c r="B243" s="20"/>
      <c r="C243" s="18" t="str">
        <f ca="1">IFERROR(__xludf.DUMMYFUNCTION("IF(ISBLANK(B243),,FILTER('Leetcode分类顺序表'!B:D,'Leetcode分类顺序表'!A:A = B243))"),"")</f>
        <v/>
      </c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 spans="1:31">
      <c r="A244" s="19"/>
      <c r="B244" s="20"/>
      <c r="C244" s="18" t="str">
        <f ca="1">IFERROR(__xludf.DUMMYFUNCTION("IF(ISBLANK(B244),,FILTER('Leetcode分类顺序表'!B:D,'Leetcode分类顺序表'!A:A = B244))"),"")</f>
        <v/>
      </c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 spans="1:31">
      <c r="A245" s="19"/>
      <c r="B245" s="20"/>
      <c r="C245" s="18" t="str">
        <f ca="1">IFERROR(__xludf.DUMMYFUNCTION("IF(ISBLANK(B245),,FILTER('Leetcode分类顺序表'!B:D,'Leetcode分类顺序表'!A:A = B245))"),"")</f>
        <v/>
      </c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 spans="1:31">
      <c r="A246" s="19"/>
      <c r="B246" s="20"/>
      <c r="C246" s="18" t="str">
        <f ca="1">IFERROR(__xludf.DUMMYFUNCTION("IF(ISBLANK(B246),,FILTER('Leetcode分类顺序表'!B:D,'Leetcode分类顺序表'!A:A = B246))"),"")</f>
        <v/>
      </c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 spans="1:31">
      <c r="A247" s="19"/>
      <c r="B247" s="20"/>
      <c r="C247" s="18" t="str">
        <f ca="1">IFERROR(__xludf.DUMMYFUNCTION("IF(ISBLANK(B247),,FILTER('Leetcode分类顺序表'!B:D,'Leetcode分类顺序表'!A:A = B247))"),"")</f>
        <v/>
      </c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 spans="1:31">
      <c r="A248" s="19"/>
      <c r="B248" s="20"/>
      <c r="C248" s="18" t="str">
        <f ca="1">IFERROR(__xludf.DUMMYFUNCTION("IF(ISBLANK(B248),,FILTER('Leetcode分类顺序表'!B:D,'Leetcode分类顺序表'!A:A = B248))"),"")</f>
        <v/>
      </c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 spans="1:31">
      <c r="A249" s="19"/>
      <c r="B249" s="20"/>
      <c r="C249" s="18" t="str">
        <f ca="1">IFERROR(__xludf.DUMMYFUNCTION("IF(ISBLANK(B249),,FILTER('Leetcode分类顺序表'!B:D,'Leetcode分类顺序表'!A:A = B249))"),"")</f>
        <v/>
      </c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 spans="1:31">
      <c r="A250" s="19"/>
      <c r="B250" s="20"/>
      <c r="C250" s="18" t="str">
        <f ca="1">IFERROR(__xludf.DUMMYFUNCTION("IF(ISBLANK(B250),,FILTER('Leetcode分类顺序表'!B:D,'Leetcode分类顺序表'!A:A = B250))"),"")</f>
        <v/>
      </c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 spans="1:31">
      <c r="A251" s="19"/>
      <c r="B251" s="20"/>
      <c r="C251" s="18" t="str">
        <f ca="1">IFERROR(__xludf.DUMMYFUNCTION("IF(ISBLANK(B251),,FILTER('Leetcode分类顺序表'!B:D,'Leetcode分类顺序表'!A:A = B251))"),"")</f>
        <v/>
      </c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 spans="1:31">
      <c r="A252" s="19"/>
      <c r="B252" s="20"/>
      <c r="C252" s="18" t="str">
        <f ca="1">IFERROR(__xludf.DUMMYFUNCTION("IF(ISBLANK(B252),,FILTER('Leetcode分类顺序表'!B:D,'Leetcode分类顺序表'!A:A = B252))"),"")</f>
        <v/>
      </c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 spans="1:31">
      <c r="A253" s="19"/>
      <c r="B253" s="20"/>
      <c r="C253" s="18" t="str">
        <f ca="1">IFERROR(__xludf.DUMMYFUNCTION("IF(ISBLANK(B253),,FILTER('Leetcode分类顺序表'!B:D,'Leetcode分类顺序表'!A:A = B253))"),"")</f>
        <v/>
      </c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 spans="1:31">
      <c r="A254" s="19"/>
      <c r="B254" s="20"/>
      <c r="C254" s="18" t="str">
        <f ca="1">IFERROR(__xludf.DUMMYFUNCTION("IF(ISBLANK(B254),,FILTER('Leetcode分类顺序表'!B:D,'Leetcode分类顺序表'!A:A = B254))"),"")</f>
        <v/>
      </c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 spans="1:31">
      <c r="A255" s="19"/>
      <c r="B255" s="20"/>
      <c r="C255" s="18" t="str">
        <f ca="1">IFERROR(__xludf.DUMMYFUNCTION("IF(ISBLANK(B255),,FILTER('Leetcode分类顺序表'!B:D,'Leetcode分类顺序表'!A:A = B255))"),"")</f>
        <v/>
      </c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 spans="1:31">
      <c r="A256" s="19"/>
      <c r="B256" s="20"/>
      <c r="C256" s="18" t="str">
        <f ca="1">IFERROR(__xludf.DUMMYFUNCTION("IF(ISBLANK(B256),,FILTER('Leetcode分类顺序表'!B:D,'Leetcode分类顺序表'!A:A = B256))"),"")</f>
        <v/>
      </c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 spans="1:31">
      <c r="A257" s="19"/>
      <c r="B257" s="20"/>
      <c r="C257" s="18" t="str">
        <f ca="1">IFERROR(__xludf.DUMMYFUNCTION("IF(ISBLANK(B257),,FILTER('Leetcode分类顺序表'!B:D,'Leetcode分类顺序表'!A:A = B257))"),"")</f>
        <v/>
      </c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 spans="1:31">
      <c r="A258" s="19"/>
      <c r="B258" s="20"/>
      <c r="C258" s="18" t="str">
        <f ca="1">IFERROR(__xludf.DUMMYFUNCTION("IF(ISBLANK(B258),,FILTER('Leetcode分类顺序表'!B:D,'Leetcode分类顺序表'!A:A = B258))"),"")</f>
        <v/>
      </c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 spans="1:31">
      <c r="A259" s="19"/>
      <c r="B259" s="20"/>
      <c r="C259" s="18" t="str">
        <f ca="1">IFERROR(__xludf.DUMMYFUNCTION("IF(ISBLANK(B259),,FILTER('Leetcode分类顺序表'!B:D,'Leetcode分类顺序表'!A:A = B259))"),"")</f>
        <v/>
      </c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 spans="1:31">
      <c r="A260" s="19"/>
      <c r="B260" s="20"/>
      <c r="C260" s="18" t="str">
        <f ca="1">IFERROR(__xludf.DUMMYFUNCTION("IF(ISBLANK(B260),,FILTER('Leetcode分类顺序表'!B:D,'Leetcode分类顺序表'!A:A = B260))"),"")</f>
        <v/>
      </c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 spans="1:31">
      <c r="A261" s="19"/>
      <c r="B261" s="20"/>
      <c r="C261" s="18" t="str">
        <f ca="1">IFERROR(__xludf.DUMMYFUNCTION("IF(ISBLANK(B261),,FILTER('Leetcode分类顺序表'!B:D,'Leetcode分类顺序表'!A:A = B261))"),"")</f>
        <v/>
      </c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 spans="1:31">
      <c r="A262" s="19"/>
      <c r="B262" s="20"/>
      <c r="C262" s="18" t="str">
        <f ca="1">IFERROR(__xludf.DUMMYFUNCTION("IF(ISBLANK(B262),,FILTER('Leetcode分类顺序表'!B:D,'Leetcode分类顺序表'!A:A = B262))"),"")</f>
        <v/>
      </c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 spans="1:31">
      <c r="A263" s="19"/>
      <c r="B263" s="20"/>
      <c r="C263" s="18" t="str">
        <f ca="1">IFERROR(__xludf.DUMMYFUNCTION("IF(ISBLANK(B263),,FILTER('Leetcode分类顺序表'!B:D,'Leetcode分类顺序表'!A:A = B263))"),"")</f>
        <v/>
      </c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 spans="1:31">
      <c r="A264" s="19"/>
      <c r="B264" s="20"/>
      <c r="C264" s="18" t="str">
        <f ca="1">IFERROR(__xludf.DUMMYFUNCTION("IF(ISBLANK(B264),,FILTER('Leetcode分类顺序表'!B:D,'Leetcode分类顺序表'!A:A = B264))"),"")</f>
        <v/>
      </c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 spans="1:31">
      <c r="A265" s="19"/>
      <c r="B265" s="20"/>
      <c r="C265" s="18" t="str">
        <f ca="1">IFERROR(__xludf.DUMMYFUNCTION("IF(ISBLANK(B265),,FILTER('Leetcode分类顺序表'!B:D,'Leetcode分类顺序表'!A:A = B265))"),"")</f>
        <v/>
      </c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 spans="1:31">
      <c r="A266" s="19"/>
      <c r="B266" s="20"/>
      <c r="C266" s="18" t="str">
        <f ca="1">IFERROR(__xludf.DUMMYFUNCTION("IF(ISBLANK(B266),,FILTER('Leetcode分类顺序表'!B:D,'Leetcode分类顺序表'!A:A = B266))"),"")</f>
        <v/>
      </c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 spans="1:31">
      <c r="A267" s="19"/>
      <c r="B267" s="20"/>
      <c r="C267" s="18" t="str">
        <f ca="1">IFERROR(__xludf.DUMMYFUNCTION("IF(ISBLANK(B267),,FILTER('Leetcode分类顺序表'!B:D,'Leetcode分类顺序表'!A:A = B267))"),"")</f>
        <v/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 spans="1:31">
      <c r="A268" s="19"/>
      <c r="B268" s="20"/>
      <c r="C268" s="18" t="str">
        <f ca="1">IFERROR(__xludf.DUMMYFUNCTION("IF(ISBLANK(B268),,FILTER('Leetcode分类顺序表'!B:D,'Leetcode分类顺序表'!A:A = B268))"),"")</f>
        <v/>
      </c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 spans="1:31">
      <c r="A269" s="19"/>
      <c r="B269" s="20"/>
      <c r="C269" s="18" t="str">
        <f ca="1">IFERROR(__xludf.DUMMYFUNCTION("IF(ISBLANK(B269),,FILTER('Leetcode分类顺序表'!B:D,'Leetcode分类顺序表'!A:A = B269))"),"")</f>
        <v/>
      </c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 spans="1:31">
      <c r="A270" s="19"/>
      <c r="B270" s="20"/>
      <c r="C270" s="18" t="str">
        <f ca="1">IFERROR(__xludf.DUMMYFUNCTION("IF(ISBLANK(B270),,FILTER('Leetcode分类顺序表'!B:D,'Leetcode分类顺序表'!A:A = B270))"),"")</f>
        <v/>
      </c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 spans="1:31">
      <c r="A271" s="19"/>
      <c r="B271" s="20"/>
      <c r="C271" s="18" t="str">
        <f ca="1">IFERROR(__xludf.DUMMYFUNCTION("IF(ISBLANK(B271),,FILTER('Leetcode分类顺序表'!B:D,'Leetcode分类顺序表'!A:A = B271))"),"")</f>
        <v/>
      </c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 spans="1:31">
      <c r="A272" s="19"/>
      <c r="B272" s="20"/>
      <c r="C272" s="18" t="str">
        <f ca="1">IFERROR(__xludf.DUMMYFUNCTION("IF(ISBLANK(B272),,FILTER('Leetcode分类顺序表'!B:D,'Leetcode分类顺序表'!A:A = B272))"),"")</f>
        <v/>
      </c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 spans="1:31">
      <c r="A273" s="19"/>
      <c r="B273" s="20"/>
      <c r="C273" s="18" t="str">
        <f ca="1">IFERROR(__xludf.DUMMYFUNCTION("IF(ISBLANK(B273),,FILTER('Leetcode分类顺序表'!B:D,'Leetcode分类顺序表'!A:A = B273))"),"")</f>
        <v/>
      </c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 spans="1:31">
      <c r="A274" s="19"/>
      <c r="B274" s="20"/>
      <c r="C274" s="18" t="str">
        <f ca="1">IFERROR(__xludf.DUMMYFUNCTION("IF(ISBLANK(B274),,FILTER('Leetcode分类顺序表'!B:D,'Leetcode分类顺序表'!A:A = B274))"),"")</f>
        <v/>
      </c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 spans="1:31">
      <c r="A275" s="19"/>
      <c r="B275" s="20"/>
      <c r="C275" s="18" t="str">
        <f ca="1">IFERROR(__xludf.DUMMYFUNCTION("IF(ISBLANK(B275),,FILTER('Leetcode分类顺序表'!B:D,'Leetcode分类顺序表'!A:A = B275))"),"")</f>
        <v/>
      </c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 spans="1:31">
      <c r="A276" s="19"/>
      <c r="B276" s="20"/>
      <c r="C276" s="18" t="str">
        <f ca="1">IFERROR(__xludf.DUMMYFUNCTION("IF(ISBLANK(B276),,FILTER('Leetcode分类顺序表'!B:D,'Leetcode分类顺序表'!A:A = B276))"),"")</f>
        <v/>
      </c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 spans="1:31">
      <c r="A277" s="19"/>
      <c r="B277" s="20"/>
      <c r="C277" s="18" t="str">
        <f ca="1">IFERROR(__xludf.DUMMYFUNCTION("IF(ISBLANK(B277),,FILTER('Leetcode分类顺序表'!B:D,'Leetcode分类顺序表'!A:A = B277))"),"")</f>
        <v/>
      </c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 spans="1:31">
      <c r="A278" s="19"/>
      <c r="B278" s="20"/>
      <c r="C278" s="18" t="str">
        <f ca="1">IFERROR(__xludf.DUMMYFUNCTION("IF(ISBLANK(B278),,FILTER('Leetcode分类顺序表'!B:D,'Leetcode分类顺序表'!A:A = B278))"),"")</f>
        <v/>
      </c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 spans="1:31">
      <c r="A279" s="19"/>
      <c r="B279" s="20"/>
      <c r="C279" s="18" t="str">
        <f ca="1">IFERROR(__xludf.DUMMYFUNCTION("IF(ISBLANK(B279),,FILTER('Leetcode分类顺序表'!B:D,'Leetcode分类顺序表'!A:A = B279))"),"")</f>
        <v/>
      </c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 spans="1:31">
      <c r="A280" s="19"/>
      <c r="B280" s="20"/>
      <c r="C280" s="18" t="str">
        <f ca="1">IFERROR(__xludf.DUMMYFUNCTION("IF(ISBLANK(B280),,FILTER('Leetcode分类顺序表'!B:D,'Leetcode分类顺序表'!A:A = B280))"),"")</f>
        <v/>
      </c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 spans="1:31">
      <c r="A281" s="19"/>
      <c r="B281" s="20"/>
      <c r="C281" s="18" t="str">
        <f ca="1">IFERROR(__xludf.DUMMYFUNCTION("IF(ISBLANK(B281),,FILTER('Leetcode分类顺序表'!B:D,'Leetcode分类顺序表'!A:A = B281))"),"")</f>
        <v/>
      </c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 spans="1:31">
      <c r="A282" s="19"/>
      <c r="B282" s="20"/>
      <c r="C282" s="18" t="str">
        <f ca="1">IFERROR(__xludf.DUMMYFUNCTION("IF(ISBLANK(B282),,FILTER('Leetcode分类顺序表'!B:D,'Leetcode分类顺序表'!A:A = B282))"),"")</f>
        <v/>
      </c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 spans="1:31">
      <c r="A283" s="19"/>
      <c r="B283" s="20"/>
      <c r="C283" s="18" t="str">
        <f ca="1">IFERROR(__xludf.DUMMYFUNCTION("IF(ISBLANK(B283),,FILTER('Leetcode分类顺序表'!B:D,'Leetcode分类顺序表'!A:A = B283))"),"")</f>
        <v/>
      </c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 spans="1:31">
      <c r="A284" s="19"/>
      <c r="B284" s="20"/>
      <c r="C284" s="18" t="str">
        <f ca="1">IFERROR(__xludf.DUMMYFUNCTION("IF(ISBLANK(B284),,FILTER('Leetcode分类顺序表'!B:D,'Leetcode分类顺序表'!A:A = B284))"),"")</f>
        <v/>
      </c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 spans="1:31">
      <c r="A285" s="19"/>
      <c r="B285" s="20"/>
      <c r="C285" s="18" t="str">
        <f ca="1">IFERROR(__xludf.DUMMYFUNCTION("IF(ISBLANK(B285),,FILTER('Leetcode分类顺序表'!B:D,'Leetcode分类顺序表'!A:A = B285))"),"")</f>
        <v/>
      </c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 spans="1:31">
      <c r="A286" s="19"/>
      <c r="B286" s="20"/>
      <c r="C286" s="18" t="str">
        <f ca="1">IFERROR(__xludf.DUMMYFUNCTION("IF(ISBLANK(B286),,FILTER('Leetcode分类顺序表'!B:D,'Leetcode分类顺序表'!A:A = B286))"),"")</f>
        <v/>
      </c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 spans="1:31">
      <c r="A287" s="19"/>
      <c r="B287" s="20"/>
      <c r="C287" s="18" t="str">
        <f ca="1">IFERROR(__xludf.DUMMYFUNCTION("IF(ISBLANK(B287),,FILTER('Leetcode分类顺序表'!B:D,'Leetcode分类顺序表'!A:A = B287))"),"")</f>
        <v/>
      </c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 spans="1:31">
      <c r="A288" s="19"/>
      <c r="B288" s="20"/>
      <c r="C288" s="18" t="str">
        <f ca="1">IFERROR(__xludf.DUMMYFUNCTION("IF(ISBLANK(B288),,FILTER('Leetcode分类顺序表'!B:D,'Leetcode分类顺序表'!A:A = B288))"),"")</f>
        <v/>
      </c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 spans="1:31">
      <c r="A289" s="19"/>
      <c r="B289" s="20"/>
      <c r="C289" s="18" t="str">
        <f ca="1">IFERROR(__xludf.DUMMYFUNCTION("IF(ISBLANK(B289),,FILTER('Leetcode分类顺序表'!B:D,'Leetcode分类顺序表'!A:A = B289))"),"")</f>
        <v/>
      </c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 spans="1:31">
      <c r="A290" s="19"/>
      <c r="B290" s="20"/>
      <c r="C290" s="18" t="str">
        <f ca="1">IFERROR(__xludf.DUMMYFUNCTION("IF(ISBLANK(B290),,FILTER('Leetcode分类顺序表'!B:D,'Leetcode分类顺序表'!A:A = B290))"),"")</f>
        <v/>
      </c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 spans="1:31">
      <c r="A291" s="19"/>
      <c r="B291" s="20"/>
      <c r="C291" s="18" t="str">
        <f ca="1">IFERROR(__xludf.DUMMYFUNCTION("IF(ISBLANK(B291),,FILTER('Leetcode分类顺序表'!B:D,'Leetcode分类顺序表'!A:A = B291))"),"")</f>
        <v/>
      </c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 spans="1:31">
      <c r="A292" s="19"/>
      <c r="B292" s="20"/>
      <c r="C292" s="18" t="str">
        <f ca="1">IFERROR(__xludf.DUMMYFUNCTION("IF(ISBLANK(B292),,FILTER('Leetcode分类顺序表'!B:D,'Leetcode分类顺序表'!A:A = B292))"),"")</f>
        <v/>
      </c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 spans="1:31">
      <c r="A293" s="19"/>
      <c r="B293" s="20"/>
      <c r="C293" s="18" t="str">
        <f ca="1">IFERROR(__xludf.DUMMYFUNCTION("IF(ISBLANK(B293),,FILTER('Leetcode分类顺序表'!B:D,'Leetcode分类顺序表'!A:A = B293))"),"")</f>
        <v/>
      </c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 spans="1:31">
      <c r="A294" s="19"/>
      <c r="B294" s="20"/>
      <c r="C294" s="18" t="str">
        <f ca="1">IFERROR(__xludf.DUMMYFUNCTION("IF(ISBLANK(B294),,FILTER('Leetcode分类顺序表'!B:D,'Leetcode分类顺序表'!A:A = B294))"),"")</f>
        <v/>
      </c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 spans="1:31">
      <c r="A295" s="19"/>
      <c r="B295" s="20"/>
      <c r="C295" s="18" t="str">
        <f ca="1">IFERROR(__xludf.DUMMYFUNCTION("IF(ISBLANK(B295),,FILTER('Leetcode分类顺序表'!B:D,'Leetcode分类顺序表'!A:A = B295))"),"")</f>
        <v/>
      </c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 spans="1:31">
      <c r="A296" s="19"/>
      <c r="B296" s="20"/>
      <c r="C296" s="18" t="str">
        <f ca="1">IFERROR(__xludf.DUMMYFUNCTION("IF(ISBLANK(B296),,FILTER('Leetcode分类顺序表'!B:D,'Leetcode分类顺序表'!A:A = B296))"),"")</f>
        <v/>
      </c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 spans="1:31">
      <c r="A297" s="19"/>
      <c r="B297" s="20"/>
      <c r="C297" s="18" t="str">
        <f ca="1">IFERROR(__xludf.DUMMYFUNCTION("IF(ISBLANK(B297),,FILTER('Leetcode分类顺序表'!B:D,'Leetcode分类顺序表'!A:A = B297))"),"")</f>
        <v/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 spans="1:31">
      <c r="A298" s="19"/>
      <c r="B298" s="20"/>
      <c r="C298" s="18" t="str">
        <f ca="1">IFERROR(__xludf.DUMMYFUNCTION("IF(ISBLANK(B298),,FILTER('Leetcode分类顺序表'!B:D,'Leetcode分类顺序表'!A:A = B298))"),"")</f>
        <v/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 spans="1:31">
      <c r="A299" s="19"/>
      <c r="B299" s="20"/>
      <c r="C299" s="18" t="str">
        <f ca="1">IFERROR(__xludf.DUMMYFUNCTION("IF(ISBLANK(B299),,FILTER('Leetcode分类顺序表'!B:D,'Leetcode分类顺序表'!A:A = B299))"),"")</f>
        <v/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 spans="1:31">
      <c r="A300" s="19"/>
      <c r="B300" s="20"/>
      <c r="C300" s="18" t="str">
        <f ca="1">IFERROR(__xludf.DUMMYFUNCTION("IF(ISBLANK(B300),,FILTER('Leetcode分类顺序表'!B:D,'Leetcode分类顺序表'!A:A = B300))"),"")</f>
        <v/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 spans="1:31">
      <c r="A301" s="19"/>
      <c r="B301" s="20"/>
      <c r="C301" s="18" t="str">
        <f ca="1">IFERROR(__xludf.DUMMYFUNCTION("IF(ISBLANK(B301),,FILTER('Leetcode分类顺序表'!B:D,'Leetcode分类顺序表'!A:A = B301))"),"")</f>
        <v/>
      </c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 spans="1:31">
      <c r="A302" s="19"/>
      <c r="B302" s="20"/>
      <c r="C302" s="18" t="str">
        <f ca="1">IFERROR(__xludf.DUMMYFUNCTION("IF(ISBLANK(B302),,FILTER('Leetcode分类顺序表'!B:D,'Leetcode分类顺序表'!A:A = B302))"),"")</f>
        <v/>
      </c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 spans="1:31">
      <c r="A303" s="19"/>
      <c r="B303" s="20"/>
      <c r="C303" s="18" t="str">
        <f ca="1">IFERROR(__xludf.DUMMYFUNCTION("IF(ISBLANK(B303),,FILTER('Leetcode分类顺序表'!B:D,'Leetcode分类顺序表'!A:A = B303))"),"")</f>
        <v/>
      </c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 spans="1:31">
      <c r="A304" s="19"/>
      <c r="B304" s="20"/>
      <c r="C304" s="18" t="str">
        <f ca="1">IFERROR(__xludf.DUMMYFUNCTION("IF(ISBLANK(B304),,FILTER('Leetcode分类顺序表'!B:D,'Leetcode分类顺序表'!A:A = B304))"),"")</f>
        <v/>
      </c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 spans="1:31">
      <c r="A305" s="19"/>
      <c r="B305" s="20"/>
      <c r="C305" s="18" t="str">
        <f ca="1">IFERROR(__xludf.DUMMYFUNCTION("IF(ISBLANK(B305),,FILTER('Leetcode分类顺序表'!B:D,'Leetcode分类顺序表'!A:A = B305))"),"")</f>
        <v/>
      </c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 spans="1:31">
      <c r="A306" s="19"/>
      <c r="B306" s="20"/>
      <c r="C306" s="18" t="str">
        <f ca="1">IFERROR(__xludf.DUMMYFUNCTION("IF(ISBLANK(B306),,FILTER('Leetcode分类顺序表'!B:D,'Leetcode分类顺序表'!A:A = B306))"),"")</f>
        <v/>
      </c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 spans="1:31">
      <c r="A307" s="19"/>
      <c r="B307" s="20"/>
      <c r="C307" s="18" t="str">
        <f ca="1">IFERROR(__xludf.DUMMYFUNCTION("IF(ISBLANK(B307),,FILTER('Leetcode分类顺序表'!B:D,'Leetcode分类顺序表'!A:A = B307))"),"")</f>
        <v/>
      </c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 spans="1:31">
      <c r="A308" s="19"/>
      <c r="B308" s="20"/>
      <c r="C308" s="18" t="str">
        <f ca="1">IFERROR(__xludf.DUMMYFUNCTION("IF(ISBLANK(B308),,FILTER('Leetcode分类顺序表'!B:D,'Leetcode分类顺序表'!A:A = B308))"),"")</f>
        <v/>
      </c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 spans="1:31">
      <c r="A309" s="19"/>
      <c r="B309" s="20"/>
      <c r="C309" s="18" t="str">
        <f ca="1">IFERROR(__xludf.DUMMYFUNCTION("IF(ISBLANK(B309),,FILTER('Leetcode分类顺序表'!B:D,'Leetcode分类顺序表'!A:A = B309))"),"")</f>
        <v/>
      </c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 spans="1:31">
      <c r="A310" s="19"/>
      <c r="B310" s="20"/>
      <c r="C310" s="18" t="str">
        <f ca="1">IFERROR(__xludf.DUMMYFUNCTION("IF(ISBLANK(B310),,FILTER('Leetcode分类顺序表'!B:D,'Leetcode分类顺序表'!A:A = B310))"),"")</f>
        <v/>
      </c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 spans="1:31">
      <c r="A311" s="19"/>
      <c r="B311" s="20"/>
      <c r="C311" s="18" t="str">
        <f ca="1">IFERROR(__xludf.DUMMYFUNCTION("IF(ISBLANK(B311),,FILTER('Leetcode分类顺序表'!B:D,'Leetcode分类顺序表'!A:A = B311))"),"")</f>
        <v/>
      </c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 spans="1:31">
      <c r="A312" s="19"/>
      <c r="B312" s="20"/>
      <c r="C312" s="18" t="str">
        <f ca="1">IFERROR(__xludf.DUMMYFUNCTION("IF(ISBLANK(B312),,FILTER('Leetcode分类顺序表'!B:D,'Leetcode分类顺序表'!A:A = B312))"),"")</f>
        <v/>
      </c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 spans="1:31">
      <c r="A313" s="19"/>
      <c r="B313" s="20"/>
      <c r="C313" s="18" t="str">
        <f ca="1">IFERROR(__xludf.DUMMYFUNCTION("IF(ISBLANK(B313),,FILTER('Leetcode分类顺序表'!B:D,'Leetcode分类顺序表'!A:A = B313))"),"")</f>
        <v/>
      </c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 spans="1:31">
      <c r="A314" s="19"/>
      <c r="B314" s="20"/>
      <c r="C314" s="18" t="str">
        <f ca="1">IFERROR(__xludf.DUMMYFUNCTION("IF(ISBLANK(B314),,FILTER('Leetcode分类顺序表'!B:D,'Leetcode分类顺序表'!A:A = B314))"),"")</f>
        <v/>
      </c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 spans="1:31">
      <c r="A315" s="19"/>
      <c r="B315" s="20"/>
      <c r="C315" s="18" t="str">
        <f ca="1">IFERROR(__xludf.DUMMYFUNCTION("IF(ISBLANK(B315),,FILTER('Leetcode分类顺序表'!B:D,'Leetcode分类顺序表'!A:A = B315))"),"")</f>
        <v/>
      </c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 spans="1:31">
      <c r="A316" s="19"/>
      <c r="B316" s="20"/>
      <c r="C316" s="18" t="str">
        <f ca="1">IFERROR(__xludf.DUMMYFUNCTION("IF(ISBLANK(B316),,FILTER('Leetcode分类顺序表'!B:D,'Leetcode分类顺序表'!A:A = B316))"),"")</f>
        <v/>
      </c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 spans="1:31">
      <c r="A317" s="19"/>
      <c r="B317" s="20"/>
      <c r="C317" s="18" t="str">
        <f ca="1">IFERROR(__xludf.DUMMYFUNCTION("IF(ISBLANK(B317),,FILTER('Leetcode分类顺序表'!B:D,'Leetcode分类顺序表'!A:A = B317))"),"")</f>
        <v/>
      </c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 spans="1:31">
      <c r="A318" s="19"/>
      <c r="B318" s="20"/>
      <c r="C318" s="18" t="str">
        <f ca="1">IFERROR(__xludf.DUMMYFUNCTION("IF(ISBLANK(B318),,FILTER('Leetcode分类顺序表'!B:D,'Leetcode分类顺序表'!A:A = B318))"),"")</f>
        <v/>
      </c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 spans="1:31">
      <c r="A319" s="19"/>
      <c r="B319" s="20"/>
      <c r="C319" s="18" t="str">
        <f ca="1">IFERROR(__xludf.DUMMYFUNCTION("IF(ISBLANK(B319),,FILTER('Leetcode分类顺序表'!B:D,'Leetcode分类顺序表'!A:A = B319))"),"")</f>
        <v/>
      </c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 spans="1:31">
      <c r="A320" s="19"/>
      <c r="B320" s="20"/>
      <c r="C320" s="18" t="str">
        <f ca="1">IFERROR(__xludf.DUMMYFUNCTION("IF(ISBLANK(B320),,FILTER('Leetcode分类顺序表'!B:D,'Leetcode分类顺序表'!A:A = B320))"),"")</f>
        <v/>
      </c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 spans="1:31">
      <c r="A321" s="19"/>
      <c r="B321" s="20"/>
      <c r="C321" s="18" t="str">
        <f ca="1">IFERROR(__xludf.DUMMYFUNCTION("IF(ISBLANK(B321),,FILTER('Leetcode分类顺序表'!B:D,'Leetcode分类顺序表'!A:A = B321))"),"")</f>
        <v/>
      </c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 spans="1:31">
      <c r="A322" s="19"/>
      <c r="B322" s="20"/>
      <c r="C322" s="18" t="str">
        <f ca="1">IFERROR(__xludf.DUMMYFUNCTION("IF(ISBLANK(B322),,FILTER('Leetcode分类顺序表'!B:D,'Leetcode分类顺序表'!A:A = B322))"),"")</f>
        <v/>
      </c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 spans="1:31">
      <c r="A323" s="19"/>
      <c r="B323" s="20"/>
      <c r="C323" s="18" t="str">
        <f ca="1">IFERROR(__xludf.DUMMYFUNCTION("IF(ISBLANK(B323),,FILTER('Leetcode分类顺序表'!B:D,'Leetcode分类顺序表'!A:A = B323))"),"")</f>
        <v/>
      </c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 spans="1:31">
      <c r="A324" s="19"/>
      <c r="B324" s="20"/>
      <c r="C324" s="18" t="str">
        <f ca="1">IFERROR(__xludf.DUMMYFUNCTION("IF(ISBLANK(B324),,FILTER('Leetcode分类顺序表'!B:D,'Leetcode分类顺序表'!A:A = B324))"),"")</f>
        <v/>
      </c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 spans="1:31">
      <c r="A325" s="19"/>
      <c r="B325" s="20"/>
      <c r="C325" s="18" t="str">
        <f ca="1">IFERROR(__xludf.DUMMYFUNCTION("IF(ISBLANK(B325),,FILTER('Leetcode分类顺序表'!B:D,'Leetcode分类顺序表'!A:A = B325))"),"")</f>
        <v/>
      </c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 spans="1:31">
      <c r="A326" s="19"/>
      <c r="B326" s="20"/>
      <c r="C326" s="18" t="str">
        <f ca="1">IFERROR(__xludf.DUMMYFUNCTION("IF(ISBLANK(B326),,FILTER('Leetcode分类顺序表'!B:D,'Leetcode分类顺序表'!A:A = B326))"),"")</f>
        <v/>
      </c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 spans="1:31">
      <c r="A327" s="19"/>
      <c r="B327" s="20"/>
      <c r="C327" s="18" t="str">
        <f ca="1">IFERROR(__xludf.DUMMYFUNCTION("IF(ISBLANK(B327),,FILTER('Leetcode分类顺序表'!B:D,'Leetcode分类顺序表'!A:A = B327))"),"")</f>
        <v/>
      </c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 spans="1:31">
      <c r="A328" s="19"/>
      <c r="B328" s="20"/>
      <c r="C328" s="18" t="str">
        <f ca="1">IFERROR(__xludf.DUMMYFUNCTION("IF(ISBLANK(B328),,FILTER('Leetcode分类顺序表'!B:D,'Leetcode分类顺序表'!A:A = B328))"),"")</f>
        <v/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 spans="1:31">
      <c r="A329" s="19"/>
      <c r="B329" s="20"/>
      <c r="C329" s="18" t="str">
        <f ca="1">IFERROR(__xludf.DUMMYFUNCTION("IF(ISBLANK(B329),,FILTER('Leetcode分类顺序表'!B:D,'Leetcode分类顺序表'!A:A = B329))"),"")</f>
        <v/>
      </c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 spans="1:31">
      <c r="A330" s="19"/>
      <c r="B330" s="20"/>
      <c r="C330" s="18" t="str">
        <f ca="1">IFERROR(__xludf.DUMMYFUNCTION("IF(ISBLANK(B330),,FILTER('Leetcode分类顺序表'!B:D,'Leetcode分类顺序表'!A:A = B330))"),"")</f>
        <v/>
      </c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 spans="1:31">
      <c r="A331" s="19"/>
      <c r="B331" s="20"/>
      <c r="C331" s="18" t="str">
        <f ca="1">IFERROR(__xludf.DUMMYFUNCTION("IF(ISBLANK(B331),,FILTER('Leetcode分类顺序表'!B:D,'Leetcode分类顺序表'!A:A = B331))"),"")</f>
        <v/>
      </c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 spans="1:31">
      <c r="A332" s="19"/>
      <c r="B332" s="20"/>
      <c r="C332" s="18" t="str">
        <f ca="1">IFERROR(__xludf.DUMMYFUNCTION("IF(ISBLANK(B332),,FILTER('Leetcode分类顺序表'!B:D,'Leetcode分类顺序表'!A:A = B332))"),"")</f>
        <v/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 spans="1:31">
      <c r="A333" s="19"/>
      <c r="B333" s="20"/>
      <c r="C333" s="18" t="str">
        <f ca="1">IFERROR(__xludf.DUMMYFUNCTION("IF(ISBLANK(B333),,FILTER('Leetcode分类顺序表'!B:D,'Leetcode分类顺序表'!A:A = B333))"),"")</f>
        <v/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 spans="1:31">
      <c r="A334" s="19"/>
      <c r="B334" s="20"/>
      <c r="C334" s="18" t="str">
        <f ca="1">IFERROR(__xludf.DUMMYFUNCTION("IF(ISBLANK(B334),,FILTER('Leetcode分类顺序表'!B:D,'Leetcode分类顺序表'!A:A = B334))"),"")</f>
        <v/>
      </c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 spans="1:31">
      <c r="A335" s="19"/>
      <c r="B335" s="20"/>
      <c r="C335" s="18" t="str">
        <f ca="1">IFERROR(__xludf.DUMMYFUNCTION("IF(ISBLANK(B335),,FILTER('Leetcode分类顺序表'!B:D,'Leetcode分类顺序表'!A:A = B335))"),"")</f>
        <v/>
      </c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 spans="1:31">
      <c r="A336" s="19"/>
      <c r="B336" s="20"/>
      <c r="C336" s="18" t="str">
        <f ca="1">IFERROR(__xludf.DUMMYFUNCTION("IF(ISBLANK(B336),,FILTER('Leetcode分类顺序表'!B:D,'Leetcode分类顺序表'!A:A = B336))"),"")</f>
        <v/>
      </c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 spans="1:31">
      <c r="A337" s="19"/>
      <c r="B337" s="20"/>
      <c r="C337" s="18" t="str">
        <f ca="1">IFERROR(__xludf.DUMMYFUNCTION("IF(ISBLANK(B337),,FILTER('Leetcode分类顺序表'!B:D,'Leetcode分类顺序表'!A:A = B337))"),"")</f>
        <v/>
      </c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 spans="1:31">
      <c r="A338" s="19"/>
      <c r="B338" s="20"/>
      <c r="C338" s="18" t="str">
        <f ca="1">IFERROR(__xludf.DUMMYFUNCTION("IF(ISBLANK(B338),,FILTER('Leetcode分类顺序表'!B:D,'Leetcode分类顺序表'!A:A = B338))"),"")</f>
        <v/>
      </c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 spans="1:31">
      <c r="A339" s="19"/>
      <c r="B339" s="20"/>
      <c r="C339" s="18" t="str">
        <f ca="1">IFERROR(__xludf.DUMMYFUNCTION("IF(ISBLANK(B339),,FILTER('Leetcode分类顺序表'!B:D,'Leetcode分类顺序表'!A:A = B339))"),"")</f>
        <v/>
      </c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 spans="1:31">
      <c r="A340" s="19"/>
      <c r="B340" s="20"/>
      <c r="C340" s="18" t="str">
        <f ca="1">IFERROR(__xludf.DUMMYFUNCTION("IF(ISBLANK(B340),,FILTER('Leetcode分类顺序表'!B:D,'Leetcode分类顺序表'!A:A = B340))"),"")</f>
        <v/>
      </c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 spans="1:31">
      <c r="A341" s="19"/>
      <c r="B341" s="20"/>
      <c r="C341" s="18" t="str">
        <f ca="1">IFERROR(__xludf.DUMMYFUNCTION("IF(ISBLANK(B341),,FILTER('Leetcode分类顺序表'!B:D,'Leetcode分类顺序表'!A:A = B341))"),"")</f>
        <v/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 spans="1:31">
      <c r="A342" s="19"/>
      <c r="B342" s="20"/>
      <c r="C342" s="18" t="str">
        <f ca="1">IFERROR(__xludf.DUMMYFUNCTION("IF(ISBLANK(B342),,FILTER('Leetcode分类顺序表'!B:D,'Leetcode分类顺序表'!A:A = B342))"),"")</f>
        <v/>
      </c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 spans="1:31">
      <c r="A343" s="19"/>
      <c r="B343" s="20"/>
      <c r="C343" s="18" t="str">
        <f ca="1">IFERROR(__xludf.DUMMYFUNCTION("IF(ISBLANK(B343),,FILTER('Leetcode分类顺序表'!B:D,'Leetcode分类顺序表'!A:A = B343))"),"")</f>
        <v/>
      </c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 spans="1:31">
      <c r="A344" s="19"/>
      <c r="B344" s="20"/>
      <c r="C344" s="18" t="str">
        <f ca="1">IFERROR(__xludf.DUMMYFUNCTION("IF(ISBLANK(B344),,FILTER('Leetcode分类顺序表'!B:D,'Leetcode分类顺序表'!A:A = B344))"),"")</f>
        <v/>
      </c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 spans="1:31">
      <c r="A345" s="19"/>
      <c r="B345" s="20"/>
      <c r="C345" s="18" t="str">
        <f ca="1">IFERROR(__xludf.DUMMYFUNCTION("IF(ISBLANK(B345),,FILTER('Leetcode分类顺序表'!B:D,'Leetcode分类顺序表'!A:A = B345))"),"")</f>
        <v/>
      </c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 spans="1:31">
      <c r="A346" s="19"/>
      <c r="B346" s="20"/>
      <c r="C346" s="18" t="str">
        <f ca="1">IFERROR(__xludf.DUMMYFUNCTION("IF(ISBLANK(B346),,FILTER('Leetcode分类顺序表'!B:D,'Leetcode分类顺序表'!A:A = B346))"),"")</f>
        <v/>
      </c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 spans="1:31">
      <c r="A347" s="19"/>
      <c r="B347" s="20"/>
      <c r="C347" s="18" t="str">
        <f ca="1">IFERROR(__xludf.DUMMYFUNCTION("IF(ISBLANK(B347),,FILTER('Leetcode分类顺序表'!B:D,'Leetcode分类顺序表'!A:A = B347))"),"")</f>
        <v/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 spans="1:31">
      <c r="A348" s="19"/>
      <c r="B348" s="20"/>
      <c r="C348" s="18" t="str">
        <f ca="1">IFERROR(__xludf.DUMMYFUNCTION("IF(ISBLANK(B348),,FILTER('Leetcode分类顺序表'!B:D,'Leetcode分类顺序表'!A:A = B348))"),"")</f>
        <v/>
      </c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 spans="1:31">
      <c r="A349" s="19"/>
      <c r="B349" s="20"/>
      <c r="C349" s="18" t="str">
        <f ca="1">IFERROR(__xludf.DUMMYFUNCTION("IF(ISBLANK(B349),,FILTER('Leetcode分类顺序表'!B:D,'Leetcode分类顺序表'!A:A = B349))"),"")</f>
        <v/>
      </c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 spans="1:31">
      <c r="A350" s="19"/>
      <c r="B350" s="20"/>
      <c r="C350" s="18" t="str">
        <f ca="1">IFERROR(__xludf.DUMMYFUNCTION("IF(ISBLANK(B350),,FILTER('Leetcode分类顺序表'!B:D,'Leetcode分类顺序表'!A:A = B350))"),"")</f>
        <v/>
      </c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 spans="1:31">
      <c r="A351" s="19"/>
      <c r="B351" s="20"/>
      <c r="C351" s="18" t="str">
        <f ca="1">IFERROR(__xludf.DUMMYFUNCTION("IF(ISBLANK(B351),,FILTER('Leetcode分类顺序表'!B:D,'Leetcode分类顺序表'!A:A = B351))"),"")</f>
        <v/>
      </c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 spans="1:31">
      <c r="A352" s="19"/>
      <c r="B352" s="20"/>
      <c r="C352" s="18" t="str">
        <f ca="1">IFERROR(__xludf.DUMMYFUNCTION("IF(ISBLANK(B352),,FILTER('Leetcode分类顺序表'!B:D,'Leetcode分类顺序表'!A:A = B352))"),"")</f>
        <v/>
      </c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 spans="1:31">
      <c r="A353" s="19"/>
      <c r="B353" s="20"/>
      <c r="C353" s="18" t="str">
        <f ca="1">IFERROR(__xludf.DUMMYFUNCTION("IF(ISBLANK(B353),,FILTER('Leetcode分类顺序表'!B:D,'Leetcode分类顺序表'!A:A = B353))"),"")</f>
        <v/>
      </c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 spans="1:31">
      <c r="A354" s="19"/>
      <c r="B354" s="20"/>
      <c r="C354" s="18" t="str">
        <f ca="1">IFERROR(__xludf.DUMMYFUNCTION("IF(ISBLANK(B354),,FILTER('Leetcode分类顺序表'!B:D,'Leetcode分类顺序表'!A:A = B354))"),"")</f>
        <v/>
      </c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 spans="1:31">
      <c r="A355" s="19"/>
      <c r="B355" s="20"/>
      <c r="C355" s="18" t="str">
        <f ca="1">IFERROR(__xludf.DUMMYFUNCTION("IF(ISBLANK(B355),,FILTER('Leetcode分类顺序表'!B:D,'Leetcode分类顺序表'!A:A = B355))"),"")</f>
        <v/>
      </c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 spans="1:31">
      <c r="A356" s="19"/>
      <c r="B356" s="20"/>
      <c r="C356" s="18" t="str">
        <f ca="1">IFERROR(__xludf.DUMMYFUNCTION("IF(ISBLANK(B356),,FILTER('Leetcode分类顺序表'!B:D,'Leetcode分类顺序表'!A:A = B356))"),"")</f>
        <v/>
      </c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 spans="1:31">
      <c r="A357" s="19"/>
      <c r="B357" s="20"/>
      <c r="C357" s="18" t="str">
        <f ca="1">IFERROR(__xludf.DUMMYFUNCTION("IF(ISBLANK(B357),,FILTER('Leetcode分类顺序表'!B:D,'Leetcode分类顺序表'!A:A = B357))"),"")</f>
        <v/>
      </c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 spans="1:31">
      <c r="A358" s="19"/>
      <c r="B358" s="20"/>
      <c r="C358" s="18" t="str">
        <f ca="1">IFERROR(__xludf.DUMMYFUNCTION("IF(ISBLANK(B358),,FILTER('Leetcode分类顺序表'!B:D,'Leetcode分类顺序表'!A:A = B358))"),"")</f>
        <v/>
      </c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 spans="1:31">
      <c r="A359" s="19"/>
      <c r="B359" s="20"/>
      <c r="C359" s="18" t="str">
        <f ca="1">IFERROR(__xludf.DUMMYFUNCTION("IF(ISBLANK(B359),,FILTER('Leetcode分类顺序表'!B:D,'Leetcode分类顺序表'!A:A = B359))"),"")</f>
        <v/>
      </c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 spans="1:31">
      <c r="A360" s="19"/>
      <c r="B360" s="20"/>
      <c r="C360" s="18" t="str">
        <f ca="1">IFERROR(__xludf.DUMMYFUNCTION("IF(ISBLANK(B360),,FILTER('Leetcode分类顺序表'!B:D,'Leetcode分类顺序表'!A:A = B360))"),"")</f>
        <v/>
      </c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 spans="1:31">
      <c r="A361" s="19"/>
      <c r="B361" s="20"/>
      <c r="C361" s="18" t="str">
        <f ca="1">IFERROR(__xludf.DUMMYFUNCTION("IF(ISBLANK(B361),,FILTER('Leetcode分类顺序表'!B:D,'Leetcode分类顺序表'!A:A = B361))"),"")</f>
        <v/>
      </c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 spans="1:31">
      <c r="A362" s="19"/>
      <c r="B362" s="20"/>
      <c r="C362" s="18" t="str">
        <f ca="1">IFERROR(__xludf.DUMMYFUNCTION("IF(ISBLANK(B362),,FILTER('Leetcode分类顺序表'!B:D,'Leetcode分类顺序表'!A:A = B362))"),"")</f>
        <v/>
      </c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 spans="1:31">
      <c r="A363" s="19"/>
      <c r="B363" s="20"/>
      <c r="C363" s="18" t="str">
        <f ca="1">IFERROR(__xludf.DUMMYFUNCTION("IF(ISBLANK(B363),,FILTER('Leetcode分类顺序表'!B:D,'Leetcode分类顺序表'!A:A = B363))"),"")</f>
        <v/>
      </c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 spans="1:31">
      <c r="A364" s="19"/>
      <c r="B364" s="20"/>
      <c r="C364" s="18" t="str">
        <f ca="1">IFERROR(__xludf.DUMMYFUNCTION("IF(ISBLANK(B364),,FILTER('Leetcode分类顺序表'!B:D,'Leetcode分类顺序表'!A:A = B364))"),"")</f>
        <v/>
      </c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 spans="1:31">
      <c r="A365" s="19"/>
      <c r="B365" s="20"/>
      <c r="C365" s="18" t="str">
        <f ca="1">IFERROR(__xludf.DUMMYFUNCTION("IF(ISBLANK(B365),,FILTER('Leetcode分类顺序表'!B:D,'Leetcode分类顺序表'!A:A = B365))"),"")</f>
        <v/>
      </c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 spans="1:31">
      <c r="A366" s="19"/>
      <c r="B366" s="20"/>
      <c r="C366" s="18" t="str">
        <f ca="1">IFERROR(__xludf.DUMMYFUNCTION("IF(ISBLANK(B366),,FILTER('Leetcode分类顺序表'!B:D,'Leetcode分类顺序表'!A:A = B366))"),"")</f>
        <v/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 spans="1:31">
      <c r="A367" s="19"/>
      <c r="B367" s="20"/>
      <c r="C367" s="18" t="str">
        <f ca="1">IFERROR(__xludf.DUMMYFUNCTION("IF(ISBLANK(B367),,FILTER('Leetcode分类顺序表'!B:D,'Leetcode分类顺序表'!A:A = B367))"),"")</f>
        <v/>
      </c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 spans="1:31">
      <c r="A368" s="19"/>
      <c r="B368" s="20"/>
      <c r="C368" s="18" t="str">
        <f ca="1">IFERROR(__xludf.DUMMYFUNCTION("IF(ISBLANK(B368),,FILTER('Leetcode分类顺序表'!B:D,'Leetcode分类顺序表'!A:A = B368))"),"")</f>
        <v/>
      </c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 spans="1:31">
      <c r="A369" s="19"/>
      <c r="B369" s="20"/>
      <c r="C369" s="18" t="str">
        <f ca="1">IFERROR(__xludf.DUMMYFUNCTION("IF(ISBLANK(B369),,FILTER('Leetcode分类顺序表'!B:D,'Leetcode分类顺序表'!A:A = B369))"),"")</f>
        <v/>
      </c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 spans="1:31">
      <c r="A370" s="19"/>
      <c r="B370" s="20"/>
      <c r="C370" s="18" t="str">
        <f ca="1">IFERROR(__xludf.DUMMYFUNCTION("IF(ISBLANK(B370),,FILTER('Leetcode分类顺序表'!B:D,'Leetcode分类顺序表'!A:A = B370))"),"")</f>
        <v/>
      </c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 spans="1:31">
      <c r="A371" s="19"/>
      <c r="B371" s="20"/>
      <c r="C371" s="18" t="str">
        <f ca="1">IFERROR(__xludf.DUMMYFUNCTION("IF(ISBLANK(B371),,FILTER('Leetcode分类顺序表'!B:D,'Leetcode分类顺序表'!A:A = B371))"),"")</f>
        <v/>
      </c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 spans="1:31">
      <c r="A372" s="19"/>
      <c r="B372" s="20"/>
      <c r="C372" s="18" t="str">
        <f ca="1">IFERROR(__xludf.DUMMYFUNCTION("IF(ISBLANK(B372),,FILTER('Leetcode分类顺序表'!B:D,'Leetcode分类顺序表'!A:A = B372))"),"")</f>
        <v/>
      </c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 spans="1:31">
      <c r="A373" s="19"/>
      <c r="B373" s="20"/>
      <c r="C373" s="18" t="str">
        <f ca="1">IFERROR(__xludf.DUMMYFUNCTION("IF(ISBLANK(B373),,FILTER('Leetcode分类顺序表'!B:D,'Leetcode分类顺序表'!A:A = B373))"),"")</f>
        <v/>
      </c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 spans="1:31">
      <c r="A374" s="19"/>
      <c r="B374" s="20"/>
      <c r="C374" s="18" t="str">
        <f ca="1">IFERROR(__xludf.DUMMYFUNCTION("IF(ISBLANK(B374),,FILTER('Leetcode分类顺序表'!B:D,'Leetcode分类顺序表'!A:A = B374))"),"")</f>
        <v/>
      </c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 spans="1:31">
      <c r="A375" s="19"/>
      <c r="B375" s="20"/>
      <c r="C375" s="18" t="str">
        <f ca="1">IFERROR(__xludf.DUMMYFUNCTION("IF(ISBLANK(B375),,FILTER('Leetcode分类顺序表'!B:D,'Leetcode分类顺序表'!A:A = B375))"),"")</f>
        <v/>
      </c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 spans="1:31">
      <c r="A376" s="19"/>
      <c r="B376" s="20"/>
      <c r="C376" s="18" t="str">
        <f ca="1">IFERROR(__xludf.DUMMYFUNCTION("IF(ISBLANK(B376),,FILTER('Leetcode分类顺序表'!B:D,'Leetcode分类顺序表'!A:A = B376))"),"")</f>
        <v/>
      </c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 spans="1:31">
      <c r="A377" s="19"/>
      <c r="B377" s="20"/>
      <c r="C377" s="18" t="str">
        <f ca="1">IFERROR(__xludf.DUMMYFUNCTION("IF(ISBLANK(B377),,FILTER('Leetcode分类顺序表'!B:D,'Leetcode分类顺序表'!A:A = B377))"),"")</f>
        <v/>
      </c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 spans="1:31">
      <c r="A378" s="19"/>
      <c r="B378" s="20"/>
      <c r="C378" s="18" t="str">
        <f ca="1">IFERROR(__xludf.DUMMYFUNCTION("IF(ISBLANK(B378),,FILTER('Leetcode分类顺序表'!B:D,'Leetcode分类顺序表'!A:A = B378))"),"")</f>
        <v/>
      </c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 spans="1:31">
      <c r="A379" s="19"/>
      <c r="B379" s="20"/>
      <c r="C379" s="18" t="str">
        <f ca="1">IFERROR(__xludf.DUMMYFUNCTION("IF(ISBLANK(B379),,FILTER('Leetcode分类顺序表'!B:D,'Leetcode分类顺序表'!A:A = B379))"),"")</f>
        <v/>
      </c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 spans="1:31">
      <c r="A380" s="19"/>
      <c r="B380" s="20"/>
      <c r="C380" s="18" t="str">
        <f ca="1">IFERROR(__xludf.DUMMYFUNCTION("IF(ISBLANK(B380),,FILTER('Leetcode分类顺序表'!B:D,'Leetcode分类顺序表'!A:A = B380))"),"")</f>
        <v/>
      </c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 spans="1:31">
      <c r="A381" s="19"/>
      <c r="B381" s="20"/>
      <c r="C381" s="18" t="str">
        <f ca="1">IFERROR(__xludf.DUMMYFUNCTION("IF(ISBLANK(B381),,FILTER('Leetcode分类顺序表'!B:D,'Leetcode分类顺序表'!A:A = B381))"),"")</f>
        <v/>
      </c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 spans="1:31">
      <c r="A382" s="19"/>
      <c r="B382" s="20"/>
      <c r="C382" s="18" t="str">
        <f ca="1">IFERROR(__xludf.DUMMYFUNCTION("IF(ISBLANK(B382),,FILTER('Leetcode分类顺序表'!B:D,'Leetcode分类顺序表'!A:A = B382))"),"")</f>
        <v/>
      </c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 spans="1:31">
      <c r="A383" s="19"/>
      <c r="B383" s="20"/>
      <c r="C383" s="18" t="str">
        <f ca="1">IFERROR(__xludf.DUMMYFUNCTION("IF(ISBLANK(B383),,FILTER('Leetcode分类顺序表'!B:D,'Leetcode分类顺序表'!A:A = B383))"),"")</f>
        <v/>
      </c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 spans="1:31">
      <c r="A384" s="19"/>
      <c r="B384" s="20"/>
      <c r="C384" s="18" t="str">
        <f ca="1">IFERROR(__xludf.DUMMYFUNCTION("IF(ISBLANK(B384),,FILTER('Leetcode分类顺序表'!B:D,'Leetcode分类顺序表'!A:A = B384))"),"")</f>
        <v/>
      </c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 spans="1:31">
      <c r="A385" s="19"/>
      <c r="B385" s="20"/>
      <c r="C385" s="18" t="str">
        <f ca="1">IFERROR(__xludf.DUMMYFUNCTION("IF(ISBLANK(B385),,FILTER('Leetcode分类顺序表'!B:D,'Leetcode分类顺序表'!A:A = B385))"),"")</f>
        <v/>
      </c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 spans="1:31">
      <c r="A386" s="19"/>
      <c r="B386" s="20"/>
      <c r="C386" s="18" t="str">
        <f ca="1">IFERROR(__xludf.DUMMYFUNCTION("IF(ISBLANK(B386),,FILTER('Leetcode分类顺序表'!B:D,'Leetcode分类顺序表'!A:A = B386))"),"")</f>
        <v/>
      </c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 spans="1:31">
      <c r="A387" s="19"/>
      <c r="B387" s="20"/>
      <c r="C387" s="18" t="str">
        <f ca="1">IFERROR(__xludf.DUMMYFUNCTION("IF(ISBLANK(B387),,FILTER('Leetcode分类顺序表'!B:D,'Leetcode分类顺序表'!A:A = B387))"),"")</f>
        <v/>
      </c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 spans="1:31">
      <c r="A388" s="19"/>
      <c r="B388" s="20"/>
      <c r="C388" s="18" t="str">
        <f ca="1">IFERROR(__xludf.DUMMYFUNCTION("IF(ISBLANK(B388),,FILTER('Leetcode分类顺序表'!B:D,'Leetcode分类顺序表'!A:A = B388))"),"")</f>
        <v/>
      </c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 spans="1:31">
      <c r="A389" s="19"/>
      <c r="B389" s="20"/>
      <c r="C389" s="18" t="str">
        <f ca="1">IFERROR(__xludf.DUMMYFUNCTION("IF(ISBLANK(B389),,FILTER('Leetcode分类顺序表'!B:D,'Leetcode分类顺序表'!A:A = B389))"),"")</f>
        <v/>
      </c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 spans="1:31">
      <c r="A390" s="19"/>
      <c r="B390" s="20"/>
      <c r="C390" s="18" t="str">
        <f ca="1">IFERROR(__xludf.DUMMYFUNCTION("IF(ISBLANK(B390),,FILTER('Leetcode分类顺序表'!B:D,'Leetcode分类顺序表'!A:A = B390))"),"")</f>
        <v/>
      </c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 spans="1:31">
      <c r="A391" s="19"/>
      <c r="B391" s="20"/>
      <c r="C391" s="18" t="str">
        <f ca="1">IFERROR(__xludf.DUMMYFUNCTION("IF(ISBLANK(B391),,FILTER('Leetcode分类顺序表'!B:D,'Leetcode分类顺序表'!A:A = B391))"),"")</f>
        <v/>
      </c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 spans="1:31">
      <c r="A392" s="19"/>
      <c r="B392" s="20"/>
      <c r="C392" s="18" t="str">
        <f ca="1">IFERROR(__xludf.DUMMYFUNCTION("IF(ISBLANK(B392),,FILTER('Leetcode分类顺序表'!B:D,'Leetcode分类顺序表'!A:A = B392))"),"")</f>
        <v/>
      </c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 spans="1:31">
      <c r="A393" s="19"/>
      <c r="B393" s="20"/>
      <c r="C393" s="18" t="str">
        <f ca="1">IFERROR(__xludf.DUMMYFUNCTION("IF(ISBLANK(B393),,FILTER('Leetcode分类顺序表'!B:D,'Leetcode分类顺序表'!A:A = B393))"),"")</f>
        <v/>
      </c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 spans="1:31">
      <c r="A394" s="19"/>
      <c r="B394" s="20"/>
      <c r="C394" s="18" t="str">
        <f ca="1">IFERROR(__xludf.DUMMYFUNCTION("IF(ISBLANK(B394),,FILTER('Leetcode分类顺序表'!B:D,'Leetcode分类顺序表'!A:A = B394))"),"")</f>
        <v/>
      </c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 spans="1:31">
      <c r="A395" s="19"/>
      <c r="B395" s="20"/>
      <c r="C395" s="18" t="str">
        <f ca="1">IFERROR(__xludf.DUMMYFUNCTION("IF(ISBLANK(B395),,FILTER('Leetcode分类顺序表'!B:D,'Leetcode分类顺序表'!A:A = B395))"),"")</f>
        <v/>
      </c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 spans="1:31">
      <c r="A396" s="19"/>
      <c r="B396" s="20"/>
      <c r="C396" s="18" t="str">
        <f ca="1">IFERROR(__xludf.DUMMYFUNCTION("IF(ISBLANK(B396),,FILTER('Leetcode分类顺序表'!B:D,'Leetcode分类顺序表'!A:A = B396))"),"")</f>
        <v/>
      </c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 spans="1:31">
      <c r="A397" s="19"/>
      <c r="B397" s="20"/>
      <c r="C397" s="18" t="str">
        <f ca="1">IFERROR(__xludf.DUMMYFUNCTION("IF(ISBLANK(B397),,FILTER('Leetcode分类顺序表'!B:D,'Leetcode分类顺序表'!A:A = B397))"),"")</f>
        <v/>
      </c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 spans="1:31">
      <c r="A398" s="19"/>
      <c r="B398" s="20"/>
      <c r="C398" s="18" t="str">
        <f ca="1">IFERROR(__xludf.DUMMYFUNCTION("IF(ISBLANK(B398),,FILTER('Leetcode分类顺序表'!B:D,'Leetcode分类顺序表'!A:A = B398))"),"")</f>
        <v/>
      </c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 spans="1:31">
      <c r="A399" s="19"/>
      <c r="B399" s="20"/>
      <c r="C399" s="18" t="str">
        <f ca="1">IFERROR(__xludf.DUMMYFUNCTION("IF(ISBLANK(B399),,FILTER('Leetcode分类顺序表'!B:D,'Leetcode分类顺序表'!A:A = B399))"),"")</f>
        <v/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 spans="1:31">
      <c r="A400" s="19"/>
      <c r="B400" s="20"/>
      <c r="C400" s="18" t="str">
        <f ca="1">IFERROR(__xludf.DUMMYFUNCTION("IF(ISBLANK(B400),,FILTER('Leetcode分类顺序表'!B:D,'Leetcode分类顺序表'!A:A = B400))"),"")</f>
        <v/>
      </c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 spans="1:31">
      <c r="A401" s="19"/>
      <c r="B401" s="20"/>
      <c r="C401" s="18" t="str">
        <f ca="1">IFERROR(__xludf.DUMMYFUNCTION("IF(ISBLANK(B401),,FILTER('Leetcode分类顺序表'!B:D,'Leetcode分类顺序表'!A:A = B401))"),"")</f>
        <v/>
      </c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 spans="1:31">
      <c r="A402" s="19"/>
      <c r="B402" s="20"/>
      <c r="C402" s="18" t="str">
        <f ca="1">IFERROR(__xludf.DUMMYFUNCTION("IF(ISBLANK(B402),,FILTER('Leetcode分类顺序表'!B:D,'Leetcode分类顺序表'!A:A = B402))"),"")</f>
        <v/>
      </c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 spans="1:31">
      <c r="A403" s="19"/>
      <c r="B403" s="20"/>
      <c r="C403" s="18" t="str">
        <f ca="1">IFERROR(__xludf.DUMMYFUNCTION("IF(ISBLANK(B403),,FILTER('Leetcode分类顺序表'!B:D,'Leetcode分类顺序表'!A:A = B403))"),"")</f>
        <v/>
      </c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 spans="1:31">
      <c r="A404" s="19"/>
      <c r="B404" s="20"/>
      <c r="C404" s="18" t="str">
        <f ca="1">IFERROR(__xludf.DUMMYFUNCTION("IF(ISBLANK(B404),,FILTER('Leetcode分类顺序表'!B:D,'Leetcode分类顺序表'!A:A = B404))"),"")</f>
        <v/>
      </c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 spans="1:31">
      <c r="A405" s="19"/>
      <c r="B405" s="20"/>
      <c r="C405" s="18" t="str">
        <f ca="1">IFERROR(__xludf.DUMMYFUNCTION("IF(ISBLANK(B405),,FILTER('Leetcode分类顺序表'!B:D,'Leetcode分类顺序表'!A:A = B405))"),"")</f>
        <v/>
      </c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 spans="1:31">
      <c r="A406" s="19"/>
      <c r="B406" s="20"/>
      <c r="C406" s="18" t="str">
        <f ca="1">IFERROR(__xludf.DUMMYFUNCTION("IF(ISBLANK(B406),,FILTER('Leetcode分类顺序表'!B:D,'Leetcode分类顺序表'!A:A = B406))"),"")</f>
        <v/>
      </c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 spans="1:31">
      <c r="A407" s="19"/>
      <c r="B407" s="20"/>
      <c r="C407" s="18" t="str">
        <f ca="1">IFERROR(__xludf.DUMMYFUNCTION("IF(ISBLANK(B407),,FILTER('Leetcode分类顺序表'!B:D,'Leetcode分类顺序表'!A:A = B407))"),"")</f>
        <v/>
      </c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 spans="1:31">
      <c r="A408" s="19"/>
      <c r="B408" s="20"/>
      <c r="C408" s="18" t="str">
        <f ca="1">IFERROR(__xludf.DUMMYFUNCTION("IF(ISBLANK(B408),,FILTER('Leetcode分类顺序表'!B:D,'Leetcode分类顺序表'!A:A = B408))"),"")</f>
        <v/>
      </c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 spans="1:31">
      <c r="A409" s="19"/>
      <c r="B409" s="20"/>
      <c r="C409" s="18" t="str">
        <f ca="1">IFERROR(__xludf.DUMMYFUNCTION("IF(ISBLANK(B409),,FILTER('Leetcode分类顺序表'!B:D,'Leetcode分类顺序表'!A:A = B409))"),"")</f>
        <v/>
      </c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 spans="1:31">
      <c r="A410" s="19"/>
      <c r="B410" s="20"/>
      <c r="C410" s="18" t="str">
        <f ca="1">IFERROR(__xludf.DUMMYFUNCTION("IF(ISBLANK(B410),,FILTER('Leetcode分类顺序表'!B:D,'Leetcode分类顺序表'!A:A = B410))"),"")</f>
        <v/>
      </c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 spans="1:31">
      <c r="A411" s="19"/>
      <c r="B411" s="20"/>
      <c r="C411" s="18" t="str">
        <f ca="1">IFERROR(__xludf.DUMMYFUNCTION("IF(ISBLANK(B411),,FILTER('Leetcode分类顺序表'!B:D,'Leetcode分类顺序表'!A:A = B411))"),"")</f>
        <v/>
      </c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 spans="1:31">
      <c r="A412" s="19"/>
      <c r="B412" s="20"/>
      <c r="C412" s="18" t="str">
        <f ca="1">IFERROR(__xludf.DUMMYFUNCTION("IF(ISBLANK(B412),,FILTER('Leetcode分类顺序表'!B:D,'Leetcode分类顺序表'!A:A = B412))"),"")</f>
        <v/>
      </c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 spans="1:31">
      <c r="A413" s="19"/>
      <c r="B413" s="20"/>
      <c r="C413" s="18" t="str">
        <f ca="1">IFERROR(__xludf.DUMMYFUNCTION("IF(ISBLANK(B413),,FILTER('Leetcode分类顺序表'!B:D,'Leetcode分类顺序表'!A:A = B413))"),"")</f>
        <v/>
      </c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 spans="1:31">
      <c r="A414" s="19"/>
      <c r="B414" s="20"/>
      <c r="C414" s="18" t="str">
        <f ca="1">IFERROR(__xludf.DUMMYFUNCTION("IF(ISBLANK(B414),,FILTER('Leetcode分类顺序表'!B:D,'Leetcode分类顺序表'!A:A = B414))"),"")</f>
        <v/>
      </c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 spans="1:31">
      <c r="A415" s="19"/>
      <c r="B415" s="20"/>
      <c r="C415" s="18" t="str">
        <f ca="1">IFERROR(__xludf.DUMMYFUNCTION("IF(ISBLANK(B415),,FILTER('Leetcode分类顺序表'!B:D,'Leetcode分类顺序表'!A:A = B415))"),"")</f>
        <v/>
      </c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 spans="1:31">
      <c r="A416" s="19"/>
      <c r="B416" s="20"/>
      <c r="C416" s="18" t="str">
        <f ca="1">IFERROR(__xludf.DUMMYFUNCTION("IF(ISBLANK(B416),,FILTER('Leetcode分类顺序表'!B:D,'Leetcode分类顺序表'!A:A = B416))"),"")</f>
        <v/>
      </c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 spans="1:31">
      <c r="A417" s="19"/>
      <c r="B417" s="20"/>
      <c r="C417" s="18" t="str">
        <f ca="1">IFERROR(__xludf.DUMMYFUNCTION("IF(ISBLANK(B417),,FILTER('Leetcode分类顺序表'!B:D,'Leetcode分类顺序表'!A:A = B417))"),"")</f>
        <v/>
      </c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 spans="1:31">
      <c r="A418" s="19"/>
      <c r="B418" s="20"/>
      <c r="C418" s="18" t="str">
        <f ca="1">IFERROR(__xludf.DUMMYFUNCTION("IF(ISBLANK(B418),,FILTER('Leetcode分类顺序表'!B:D,'Leetcode分类顺序表'!A:A = B418))"),"")</f>
        <v/>
      </c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 spans="1:31">
      <c r="A419" s="19"/>
      <c r="B419" s="20"/>
      <c r="C419" s="18" t="str">
        <f ca="1">IFERROR(__xludf.DUMMYFUNCTION("IF(ISBLANK(B419),,FILTER('Leetcode分类顺序表'!B:D,'Leetcode分类顺序表'!A:A = B419))"),"")</f>
        <v/>
      </c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 spans="1:31">
      <c r="A420" s="19"/>
      <c r="B420" s="20"/>
      <c r="C420" s="18" t="str">
        <f ca="1">IFERROR(__xludf.DUMMYFUNCTION("IF(ISBLANK(B420),,FILTER('Leetcode分类顺序表'!B:D,'Leetcode分类顺序表'!A:A = B420))"),"")</f>
        <v/>
      </c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 spans="1:31">
      <c r="A421" s="19"/>
      <c r="B421" s="20"/>
      <c r="C421" s="18" t="str">
        <f ca="1">IFERROR(__xludf.DUMMYFUNCTION("IF(ISBLANK(B421),,FILTER('Leetcode分类顺序表'!B:D,'Leetcode分类顺序表'!A:A = B421))"),"")</f>
        <v/>
      </c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 spans="1:31">
      <c r="A422" s="19"/>
      <c r="B422" s="20"/>
      <c r="C422" s="18" t="str">
        <f ca="1">IFERROR(__xludf.DUMMYFUNCTION("IF(ISBLANK(B422),,FILTER('Leetcode分类顺序表'!B:D,'Leetcode分类顺序表'!A:A = B422))"),"")</f>
        <v/>
      </c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 spans="1:31">
      <c r="A423" s="19"/>
      <c r="B423" s="20"/>
      <c r="C423" s="18" t="str">
        <f ca="1">IFERROR(__xludf.DUMMYFUNCTION("IF(ISBLANK(B423),,FILTER('Leetcode分类顺序表'!B:D,'Leetcode分类顺序表'!A:A = B423))"),"")</f>
        <v/>
      </c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 spans="1:31">
      <c r="A424" s="19"/>
      <c r="B424" s="20"/>
      <c r="C424" s="18" t="str">
        <f ca="1">IFERROR(__xludf.DUMMYFUNCTION("IF(ISBLANK(B424),,FILTER('Leetcode分类顺序表'!B:D,'Leetcode分类顺序表'!A:A = B424))"),"")</f>
        <v/>
      </c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 spans="1:31">
      <c r="A425" s="19"/>
      <c r="B425" s="20"/>
      <c r="C425" s="18" t="str">
        <f ca="1">IFERROR(__xludf.DUMMYFUNCTION("IF(ISBLANK(B425),,FILTER('Leetcode分类顺序表'!B:D,'Leetcode分类顺序表'!A:A = B425))"),"")</f>
        <v/>
      </c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 spans="1:31">
      <c r="A426" s="19"/>
      <c r="B426" s="20"/>
      <c r="C426" s="18" t="str">
        <f ca="1">IFERROR(__xludf.DUMMYFUNCTION("IF(ISBLANK(B426),,FILTER('Leetcode分类顺序表'!B:D,'Leetcode分类顺序表'!A:A = B426))"),"")</f>
        <v/>
      </c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 spans="1:31">
      <c r="A427" s="19"/>
      <c r="B427" s="20"/>
      <c r="C427" s="18" t="str">
        <f ca="1">IFERROR(__xludf.DUMMYFUNCTION("IF(ISBLANK(B427),,FILTER('Leetcode分类顺序表'!B:D,'Leetcode分类顺序表'!A:A = B427))"),"")</f>
        <v/>
      </c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 spans="1:31">
      <c r="A428" s="19"/>
      <c r="B428" s="20"/>
      <c r="C428" s="18" t="str">
        <f ca="1">IFERROR(__xludf.DUMMYFUNCTION("IF(ISBLANK(B428),,FILTER('Leetcode分类顺序表'!B:D,'Leetcode分类顺序表'!A:A = B428))"),"")</f>
        <v/>
      </c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 spans="1:31">
      <c r="A429" s="19"/>
      <c r="B429" s="20"/>
      <c r="C429" s="18" t="str">
        <f ca="1">IFERROR(__xludf.DUMMYFUNCTION("IF(ISBLANK(B429),,FILTER('Leetcode分类顺序表'!B:D,'Leetcode分类顺序表'!A:A = B429))"),"")</f>
        <v/>
      </c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 spans="1:31">
      <c r="A430" s="19"/>
      <c r="B430" s="20"/>
      <c r="C430" s="18" t="str">
        <f ca="1">IFERROR(__xludf.DUMMYFUNCTION("IF(ISBLANK(B430),,FILTER('Leetcode分类顺序表'!B:D,'Leetcode分类顺序表'!A:A = B430))"),"")</f>
        <v/>
      </c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 spans="1:31">
      <c r="A431" s="19"/>
      <c r="B431" s="20"/>
      <c r="C431" s="18" t="str">
        <f ca="1">IFERROR(__xludf.DUMMYFUNCTION("IF(ISBLANK(B431),,FILTER('Leetcode分类顺序表'!B:D,'Leetcode分类顺序表'!A:A = B431))"),"")</f>
        <v/>
      </c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 spans="1:31">
      <c r="A432" s="19"/>
      <c r="B432" s="20"/>
      <c r="C432" s="18" t="str">
        <f ca="1">IFERROR(__xludf.DUMMYFUNCTION("IF(ISBLANK(B432),,FILTER('Leetcode分类顺序表'!B:D,'Leetcode分类顺序表'!A:A = B432))"),"")</f>
        <v/>
      </c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 spans="1:31">
      <c r="A433" s="19"/>
      <c r="B433" s="20"/>
      <c r="C433" s="18" t="str">
        <f ca="1">IFERROR(__xludf.DUMMYFUNCTION("IF(ISBLANK(B433),,FILTER('Leetcode分类顺序表'!B:D,'Leetcode分类顺序表'!A:A = B433))"),"")</f>
        <v/>
      </c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 spans="1:31">
      <c r="A434" s="19"/>
      <c r="B434" s="20"/>
      <c r="C434" s="18" t="str">
        <f ca="1">IFERROR(__xludf.DUMMYFUNCTION("IF(ISBLANK(B434),,FILTER('Leetcode分类顺序表'!B:D,'Leetcode分类顺序表'!A:A = B434))"),"")</f>
        <v/>
      </c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 spans="1:31">
      <c r="A435" s="19"/>
      <c r="B435" s="20"/>
      <c r="C435" s="18" t="str">
        <f ca="1">IFERROR(__xludf.DUMMYFUNCTION("IF(ISBLANK(B435),,FILTER('Leetcode分类顺序表'!B:D,'Leetcode分类顺序表'!A:A = B435))"),"")</f>
        <v/>
      </c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 spans="1:31">
      <c r="A436" s="19"/>
      <c r="B436" s="20"/>
      <c r="C436" s="18" t="str">
        <f ca="1">IFERROR(__xludf.DUMMYFUNCTION("IF(ISBLANK(B436),,FILTER('Leetcode分类顺序表'!B:D,'Leetcode分类顺序表'!A:A = B436))"),"")</f>
        <v/>
      </c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 spans="1:31">
      <c r="A437" s="19"/>
      <c r="B437" s="20"/>
      <c r="C437" s="18" t="str">
        <f ca="1">IFERROR(__xludf.DUMMYFUNCTION("IF(ISBLANK(B437),,FILTER('Leetcode分类顺序表'!B:D,'Leetcode分类顺序表'!A:A = B437))"),"")</f>
        <v/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 spans="1:31">
      <c r="A438" s="19"/>
      <c r="B438" s="20"/>
      <c r="C438" s="18" t="str">
        <f ca="1">IFERROR(__xludf.DUMMYFUNCTION("IF(ISBLANK(B438),,FILTER('Leetcode分类顺序表'!B:D,'Leetcode分类顺序表'!A:A = B438))"),"")</f>
        <v/>
      </c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 spans="1:31">
      <c r="A439" s="19"/>
      <c r="B439" s="20"/>
      <c r="C439" s="18" t="str">
        <f ca="1">IFERROR(__xludf.DUMMYFUNCTION("IF(ISBLANK(B439),,FILTER('Leetcode分类顺序表'!B:D,'Leetcode分类顺序表'!A:A = B439))"),"")</f>
        <v/>
      </c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 spans="1:31">
      <c r="A440" s="19"/>
      <c r="B440" s="20"/>
      <c r="C440" s="18" t="str">
        <f ca="1">IFERROR(__xludf.DUMMYFUNCTION("IF(ISBLANK(B440),,FILTER('Leetcode分类顺序表'!B:D,'Leetcode分类顺序表'!A:A = B440))"),"")</f>
        <v/>
      </c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 spans="1:31">
      <c r="A441" s="19"/>
      <c r="B441" s="20"/>
      <c r="C441" s="18" t="str">
        <f ca="1">IFERROR(__xludf.DUMMYFUNCTION("IF(ISBLANK(B441),,FILTER('Leetcode分类顺序表'!B:D,'Leetcode分类顺序表'!A:A = B441))"),"")</f>
        <v/>
      </c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 spans="1:31">
      <c r="A442" s="19"/>
      <c r="B442" s="20"/>
      <c r="C442" s="18" t="str">
        <f ca="1">IFERROR(__xludf.DUMMYFUNCTION("IF(ISBLANK(B442),,FILTER('Leetcode分类顺序表'!B:D,'Leetcode分类顺序表'!A:A = B442))"),"")</f>
        <v/>
      </c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 spans="1:31">
      <c r="A443" s="19"/>
      <c r="B443" s="20"/>
      <c r="C443" s="18" t="str">
        <f ca="1">IFERROR(__xludf.DUMMYFUNCTION("IF(ISBLANK(B443),,FILTER('Leetcode分类顺序表'!B:D,'Leetcode分类顺序表'!A:A = B443))"),"")</f>
        <v/>
      </c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 spans="1:31">
      <c r="A444" s="19"/>
      <c r="B444" s="20"/>
      <c r="C444" s="18" t="str">
        <f ca="1">IFERROR(__xludf.DUMMYFUNCTION("IF(ISBLANK(B444),,FILTER('Leetcode分类顺序表'!B:D,'Leetcode分类顺序表'!A:A = B444))"),"")</f>
        <v/>
      </c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 spans="1:31">
      <c r="A445" s="19"/>
      <c r="B445" s="20"/>
      <c r="C445" s="18" t="str">
        <f ca="1">IFERROR(__xludf.DUMMYFUNCTION("IF(ISBLANK(B445),,FILTER('Leetcode分类顺序表'!B:D,'Leetcode分类顺序表'!A:A = B445))"),"")</f>
        <v/>
      </c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 spans="1:31">
      <c r="A446" s="19"/>
      <c r="B446" s="20"/>
      <c r="C446" s="18" t="str">
        <f ca="1">IFERROR(__xludf.DUMMYFUNCTION("IF(ISBLANK(B446),,FILTER('Leetcode分类顺序表'!B:D,'Leetcode分类顺序表'!A:A = B446))"),"")</f>
        <v/>
      </c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 spans="1:31">
      <c r="A447" s="19"/>
      <c r="B447" s="20"/>
      <c r="C447" s="18" t="str">
        <f ca="1">IFERROR(__xludf.DUMMYFUNCTION("IF(ISBLANK(B447),,FILTER('Leetcode分类顺序表'!B:D,'Leetcode分类顺序表'!A:A = B447))"),"")</f>
        <v/>
      </c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 spans="1:31">
      <c r="A448" s="19"/>
      <c r="B448" s="20"/>
      <c r="C448" s="18" t="str">
        <f ca="1">IFERROR(__xludf.DUMMYFUNCTION("IF(ISBLANK(B448),,FILTER('Leetcode分类顺序表'!B:D,'Leetcode分类顺序表'!A:A = B448))"),"")</f>
        <v/>
      </c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 spans="1:31">
      <c r="A449" s="19"/>
      <c r="B449" s="20"/>
      <c r="C449" s="18" t="str">
        <f ca="1">IFERROR(__xludf.DUMMYFUNCTION("IF(ISBLANK(B449),,FILTER('Leetcode分类顺序表'!B:D,'Leetcode分类顺序表'!A:A = B449))"),"")</f>
        <v/>
      </c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 spans="1:31">
      <c r="A450" s="19"/>
      <c r="B450" s="20"/>
      <c r="C450" s="18" t="str">
        <f ca="1">IFERROR(__xludf.DUMMYFUNCTION("IF(ISBLANK(B450),,FILTER('Leetcode分类顺序表'!B:D,'Leetcode分类顺序表'!A:A = B450))"),"")</f>
        <v/>
      </c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 spans="1:31">
      <c r="A451" s="19"/>
      <c r="B451" s="20"/>
      <c r="C451" s="18" t="str">
        <f ca="1">IFERROR(__xludf.DUMMYFUNCTION("IF(ISBLANK(B451),,FILTER('Leetcode分类顺序表'!B:D,'Leetcode分类顺序表'!A:A = B451))"),"")</f>
        <v/>
      </c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 spans="1:31">
      <c r="A452" s="19"/>
      <c r="B452" s="20"/>
      <c r="C452" s="18" t="str">
        <f ca="1">IFERROR(__xludf.DUMMYFUNCTION("IF(ISBLANK(B452),,FILTER('Leetcode分类顺序表'!B:D,'Leetcode分类顺序表'!A:A = B452))"),"")</f>
        <v/>
      </c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 spans="1:31">
      <c r="A453" s="19"/>
      <c r="B453" s="20"/>
      <c r="C453" s="18" t="str">
        <f ca="1">IFERROR(__xludf.DUMMYFUNCTION("IF(ISBLANK(B453),,FILTER('Leetcode分类顺序表'!B:D,'Leetcode分类顺序表'!A:A = B453))"),"")</f>
        <v/>
      </c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 spans="1:31">
      <c r="A454" s="19"/>
      <c r="B454" s="20"/>
      <c r="C454" s="18" t="str">
        <f ca="1">IFERROR(__xludf.DUMMYFUNCTION("IF(ISBLANK(B454),,FILTER('Leetcode分类顺序表'!B:D,'Leetcode分类顺序表'!A:A = B454))"),"")</f>
        <v/>
      </c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 spans="1:31">
      <c r="A455" s="19"/>
      <c r="B455" s="20"/>
      <c r="C455" s="18" t="str">
        <f ca="1">IFERROR(__xludf.DUMMYFUNCTION("IF(ISBLANK(B455),,FILTER('Leetcode分类顺序表'!B:D,'Leetcode分类顺序表'!A:A = B455))"),"")</f>
        <v/>
      </c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 spans="1:31">
      <c r="A456" s="19"/>
      <c r="B456" s="20"/>
      <c r="C456" s="18" t="str">
        <f ca="1">IFERROR(__xludf.DUMMYFUNCTION("IF(ISBLANK(B456),,FILTER('Leetcode分类顺序表'!B:D,'Leetcode分类顺序表'!A:A = B456))"),"")</f>
        <v/>
      </c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 spans="1:31">
      <c r="A457" s="19"/>
      <c r="B457" s="20"/>
      <c r="C457" s="18" t="str">
        <f ca="1">IFERROR(__xludf.DUMMYFUNCTION("IF(ISBLANK(B457),,FILTER('Leetcode分类顺序表'!B:D,'Leetcode分类顺序表'!A:A = B457))"),"")</f>
        <v/>
      </c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 spans="1:31">
      <c r="A458" s="19"/>
      <c r="B458" s="20"/>
      <c r="C458" s="18" t="str">
        <f ca="1">IFERROR(__xludf.DUMMYFUNCTION("IF(ISBLANK(B458),,FILTER('Leetcode分类顺序表'!B:D,'Leetcode分类顺序表'!A:A = B458))"),"")</f>
        <v/>
      </c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 spans="1:31">
      <c r="A459" s="19"/>
      <c r="B459" s="20"/>
      <c r="C459" s="18" t="str">
        <f ca="1">IFERROR(__xludf.DUMMYFUNCTION("IF(ISBLANK(B459),,FILTER('Leetcode分类顺序表'!B:D,'Leetcode分类顺序表'!A:A = B459))"),"")</f>
        <v/>
      </c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 spans="1:31">
      <c r="A460" s="19"/>
      <c r="B460" s="20"/>
      <c r="C460" s="18" t="str">
        <f ca="1">IFERROR(__xludf.DUMMYFUNCTION("IF(ISBLANK(B460),,FILTER('Leetcode分类顺序表'!B:D,'Leetcode分类顺序表'!A:A = B460))"),"")</f>
        <v/>
      </c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 spans="1:31">
      <c r="A461" s="19"/>
      <c r="B461" s="20"/>
      <c r="C461" s="18" t="str">
        <f ca="1">IFERROR(__xludf.DUMMYFUNCTION("IF(ISBLANK(B461),,FILTER('Leetcode分类顺序表'!B:D,'Leetcode分类顺序表'!A:A = B461))"),"")</f>
        <v/>
      </c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 spans="1:31">
      <c r="A462" s="19"/>
      <c r="B462" s="20"/>
      <c r="C462" s="18" t="str">
        <f ca="1">IFERROR(__xludf.DUMMYFUNCTION("IF(ISBLANK(B462),,FILTER('Leetcode分类顺序表'!B:D,'Leetcode分类顺序表'!A:A = B462))"),"")</f>
        <v/>
      </c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 spans="1:31">
      <c r="A463" s="19"/>
      <c r="B463" s="20"/>
      <c r="C463" s="18" t="str">
        <f ca="1">IFERROR(__xludf.DUMMYFUNCTION("IF(ISBLANK(B463),,FILTER('Leetcode分类顺序表'!B:D,'Leetcode分类顺序表'!A:A = B463))"),"")</f>
        <v/>
      </c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 spans="1:31">
      <c r="A464" s="19"/>
      <c r="B464" s="20"/>
      <c r="C464" s="18" t="str">
        <f ca="1">IFERROR(__xludf.DUMMYFUNCTION("IF(ISBLANK(B464),,FILTER('Leetcode分类顺序表'!B:D,'Leetcode分类顺序表'!A:A = B464))"),"")</f>
        <v/>
      </c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 spans="1:31">
      <c r="A465" s="19"/>
      <c r="B465" s="20"/>
      <c r="C465" s="18" t="str">
        <f ca="1">IFERROR(__xludf.DUMMYFUNCTION("IF(ISBLANK(B465),,FILTER('Leetcode分类顺序表'!B:D,'Leetcode分类顺序表'!A:A = B465))"),"")</f>
        <v/>
      </c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 spans="1:31">
      <c r="A466" s="19"/>
      <c r="B466" s="20"/>
      <c r="C466" s="18" t="str">
        <f ca="1">IFERROR(__xludf.DUMMYFUNCTION("IF(ISBLANK(B466),,FILTER('Leetcode分类顺序表'!B:D,'Leetcode分类顺序表'!A:A = B466))"),"")</f>
        <v/>
      </c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 spans="1:31">
      <c r="A467" s="19"/>
      <c r="B467" s="20"/>
      <c r="C467" s="18" t="str">
        <f ca="1">IFERROR(__xludf.DUMMYFUNCTION("IF(ISBLANK(B467),,FILTER('Leetcode分类顺序表'!B:D,'Leetcode分类顺序表'!A:A = B467))"),"")</f>
        <v/>
      </c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 spans="1:31">
      <c r="A468" s="19"/>
      <c r="B468" s="20"/>
      <c r="C468" s="18" t="str">
        <f ca="1">IFERROR(__xludf.DUMMYFUNCTION("IF(ISBLANK(B468),,FILTER('Leetcode分类顺序表'!B:D,'Leetcode分类顺序表'!A:A = B468))"),"")</f>
        <v/>
      </c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 spans="1:31">
      <c r="A469" s="19"/>
      <c r="B469" s="20"/>
      <c r="C469" s="18" t="str">
        <f ca="1">IFERROR(__xludf.DUMMYFUNCTION("IF(ISBLANK(B469),,FILTER('Leetcode分类顺序表'!B:D,'Leetcode分类顺序表'!A:A = B469))"),"")</f>
        <v/>
      </c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 spans="1:31">
      <c r="A470" s="19"/>
      <c r="B470" s="20"/>
      <c r="C470" s="18" t="str">
        <f ca="1">IFERROR(__xludf.DUMMYFUNCTION("IF(ISBLANK(B470),,FILTER('Leetcode分类顺序表'!B:D,'Leetcode分类顺序表'!A:A = B470))"),"")</f>
        <v/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 spans="1:31">
      <c r="A471" s="19"/>
      <c r="B471" s="20"/>
      <c r="C471" s="18" t="str">
        <f ca="1">IFERROR(__xludf.DUMMYFUNCTION("IF(ISBLANK(B471),,FILTER('Leetcode分类顺序表'!B:D,'Leetcode分类顺序表'!A:A = B471))"),"")</f>
        <v/>
      </c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 spans="1:31">
      <c r="A472" s="19"/>
      <c r="B472" s="20"/>
      <c r="C472" s="18" t="str">
        <f ca="1">IFERROR(__xludf.DUMMYFUNCTION("IF(ISBLANK(B472),,FILTER('Leetcode分类顺序表'!B:D,'Leetcode分类顺序表'!A:A = B472))"),"")</f>
        <v/>
      </c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 spans="1:31">
      <c r="A473" s="19"/>
      <c r="B473" s="20"/>
      <c r="C473" s="18" t="str">
        <f ca="1">IFERROR(__xludf.DUMMYFUNCTION("IF(ISBLANK(B473),,FILTER('Leetcode分类顺序表'!B:D,'Leetcode分类顺序表'!A:A = B473))"),"")</f>
        <v/>
      </c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 spans="1:31">
      <c r="A474" s="19"/>
      <c r="B474" s="20"/>
      <c r="C474" s="18" t="str">
        <f ca="1">IFERROR(__xludf.DUMMYFUNCTION("IF(ISBLANK(B474),,FILTER('Leetcode分类顺序表'!B:D,'Leetcode分类顺序表'!A:A = B474))"),"")</f>
        <v/>
      </c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 spans="1:31">
      <c r="A475" s="19"/>
      <c r="B475" s="20"/>
      <c r="C475" s="18" t="str">
        <f ca="1">IFERROR(__xludf.DUMMYFUNCTION("IF(ISBLANK(B475),,FILTER('Leetcode分类顺序表'!B:D,'Leetcode分类顺序表'!A:A = B475))"),"")</f>
        <v/>
      </c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 spans="1:31">
      <c r="A476" s="19"/>
      <c r="B476" s="20"/>
      <c r="C476" s="18" t="str">
        <f ca="1">IFERROR(__xludf.DUMMYFUNCTION("IF(ISBLANK(B476),,FILTER('Leetcode分类顺序表'!B:D,'Leetcode分类顺序表'!A:A = B476))"),"")</f>
        <v/>
      </c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 spans="1:31">
      <c r="A477" s="19"/>
      <c r="B477" s="20"/>
      <c r="C477" s="18" t="str">
        <f ca="1">IFERROR(__xludf.DUMMYFUNCTION("IF(ISBLANK(B477),,FILTER('Leetcode分类顺序表'!B:D,'Leetcode分类顺序表'!A:A = B477))"),"")</f>
        <v/>
      </c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 spans="1:31">
      <c r="A478" s="19"/>
      <c r="B478" s="20"/>
      <c r="C478" s="18" t="str">
        <f ca="1">IFERROR(__xludf.DUMMYFUNCTION("IF(ISBLANK(B478),,FILTER('Leetcode分类顺序表'!B:D,'Leetcode分类顺序表'!A:A = B478))"),"")</f>
        <v/>
      </c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 spans="1:31">
      <c r="A479" s="19"/>
      <c r="B479" s="20"/>
      <c r="C479" s="18" t="str">
        <f ca="1">IFERROR(__xludf.DUMMYFUNCTION("IF(ISBLANK(B479),,FILTER('Leetcode分类顺序表'!B:D,'Leetcode分类顺序表'!A:A = B479))"),"")</f>
        <v/>
      </c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 spans="1:31">
      <c r="A480" s="19"/>
      <c r="B480" s="20"/>
      <c r="C480" s="18" t="str">
        <f ca="1">IFERROR(__xludf.DUMMYFUNCTION("IF(ISBLANK(B480),,FILTER('Leetcode分类顺序表'!B:D,'Leetcode分类顺序表'!A:A = B480))"),"")</f>
        <v/>
      </c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 spans="1:31">
      <c r="A481" s="19"/>
      <c r="B481" s="20"/>
      <c r="C481" s="18" t="str">
        <f ca="1">IFERROR(__xludf.DUMMYFUNCTION("IF(ISBLANK(B481),,FILTER('Leetcode分类顺序表'!B:D,'Leetcode分类顺序表'!A:A = B481))"),"")</f>
        <v/>
      </c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 spans="1:31">
      <c r="A482" s="19"/>
      <c r="B482" s="20"/>
      <c r="C482" s="18" t="str">
        <f ca="1">IFERROR(__xludf.DUMMYFUNCTION("IF(ISBLANK(B482),,FILTER('Leetcode分类顺序表'!B:D,'Leetcode分类顺序表'!A:A = B482))"),"")</f>
        <v/>
      </c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 spans="1:31">
      <c r="A483" s="19"/>
      <c r="B483" s="20"/>
      <c r="C483" s="18" t="str">
        <f ca="1">IFERROR(__xludf.DUMMYFUNCTION("IF(ISBLANK(B483),,FILTER('Leetcode分类顺序表'!B:D,'Leetcode分类顺序表'!A:A = B483))"),"")</f>
        <v/>
      </c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 spans="1:31">
      <c r="A484" s="19"/>
      <c r="B484" s="20"/>
      <c r="C484" s="18" t="str">
        <f ca="1">IFERROR(__xludf.DUMMYFUNCTION("IF(ISBLANK(B484),,FILTER('Leetcode分类顺序表'!B:D,'Leetcode分类顺序表'!A:A = B484))"),"")</f>
        <v/>
      </c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 spans="1:31">
      <c r="A485" s="19"/>
      <c r="B485" s="20"/>
      <c r="C485" s="18" t="str">
        <f ca="1">IFERROR(__xludf.DUMMYFUNCTION("IF(ISBLANK(B485),,FILTER('Leetcode分类顺序表'!B:D,'Leetcode分类顺序表'!A:A = B485))"),"")</f>
        <v/>
      </c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 spans="1:31">
      <c r="A486" s="19"/>
      <c r="B486" s="20"/>
      <c r="C486" s="18" t="str">
        <f ca="1">IFERROR(__xludf.DUMMYFUNCTION("IF(ISBLANK(B486),,FILTER('Leetcode分类顺序表'!B:D,'Leetcode分类顺序表'!A:A = B486))"),"")</f>
        <v/>
      </c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 spans="1:31">
      <c r="A487" s="19"/>
      <c r="B487" s="20"/>
      <c r="C487" s="18" t="str">
        <f ca="1">IFERROR(__xludf.DUMMYFUNCTION("IF(ISBLANK(B487),,FILTER('Leetcode分类顺序表'!B:D,'Leetcode分类顺序表'!A:A = B487))"),"")</f>
        <v/>
      </c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 spans="1:31">
      <c r="A488" s="19"/>
      <c r="B488" s="20"/>
      <c r="C488" s="18" t="str">
        <f ca="1">IFERROR(__xludf.DUMMYFUNCTION("IF(ISBLANK(B488),,FILTER('Leetcode分类顺序表'!B:D,'Leetcode分类顺序表'!A:A = B488))"),"")</f>
        <v/>
      </c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 spans="1:31">
      <c r="A489" s="19"/>
      <c r="B489" s="20"/>
      <c r="C489" s="18" t="str">
        <f ca="1">IFERROR(__xludf.DUMMYFUNCTION("IF(ISBLANK(B489),,FILTER('Leetcode分类顺序表'!B:D,'Leetcode分类顺序表'!A:A = B489))"),"")</f>
        <v/>
      </c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 spans="1:31">
      <c r="A490" s="19"/>
      <c r="B490" s="20"/>
      <c r="C490" s="18" t="str">
        <f ca="1">IFERROR(__xludf.DUMMYFUNCTION("IF(ISBLANK(B490),,FILTER('Leetcode分类顺序表'!B:D,'Leetcode分类顺序表'!A:A = B490))"),"")</f>
        <v/>
      </c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 spans="1:31">
      <c r="A491" s="19"/>
      <c r="B491" s="20"/>
      <c r="C491" s="18" t="str">
        <f ca="1">IFERROR(__xludf.DUMMYFUNCTION("IF(ISBLANK(B491),,FILTER('Leetcode分类顺序表'!B:D,'Leetcode分类顺序表'!A:A = B491))"),"")</f>
        <v/>
      </c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 spans="1:31">
      <c r="A492" s="19"/>
      <c r="B492" s="20"/>
      <c r="C492" s="18" t="str">
        <f ca="1">IFERROR(__xludf.DUMMYFUNCTION("IF(ISBLANK(B492),,FILTER('Leetcode分类顺序表'!B:D,'Leetcode分类顺序表'!A:A = B492))"),"")</f>
        <v/>
      </c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 spans="1:31">
      <c r="A493" s="19"/>
      <c r="B493" s="20"/>
      <c r="C493" s="18" t="str">
        <f ca="1">IFERROR(__xludf.DUMMYFUNCTION("IF(ISBLANK(B493),,FILTER('Leetcode分类顺序表'!B:D,'Leetcode分类顺序表'!A:A = B493))"),"")</f>
        <v/>
      </c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 spans="1:31">
      <c r="A494" s="19"/>
      <c r="B494" s="20"/>
      <c r="C494" s="18" t="str">
        <f ca="1">IFERROR(__xludf.DUMMYFUNCTION("IF(ISBLANK(B494),,FILTER('Leetcode分类顺序表'!B:D,'Leetcode分类顺序表'!A:A = B494))"),"")</f>
        <v/>
      </c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 spans="1:31">
      <c r="A495" s="19"/>
      <c r="B495" s="20"/>
      <c r="C495" s="18" t="str">
        <f ca="1">IFERROR(__xludf.DUMMYFUNCTION("IF(ISBLANK(B495),,FILTER('Leetcode分类顺序表'!B:D,'Leetcode分类顺序表'!A:A = B495))"),"")</f>
        <v/>
      </c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 spans="1:31">
      <c r="A496" s="19"/>
      <c r="B496" s="20"/>
      <c r="C496" s="18" t="str">
        <f ca="1">IFERROR(__xludf.DUMMYFUNCTION("IF(ISBLANK(B496),,FILTER('Leetcode分类顺序表'!B:D,'Leetcode分类顺序表'!A:A = B496))"),"")</f>
        <v/>
      </c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 spans="1:31">
      <c r="A497" s="19"/>
      <c r="B497" s="20"/>
      <c r="C497" s="18" t="str">
        <f ca="1">IFERROR(__xludf.DUMMYFUNCTION("IF(ISBLANK(B497),,FILTER('Leetcode分类顺序表'!B:D,'Leetcode分类顺序表'!A:A = B497))"),"")</f>
        <v/>
      </c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 spans="1:31">
      <c r="A498" s="19"/>
      <c r="B498" s="20"/>
      <c r="C498" s="18" t="str">
        <f ca="1">IFERROR(__xludf.DUMMYFUNCTION("IF(ISBLANK(B498),,FILTER('Leetcode分类顺序表'!B:D,'Leetcode分类顺序表'!A:A = B498))"),"")</f>
        <v/>
      </c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 spans="1:31">
      <c r="A499" s="19"/>
      <c r="B499" s="20"/>
      <c r="C499" s="18" t="str">
        <f ca="1">IFERROR(__xludf.DUMMYFUNCTION("IF(ISBLANK(B499),,FILTER('Leetcode分类顺序表'!B:D,'Leetcode分类顺序表'!A:A = B499))"),"")</f>
        <v/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 spans="1:31">
      <c r="A500" s="19"/>
      <c r="B500" s="20"/>
      <c r="C500" s="18" t="str">
        <f ca="1">IFERROR(__xludf.DUMMYFUNCTION("IF(ISBLANK(B500),,FILTER('Leetcode分类顺序表'!B:D,'Leetcode分类顺序表'!A:A = B500))"),"")</f>
        <v/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 spans="1:31">
      <c r="A501" s="19"/>
      <c r="B501" s="20"/>
      <c r="C501" s="18" t="str">
        <f ca="1">IFERROR(__xludf.DUMMYFUNCTION("IF(ISBLANK(B501),,FILTER('Leetcode分类顺序表'!B:D,'Leetcode分类顺序表'!A:A = B501))"),"")</f>
        <v/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 spans="1:31">
      <c r="A502" s="19"/>
      <c r="B502" s="20"/>
      <c r="C502" s="18" t="str">
        <f ca="1">IFERROR(__xludf.DUMMYFUNCTION("IF(ISBLANK(B502),,FILTER('Leetcode分类顺序表'!B:D,'Leetcode分类顺序表'!A:A = B502))"),"")</f>
        <v/>
      </c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 spans="1:31">
      <c r="A503" s="19"/>
      <c r="B503" s="20"/>
      <c r="C503" s="18" t="str">
        <f ca="1">IFERROR(__xludf.DUMMYFUNCTION("IF(ISBLANK(B503),,FILTER('Leetcode分类顺序表'!B:D,'Leetcode分类顺序表'!A:A = B503))"),"")</f>
        <v/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 spans="1:31">
      <c r="A504" s="19"/>
      <c r="B504" s="20"/>
      <c r="C504" s="18" t="str">
        <f ca="1">IFERROR(__xludf.DUMMYFUNCTION("IF(ISBLANK(B504),,FILTER('Leetcode分类顺序表'!B:D,'Leetcode分类顺序表'!A:A = B504))"),"")</f>
        <v/>
      </c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 spans="1:31">
      <c r="A505" s="19"/>
      <c r="B505" s="20"/>
      <c r="C505" s="18" t="str">
        <f ca="1">IFERROR(__xludf.DUMMYFUNCTION("IF(ISBLANK(B505),,FILTER('Leetcode分类顺序表'!B:D,'Leetcode分类顺序表'!A:A = B505))"),"")</f>
        <v/>
      </c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 spans="1:31">
      <c r="A506" s="19"/>
      <c r="B506" s="20"/>
      <c r="C506" s="18" t="str">
        <f ca="1">IFERROR(__xludf.DUMMYFUNCTION("IF(ISBLANK(B506),,FILTER('Leetcode分类顺序表'!B:D,'Leetcode分类顺序表'!A:A = B506))"),"")</f>
        <v/>
      </c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 spans="1:31">
      <c r="A507" s="19"/>
      <c r="B507" s="20"/>
      <c r="C507" s="18" t="str">
        <f ca="1">IFERROR(__xludf.DUMMYFUNCTION("IF(ISBLANK(B507),,FILTER('Leetcode分类顺序表'!B:D,'Leetcode分类顺序表'!A:A = B507))"),"")</f>
        <v/>
      </c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 spans="1:31">
      <c r="A508" s="19"/>
      <c r="B508" s="20"/>
      <c r="C508" s="18" t="str">
        <f ca="1">IFERROR(__xludf.DUMMYFUNCTION("IF(ISBLANK(B508),,FILTER('Leetcode分类顺序表'!B:D,'Leetcode分类顺序表'!A:A = B508))"),"")</f>
        <v/>
      </c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 spans="1:31">
      <c r="A509" s="19"/>
      <c r="B509" s="20"/>
      <c r="C509" s="18" t="str">
        <f ca="1">IFERROR(__xludf.DUMMYFUNCTION("IF(ISBLANK(B509),,FILTER('Leetcode分类顺序表'!B:D,'Leetcode分类顺序表'!A:A = B509))"),"")</f>
        <v/>
      </c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 spans="1:31">
      <c r="A510" s="19"/>
      <c r="B510" s="20"/>
      <c r="C510" s="18" t="str">
        <f ca="1">IFERROR(__xludf.DUMMYFUNCTION("IF(ISBLANK(B510),,FILTER('Leetcode分类顺序表'!B:D,'Leetcode分类顺序表'!A:A = B510))"),"")</f>
        <v/>
      </c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 spans="1:31">
      <c r="A511" s="19"/>
      <c r="B511" s="20"/>
      <c r="C511" s="18" t="str">
        <f ca="1">IFERROR(__xludf.DUMMYFUNCTION("IF(ISBLANK(B511),,FILTER('Leetcode分类顺序表'!B:D,'Leetcode分类顺序表'!A:A = B511))"),"")</f>
        <v/>
      </c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 spans="1:31">
      <c r="A512" s="19"/>
      <c r="B512" s="20"/>
      <c r="C512" s="18" t="str">
        <f ca="1">IFERROR(__xludf.DUMMYFUNCTION("IF(ISBLANK(B512),,FILTER('Leetcode分类顺序表'!B:D,'Leetcode分类顺序表'!A:A = B512))"),"")</f>
        <v/>
      </c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 spans="1:31">
      <c r="A513" s="19"/>
      <c r="B513" s="20"/>
      <c r="C513" s="18" t="str">
        <f ca="1">IFERROR(__xludf.DUMMYFUNCTION("IF(ISBLANK(B513),,FILTER('Leetcode分类顺序表'!B:D,'Leetcode分类顺序表'!A:A = B513))"),"")</f>
        <v/>
      </c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 spans="1:31">
      <c r="A514" s="19"/>
      <c r="B514" s="20"/>
      <c r="C514" s="18" t="str">
        <f ca="1">IFERROR(__xludf.DUMMYFUNCTION("IF(ISBLANK(B514),,FILTER('Leetcode分类顺序表'!B:D,'Leetcode分类顺序表'!A:A = B514))"),"")</f>
        <v/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 spans="1:31">
      <c r="A515" s="19"/>
      <c r="B515" s="20"/>
      <c r="C515" s="18" t="str">
        <f ca="1">IFERROR(__xludf.DUMMYFUNCTION("IF(ISBLANK(B515),,FILTER('Leetcode分类顺序表'!B:D,'Leetcode分类顺序表'!A:A = B515))"),"")</f>
        <v/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 spans="1:31">
      <c r="A516" s="19"/>
      <c r="B516" s="20"/>
      <c r="C516" s="18" t="str">
        <f ca="1">IFERROR(__xludf.DUMMYFUNCTION("IF(ISBLANK(B516),,FILTER('Leetcode分类顺序表'!B:D,'Leetcode分类顺序表'!A:A = B516))"),"")</f>
        <v/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 spans="1:31">
      <c r="A517" s="19"/>
      <c r="B517" s="20"/>
      <c r="C517" s="18" t="str">
        <f ca="1">IFERROR(__xludf.DUMMYFUNCTION("IF(ISBLANK(B517),,FILTER('Leetcode分类顺序表'!B:D,'Leetcode分类顺序表'!A:A = B517))"),"")</f>
        <v/>
      </c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 spans="1:31">
      <c r="A518" s="19"/>
      <c r="B518" s="20"/>
      <c r="C518" s="18" t="str">
        <f ca="1">IFERROR(__xludf.DUMMYFUNCTION("IF(ISBLANK(B518),,FILTER('Leetcode分类顺序表'!B:D,'Leetcode分类顺序表'!A:A = B518))"),"")</f>
        <v/>
      </c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 spans="1:31">
      <c r="A519" s="19"/>
      <c r="B519" s="20"/>
      <c r="C519" s="18" t="str">
        <f ca="1">IFERROR(__xludf.DUMMYFUNCTION("IF(ISBLANK(B519),,FILTER('Leetcode分类顺序表'!B:D,'Leetcode分类顺序表'!A:A = B519))"),"")</f>
        <v/>
      </c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 spans="1:31">
      <c r="A520" s="19"/>
      <c r="B520" s="20"/>
      <c r="C520" s="18" t="str">
        <f ca="1">IFERROR(__xludf.DUMMYFUNCTION("IF(ISBLANK(B520),,FILTER('Leetcode分类顺序表'!B:D,'Leetcode分类顺序表'!A:A = B520))"),"")</f>
        <v/>
      </c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 spans="1:31">
      <c r="A521" s="19"/>
      <c r="B521" s="20"/>
      <c r="C521" s="18" t="str">
        <f ca="1">IFERROR(__xludf.DUMMYFUNCTION("IF(ISBLANK(B521),,FILTER('Leetcode分类顺序表'!B:D,'Leetcode分类顺序表'!A:A = B521))"),"")</f>
        <v/>
      </c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 spans="1:31">
      <c r="A522" s="19"/>
      <c r="B522" s="20"/>
      <c r="C522" s="18" t="str">
        <f ca="1">IFERROR(__xludf.DUMMYFUNCTION("IF(ISBLANK(B522),,FILTER('Leetcode分类顺序表'!B:D,'Leetcode分类顺序表'!A:A = B522))"),"")</f>
        <v/>
      </c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 spans="1:31">
      <c r="A523" s="19"/>
      <c r="B523" s="20"/>
      <c r="C523" s="18" t="str">
        <f ca="1">IFERROR(__xludf.DUMMYFUNCTION("IF(ISBLANK(B523),,FILTER('Leetcode分类顺序表'!B:D,'Leetcode分类顺序表'!A:A = B523))"),"")</f>
        <v/>
      </c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 spans="1:31">
      <c r="A524" s="19"/>
      <c r="B524" s="20"/>
      <c r="C524" s="18" t="str">
        <f ca="1">IFERROR(__xludf.DUMMYFUNCTION("IF(ISBLANK(B524),,FILTER('Leetcode分类顺序表'!B:D,'Leetcode分类顺序表'!A:A = B524))"),"")</f>
        <v/>
      </c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 spans="1:31">
      <c r="A525" s="19"/>
      <c r="B525" s="20"/>
      <c r="C525" s="18" t="str">
        <f ca="1">IFERROR(__xludf.DUMMYFUNCTION("IF(ISBLANK(B525),,FILTER('Leetcode分类顺序表'!B:D,'Leetcode分类顺序表'!A:A = B525))"),"")</f>
        <v/>
      </c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 spans="1:31">
      <c r="A526" s="19"/>
      <c r="B526" s="20"/>
      <c r="C526" s="18" t="str">
        <f ca="1">IFERROR(__xludf.DUMMYFUNCTION("IF(ISBLANK(B526),,FILTER('Leetcode分类顺序表'!B:D,'Leetcode分类顺序表'!A:A = B526))"),"")</f>
        <v/>
      </c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 spans="1:31">
      <c r="A527" s="19"/>
      <c r="B527" s="20"/>
      <c r="C527" s="18" t="str">
        <f ca="1">IFERROR(__xludf.DUMMYFUNCTION("IF(ISBLANK(B527),,FILTER('Leetcode分类顺序表'!B:D,'Leetcode分类顺序表'!A:A = B527))"),"")</f>
        <v/>
      </c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 spans="1:31">
      <c r="A528" s="19"/>
      <c r="B528" s="20"/>
      <c r="C528" s="18" t="str">
        <f ca="1">IFERROR(__xludf.DUMMYFUNCTION("IF(ISBLANK(B528),,FILTER('Leetcode分类顺序表'!B:D,'Leetcode分类顺序表'!A:A = B528))"),"")</f>
        <v/>
      </c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 spans="1:31">
      <c r="A529" s="19"/>
      <c r="B529" s="20"/>
      <c r="C529" s="18" t="str">
        <f ca="1">IFERROR(__xludf.DUMMYFUNCTION("IF(ISBLANK(B529),,FILTER('Leetcode分类顺序表'!B:D,'Leetcode分类顺序表'!A:A = B529))"),"")</f>
        <v/>
      </c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 spans="1:31">
      <c r="A530" s="19"/>
      <c r="B530" s="20"/>
      <c r="C530" s="18" t="str">
        <f ca="1">IFERROR(__xludf.DUMMYFUNCTION("IF(ISBLANK(B530),,FILTER('Leetcode分类顺序表'!B:D,'Leetcode分类顺序表'!A:A = B530))"),"")</f>
        <v/>
      </c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 spans="1:31">
      <c r="A531" s="19"/>
      <c r="B531" s="20"/>
      <c r="C531" s="18" t="str">
        <f ca="1">IFERROR(__xludf.DUMMYFUNCTION("IF(ISBLANK(B531),,FILTER('Leetcode分类顺序表'!B:D,'Leetcode分类顺序表'!A:A = B531))"),"")</f>
        <v/>
      </c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 spans="1:31">
      <c r="A532" s="19"/>
      <c r="B532" s="20"/>
      <c r="C532" s="18" t="str">
        <f ca="1">IFERROR(__xludf.DUMMYFUNCTION("IF(ISBLANK(B532),,FILTER('Leetcode分类顺序表'!B:D,'Leetcode分类顺序表'!A:A = B532))"),"")</f>
        <v/>
      </c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 spans="1:31">
      <c r="A533" s="19"/>
      <c r="B533" s="20"/>
      <c r="C533" s="18" t="str">
        <f ca="1">IFERROR(__xludf.DUMMYFUNCTION("IF(ISBLANK(B533),,FILTER('Leetcode分类顺序表'!B:D,'Leetcode分类顺序表'!A:A = B533))"),"")</f>
        <v/>
      </c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 spans="1:31">
      <c r="A534" s="19"/>
      <c r="B534" s="20"/>
      <c r="C534" s="18" t="str">
        <f ca="1">IFERROR(__xludf.DUMMYFUNCTION("IF(ISBLANK(B534),,FILTER('Leetcode分类顺序表'!B:D,'Leetcode分类顺序表'!A:A = B534))"),"")</f>
        <v/>
      </c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 spans="1:31">
      <c r="A535" s="19"/>
      <c r="B535" s="20"/>
      <c r="C535" s="18" t="str">
        <f ca="1">IFERROR(__xludf.DUMMYFUNCTION("IF(ISBLANK(B535),,FILTER('Leetcode分类顺序表'!B:D,'Leetcode分类顺序表'!A:A = B535))"),"")</f>
        <v/>
      </c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 spans="1:31">
      <c r="A536" s="19"/>
      <c r="B536" s="20"/>
      <c r="C536" s="18" t="str">
        <f ca="1">IFERROR(__xludf.DUMMYFUNCTION("IF(ISBLANK(B536),,FILTER('Leetcode分类顺序表'!B:D,'Leetcode分类顺序表'!A:A = B536))"),"")</f>
        <v/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 spans="1:31">
      <c r="A537" s="19"/>
      <c r="B537" s="20"/>
      <c r="C537" s="18" t="str">
        <f ca="1">IFERROR(__xludf.DUMMYFUNCTION("IF(ISBLANK(B537),,FILTER('Leetcode分类顺序表'!B:D,'Leetcode分类顺序表'!A:A = B537))"),"")</f>
        <v/>
      </c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 spans="1:31">
      <c r="A538" s="19"/>
      <c r="B538" s="20"/>
      <c r="C538" s="18" t="str">
        <f ca="1">IFERROR(__xludf.DUMMYFUNCTION("IF(ISBLANK(B538),,FILTER('Leetcode分类顺序表'!B:D,'Leetcode分类顺序表'!A:A = B538))"),"")</f>
        <v/>
      </c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 spans="1:31">
      <c r="A539" s="19"/>
      <c r="B539" s="20"/>
      <c r="C539" s="18" t="str">
        <f ca="1">IFERROR(__xludf.DUMMYFUNCTION("IF(ISBLANK(B539),,FILTER('Leetcode分类顺序表'!B:D,'Leetcode分类顺序表'!A:A = B539))"),"")</f>
        <v/>
      </c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 spans="1:31">
      <c r="A540" s="19"/>
      <c r="B540" s="20"/>
      <c r="C540" s="18" t="str">
        <f ca="1">IFERROR(__xludf.DUMMYFUNCTION("IF(ISBLANK(B540),,FILTER('Leetcode分类顺序表'!B:D,'Leetcode分类顺序表'!A:A = B540))"),"")</f>
        <v/>
      </c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 spans="1:31">
      <c r="A541" s="19"/>
      <c r="B541" s="20"/>
      <c r="C541" s="18" t="str">
        <f ca="1">IFERROR(__xludf.DUMMYFUNCTION("IF(ISBLANK(B541),,FILTER('Leetcode分类顺序表'!B:D,'Leetcode分类顺序表'!A:A = B541))"),"")</f>
        <v/>
      </c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 spans="1:31">
      <c r="A542" s="19"/>
      <c r="B542" s="20"/>
      <c r="C542" s="18" t="str">
        <f ca="1">IFERROR(__xludf.DUMMYFUNCTION("IF(ISBLANK(B542),,FILTER('Leetcode分类顺序表'!B:D,'Leetcode分类顺序表'!A:A = B542))"),"")</f>
        <v/>
      </c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 spans="1:31">
      <c r="A543" s="19"/>
      <c r="B543" s="20"/>
      <c r="C543" s="18" t="str">
        <f ca="1">IFERROR(__xludf.DUMMYFUNCTION("IF(ISBLANK(B543),,FILTER('Leetcode分类顺序表'!B:D,'Leetcode分类顺序表'!A:A = B543))"),"")</f>
        <v/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 spans="1:31">
      <c r="A544" s="19"/>
      <c r="B544" s="20"/>
      <c r="C544" s="18" t="str">
        <f ca="1">IFERROR(__xludf.DUMMYFUNCTION("IF(ISBLANK(B544),,FILTER('Leetcode分类顺序表'!B:D,'Leetcode分类顺序表'!A:A = B544))"),"")</f>
        <v/>
      </c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 spans="1:31">
      <c r="A545" s="19"/>
      <c r="B545" s="20"/>
      <c r="C545" s="18" t="str">
        <f ca="1">IFERROR(__xludf.DUMMYFUNCTION("IF(ISBLANK(B545),,FILTER('Leetcode分类顺序表'!B:D,'Leetcode分类顺序表'!A:A = B545))"),"")</f>
        <v/>
      </c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 spans="1:31">
      <c r="A546" s="19"/>
      <c r="B546" s="20"/>
      <c r="C546" s="18" t="str">
        <f ca="1">IFERROR(__xludf.DUMMYFUNCTION("IF(ISBLANK(B546),,FILTER('Leetcode分类顺序表'!B:D,'Leetcode分类顺序表'!A:A = B546))"),"")</f>
        <v/>
      </c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 spans="1:31">
      <c r="A547" s="19"/>
      <c r="B547" s="20"/>
      <c r="C547" s="18" t="str">
        <f ca="1">IFERROR(__xludf.DUMMYFUNCTION("IF(ISBLANK(B547),,FILTER('Leetcode分类顺序表'!B:D,'Leetcode分类顺序表'!A:A = B547))"),"")</f>
        <v/>
      </c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 spans="1:31">
      <c r="A548" s="19"/>
      <c r="B548" s="20"/>
      <c r="C548" s="18" t="str">
        <f ca="1">IFERROR(__xludf.DUMMYFUNCTION("IF(ISBLANK(B548),,FILTER('Leetcode分类顺序表'!B:D,'Leetcode分类顺序表'!A:A = B548))"),"")</f>
        <v/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 spans="1:31">
      <c r="A549" s="19"/>
      <c r="B549" s="20"/>
      <c r="C549" s="18" t="str">
        <f ca="1">IFERROR(__xludf.DUMMYFUNCTION("IF(ISBLANK(B549),,FILTER('Leetcode分类顺序表'!B:D,'Leetcode分类顺序表'!A:A = B549))"),"")</f>
        <v/>
      </c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 spans="1:31">
      <c r="A550" s="19"/>
      <c r="B550" s="20"/>
      <c r="C550" s="18" t="str">
        <f ca="1">IFERROR(__xludf.DUMMYFUNCTION("IF(ISBLANK(B550),,FILTER('Leetcode分类顺序表'!B:D,'Leetcode分类顺序表'!A:A = B550))"),"")</f>
        <v/>
      </c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 spans="1:31">
      <c r="A551" s="19"/>
      <c r="B551" s="20"/>
      <c r="C551" s="18" t="str">
        <f ca="1">IFERROR(__xludf.DUMMYFUNCTION("IF(ISBLANK(B551),,FILTER('Leetcode分类顺序表'!B:D,'Leetcode分类顺序表'!A:A = B551))"),"")</f>
        <v/>
      </c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 spans="1:31">
      <c r="A552" s="19"/>
      <c r="B552" s="20"/>
      <c r="C552" s="18" t="str">
        <f ca="1">IFERROR(__xludf.DUMMYFUNCTION("IF(ISBLANK(B552),,FILTER('Leetcode分类顺序表'!B:D,'Leetcode分类顺序表'!A:A = B552))"),"")</f>
        <v/>
      </c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 spans="1:31">
      <c r="A553" s="19"/>
      <c r="B553" s="20"/>
      <c r="C553" s="18" t="str">
        <f ca="1">IFERROR(__xludf.DUMMYFUNCTION("IF(ISBLANK(B553),,FILTER('Leetcode分类顺序表'!B:D,'Leetcode分类顺序表'!A:A = B553))"),"")</f>
        <v/>
      </c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 spans="1:31">
      <c r="A554" s="19"/>
      <c r="B554" s="20"/>
      <c r="C554" s="18" t="str">
        <f ca="1">IFERROR(__xludf.DUMMYFUNCTION("IF(ISBLANK(B554),,FILTER('Leetcode分类顺序表'!B:D,'Leetcode分类顺序表'!A:A = B554))"),"")</f>
        <v/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 spans="1:31">
      <c r="A555" s="19"/>
      <c r="B555" s="20"/>
      <c r="C555" s="18" t="str">
        <f ca="1">IFERROR(__xludf.DUMMYFUNCTION("IF(ISBLANK(B555),,FILTER('Leetcode分类顺序表'!B:D,'Leetcode分类顺序表'!A:A = B555))"),"")</f>
        <v/>
      </c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 spans="1:31">
      <c r="A556" s="19"/>
      <c r="B556" s="20"/>
      <c r="C556" s="18" t="str">
        <f ca="1">IFERROR(__xludf.DUMMYFUNCTION("IF(ISBLANK(B556),,FILTER('Leetcode分类顺序表'!B:D,'Leetcode分类顺序表'!A:A = B556))"),"")</f>
        <v/>
      </c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 spans="1:31">
      <c r="A557" s="19"/>
      <c r="B557" s="20"/>
      <c r="C557" s="18" t="str">
        <f ca="1">IFERROR(__xludf.DUMMYFUNCTION("IF(ISBLANK(B557),,FILTER('Leetcode分类顺序表'!B:D,'Leetcode分类顺序表'!A:A = B557))"),"")</f>
        <v/>
      </c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 spans="1:31">
      <c r="A558" s="19"/>
      <c r="B558" s="20"/>
      <c r="C558" s="18" t="str">
        <f ca="1">IFERROR(__xludf.DUMMYFUNCTION("IF(ISBLANK(B558),,FILTER('Leetcode分类顺序表'!B:D,'Leetcode分类顺序表'!A:A = B558))"),"")</f>
        <v/>
      </c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 spans="1:31">
      <c r="A559" s="19"/>
      <c r="B559" s="20"/>
      <c r="C559" s="18" t="str">
        <f ca="1">IFERROR(__xludf.DUMMYFUNCTION("IF(ISBLANK(B559),,FILTER('Leetcode分类顺序表'!B:D,'Leetcode分类顺序表'!A:A = B559))"),"")</f>
        <v/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 spans="1:31">
      <c r="A560" s="19"/>
      <c r="B560" s="20"/>
      <c r="C560" s="18" t="str">
        <f ca="1">IFERROR(__xludf.DUMMYFUNCTION("IF(ISBLANK(B560),,FILTER('Leetcode分类顺序表'!B:D,'Leetcode分类顺序表'!A:A = B560))"),"")</f>
        <v/>
      </c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 spans="1:31">
      <c r="A561" s="19"/>
      <c r="B561" s="20"/>
      <c r="C561" s="18" t="str">
        <f ca="1">IFERROR(__xludf.DUMMYFUNCTION("IF(ISBLANK(B561),,FILTER('Leetcode分类顺序表'!B:D,'Leetcode分类顺序表'!A:A = B561))"),"")</f>
        <v/>
      </c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 spans="1:31">
      <c r="A562" s="19"/>
      <c r="B562" s="20"/>
      <c r="C562" s="18" t="str">
        <f ca="1">IFERROR(__xludf.DUMMYFUNCTION("IF(ISBLANK(B562),,FILTER('Leetcode分类顺序表'!B:D,'Leetcode分类顺序表'!A:A = B562))"),"")</f>
        <v/>
      </c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 spans="1:31">
      <c r="A563" s="19"/>
      <c r="B563" s="20"/>
      <c r="C563" s="18" t="str">
        <f ca="1">IFERROR(__xludf.DUMMYFUNCTION("IF(ISBLANK(B563),,FILTER('Leetcode分类顺序表'!B:D,'Leetcode分类顺序表'!A:A = B563))"),"")</f>
        <v/>
      </c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 spans="1:31">
      <c r="A564" s="19"/>
      <c r="B564" s="20"/>
      <c r="C564" s="18" t="str">
        <f ca="1">IFERROR(__xludf.DUMMYFUNCTION("IF(ISBLANK(B564),,FILTER('Leetcode分类顺序表'!B:D,'Leetcode分类顺序表'!A:A = B564))"),"")</f>
        <v/>
      </c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 spans="1:31">
      <c r="A565" s="19"/>
      <c r="B565" s="20"/>
      <c r="C565" s="18" t="str">
        <f ca="1">IFERROR(__xludf.DUMMYFUNCTION("IF(ISBLANK(B565),,FILTER('Leetcode分类顺序表'!B:D,'Leetcode分类顺序表'!A:A = B565))"),"")</f>
        <v/>
      </c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 spans="1:31">
      <c r="A566" s="19"/>
      <c r="B566" s="20"/>
      <c r="C566" s="18" t="str">
        <f ca="1">IFERROR(__xludf.DUMMYFUNCTION("IF(ISBLANK(B566),,FILTER('Leetcode分类顺序表'!B:D,'Leetcode分类顺序表'!A:A = B566))"),"")</f>
        <v/>
      </c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 spans="1:31">
      <c r="A567" s="19"/>
      <c r="B567" s="20"/>
      <c r="C567" s="18" t="str">
        <f ca="1">IFERROR(__xludf.DUMMYFUNCTION("IF(ISBLANK(B567),,FILTER('Leetcode分类顺序表'!B:D,'Leetcode分类顺序表'!A:A = B567))"),"")</f>
        <v/>
      </c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 spans="1:31">
      <c r="A568" s="19"/>
      <c r="B568" s="20"/>
      <c r="C568" s="18" t="str">
        <f ca="1">IFERROR(__xludf.DUMMYFUNCTION("IF(ISBLANK(B568),,FILTER('Leetcode分类顺序表'!B:D,'Leetcode分类顺序表'!A:A = B568))"),"")</f>
        <v/>
      </c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 spans="1:31">
      <c r="A569" s="19"/>
      <c r="B569" s="20"/>
      <c r="C569" s="18" t="str">
        <f ca="1">IFERROR(__xludf.DUMMYFUNCTION("IF(ISBLANK(B569),,FILTER('Leetcode分类顺序表'!B:D,'Leetcode分类顺序表'!A:A = B569))"),"")</f>
        <v/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 spans="1:31">
      <c r="A570" s="19"/>
      <c r="B570" s="20"/>
      <c r="C570" s="18" t="str">
        <f ca="1">IFERROR(__xludf.DUMMYFUNCTION("IF(ISBLANK(B570),,FILTER('Leetcode分类顺序表'!B:D,'Leetcode分类顺序表'!A:A = B570))"),"")</f>
        <v/>
      </c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 spans="1:31">
      <c r="A571" s="19"/>
      <c r="B571" s="20"/>
      <c r="C571" s="18" t="str">
        <f ca="1">IFERROR(__xludf.DUMMYFUNCTION("IF(ISBLANK(B571),,FILTER('Leetcode分类顺序表'!B:D,'Leetcode分类顺序表'!A:A = B571))"),"")</f>
        <v/>
      </c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 spans="1:31">
      <c r="A572" s="19"/>
      <c r="B572" s="20"/>
      <c r="C572" s="18" t="str">
        <f ca="1">IFERROR(__xludf.DUMMYFUNCTION("IF(ISBLANK(B572),,FILTER('Leetcode分类顺序表'!B:D,'Leetcode分类顺序表'!A:A = B572))"),"")</f>
        <v/>
      </c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 spans="1:31">
      <c r="A573" s="19"/>
      <c r="B573" s="20"/>
      <c r="C573" s="18" t="str">
        <f ca="1">IFERROR(__xludf.DUMMYFUNCTION("IF(ISBLANK(B573),,FILTER('Leetcode分类顺序表'!B:D,'Leetcode分类顺序表'!A:A = B573))"),"")</f>
        <v/>
      </c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 spans="1:31">
      <c r="A574" s="19"/>
      <c r="B574" s="20"/>
      <c r="C574" s="18" t="str">
        <f ca="1">IFERROR(__xludf.DUMMYFUNCTION("IF(ISBLANK(B574),,FILTER('Leetcode分类顺序表'!B:D,'Leetcode分类顺序表'!A:A = B574))"),"")</f>
        <v/>
      </c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 spans="1:31">
      <c r="A575" s="19"/>
      <c r="B575" s="20"/>
      <c r="C575" s="18" t="str">
        <f ca="1">IFERROR(__xludf.DUMMYFUNCTION("IF(ISBLANK(B575),,FILTER('Leetcode分类顺序表'!B:D,'Leetcode分类顺序表'!A:A = B575))"),"")</f>
        <v/>
      </c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 spans="1:31">
      <c r="A576" s="19"/>
      <c r="B576" s="20"/>
      <c r="C576" s="18" t="str">
        <f ca="1">IFERROR(__xludf.DUMMYFUNCTION("IF(ISBLANK(B576),,FILTER('Leetcode分类顺序表'!B:D,'Leetcode分类顺序表'!A:A = B576))"),"")</f>
        <v/>
      </c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 spans="1:31">
      <c r="A577" s="19"/>
      <c r="B577" s="20"/>
      <c r="C577" s="18" t="str">
        <f ca="1">IFERROR(__xludf.DUMMYFUNCTION("IF(ISBLANK(B577),,FILTER('Leetcode分类顺序表'!B:D,'Leetcode分类顺序表'!A:A = B577))"),"")</f>
        <v/>
      </c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 spans="1:31">
      <c r="A578" s="19"/>
      <c r="B578" s="20"/>
      <c r="C578" s="18" t="str">
        <f ca="1">IFERROR(__xludf.DUMMYFUNCTION("IF(ISBLANK(B578),,FILTER('Leetcode分类顺序表'!B:D,'Leetcode分类顺序表'!A:A = B578))"),"")</f>
        <v/>
      </c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 spans="1:31">
      <c r="A579" s="19"/>
      <c r="B579" s="20"/>
      <c r="C579" s="18" t="str">
        <f ca="1">IFERROR(__xludf.DUMMYFUNCTION("IF(ISBLANK(B579),,FILTER('Leetcode分类顺序表'!B:D,'Leetcode分类顺序表'!A:A = B579))"),"")</f>
        <v/>
      </c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 spans="1:31">
      <c r="A580" s="19"/>
      <c r="B580" s="20"/>
      <c r="C580" s="18" t="str">
        <f ca="1">IFERROR(__xludf.DUMMYFUNCTION("IF(ISBLANK(B580),,FILTER('Leetcode分类顺序表'!B:D,'Leetcode分类顺序表'!A:A = B580))"),"")</f>
        <v/>
      </c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 spans="1:31">
      <c r="A581" s="19"/>
      <c r="B581" s="20"/>
      <c r="C581" s="18" t="str">
        <f ca="1">IFERROR(__xludf.DUMMYFUNCTION("IF(ISBLANK(B581),,FILTER('Leetcode分类顺序表'!B:D,'Leetcode分类顺序表'!A:A = B581))"),"")</f>
        <v/>
      </c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 spans="1:31">
      <c r="A582" s="19"/>
      <c r="B582" s="20"/>
      <c r="C582" s="18" t="str">
        <f ca="1">IFERROR(__xludf.DUMMYFUNCTION("IF(ISBLANK(B582),,FILTER('Leetcode分类顺序表'!B:D,'Leetcode分类顺序表'!A:A = B582))"),"")</f>
        <v/>
      </c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 spans="1:31">
      <c r="A583" s="19"/>
      <c r="B583" s="20"/>
      <c r="C583" s="18" t="str">
        <f ca="1">IFERROR(__xludf.DUMMYFUNCTION("IF(ISBLANK(B583),,FILTER('Leetcode分类顺序表'!B:D,'Leetcode分类顺序表'!A:A = B583))"),"")</f>
        <v/>
      </c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 spans="1:31">
      <c r="A584" s="19"/>
      <c r="B584" s="20"/>
      <c r="C584" s="18" t="str">
        <f ca="1">IFERROR(__xludf.DUMMYFUNCTION("IF(ISBLANK(B584),,FILTER('Leetcode分类顺序表'!B:D,'Leetcode分类顺序表'!A:A = B584))"),"")</f>
        <v/>
      </c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 spans="1:31">
      <c r="A585" s="19"/>
      <c r="B585" s="20"/>
      <c r="C585" s="18" t="str">
        <f ca="1">IFERROR(__xludf.DUMMYFUNCTION("IF(ISBLANK(B585),,FILTER('Leetcode分类顺序表'!B:D,'Leetcode分类顺序表'!A:A = B585))"),"")</f>
        <v/>
      </c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 spans="1:31">
      <c r="A586" s="19"/>
      <c r="B586" s="20"/>
      <c r="C586" s="18" t="str">
        <f ca="1">IFERROR(__xludf.DUMMYFUNCTION("IF(ISBLANK(B586),,FILTER('Leetcode分类顺序表'!B:D,'Leetcode分类顺序表'!A:A = B586))"),"")</f>
        <v/>
      </c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 spans="1:31">
      <c r="A587" s="19"/>
      <c r="B587" s="20"/>
      <c r="C587" s="18" t="str">
        <f ca="1">IFERROR(__xludf.DUMMYFUNCTION("IF(ISBLANK(B587),,FILTER('Leetcode分类顺序表'!B:D,'Leetcode分类顺序表'!A:A = B587))"),"")</f>
        <v/>
      </c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 spans="1:31">
      <c r="A588" s="19"/>
      <c r="B588" s="20"/>
      <c r="C588" s="18" t="str">
        <f ca="1">IFERROR(__xludf.DUMMYFUNCTION("IF(ISBLANK(B588),,FILTER('Leetcode分类顺序表'!B:D,'Leetcode分类顺序表'!A:A = B588))"),"")</f>
        <v/>
      </c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 spans="1:31">
      <c r="A589" s="19"/>
      <c r="B589" s="20"/>
      <c r="C589" s="18" t="str">
        <f ca="1">IFERROR(__xludf.DUMMYFUNCTION("IF(ISBLANK(B589),,FILTER('Leetcode分类顺序表'!B:D,'Leetcode分类顺序表'!A:A = B589))"),"")</f>
        <v/>
      </c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 spans="1:31">
      <c r="A590" s="19"/>
      <c r="B590" s="20"/>
      <c r="C590" s="18" t="str">
        <f ca="1">IFERROR(__xludf.DUMMYFUNCTION("IF(ISBLANK(B590),,FILTER('Leetcode分类顺序表'!B:D,'Leetcode分类顺序表'!A:A = B590))"),"")</f>
        <v/>
      </c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 spans="1:31">
      <c r="A591" s="19"/>
      <c r="B591" s="20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 spans="1:31">
      <c r="A592" s="19"/>
      <c r="B592" s="20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 spans="1:31">
      <c r="A593" s="19"/>
      <c r="B593" s="20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 spans="1:31">
      <c r="A594" s="19"/>
      <c r="B594" s="20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 spans="1:31">
      <c r="A595" s="19"/>
      <c r="B595" s="20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 spans="1:31">
      <c r="A596" s="19"/>
      <c r="B596" s="20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 spans="1:31">
      <c r="A597" s="19"/>
      <c r="B597" s="20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 spans="1:31">
      <c r="A598" s="19"/>
      <c r="B598" s="20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 spans="1:31">
      <c r="A599" s="19"/>
      <c r="B599" s="20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 spans="1:31">
      <c r="A600" s="19"/>
      <c r="B600" s="20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 spans="1:31">
      <c r="A601" s="19"/>
      <c r="B601" s="20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 spans="1:31">
      <c r="A602" s="19"/>
      <c r="B602" s="20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 spans="1:31">
      <c r="A603" s="19"/>
      <c r="B603" s="20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 spans="1:31">
      <c r="A604" s="19"/>
      <c r="B604" s="20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 spans="1:31">
      <c r="A605" s="19"/>
      <c r="B605" s="20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 spans="1:31">
      <c r="A606" s="19"/>
      <c r="B606" s="20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 spans="1:31">
      <c r="A607" s="19"/>
      <c r="B607" s="20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 spans="1:31">
      <c r="A608" s="19"/>
      <c r="B608" s="20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 spans="1:31">
      <c r="A609" s="19"/>
      <c r="B609" s="20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 spans="1:31">
      <c r="A610" s="19"/>
      <c r="B610" s="20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 spans="1:31">
      <c r="A611" s="19"/>
      <c r="B611" s="20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 spans="1:31">
      <c r="A612" s="19"/>
      <c r="B612" s="20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 spans="1:31">
      <c r="A613" s="19"/>
      <c r="B613" s="20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 spans="1:31">
      <c r="A614" s="19"/>
      <c r="B614" s="20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 spans="1:31">
      <c r="A615" s="19"/>
      <c r="B615" s="20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 spans="1:31">
      <c r="A616" s="19"/>
      <c r="B616" s="20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 spans="1:31">
      <c r="A617" s="19"/>
      <c r="B617" s="20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 spans="1:31">
      <c r="A618" s="19"/>
      <c r="B618" s="20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 spans="1:31">
      <c r="A619" s="19"/>
      <c r="B619" s="20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 spans="1:31">
      <c r="A620" s="19"/>
      <c r="B620" s="20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 spans="1:31">
      <c r="A621" s="19"/>
      <c r="B621" s="20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 spans="1:31">
      <c r="A622" s="19"/>
      <c r="B622" s="20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 spans="1:31">
      <c r="A623" s="19"/>
      <c r="B623" s="20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 spans="1:31">
      <c r="A624" s="19"/>
      <c r="B624" s="20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 spans="1:31">
      <c r="A625" s="19"/>
      <c r="B625" s="20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 spans="1:31">
      <c r="A626" s="19"/>
      <c r="B626" s="20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 spans="1:31">
      <c r="A627" s="19"/>
      <c r="B627" s="20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 spans="1:31">
      <c r="A628" s="19"/>
      <c r="B628" s="20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 spans="1:31">
      <c r="A629" s="19"/>
      <c r="B629" s="20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 spans="1:31">
      <c r="A630" s="19"/>
      <c r="B630" s="20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 spans="1:31">
      <c r="A631" s="19"/>
      <c r="B631" s="20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 spans="1:31">
      <c r="A632" s="19"/>
      <c r="B632" s="20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 spans="1:31">
      <c r="A633" s="19"/>
      <c r="B633" s="20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 spans="1:31">
      <c r="A634" s="19"/>
      <c r="B634" s="20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 spans="1:31">
      <c r="A635" s="19"/>
      <c r="B635" s="20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 spans="1:31">
      <c r="A636" s="19"/>
      <c r="B636" s="20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 spans="1:31">
      <c r="A637" s="19"/>
      <c r="B637" s="20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 spans="1:31">
      <c r="A638" s="19"/>
      <c r="B638" s="20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 spans="1:31">
      <c r="A639" s="19"/>
      <c r="B639" s="20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 spans="1:31">
      <c r="A640" s="19"/>
      <c r="B640" s="20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 spans="1:31">
      <c r="A641" s="19"/>
      <c r="B641" s="20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 spans="1:31">
      <c r="A642" s="19"/>
      <c r="B642" s="20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 spans="1:31">
      <c r="A643" s="19"/>
      <c r="B643" s="20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 spans="1:31">
      <c r="A644" s="19"/>
      <c r="B644" s="20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 spans="1:31">
      <c r="A645" s="19"/>
      <c r="B645" s="20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 spans="1:31">
      <c r="A646" s="19"/>
      <c r="B646" s="20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 spans="1:31">
      <c r="A647" s="19"/>
      <c r="B647" s="20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 spans="1:31">
      <c r="A648" s="19"/>
      <c r="B648" s="20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 spans="1:31">
      <c r="A649" s="19"/>
      <c r="B649" s="20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 spans="1:31">
      <c r="A650" s="19"/>
      <c r="B650" s="20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 spans="1:31">
      <c r="A651" s="19"/>
      <c r="B651" s="20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 spans="1:31">
      <c r="A652" s="19"/>
      <c r="B652" s="20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 spans="1:31">
      <c r="A653" s="19"/>
      <c r="B653" s="20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 spans="1:31">
      <c r="A654" s="19"/>
      <c r="B654" s="20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 spans="1:31">
      <c r="A655" s="19"/>
      <c r="B655" s="20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 spans="1:31">
      <c r="A656" s="19"/>
      <c r="B656" s="20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 spans="1:31">
      <c r="A657" s="19"/>
      <c r="B657" s="20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 spans="1:31">
      <c r="A658" s="19"/>
      <c r="B658" s="20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 spans="1:31">
      <c r="A659" s="19"/>
      <c r="B659" s="20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 spans="1:31">
      <c r="A660" s="19"/>
      <c r="B660" s="20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 spans="1:31">
      <c r="A661" s="19"/>
      <c r="B661" s="20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 spans="1:31">
      <c r="A662" s="19"/>
      <c r="B662" s="20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 spans="1:31">
      <c r="A663" s="19"/>
      <c r="B663" s="20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 spans="1:31">
      <c r="A664" s="19"/>
      <c r="B664" s="20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 spans="1:31">
      <c r="A665" s="19"/>
      <c r="B665" s="20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 spans="1:31">
      <c r="A666" s="19"/>
      <c r="B666" s="20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 spans="1:31">
      <c r="A667" s="19"/>
      <c r="B667" s="20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 spans="1:31">
      <c r="A668" s="19"/>
      <c r="B668" s="20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 spans="1:31">
      <c r="A669" s="19"/>
      <c r="B669" s="20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 spans="1:31">
      <c r="A670" s="19"/>
      <c r="B670" s="20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 spans="1:31">
      <c r="A671" s="19"/>
      <c r="B671" s="20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 spans="1:31">
      <c r="A672" s="19"/>
      <c r="B672" s="20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 spans="1:31">
      <c r="A673" s="19"/>
      <c r="B673" s="20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 spans="1:31">
      <c r="A674" s="19"/>
      <c r="B674" s="20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 spans="1:31">
      <c r="A675" s="19"/>
      <c r="B675" s="20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 spans="1:31">
      <c r="A676" s="19"/>
      <c r="B676" s="20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 spans="1:31">
      <c r="A677" s="19"/>
      <c r="B677" s="20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 spans="1:31">
      <c r="A678" s="19"/>
      <c r="B678" s="20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 spans="1:31">
      <c r="A679" s="19"/>
      <c r="B679" s="20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 spans="1:31">
      <c r="A680" s="19"/>
      <c r="B680" s="20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 spans="1:31">
      <c r="A681" s="19"/>
      <c r="B681" s="20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 spans="1:31">
      <c r="A682" s="19"/>
      <c r="B682" s="20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 spans="1:31">
      <c r="A683" s="19"/>
      <c r="B683" s="20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 spans="1:31">
      <c r="A684" s="19"/>
      <c r="B684" s="20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 spans="1:31">
      <c r="A685" s="19"/>
      <c r="B685" s="20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 spans="1:31">
      <c r="A686" s="19"/>
      <c r="B686" s="20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 spans="1:31">
      <c r="A687" s="19"/>
      <c r="B687" s="20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 spans="1:31">
      <c r="A688" s="19"/>
      <c r="B688" s="20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 spans="1:31">
      <c r="A689" s="19"/>
      <c r="B689" s="20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 spans="1:31">
      <c r="A690" s="19"/>
      <c r="B690" s="20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 spans="1:31">
      <c r="A691" s="19"/>
      <c r="B691" s="20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 spans="1:31">
      <c r="A692" s="19"/>
      <c r="B692" s="20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 spans="1:31">
      <c r="A693" s="19"/>
      <c r="B693" s="20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 spans="1:31">
      <c r="A694" s="19"/>
      <c r="B694" s="20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 spans="1:31">
      <c r="A695" s="19"/>
      <c r="B695" s="20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 spans="1:31">
      <c r="A696" s="19"/>
      <c r="B696" s="20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 spans="1:31">
      <c r="A697" s="19"/>
      <c r="B697" s="20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 spans="1:31">
      <c r="A698" s="19"/>
      <c r="B698" s="20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 spans="1:31">
      <c r="A699" s="19"/>
      <c r="B699" s="20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 spans="1:31">
      <c r="A700" s="19"/>
      <c r="B700" s="20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 spans="1:31">
      <c r="A701" s="19"/>
      <c r="B701" s="20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 spans="1:31">
      <c r="A702" s="19"/>
      <c r="B702" s="20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 spans="1:31">
      <c r="A703" s="19"/>
      <c r="B703" s="20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 spans="1:31">
      <c r="A704" s="19"/>
      <c r="B704" s="20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 spans="1:31">
      <c r="A705" s="19"/>
      <c r="B705" s="20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 spans="1:31">
      <c r="A706" s="19"/>
      <c r="B706" s="20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 spans="1:31">
      <c r="A707" s="19"/>
      <c r="B707" s="20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 spans="1:31">
      <c r="A708" s="19"/>
      <c r="B708" s="20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 spans="1:31">
      <c r="A709" s="19"/>
      <c r="B709" s="20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 spans="1:31">
      <c r="A710" s="19"/>
      <c r="B710" s="20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 spans="1:31">
      <c r="A711" s="19"/>
      <c r="B711" s="20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 spans="1:31">
      <c r="A712" s="19"/>
      <c r="B712" s="20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 spans="1:31">
      <c r="A713" s="19"/>
      <c r="B713" s="20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 spans="1:31">
      <c r="A714" s="19"/>
      <c r="B714" s="20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 spans="1:31">
      <c r="A715" s="19"/>
      <c r="B715" s="20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 spans="1:31">
      <c r="A716" s="19"/>
      <c r="B716" s="20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 spans="1:31">
      <c r="A717" s="19"/>
      <c r="B717" s="20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 spans="1:31">
      <c r="A718" s="19"/>
      <c r="B718" s="20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 spans="1:31">
      <c r="A719" s="19"/>
      <c r="B719" s="20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 spans="1:31">
      <c r="A720" s="19"/>
      <c r="B720" s="20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 spans="1:31">
      <c r="A721" s="19"/>
      <c r="B721" s="20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 spans="1:31">
      <c r="A722" s="19"/>
      <c r="B722" s="20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 spans="1:31">
      <c r="A723" s="19"/>
      <c r="B723" s="20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 spans="1:31">
      <c r="A724" s="19"/>
      <c r="B724" s="20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 spans="1:31">
      <c r="A725" s="19"/>
      <c r="B725" s="20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 spans="1:31">
      <c r="A726" s="19"/>
      <c r="B726" s="20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 spans="1:31">
      <c r="A727" s="19"/>
      <c r="B727" s="20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 spans="1:31">
      <c r="A728" s="19"/>
      <c r="B728" s="20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 spans="1:31">
      <c r="A729" s="19"/>
      <c r="B729" s="20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 spans="1:31">
      <c r="A730" s="19"/>
      <c r="B730" s="20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 spans="1:31">
      <c r="A731" s="19"/>
      <c r="B731" s="20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 spans="1:31">
      <c r="A732" s="19"/>
      <c r="B732" s="20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 spans="1:31">
      <c r="A733" s="19"/>
      <c r="B733" s="20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 spans="1:31">
      <c r="A734" s="19"/>
      <c r="B734" s="20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 spans="1:31">
      <c r="A735" s="19"/>
      <c r="B735" s="20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 spans="1:31">
      <c r="A736" s="19"/>
      <c r="B736" s="20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 spans="1:31">
      <c r="A737" s="19"/>
      <c r="B737" s="20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 spans="1:31">
      <c r="A738" s="19"/>
      <c r="B738" s="20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 spans="1:31">
      <c r="A739" s="19"/>
      <c r="B739" s="20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 spans="1:31">
      <c r="A740" s="19"/>
      <c r="B740" s="20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 spans="1:31">
      <c r="A741" s="19"/>
      <c r="B741" s="20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 spans="1:31">
      <c r="A742" s="19"/>
      <c r="B742" s="20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 spans="1:31">
      <c r="A743" s="19"/>
      <c r="B743" s="20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 spans="1:31">
      <c r="A744" s="19"/>
      <c r="B744" s="20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 spans="1:31">
      <c r="A745" s="19"/>
      <c r="B745" s="20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 spans="1:31">
      <c r="A746" s="19"/>
      <c r="B746" s="20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 spans="1:31">
      <c r="A747" s="19"/>
      <c r="B747" s="20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 spans="1:31">
      <c r="A748" s="19"/>
      <c r="B748" s="20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 spans="1:31">
      <c r="A749" s="19"/>
      <c r="B749" s="20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 spans="1:31">
      <c r="A750" s="19"/>
      <c r="B750" s="20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 spans="1:31">
      <c r="A751" s="19"/>
      <c r="B751" s="20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 spans="1:31">
      <c r="A752" s="19"/>
      <c r="B752" s="20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 spans="1:31">
      <c r="A753" s="19"/>
      <c r="B753" s="20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 spans="1:31">
      <c r="A754" s="19"/>
      <c r="B754" s="20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 spans="1:31">
      <c r="A755" s="19"/>
      <c r="B755" s="20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 spans="1:31">
      <c r="A756" s="19"/>
      <c r="B756" s="20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 spans="1:31">
      <c r="A757" s="19"/>
      <c r="B757" s="20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 spans="1:31">
      <c r="A758" s="19"/>
      <c r="B758" s="20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 spans="1:31">
      <c r="A759" s="19"/>
      <c r="B759" s="20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 spans="1:31">
      <c r="A760" s="19"/>
      <c r="B760" s="20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 spans="1:31">
      <c r="A761" s="19"/>
      <c r="B761" s="20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 spans="1:31">
      <c r="A762" s="19"/>
      <c r="B762" s="20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 spans="1:31">
      <c r="A763" s="19"/>
      <c r="B763" s="20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 spans="1:31">
      <c r="A764" s="19"/>
      <c r="B764" s="20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 spans="1:31">
      <c r="A765" s="19"/>
      <c r="B765" s="20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 spans="1:31">
      <c r="A766" s="19"/>
      <c r="B766" s="20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 spans="1:31">
      <c r="A767" s="19"/>
      <c r="B767" s="20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 spans="1:31">
      <c r="A768" s="19"/>
      <c r="B768" s="20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 spans="1:31">
      <c r="A769" s="19"/>
      <c r="B769" s="20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 spans="1:31">
      <c r="A770" s="19"/>
      <c r="B770" s="20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 spans="1:31">
      <c r="A771" s="19"/>
      <c r="B771" s="20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 spans="1:31">
      <c r="A772" s="19"/>
      <c r="B772" s="20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 spans="1:31">
      <c r="A773" s="19"/>
      <c r="B773" s="20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 spans="1:31">
      <c r="A774" s="19"/>
      <c r="B774" s="20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 spans="1:31">
      <c r="A775" s="19"/>
      <c r="B775" s="20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 spans="1:31">
      <c r="A776" s="19"/>
      <c r="B776" s="20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 spans="1:31">
      <c r="A777" s="19"/>
      <c r="B777" s="20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 spans="1:31">
      <c r="A778" s="19"/>
      <c r="B778" s="20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 spans="1:31">
      <c r="A779" s="19"/>
      <c r="B779" s="20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 spans="1:31">
      <c r="A780" s="19"/>
      <c r="B780" s="20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 spans="1:31">
      <c r="A781" s="19"/>
      <c r="B781" s="20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 spans="1:31">
      <c r="A782" s="19"/>
      <c r="B782" s="20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 spans="1:31">
      <c r="A783" s="19"/>
      <c r="B783" s="20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 spans="1:31">
      <c r="A784" s="19"/>
      <c r="B784" s="20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 spans="1:31">
      <c r="A785" s="19"/>
      <c r="B785" s="20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 spans="1:31">
      <c r="A786" s="19"/>
      <c r="B786" s="20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 spans="1:31">
      <c r="A787" s="19"/>
      <c r="B787" s="20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 spans="1:31">
      <c r="A788" s="19"/>
      <c r="B788" s="20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 spans="1:31">
      <c r="A789" s="19"/>
      <c r="B789" s="20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 spans="1:31">
      <c r="A790" s="19"/>
      <c r="B790" s="20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 spans="1:31">
      <c r="A791" s="19"/>
      <c r="B791" s="20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 spans="1:31">
      <c r="A792" s="19"/>
      <c r="B792" s="20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 spans="1:31">
      <c r="A793" s="19"/>
      <c r="B793" s="20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 spans="1:31">
      <c r="A794" s="19"/>
      <c r="B794" s="20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 spans="1:31">
      <c r="A795" s="19"/>
      <c r="B795" s="20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 spans="1:31">
      <c r="A796" s="19"/>
      <c r="B796" s="20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 spans="1:31">
      <c r="A797" s="19"/>
      <c r="B797" s="20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 spans="1:31">
      <c r="A798" s="19"/>
      <c r="B798" s="20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 spans="1:31">
      <c r="A799" s="19"/>
      <c r="B799" s="20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 spans="1:31">
      <c r="A800" s="19"/>
      <c r="B800" s="20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 spans="1:31">
      <c r="A801" s="19"/>
      <c r="B801" s="20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 spans="1:31">
      <c r="A802" s="19"/>
      <c r="B802" s="20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 spans="1:31">
      <c r="A803" s="19"/>
      <c r="B803" s="20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 spans="1:31">
      <c r="A804" s="19"/>
      <c r="B804" s="20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 spans="1:31">
      <c r="A805" s="19"/>
      <c r="B805" s="20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 spans="1:31">
      <c r="A806" s="19"/>
      <c r="B806" s="20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 spans="1:31">
      <c r="A807" s="19"/>
      <c r="B807" s="20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 spans="1:31">
      <c r="A808" s="19"/>
      <c r="B808" s="20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 spans="1:31">
      <c r="A809" s="19"/>
      <c r="B809" s="20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 spans="1:31">
      <c r="A810" s="19"/>
      <c r="B810" s="20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 spans="1:31">
      <c r="A811" s="19"/>
      <c r="B811" s="20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 spans="1:31">
      <c r="A812" s="19"/>
      <c r="B812" s="20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 spans="1:31">
      <c r="A813" s="19"/>
      <c r="B813" s="20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 spans="1:31">
      <c r="A814" s="19"/>
      <c r="B814" s="20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 spans="1:31">
      <c r="A815" s="19"/>
      <c r="B815" s="20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 spans="1:31">
      <c r="A816" s="19"/>
      <c r="B816" s="20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 spans="1:31">
      <c r="A817" s="19"/>
      <c r="B817" s="20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 spans="1:31">
      <c r="A818" s="19"/>
      <c r="B818" s="20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 spans="1:31">
      <c r="A819" s="19"/>
      <c r="B819" s="20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 spans="1:31">
      <c r="A820" s="19"/>
      <c r="B820" s="20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 spans="1:31">
      <c r="A821" s="19"/>
      <c r="B821" s="20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 spans="1:31">
      <c r="A822" s="19"/>
      <c r="B822" s="20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 spans="1:31">
      <c r="A823" s="19"/>
      <c r="B823" s="20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 spans="1:31">
      <c r="A824" s="19"/>
      <c r="B824" s="20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 spans="1:31">
      <c r="A825" s="19"/>
      <c r="B825" s="20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 spans="1:31">
      <c r="A826" s="19"/>
      <c r="B826" s="20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 spans="1:31">
      <c r="A827" s="19"/>
      <c r="B827" s="20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 spans="1:31">
      <c r="A828" s="19"/>
      <c r="B828" s="20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 spans="1:31">
      <c r="A829" s="19"/>
      <c r="B829" s="20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 spans="1:31">
      <c r="A830" s="19"/>
      <c r="B830" s="20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 spans="1:31">
      <c r="A831" s="19"/>
      <c r="B831" s="20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 spans="1:31">
      <c r="A832" s="19"/>
      <c r="B832" s="20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 spans="1:31">
      <c r="A833" s="19"/>
      <c r="B833" s="20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 spans="1:31">
      <c r="A834" s="19"/>
      <c r="B834" s="20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 spans="1:31">
      <c r="A835" s="19"/>
      <c r="B835" s="20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 spans="1:31">
      <c r="A836" s="19"/>
      <c r="B836" s="20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 spans="1:31">
      <c r="A837" s="19"/>
      <c r="B837" s="20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 spans="1:31">
      <c r="A838" s="19"/>
      <c r="B838" s="20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 spans="1:31">
      <c r="A839" s="19"/>
      <c r="B839" s="20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 spans="1:31">
      <c r="A840" s="19"/>
      <c r="B840" s="20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 spans="1:31">
      <c r="A841" s="19"/>
      <c r="B841" s="20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 spans="1:31">
      <c r="A842" s="19"/>
      <c r="B842" s="20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 spans="1:31">
      <c r="A843" s="19"/>
      <c r="B843" s="20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 spans="1:31">
      <c r="A844" s="19"/>
      <c r="B844" s="20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 spans="1:31">
      <c r="A845" s="19"/>
      <c r="B845" s="20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 spans="1:31">
      <c r="A846" s="19"/>
      <c r="B846" s="20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 spans="1:31">
      <c r="A847" s="19"/>
      <c r="B847" s="20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 spans="1:31">
      <c r="A848" s="19"/>
      <c r="B848" s="20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 spans="1:31">
      <c r="A849" s="19"/>
      <c r="B849" s="20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 spans="1:31">
      <c r="A850" s="19"/>
      <c r="B850" s="20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 spans="1:31">
      <c r="A851" s="19"/>
      <c r="B851" s="20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 spans="1:31">
      <c r="A852" s="19"/>
      <c r="B852" s="20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 spans="1:31">
      <c r="A853" s="19"/>
      <c r="B853" s="20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 spans="1:31">
      <c r="A854" s="19"/>
      <c r="B854" s="20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 spans="1:31">
      <c r="A855" s="19"/>
      <c r="B855" s="20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 spans="1:31">
      <c r="A856" s="19"/>
      <c r="B856" s="20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 spans="1:31">
      <c r="A857" s="19"/>
      <c r="B857" s="20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 spans="1:31">
      <c r="A858" s="19"/>
      <c r="B858" s="20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 spans="1:31">
      <c r="A859" s="19"/>
      <c r="B859" s="20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 spans="1:31">
      <c r="A860" s="19"/>
      <c r="B860" s="20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 spans="1:31">
      <c r="A861" s="19"/>
      <c r="B861" s="20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 spans="1:31">
      <c r="A862" s="19"/>
      <c r="B862" s="20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 spans="1:31">
      <c r="A863" s="19"/>
      <c r="B863" s="20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 spans="1:31">
      <c r="A864" s="19"/>
      <c r="B864" s="20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 spans="1:31">
      <c r="A865" s="19"/>
      <c r="B865" s="20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 spans="1:31">
      <c r="A866" s="19"/>
      <c r="B866" s="20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 spans="1:31">
      <c r="A867" s="19"/>
      <c r="B867" s="20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 spans="1:31">
      <c r="A868" s="19"/>
      <c r="B868" s="20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 spans="1:31">
      <c r="A869" s="19"/>
      <c r="B869" s="20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 spans="1:31">
      <c r="A870" s="19"/>
      <c r="B870" s="20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 spans="1:31">
      <c r="A871" s="19"/>
      <c r="B871" s="20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 spans="1:31">
      <c r="A872" s="19"/>
      <c r="B872" s="20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 spans="1:31">
      <c r="A873" s="19"/>
      <c r="B873" s="20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 spans="1:31">
      <c r="A874" s="19"/>
      <c r="B874" s="20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 spans="1:31">
      <c r="A875" s="19"/>
      <c r="B875" s="20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 spans="1:31">
      <c r="A876" s="19"/>
      <c r="B876" s="20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 spans="1:31">
      <c r="A877" s="19"/>
      <c r="B877" s="20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 spans="1:31">
      <c r="A878" s="19"/>
      <c r="B878" s="20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 spans="1:31">
      <c r="A879" s="19"/>
      <c r="B879" s="20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 spans="1:31">
      <c r="A880" s="19"/>
      <c r="B880" s="20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 spans="1:31">
      <c r="A881" s="19"/>
      <c r="B881" s="20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 spans="1:31">
      <c r="A882" s="19"/>
      <c r="B882" s="20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 spans="1:31">
      <c r="A883" s="19"/>
      <c r="B883" s="20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 spans="1:31">
      <c r="A884" s="19"/>
      <c r="B884" s="20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 spans="1:31">
      <c r="A885" s="19"/>
      <c r="B885" s="20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 spans="1:31">
      <c r="A886" s="19"/>
      <c r="B886" s="20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 spans="1:31">
      <c r="A887" s="19"/>
      <c r="B887" s="20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 spans="1:31">
      <c r="A888" s="19"/>
      <c r="B888" s="20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 spans="1:31">
      <c r="A889" s="19"/>
      <c r="B889" s="20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 spans="1:31">
      <c r="A890" s="19"/>
      <c r="B890" s="20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 spans="1:31">
      <c r="A891" s="19"/>
      <c r="B891" s="20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 spans="1:31">
      <c r="A892" s="19"/>
      <c r="B892" s="20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 spans="1:31">
      <c r="A893" s="19"/>
      <c r="B893" s="20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 spans="1:31">
      <c r="A894" s="19"/>
      <c r="B894" s="20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 spans="1:31">
      <c r="A895" s="19"/>
      <c r="B895" s="20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 spans="1:31">
      <c r="A896" s="19"/>
      <c r="B896" s="20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 spans="1:31">
      <c r="A897" s="19"/>
      <c r="B897" s="20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 spans="1:31">
      <c r="A898" s="19"/>
      <c r="B898" s="20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 spans="1:31">
      <c r="A899" s="19"/>
      <c r="B899" s="20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 spans="1:31">
      <c r="A900" s="19"/>
      <c r="B900" s="20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 spans="1:31">
      <c r="A901" s="19"/>
      <c r="B901" s="20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 spans="1:31">
      <c r="A902" s="19"/>
      <c r="B902" s="20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 spans="1:31">
      <c r="A903" s="19"/>
      <c r="B903" s="20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 spans="1:31">
      <c r="A904" s="19"/>
      <c r="B904" s="20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 spans="1:31">
      <c r="A905" s="19"/>
      <c r="B905" s="20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 spans="1:31">
      <c r="A906" s="19"/>
      <c r="B906" s="20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 spans="1:31">
      <c r="A907" s="19"/>
      <c r="B907" s="20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 spans="1:31">
      <c r="A908" s="19"/>
      <c r="B908" s="20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 spans="1:31">
      <c r="A909" s="19"/>
      <c r="B909" s="20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 spans="1:31">
      <c r="A910" s="19"/>
      <c r="B910" s="20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 spans="1:31">
      <c r="A911" s="19"/>
      <c r="B911" s="20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 spans="1:31">
      <c r="A912" s="19"/>
      <c r="B912" s="20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 spans="1:31">
      <c r="A913" s="19"/>
      <c r="B913" s="20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 spans="1:31">
      <c r="A914" s="19"/>
      <c r="B914" s="20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 spans="1:31">
      <c r="A915" s="19"/>
      <c r="B915" s="20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 spans="1:31">
      <c r="A916" s="19"/>
      <c r="B916" s="20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 spans="1:31">
      <c r="A917" s="19"/>
      <c r="B917" s="20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 spans="1:31">
      <c r="A918" s="19"/>
      <c r="B918" s="20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 spans="1:31">
      <c r="A919" s="19"/>
      <c r="B919" s="20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 spans="1:31">
      <c r="A920" s="19"/>
      <c r="B920" s="20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 spans="1:31">
      <c r="A921" s="19"/>
      <c r="B921" s="20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 spans="1:31">
      <c r="A922" s="19"/>
      <c r="B922" s="20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 spans="1:31">
      <c r="A923" s="19"/>
      <c r="B923" s="20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 spans="1:31">
      <c r="A924" s="19"/>
      <c r="B924" s="20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 spans="1:31">
      <c r="A925" s="19"/>
      <c r="B925" s="20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 spans="1:31">
      <c r="A926" s="19"/>
      <c r="B926" s="20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 spans="1:31">
      <c r="A927" s="19"/>
      <c r="B927" s="20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 spans="1:31">
      <c r="A928" s="19"/>
      <c r="B928" s="20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 spans="1:31">
      <c r="A929" s="19"/>
      <c r="B929" s="20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 spans="1:31">
      <c r="A930" s="19"/>
      <c r="B930" s="20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 spans="1:31">
      <c r="A931" s="19"/>
      <c r="B931" s="20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 spans="1:31">
      <c r="A932" s="19"/>
      <c r="B932" s="20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 spans="1:31">
      <c r="A933" s="19"/>
      <c r="B933" s="20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 spans="1:31">
      <c r="A934" s="19"/>
      <c r="B934" s="20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 spans="1:31">
      <c r="A935" s="19"/>
      <c r="B935" s="20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 spans="1:31">
      <c r="A936" s="19"/>
      <c r="B936" s="20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 spans="1:31">
      <c r="A937" s="19"/>
      <c r="B937" s="20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 spans="1:31">
      <c r="A938" s="19"/>
      <c r="B938" s="20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 spans="1:31">
      <c r="A939" s="19"/>
      <c r="B939" s="20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 spans="1:31">
      <c r="A940" s="19"/>
      <c r="B940" s="20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 spans="1:31">
      <c r="A941" s="19"/>
      <c r="B941" s="20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 spans="1:31">
      <c r="A942" s="19"/>
      <c r="B942" s="20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 spans="1:31">
      <c r="A943" s="19"/>
      <c r="B943" s="20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 spans="1:31">
      <c r="A944" s="19"/>
      <c r="B944" s="20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 spans="1:31">
      <c r="A945" s="19"/>
      <c r="B945" s="20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 spans="1:31">
      <c r="A946" s="19"/>
      <c r="B946" s="20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 spans="1:31">
      <c r="A947" s="19"/>
      <c r="B947" s="20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 spans="1:31">
      <c r="A948" s="19"/>
      <c r="B948" s="20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 spans="1:31">
      <c r="A949" s="19"/>
      <c r="B949" s="20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 spans="1:31">
      <c r="A950" s="19"/>
      <c r="B950" s="20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 spans="1:31">
      <c r="A951" s="19"/>
      <c r="B951" s="20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 spans="1:31">
      <c r="A952" s="19"/>
      <c r="B952" s="20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 spans="1:31">
      <c r="A953" s="19"/>
      <c r="B953" s="20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 spans="1:31">
      <c r="A954" s="19"/>
      <c r="B954" s="20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 spans="1:31">
      <c r="A955" s="19"/>
      <c r="B955" s="20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 spans="1:31">
      <c r="A956" s="19"/>
      <c r="B956" s="20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 spans="1:31">
      <c r="A957" s="19"/>
      <c r="B957" s="20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 spans="1:31">
      <c r="A958" s="19"/>
      <c r="B958" s="20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 spans="1:31">
      <c r="A959" s="19"/>
      <c r="B959" s="20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 spans="1:31">
      <c r="A960" s="19"/>
      <c r="B960" s="20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 spans="1:31">
      <c r="A961" s="19"/>
      <c r="B961" s="20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 spans="1:31">
      <c r="A962" s="19"/>
      <c r="B962" s="20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 spans="1:31">
      <c r="A963" s="19"/>
      <c r="B963" s="20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 spans="1:31">
      <c r="A964" s="19"/>
      <c r="B964" s="20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 spans="1:31">
      <c r="A965" s="19"/>
      <c r="B965" s="20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 spans="1:31">
      <c r="A966" s="19"/>
      <c r="B966" s="20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 spans="1:31">
      <c r="A967" s="19"/>
      <c r="B967" s="20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 spans="1:31">
      <c r="A968" s="19"/>
      <c r="B968" s="20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 spans="1:31">
      <c r="A969" s="19"/>
      <c r="B969" s="20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 spans="1:31">
      <c r="A970" s="19"/>
      <c r="B970" s="20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 spans="1:31">
      <c r="A971" s="19"/>
      <c r="B971" s="20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 spans="1:31">
      <c r="A972" s="19"/>
      <c r="B972" s="20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 spans="1:31">
      <c r="A973" s="19"/>
      <c r="B973" s="20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 spans="1:31">
      <c r="A974" s="19"/>
      <c r="B974" s="20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</row>
    <row r="975" spans="1:31">
      <c r="A975" s="19"/>
      <c r="B975" s="20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</row>
    <row r="976" spans="1:31">
      <c r="A976" s="19"/>
      <c r="B976" s="20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</row>
    <row r="977" spans="1:31">
      <c r="A977" s="19"/>
      <c r="B977" s="20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</row>
    <row r="978" spans="1:31">
      <c r="A978" s="19"/>
      <c r="B978" s="20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</row>
    <row r="979" spans="1:31">
      <c r="A979" s="19"/>
      <c r="B979" s="20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</row>
    <row r="980" spans="1:31">
      <c r="A980" s="19"/>
      <c r="B980" s="20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</row>
    <row r="981" spans="1:31">
      <c r="A981" s="19"/>
      <c r="B981" s="20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</row>
    <row r="982" spans="1:31">
      <c r="A982" s="19"/>
      <c r="B982" s="20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</row>
    <row r="983" spans="1:31">
      <c r="A983" s="19"/>
      <c r="B983" s="20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</row>
    <row r="984" spans="1:31">
      <c r="A984" s="19"/>
      <c r="B984" s="20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 spans="1:31">
      <c r="A985" s="19"/>
      <c r="B985" s="20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 spans="1:31">
      <c r="A986" s="19"/>
      <c r="B986" s="20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 spans="1:31">
      <c r="A987" s="19"/>
      <c r="B987" s="20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 spans="1:31">
      <c r="A988" s="19"/>
      <c r="B988" s="20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 spans="1:31">
      <c r="A989" s="19"/>
      <c r="B989" s="20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 spans="1:31">
      <c r="A990" s="19"/>
      <c r="B990" s="20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  <row r="991" spans="1:31">
      <c r="A991" s="19"/>
      <c r="B991" s="20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</row>
    <row r="992" spans="1:31">
      <c r="A992" s="19"/>
      <c r="B992" s="20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</row>
    <row r="993" spans="1:31">
      <c r="A993" s="19"/>
      <c r="B993" s="20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</row>
    <row r="994" spans="1:31">
      <c r="A994" s="19"/>
      <c r="B994" s="20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</row>
    <row r="995" spans="1:31">
      <c r="A995" s="19"/>
      <c r="B995" s="20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</row>
    <row r="996" spans="1:31">
      <c r="A996" s="19"/>
      <c r="B996" s="20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 spans="1:31">
      <c r="A997" s="19"/>
      <c r="B997" s="20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 spans="1:31">
      <c r="A998" s="19"/>
      <c r="B998" s="20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 spans="1:31">
      <c r="A999" s="19"/>
      <c r="B999" s="20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 spans="1:31">
      <c r="A1000" s="19"/>
      <c r="B1000" s="20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</sheetData>
  <phoneticPr fontId="18" type="noConversion"/>
  <conditionalFormatting sqref="C1:D1">
    <cfRule type="expression" dxfId="29" priority="1">
      <formula>AND(ISNUMBER($I2),$I2=0)</formula>
    </cfRule>
  </conditionalFormatting>
  <conditionalFormatting sqref="C1:D1">
    <cfRule type="expression" dxfId="28" priority="2">
      <formula>AND(ISNUMBER($I2),$I2&gt;0)</formula>
    </cfRule>
  </conditionalFormatting>
  <conditionalFormatting sqref="C1:D1">
    <cfRule type="expression" dxfId="27" priority="3">
      <formula>AND(ISNUMBER($I2),$I2&gt;3)</formula>
    </cfRule>
  </conditionalFormatting>
  <conditionalFormatting sqref="C31">
    <cfRule type="expression" dxfId="26" priority="4">
      <formula>AND(ISNUMBER($I29),$I29&gt;3)</formula>
    </cfRule>
  </conditionalFormatting>
  <conditionalFormatting sqref="C31">
    <cfRule type="expression" dxfId="25" priority="5">
      <formula>AND(ISNUMBER($I29),$I29&gt;0)</formula>
    </cfRule>
  </conditionalFormatting>
  <conditionalFormatting sqref="C31">
    <cfRule type="expression" dxfId="24" priority="6">
      <formula>AND(ISNUMBER($I29),$I29=0)</formula>
    </cfRule>
  </conditionalFormatting>
  <conditionalFormatting sqref="A1:C1000 E1:J1000 K1:L1 M1:AE1000 D3:D1000 K3:L1000">
    <cfRule type="expression" dxfId="23" priority="7">
      <formula>AND(ISNUMBER($I1),$I1&gt;3)</formula>
    </cfRule>
  </conditionalFormatting>
  <conditionalFormatting sqref="A1:C1000 E1:J1000 K1:L1 M1:AE1000 D3:D1000 K3:L1000">
    <cfRule type="expression" dxfId="22" priority="8">
      <formula>AND(ISNUMBER($I1),$I1&gt;0)</formula>
    </cfRule>
  </conditionalFormatting>
  <conditionalFormatting sqref="A1:C1000 E1:J1000 K1:L1 M1:AE1000 D3:D1000 K3:L1000">
    <cfRule type="expression" dxfId="21" priority="9">
      <formula>AND(ISNUMBER($I1),$I1=0)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3" max="3" width="22.7109375" customWidth="1"/>
    <col min="6" max="6" width="14.42578125" hidden="1"/>
  </cols>
  <sheetData>
    <row r="1" spans="1:31">
      <c r="A1" s="8" t="s">
        <v>2</v>
      </c>
      <c r="B1" s="9" t="s">
        <v>15</v>
      </c>
      <c r="C1" s="8" t="s">
        <v>3</v>
      </c>
      <c r="D1" s="10" t="str">
        <f ca="1">IFERROR(__xludf.DUMMYFUNCTION("IF(COUNTUNIQUE(B3:B1000)&gt;0,COUNTUNIQUE(B3:B1000),)"),"")</f>
        <v/>
      </c>
      <c r="E1" s="8" t="s">
        <v>4</v>
      </c>
      <c r="F1" s="8"/>
      <c r="G1" s="8"/>
      <c r="H1" s="8"/>
      <c r="I1" s="8"/>
      <c r="J1" s="11"/>
      <c r="K1" s="12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>
      <c r="A2" s="13" t="s">
        <v>5</v>
      </c>
      <c r="B2" s="8" t="s">
        <v>6</v>
      </c>
      <c r="C2" s="14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15"/>
      <c r="K2" s="8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>
      <c r="A3" s="16"/>
      <c r="B3" s="17"/>
      <c r="C3" s="18" t="str">
        <f ca="1">IFERROR(__xludf.DUMMYFUNCTION("IF(ISBLANK(B3),,IFERROR(FILTER('Leetcode分类顺序表'!B:G,'Leetcode分类顺序表'!A:A = B3),IFERROR(FILTER(Algoexpert.io!B:D,Algoexpert.io!A:A = B3),FILTER('Leetcode List'!B:G,'Leetcode List'!A:A = B3))))"),"")</f>
        <v/>
      </c>
      <c r="D3" s="18"/>
      <c r="E3" s="18"/>
      <c r="F3" s="18"/>
      <c r="G3" s="18"/>
      <c r="H3" s="18"/>
      <c r="I3" s="18">
        <f t="shared" ref="I3:I211" si="0">IF(ISBLANK(B3),,COUNTIF(B:B,"="&amp;B3)-1)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1">
      <c r="A4" s="16"/>
      <c r="B4" s="17"/>
      <c r="C4" s="18" t="str">
        <f ca="1">IFERROR(__xludf.DUMMYFUNCTION("IF(ISBLANK(B4),,IFERROR(FILTER('Leetcode分类顺序表'!B:G,'Leetcode分类顺序表'!A:A = B4),IFERROR(FILTER(Algoexpert.io!B:D,Algoexpert.io!A:A = B4),FILTER('Leetcode List'!B:G,'Leetcode List'!A:A = B4))))"),"")</f>
        <v/>
      </c>
      <c r="D4" s="18"/>
      <c r="E4" s="18"/>
      <c r="F4" s="18"/>
      <c r="G4" s="18"/>
      <c r="H4" s="18"/>
      <c r="I4" s="18">
        <f t="shared" si="0"/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1">
      <c r="A5" s="16"/>
      <c r="B5" s="17"/>
      <c r="C5" s="18" t="str">
        <f ca="1">IFERROR(__xludf.DUMMYFUNCTION("IF(ISBLANK(B5),,IFERROR(FILTER('Leetcode分类顺序表'!B:G,'Leetcode分类顺序表'!A:A = B5),IFERROR(FILTER(Algoexpert.io!B:D,Algoexpert.io!A:A = B5),FILTER('Leetcode List'!B:G,'Leetcode List'!A:A = B5))))"),"")</f>
        <v/>
      </c>
      <c r="D5" s="18"/>
      <c r="E5" s="18"/>
      <c r="F5" s="18"/>
      <c r="G5" s="18"/>
      <c r="H5" s="18"/>
      <c r="I5" s="18">
        <f t="shared" si="0"/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1">
      <c r="A6" s="16"/>
      <c r="B6" s="17"/>
      <c r="C6" s="18" t="str">
        <f ca="1">IFERROR(__xludf.DUMMYFUNCTION("IF(ISBLANK(B6),,IFERROR(FILTER('Leetcode分类顺序表'!B:G,'Leetcode分类顺序表'!A:A = B6),IFERROR(FILTER(Algoexpert.io!B:D,Algoexpert.io!A:A = B6),FILTER('Leetcode List'!B:G,'Leetcode List'!A:A = B6))))"),"")</f>
        <v/>
      </c>
      <c r="D6" s="18"/>
      <c r="E6" s="18"/>
      <c r="F6" s="18"/>
      <c r="G6" s="18"/>
      <c r="H6" s="18"/>
      <c r="I6" s="18">
        <f t="shared" si="0"/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>
      <c r="A7" s="16"/>
      <c r="B7" s="17"/>
      <c r="C7" s="18" t="str">
        <f ca="1">IFERROR(__xludf.DUMMYFUNCTION("IF(ISBLANK(B7),,IFERROR(FILTER('Leetcode分类顺序表'!B:G,'Leetcode分类顺序表'!A:A = B7),IFERROR(FILTER(Algoexpert.io!B:D,Algoexpert.io!A:A = B7),FILTER('Leetcode List'!B:G,'Leetcode List'!A:A = B7))))"),"")</f>
        <v/>
      </c>
      <c r="D7" s="18"/>
      <c r="E7" s="18"/>
      <c r="F7" s="18"/>
      <c r="G7" s="18"/>
      <c r="H7" s="18"/>
      <c r="I7" s="18">
        <f t="shared" si="0"/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>
      <c r="A8" s="16"/>
      <c r="B8" s="17"/>
      <c r="C8" s="18" t="str">
        <f ca="1">IFERROR(__xludf.DUMMYFUNCTION("IF(ISBLANK(B8),,IFERROR(FILTER('Leetcode分类顺序表'!B:G,'Leetcode分类顺序表'!A:A = B8),IFERROR(FILTER(Algoexpert.io!B:D,Algoexpert.io!A:A = B8),FILTER('Leetcode List'!B:G,'Leetcode List'!A:A = B8))))"),"")</f>
        <v/>
      </c>
      <c r="D8" s="18"/>
      <c r="E8" s="18"/>
      <c r="F8" s="18"/>
      <c r="G8" s="18"/>
      <c r="H8" s="18"/>
      <c r="I8" s="18">
        <f t="shared" si="0"/>
        <v>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>
      <c r="A9" s="16"/>
      <c r="B9" s="17"/>
      <c r="C9" s="18" t="str">
        <f ca="1">IFERROR(__xludf.DUMMYFUNCTION("IF(ISBLANK(B9),,IFERROR(FILTER('Leetcode分类顺序表'!B:G,'Leetcode分类顺序表'!A:A = B9),IFERROR(FILTER(Algoexpert.io!B:D,Algoexpert.io!A:A = B9),FILTER('Leetcode List'!B:G,'Leetcode List'!A:A = B9))))"),"")</f>
        <v/>
      </c>
      <c r="D9" s="18"/>
      <c r="E9" s="18"/>
      <c r="F9" s="18"/>
      <c r="G9" s="18"/>
      <c r="H9" s="18"/>
      <c r="I9" s="18">
        <f t="shared" si="0"/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>
      <c r="A10" s="16"/>
      <c r="B10" s="17"/>
      <c r="C10" s="18" t="str">
        <f ca="1">IFERROR(__xludf.DUMMYFUNCTION("IF(ISBLANK(B10),,IFERROR(FILTER('Leetcode分类顺序表'!B:G,'Leetcode分类顺序表'!A:A = B10),IFERROR(FILTER(Algoexpert.io!B:D,Algoexpert.io!A:A = B10),FILTER('Leetcode List'!B:G,'Leetcode List'!A:A = B10))))"),"")</f>
        <v/>
      </c>
      <c r="D10" s="18"/>
      <c r="E10" s="18"/>
      <c r="F10" s="18"/>
      <c r="G10" s="18"/>
      <c r="H10" s="18"/>
      <c r="I10" s="18">
        <f t="shared" si="0"/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>
      <c r="A11" s="16"/>
      <c r="B11" s="17"/>
      <c r="C11" s="18" t="str">
        <f ca="1">IFERROR(__xludf.DUMMYFUNCTION("IF(ISBLANK(B11),,IFERROR(FILTER('Leetcode分类顺序表'!B:G,'Leetcode分类顺序表'!A:A = B11),IFERROR(FILTER(Algoexpert.io!B:D,Algoexpert.io!A:A = B11),FILTER('Leetcode List'!B:G,'Leetcode List'!A:A = B11))))"),"")</f>
        <v/>
      </c>
      <c r="D11" s="18"/>
      <c r="E11" s="18"/>
      <c r="F11" s="18"/>
      <c r="G11" s="18"/>
      <c r="H11" s="18"/>
      <c r="I11" s="18">
        <f t="shared" si="0"/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1">
      <c r="A12" s="16"/>
      <c r="B12" s="17"/>
      <c r="C12" s="18" t="str">
        <f ca="1">IFERROR(__xludf.DUMMYFUNCTION("IF(ISBLANK(B12),,IFERROR(FILTER('Leetcode分类顺序表'!B:G,'Leetcode分类顺序表'!A:A = B12),IFERROR(FILTER(Algoexpert.io!B:D,Algoexpert.io!A:A = B12),FILTER('Leetcode List'!B:G,'Leetcode List'!A:A = B12))))"),"")</f>
        <v/>
      </c>
      <c r="D12" s="18"/>
      <c r="E12" s="18"/>
      <c r="F12" s="18"/>
      <c r="G12" s="18"/>
      <c r="H12" s="18"/>
      <c r="I12" s="18">
        <f t="shared" si="0"/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1">
      <c r="A13" s="16"/>
      <c r="B13" s="17"/>
      <c r="C13" s="18" t="str">
        <f ca="1">IFERROR(__xludf.DUMMYFUNCTION("IF(ISBLANK(B13),,IFERROR(FILTER('Leetcode分类顺序表'!B:G,'Leetcode分类顺序表'!A:A = B13),IFERROR(FILTER(Algoexpert.io!B:D,Algoexpert.io!A:A = B13),FILTER('Leetcode List'!B:G,'Leetcode List'!A:A = B13))))"),"")</f>
        <v/>
      </c>
      <c r="D13" s="18"/>
      <c r="E13" s="18"/>
      <c r="F13" s="18"/>
      <c r="G13" s="18"/>
      <c r="H13" s="18"/>
      <c r="I13" s="18">
        <f t="shared" si="0"/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>
      <c r="A14" s="16"/>
      <c r="B14" s="17"/>
      <c r="C14" s="18" t="str">
        <f ca="1">IFERROR(__xludf.DUMMYFUNCTION("IF(ISBLANK(B14),,IFERROR(FILTER('Leetcode分类顺序表'!B:G,'Leetcode分类顺序表'!A:A = B14),IFERROR(FILTER(Algoexpert.io!B:D,Algoexpert.io!A:A = B14),FILTER('Leetcode List'!B:G,'Leetcode List'!A:A = B14))))"),"")</f>
        <v/>
      </c>
      <c r="D14" s="18"/>
      <c r="E14" s="18"/>
      <c r="F14" s="18"/>
      <c r="G14" s="18"/>
      <c r="H14" s="18"/>
      <c r="I14" s="18">
        <f t="shared" si="0"/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1">
      <c r="A15" s="16"/>
      <c r="B15" s="17"/>
      <c r="C15" s="18" t="str">
        <f ca="1">IFERROR(__xludf.DUMMYFUNCTION("IF(ISBLANK(B15),,IFERROR(FILTER('Leetcode分类顺序表'!B:G,'Leetcode分类顺序表'!A:A = B15),IFERROR(FILTER(Algoexpert.io!B:D,Algoexpert.io!A:A = B15),FILTER('Leetcode List'!B:G,'Leetcode List'!A:A = B15))))"),"")</f>
        <v/>
      </c>
      <c r="D15" s="18"/>
      <c r="E15" s="18"/>
      <c r="F15" s="18"/>
      <c r="G15" s="18"/>
      <c r="H15" s="18"/>
      <c r="I15" s="18">
        <f t="shared" si="0"/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31">
      <c r="A16" s="16"/>
      <c r="B16" s="17"/>
      <c r="C16" s="18" t="str">
        <f ca="1">IFERROR(__xludf.DUMMYFUNCTION("IF(ISBLANK(B16),,IFERROR(FILTER('Leetcode分类顺序表'!B:G,'Leetcode分类顺序表'!A:A = B16),IFERROR(FILTER(Algoexpert.io!B:D,Algoexpert.io!A:A = B16),FILTER('Leetcode List'!B:G,'Leetcode List'!A:A = B16))))"),"")</f>
        <v/>
      </c>
      <c r="D16" s="18"/>
      <c r="E16" s="18"/>
      <c r="F16" s="18"/>
      <c r="G16" s="18"/>
      <c r="H16" s="18"/>
      <c r="I16" s="18">
        <f t="shared" si="0"/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>
      <c r="A17" s="16"/>
      <c r="B17" s="17"/>
      <c r="C17" s="18" t="str">
        <f ca="1">IFERROR(__xludf.DUMMYFUNCTION("IF(ISBLANK(B17),,IFERROR(FILTER('Leetcode分类顺序表'!B:G,'Leetcode分类顺序表'!A:A = B17),IFERROR(FILTER(Algoexpert.io!B:D,Algoexpert.io!A:A = B17),FILTER('Leetcode List'!B:G,'Leetcode List'!A:A = B17))))"),"")</f>
        <v/>
      </c>
      <c r="D17" s="18"/>
      <c r="E17" s="18"/>
      <c r="F17" s="18"/>
      <c r="G17" s="18"/>
      <c r="H17" s="18"/>
      <c r="I17" s="18">
        <f t="shared" si="0"/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>
      <c r="A18" s="16"/>
      <c r="B18" s="17"/>
      <c r="C18" s="18" t="str">
        <f ca="1">IFERROR(__xludf.DUMMYFUNCTION("IF(ISBLANK(B18),,IFERROR(FILTER('Leetcode分类顺序表'!B:G,'Leetcode分类顺序表'!A:A = B18),IFERROR(FILTER(Algoexpert.io!B:D,Algoexpert.io!A:A = B18),FILTER('Leetcode List'!B:G,'Leetcode List'!A:A = B18))))"),"")</f>
        <v/>
      </c>
      <c r="D18" s="18"/>
      <c r="E18" s="18"/>
      <c r="F18" s="18"/>
      <c r="G18" s="18"/>
      <c r="H18" s="18"/>
      <c r="I18" s="18">
        <f t="shared" si="0"/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>
      <c r="A19" s="16"/>
      <c r="B19" s="17"/>
      <c r="C19" s="18" t="str">
        <f ca="1">IFERROR(__xludf.DUMMYFUNCTION("IF(ISBLANK(B19),,IFERROR(FILTER('Leetcode分类顺序表'!B:G,'Leetcode分类顺序表'!A:A = B19),IFERROR(FILTER(Algoexpert.io!B:D,Algoexpert.io!A:A = B19),FILTER('Leetcode List'!B:G,'Leetcode List'!A:A = B19))))"),"")</f>
        <v/>
      </c>
      <c r="D19" s="18"/>
      <c r="E19" s="18"/>
      <c r="F19" s="18"/>
      <c r="G19" s="18"/>
      <c r="H19" s="18"/>
      <c r="I19" s="18">
        <f t="shared" si="0"/>
        <v>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spans="1:31">
      <c r="A20" s="16"/>
      <c r="B20" s="17"/>
      <c r="C20" s="18" t="str">
        <f ca="1">IFERROR(__xludf.DUMMYFUNCTION("IF(ISBLANK(B20),,IFERROR(FILTER('Leetcode分类顺序表'!B:G,'Leetcode分类顺序表'!A:A = B20),IFERROR(FILTER(Algoexpert.io!B:D,Algoexpert.io!A:A = B20),FILTER('Leetcode List'!B:G,'Leetcode List'!A:A = B20))))"),"")</f>
        <v/>
      </c>
      <c r="D20" s="18"/>
      <c r="E20" s="18"/>
      <c r="F20" s="18"/>
      <c r="G20" s="18"/>
      <c r="H20" s="18"/>
      <c r="I20" s="18">
        <f t="shared" si="0"/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1:31">
      <c r="A21" s="16"/>
      <c r="B21" s="17"/>
      <c r="C21" s="18" t="str">
        <f ca="1">IFERROR(__xludf.DUMMYFUNCTION("IF(ISBLANK(B21),,IFERROR(FILTER('Leetcode分类顺序表'!B:G,'Leetcode分类顺序表'!A:A = B21),IFERROR(FILTER(Algoexpert.io!B:D,Algoexpert.io!A:A = B21),FILTER('Leetcode List'!B:G,'Leetcode List'!A:A = B21))))"),"")</f>
        <v/>
      </c>
      <c r="D21" s="18"/>
      <c r="E21" s="18"/>
      <c r="F21" s="18"/>
      <c r="G21" s="18"/>
      <c r="H21" s="18"/>
      <c r="I21" s="18">
        <f t="shared" si="0"/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spans="1:31">
      <c r="A22" s="16"/>
      <c r="B22" s="17"/>
      <c r="C22" s="18" t="str">
        <f ca="1">IFERROR(__xludf.DUMMYFUNCTION("IF(ISBLANK(B22),,IFERROR(FILTER('Leetcode分类顺序表'!B:G,'Leetcode分类顺序表'!A:A = B22),IFERROR(FILTER(Algoexpert.io!B:D,Algoexpert.io!A:A = B22),FILTER('Leetcode List'!B:G,'Leetcode List'!A:A = B22))))"),"")</f>
        <v/>
      </c>
      <c r="D22" s="18"/>
      <c r="E22" s="18"/>
      <c r="F22" s="18"/>
      <c r="G22" s="18"/>
      <c r="H22" s="18"/>
      <c r="I22" s="18">
        <f t="shared" si="0"/>
        <v>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pans="1:31">
      <c r="A23" s="16"/>
      <c r="B23" s="17"/>
      <c r="C23" s="18" t="str">
        <f ca="1">IFERROR(__xludf.DUMMYFUNCTION("IF(ISBLANK(B23),,IFERROR(FILTER('Leetcode分类顺序表'!B:G,'Leetcode分类顺序表'!A:A = B23),IFERROR(FILTER(Algoexpert.io!B:D,Algoexpert.io!A:A = B23),FILTER('Leetcode List'!B:G,'Leetcode List'!A:A = B23))))"),"")</f>
        <v/>
      </c>
      <c r="D23" s="18"/>
      <c r="E23" s="18"/>
      <c r="F23" s="18"/>
      <c r="G23" s="18"/>
      <c r="H23" s="18"/>
      <c r="I23" s="18">
        <f t="shared" si="0"/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1">
      <c r="A24" s="16"/>
      <c r="B24" s="17"/>
      <c r="C24" s="18" t="str">
        <f ca="1">IFERROR(__xludf.DUMMYFUNCTION("IF(ISBLANK(B24),,IFERROR(FILTER('Leetcode分类顺序表'!B:G,'Leetcode分类顺序表'!A:A = B24),IFERROR(FILTER(Algoexpert.io!B:D,Algoexpert.io!A:A = B24),FILTER('Leetcode List'!B:G,'Leetcode List'!A:A = B24))))"),"")</f>
        <v/>
      </c>
      <c r="D24" s="18"/>
      <c r="E24" s="18"/>
      <c r="F24" s="18"/>
      <c r="G24" s="18"/>
      <c r="H24" s="18"/>
      <c r="I24" s="18">
        <f t="shared" si="0"/>
        <v>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1">
      <c r="A25" s="16"/>
      <c r="B25" s="17"/>
      <c r="C25" s="18" t="str">
        <f ca="1">IFERROR(__xludf.DUMMYFUNCTION("IF(ISBLANK(B25),,IFERROR(FILTER('Leetcode分类顺序表'!B:G,'Leetcode分类顺序表'!A:A = B25),IFERROR(FILTER(Algoexpert.io!B:D,Algoexpert.io!A:A = B25),FILTER('Leetcode List'!B:G,'Leetcode List'!A:A = B25))))"),"")</f>
        <v/>
      </c>
      <c r="D25" s="18"/>
      <c r="E25" s="18"/>
      <c r="F25" s="18"/>
      <c r="G25" s="18"/>
      <c r="H25" s="18"/>
      <c r="I25" s="18">
        <f t="shared" si="0"/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spans="1:31">
      <c r="A26" s="16"/>
      <c r="B26" s="17"/>
      <c r="C26" s="18" t="str">
        <f ca="1">IFERROR(__xludf.DUMMYFUNCTION("IF(ISBLANK(B26),,IFERROR(FILTER('Leetcode分类顺序表'!B:G,'Leetcode分类顺序表'!A:A = B26),IFERROR(FILTER(Algoexpert.io!B:D,Algoexpert.io!A:A = B26),FILTER('Leetcode List'!B:G,'Leetcode List'!A:A = B26))))"),"")</f>
        <v/>
      </c>
      <c r="D26" s="18"/>
      <c r="E26" s="18"/>
      <c r="F26" s="18"/>
      <c r="G26" s="18"/>
      <c r="H26" s="18"/>
      <c r="I26" s="18">
        <f t="shared" si="0"/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spans="1:31">
      <c r="A27" s="16"/>
      <c r="B27" s="17"/>
      <c r="C27" s="18" t="str">
        <f ca="1">IFERROR(__xludf.DUMMYFUNCTION("IF(ISBLANK(B27),,IFERROR(FILTER('Leetcode分类顺序表'!B:G,'Leetcode分类顺序表'!A:A = B27),IFERROR(FILTER(Algoexpert.io!B:D,Algoexpert.io!A:A = B27),FILTER('Leetcode List'!B:G,'Leetcode List'!A:A = B27))))"),"")</f>
        <v/>
      </c>
      <c r="D27" s="18"/>
      <c r="E27" s="18"/>
      <c r="F27" s="18"/>
      <c r="G27" s="18"/>
      <c r="H27" s="18"/>
      <c r="I27" s="18">
        <f t="shared" si="0"/>
        <v>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spans="1:31">
      <c r="A28" s="16"/>
      <c r="B28" s="17"/>
      <c r="C28" s="18" t="str">
        <f ca="1">IFERROR(__xludf.DUMMYFUNCTION("IF(ISBLANK(B28),,IFERROR(FILTER('Leetcode分类顺序表'!B:G,'Leetcode分类顺序表'!A:A = B28),IFERROR(FILTER(Algoexpert.io!B:D,Algoexpert.io!A:A = B28),FILTER('Leetcode List'!B:G,'Leetcode List'!A:A = B28))))"),"")</f>
        <v/>
      </c>
      <c r="D28" s="18"/>
      <c r="E28" s="18"/>
      <c r="F28" s="18"/>
      <c r="G28" s="18"/>
      <c r="H28" s="18"/>
      <c r="I28" s="18">
        <f t="shared" si="0"/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spans="1:31">
      <c r="A29" s="16"/>
      <c r="B29" s="17"/>
      <c r="C29" s="18" t="str">
        <f ca="1">IFERROR(__xludf.DUMMYFUNCTION("IF(ISBLANK(B29),,IFERROR(FILTER('Leetcode分类顺序表'!B:G,'Leetcode分类顺序表'!A:A = B29),IFERROR(FILTER(Algoexpert.io!B:D,Algoexpert.io!A:A = B29),FILTER('Leetcode List'!B:G,'Leetcode List'!A:A = B29))))"),"")</f>
        <v/>
      </c>
      <c r="D29" s="18"/>
      <c r="E29" s="18"/>
      <c r="F29" s="18"/>
      <c r="G29" s="18"/>
      <c r="H29" s="18"/>
      <c r="I29" s="18">
        <f t="shared" si="0"/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 spans="1:31">
      <c r="A30" s="16"/>
      <c r="B30" s="17"/>
      <c r="C30" s="18" t="str">
        <f ca="1">IFERROR(__xludf.DUMMYFUNCTION("IF(ISBLANK(B30),,IFERROR(FILTER('Leetcode分类顺序表'!B:G,'Leetcode分类顺序表'!A:A = B30),IFERROR(FILTER(Algoexpert.io!B:D,Algoexpert.io!A:A = B30),FILTER('Leetcode List'!B:G,'Leetcode List'!A:A = B30))))"),"")</f>
        <v/>
      </c>
      <c r="D30" s="18"/>
      <c r="E30" s="18"/>
      <c r="F30" s="18"/>
      <c r="G30" s="18"/>
      <c r="H30" s="18"/>
      <c r="I30" s="18">
        <f t="shared" si="0"/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 spans="1:31">
      <c r="A31" s="16"/>
      <c r="B31" s="17"/>
      <c r="C31" s="18" t="str">
        <f ca="1">IFERROR(__xludf.DUMMYFUNCTION("IF(ISBLANK(B31),,IFERROR(FILTER('Leetcode分类顺序表'!B:G,'Leetcode分类顺序表'!A:A = B31),IFERROR(FILTER(Algoexpert.io!B:D,Algoexpert.io!A:A = B31),FILTER('Leetcode List'!B:G,'Leetcode List'!A:A = B31))))"),"")</f>
        <v/>
      </c>
      <c r="D31" s="18"/>
      <c r="E31" s="18"/>
      <c r="F31" s="18"/>
      <c r="G31" s="18"/>
      <c r="H31" s="18"/>
      <c r="I31" s="18">
        <f t="shared" si="0"/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 spans="1:31">
      <c r="A32" s="16"/>
      <c r="B32" s="17"/>
      <c r="C32" s="18" t="str">
        <f ca="1">IFERROR(__xludf.DUMMYFUNCTION("IF(ISBLANK(B32),,IFERROR(FILTER('Leetcode分类顺序表'!B:G,'Leetcode分类顺序表'!A:A = B32),IFERROR(FILTER(Algoexpert.io!B:D,Algoexpert.io!A:A = B32),FILTER('Leetcode List'!B:G,'Leetcode List'!A:A = B32))))"),"")</f>
        <v/>
      </c>
      <c r="D32" s="18"/>
      <c r="E32" s="18"/>
      <c r="F32" s="18"/>
      <c r="G32" s="18"/>
      <c r="H32" s="18"/>
      <c r="I32" s="18">
        <f t="shared" si="0"/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31">
      <c r="A33" s="16"/>
      <c r="B33" s="17"/>
      <c r="C33" s="18" t="str">
        <f ca="1">IFERROR(__xludf.DUMMYFUNCTION("IF(ISBLANK(B33),,IFERROR(FILTER('Leetcode分类顺序表'!B:G,'Leetcode分类顺序表'!A:A = B33),IFERROR(FILTER(Algoexpert.io!B:D,Algoexpert.io!A:A = B33),FILTER('Leetcode List'!B:G,'Leetcode List'!A:A = B33))))"),"")</f>
        <v/>
      </c>
      <c r="D33" s="18"/>
      <c r="E33" s="18"/>
      <c r="F33" s="18"/>
      <c r="G33" s="18"/>
      <c r="H33" s="18"/>
      <c r="I33" s="18">
        <f t="shared" si="0"/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>
      <c r="A34" s="16"/>
      <c r="B34" s="17"/>
      <c r="C34" s="18" t="str">
        <f ca="1">IFERROR(__xludf.DUMMYFUNCTION("IF(ISBLANK(B34),,IFERROR(FILTER('Leetcode分类顺序表'!B:G,'Leetcode分类顺序表'!A:A = B34),IFERROR(FILTER(Algoexpert.io!B:D,Algoexpert.io!A:A = B34),FILTER('Leetcode List'!B:G,'Leetcode List'!A:A = B34))))"),"")</f>
        <v/>
      </c>
      <c r="D34" s="18"/>
      <c r="E34" s="18"/>
      <c r="F34" s="18"/>
      <c r="G34" s="18"/>
      <c r="H34" s="18"/>
      <c r="I34" s="18">
        <f t="shared" si="0"/>
        <v>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>
      <c r="A35" s="16"/>
      <c r="B35" s="17"/>
      <c r="C35" s="18" t="str">
        <f ca="1">IFERROR(__xludf.DUMMYFUNCTION("IF(ISBLANK(B35),,IFERROR(FILTER('Leetcode分类顺序表'!B:G,'Leetcode分类顺序表'!A:A = B35),IFERROR(FILTER(Algoexpert.io!B:D,Algoexpert.io!A:A = B35),FILTER('Leetcode List'!B:G,'Leetcode List'!A:A = B35))))"),"")</f>
        <v/>
      </c>
      <c r="D35" s="18"/>
      <c r="E35" s="18"/>
      <c r="F35" s="18"/>
      <c r="G35" s="18"/>
      <c r="H35" s="18"/>
      <c r="I35" s="18">
        <f t="shared" si="0"/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>
      <c r="A36" s="16"/>
      <c r="B36" s="17"/>
      <c r="C36" s="18" t="str">
        <f ca="1">IFERROR(__xludf.DUMMYFUNCTION("IF(ISBLANK(B36),,IFERROR(FILTER('Leetcode分类顺序表'!B:G,'Leetcode分类顺序表'!A:A = B36),IFERROR(FILTER(Algoexpert.io!B:D,Algoexpert.io!A:A = B36),FILTER('Leetcode List'!B:G,'Leetcode List'!A:A = B36))))"),"")</f>
        <v/>
      </c>
      <c r="D36" s="18"/>
      <c r="E36" s="18"/>
      <c r="F36" s="18"/>
      <c r="G36" s="18"/>
      <c r="H36" s="18"/>
      <c r="I36" s="18">
        <f t="shared" si="0"/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1:31">
      <c r="A37" s="16"/>
      <c r="B37" s="17"/>
      <c r="C37" s="18" t="str">
        <f ca="1">IFERROR(__xludf.DUMMYFUNCTION("IF(ISBLANK(B37),,IFERROR(FILTER('Leetcode分类顺序表'!B:G,'Leetcode分类顺序表'!A:A = B37),IFERROR(FILTER(Algoexpert.io!B:D,Algoexpert.io!A:A = B37),FILTER('Leetcode List'!B:G,'Leetcode List'!A:A = B37))))"),"")</f>
        <v/>
      </c>
      <c r="D37" s="18"/>
      <c r="E37" s="18"/>
      <c r="F37" s="18"/>
      <c r="G37" s="18"/>
      <c r="H37" s="18"/>
      <c r="I37" s="18">
        <f t="shared" si="0"/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>
      <c r="A38" s="16"/>
      <c r="B38" s="17"/>
      <c r="C38" s="18" t="str">
        <f ca="1">IFERROR(__xludf.DUMMYFUNCTION("IF(ISBLANK(B38),,IFERROR(FILTER('Leetcode分类顺序表'!B:G,'Leetcode分类顺序表'!A:A = B38),IFERROR(FILTER(Algoexpert.io!B:D,Algoexpert.io!A:A = B38),FILTER('Leetcode List'!B:G,'Leetcode List'!A:A = B38))))"),"")</f>
        <v/>
      </c>
      <c r="D38" s="18"/>
      <c r="E38" s="18"/>
      <c r="F38" s="18"/>
      <c r="G38" s="18"/>
      <c r="H38" s="18"/>
      <c r="I38" s="18">
        <f t="shared" si="0"/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>
      <c r="A39" s="16"/>
      <c r="B39" s="17"/>
      <c r="C39" s="18" t="str">
        <f ca="1">IFERROR(__xludf.DUMMYFUNCTION("IF(ISBLANK(B39),,IFERROR(FILTER('Leetcode分类顺序表'!B:G,'Leetcode分类顺序表'!A:A = B39),IFERROR(FILTER(Algoexpert.io!B:D,Algoexpert.io!A:A = B39),FILTER('Leetcode List'!B:G,'Leetcode List'!A:A = B39))))"),"")</f>
        <v/>
      </c>
      <c r="D39" s="18"/>
      <c r="E39" s="18"/>
      <c r="F39" s="18"/>
      <c r="G39" s="18"/>
      <c r="H39" s="18"/>
      <c r="I39" s="18">
        <f t="shared" si="0"/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>
      <c r="A40" s="16"/>
      <c r="B40" s="17"/>
      <c r="C40" s="18" t="str">
        <f ca="1">IFERROR(__xludf.DUMMYFUNCTION("IF(ISBLANK(B40),,IFERROR(FILTER('Leetcode分类顺序表'!B:G,'Leetcode分类顺序表'!A:A = B40),IFERROR(FILTER(Algoexpert.io!B:D,Algoexpert.io!A:A = B40),FILTER('Leetcode List'!B:G,'Leetcode List'!A:A = B40))))"),"")</f>
        <v/>
      </c>
      <c r="D40" s="18"/>
      <c r="E40" s="18"/>
      <c r="F40" s="18"/>
      <c r="G40" s="18"/>
      <c r="H40" s="18"/>
      <c r="I40" s="18">
        <f t="shared" si="0"/>
        <v>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>
      <c r="A41" s="16"/>
      <c r="B41" s="17"/>
      <c r="C41" s="18" t="str">
        <f ca="1">IFERROR(__xludf.DUMMYFUNCTION("IF(ISBLANK(B41),,IFERROR(FILTER('Leetcode分类顺序表'!B:G,'Leetcode分类顺序表'!A:A = B41),IFERROR(FILTER(Algoexpert.io!B:D,Algoexpert.io!A:A = B41),FILTER('Leetcode List'!B:G,'Leetcode List'!A:A = B41))))"),"")</f>
        <v/>
      </c>
      <c r="D41" s="18"/>
      <c r="E41" s="18"/>
      <c r="F41" s="18"/>
      <c r="G41" s="18"/>
      <c r="H41" s="18"/>
      <c r="I41" s="18">
        <f t="shared" si="0"/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>
      <c r="A42" s="16"/>
      <c r="B42" s="17"/>
      <c r="C42" s="18" t="str">
        <f ca="1">IFERROR(__xludf.DUMMYFUNCTION("IF(ISBLANK(B42),,IFERROR(FILTER('Leetcode分类顺序表'!B:G,'Leetcode分类顺序表'!A:A = B42),IFERROR(FILTER(Algoexpert.io!B:D,Algoexpert.io!A:A = B42),FILTER('Leetcode List'!B:G,'Leetcode List'!A:A = B42))))"),"")</f>
        <v/>
      </c>
      <c r="D42" s="18"/>
      <c r="E42" s="18"/>
      <c r="F42" s="18"/>
      <c r="G42" s="18"/>
      <c r="H42" s="18"/>
      <c r="I42" s="18">
        <f t="shared" si="0"/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1:31">
      <c r="A43" s="16"/>
      <c r="B43" s="17"/>
      <c r="C43" s="18" t="str">
        <f ca="1">IFERROR(__xludf.DUMMYFUNCTION("IF(ISBLANK(B43),,IFERROR(FILTER('Leetcode分类顺序表'!B:G,'Leetcode分类顺序表'!A:A = B43),IFERROR(FILTER(Algoexpert.io!B:D,Algoexpert.io!A:A = B43),FILTER('Leetcode List'!B:G,'Leetcode List'!A:A = B43))))"),"")</f>
        <v/>
      </c>
      <c r="D43" s="18"/>
      <c r="E43" s="18"/>
      <c r="F43" s="18"/>
      <c r="G43" s="18"/>
      <c r="H43" s="18"/>
      <c r="I43" s="18">
        <f t="shared" si="0"/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 spans="1:31">
      <c r="A44" s="16"/>
      <c r="B44" s="17"/>
      <c r="C44" s="18" t="str">
        <f ca="1">IFERROR(__xludf.DUMMYFUNCTION("IF(ISBLANK(B44),,IFERROR(FILTER('Leetcode分类顺序表'!B:G,'Leetcode分类顺序表'!A:A = B44),IFERROR(FILTER(Algoexpert.io!B:D,Algoexpert.io!A:A = B44),FILTER('Leetcode List'!B:G,'Leetcode List'!A:A = B44))))"),"")</f>
        <v/>
      </c>
      <c r="D44" s="18"/>
      <c r="E44" s="18"/>
      <c r="F44" s="18"/>
      <c r="G44" s="18"/>
      <c r="H44" s="18"/>
      <c r="I44" s="18">
        <f t="shared" si="0"/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 spans="1:31">
      <c r="A45" s="16"/>
      <c r="B45" s="17"/>
      <c r="C45" s="18" t="str">
        <f ca="1">IFERROR(__xludf.DUMMYFUNCTION("IF(ISBLANK(B45),,IFERROR(FILTER('Leetcode分类顺序表'!B:G,'Leetcode分类顺序表'!A:A = B45),IFERROR(FILTER(Algoexpert.io!B:D,Algoexpert.io!A:A = B45),FILTER('Leetcode List'!B:G,'Leetcode List'!A:A = B45))))"),"")</f>
        <v/>
      </c>
      <c r="D45" s="18"/>
      <c r="E45" s="18"/>
      <c r="F45" s="18"/>
      <c r="G45" s="18"/>
      <c r="H45" s="18"/>
      <c r="I45" s="18">
        <f t="shared" si="0"/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 spans="1:31">
      <c r="A46" s="16"/>
      <c r="B46" s="17"/>
      <c r="C46" s="18" t="str">
        <f ca="1">IFERROR(__xludf.DUMMYFUNCTION("IF(ISBLANK(B46),,IFERROR(FILTER('Leetcode分类顺序表'!B:G,'Leetcode分类顺序表'!A:A = B46),IFERROR(FILTER(Algoexpert.io!B:D,Algoexpert.io!A:A = B46),FILTER('Leetcode List'!B:G,'Leetcode List'!A:A = B46))))"),"")</f>
        <v/>
      </c>
      <c r="D46" s="18"/>
      <c r="E46" s="18"/>
      <c r="F46" s="18"/>
      <c r="G46" s="18"/>
      <c r="H46" s="18"/>
      <c r="I46" s="18">
        <f t="shared" si="0"/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 spans="1:31">
      <c r="A47" s="16"/>
      <c r="B47" s="17"/>
      <c r="C47" s="18" t="str">
        <f ca="1">IFERROR(__xludf.DUMMYFUNCTION("IF(ISBLANK(B47),,IFERROR(FILTER('Leetcode分类顺序表'!B:G,'Leetcode分类顺序表'!A:A = B47),IFERROR(FILTER(Algoexpert.io!B:D,Algoexpert.io!A:A = B47),FILTER('Leetcode List'!B:G,'Leetcode List'!A:A = B47))))"),"")</f>
        <v/>
      </c>
      <c r="D47" s="18"/>
      <c r="E47" s="18"/>
      <c r="F47" s="18"/>
      <c r="G47" s="18"/>
      <c r="H47" s="18"/>
      <c r="I47" s="18">
        <f t="shared" si="0"/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 spans="1:31">
      <c r="A48" s="16"/>
      <c r="B48" s="17"/>
      <c r="C48" s="18" t="str">
        <f ca="1">IFERROR(__xludf.DUMMYFUNCTION("IF(ISBLANK(B48),,IFERROR(FILTER('Leetcode分类顺序表'!B:G,'Leetcode分类顺序表'!A:A = B48),IFERROR(FILTER(Algoexpert.io!B:D,Algoexpert.io!A:A = B48),FILTER('Leetcode List'!B:G,'Leetcode List'!A:A = B48))))"),"")</f>
        <v/>
      </c>
      <c r="D48" s="18"/>
      <c r="E48" s="18"/>
      <c r="F48" s="18"/>
      <c r="G48" s="18"/>
      <c r="H48" s="18"/>
      <c r="I48" s="18">
        <f t="shared" si="0"/>
        <v>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 spans="1:31">
      <c r="A49" s="16"/>
      <c r="B49" s="17"/>
      <c r="C49" s="18" t="str">
        <f ca="1">IFERROR(__xludf.DUMMYFUNCTION("IF(ISBLANK(B49),,IFERROR(FILTER('Leetcode分类顺序表'!B:G,'Leetcode分类顺序表'!A:A = B49),IFERROR(FILTER(Algoexpert.io!B:D,Algoexpert.io!A:A = B49),FILTER('Leetcode List'!B:G,'Leetcode List'!A:A = B49))))"),"")</f>
        <v/>
      </c>
      <c r="D49" s="18"/>
      <c r="E49" s="18"/>
      <c r="F49" s="18"/>
      <c r="G49" s="18"/>
      <c r="H49" s="18"/>
      <c r="I49" s="18">
        <f t="shared" si="0"/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spans="1:31">
      <c r="A50" s="16"/>
      <c r="B50" s="17"/>
      <c r="C50" s="18" t="str">
        <f ca="1">IFERROR(__xludf.DUMMYFUNCTION("IF(ISBLANK(B50),,IFERROR(FILTER('Leetcode分类顺序表'!B:G,'Leetcode分类顺序表'!A:A = B50),IFERROR(FILTER(Algoexpert.io!B:D,Algoexpert.io!A:A = B50),FILTER('Leetcode List'!B:G,'Leetcode List'!A:A = B50))))"),"")</f>
        <v/>
      </c>
      <c r="D50" s="18"/>
      <c r="E50" s="18"/>
      <c r="F50" s="18"/>
      <c r="G50" s="18"/>
      <c r="H50" s="18"/>
      <c r="I50" s="18">
        <f t="shared" si="0"/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 spans="1:31">
      <c r="A51" s="16"/>
      <c r="B51" s="17"/>
      <c r="C51" s="18" t="str">
        <f ca="1">IFERROR(__xludf.DUMMYFUNCTION("IF(ISBLANK(B51),,IFERROR(FILTER('Leetcode分类顺序表'!B:G,'Leetcode分类顺序表'!A:A = B51),IFERROR(FILTER(Algoexpert.io!B:D,Algoexpert.io!A:A = B51),FILTER('Leetcode List'!B:G,'Leetcode List'!A:A = B51))))"),"")</f>
        <v/>
      </c>
      <c r="D51" s="18"/>
      <c r="E51" s="18"/>
      <c r="F51" s="18"/>
      <c r="G51" s="18"/>
      <c r="H51" s="18"/>
      <c r="I51" s="18">
        <f t="shared" si="0"/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 spans="1:31">
      <c r="A52" s="16"/>
      <c r="B52" s="17"/>
      <c r="C52" s="18" t="str">
        <f ca="1">IFERROR(__xludf.DUMMYFUNCTION("IF(ISBLANK(B52),,IFERROR(FILTER('Leetcode分类顺序表'!B:G,'Leetcode分类顺序表'!A:A = B52),IFERROR(FILTER(Algoexpert.io!B:D,Algoexpert.io!A:A = B52),FILTER('Leetcode List'!B:G,'Leetcode List'!A:A = B52))))"),"")</f>
        <v/>
      </c>
      <c r="D52" s="18"/>
      <c r="E52" s="18"/>
      <c r="F52" s="18"/>
      <c r="G52" s="18"/>
      <c r="H52" s="18"/>
      <c r="I52" s="18">
        <f t="shared" si="0"/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1:31">
      <c r="A53" s="16"/>
      <c r="B53" s="17"/>
      <c r="C53" s="18" t="str">
        <f ca="1">IFERROR(__xludf.DUMMYFUNCTION("IF(ISBLANK(B53),,IFERROR(FILTER('Leetcode分类顺序表'!B:G,'Leetcode分类顺序表'!A:A = B53),IFERROR(FILTER(Algoexpert.io!B:D,Algoexpert.io!A:A = B53),FILTER('Leetcode List'!B:G,'Leetcode List'!A:A = B53))))"),"")</f>
        <v/>
      </c>
      <c r="D53" s="18"/>
      <c r="E53" s="18"/>
      <c r="F53" s="18"/>
      <c r="G53" s="18"/>
      <c r="H53" s="18"/>
      <c r="I53" s="18">
        <f t="shared" si="0"/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1:31">
      <c r="A54" s="16"/>
      <c r="B54" s="17"/>
      <c r="C54" s="18" t="str">
        <f ca="1">IFERROR(__xludf.DUMMYFUNCTION("IF(ISBLANK(B54),,IFERROR(FILTER('Leetcode分类顺序表'!B:G,'Leetcode分类顺序表'!A:A = B54),IFERROR(FILTER(Algoexpert.io!B:D,Algoexpert.io!A:A = B54),FILTER('Leetcode List'!B:G,'Leetcode List'!A:A = B54))))"),"")</f>
        <v/>
      </c>
      <c r="D54" s="18"/>
      <c r="E54" s="18"/>
      <c r="F54" s="18"/>
      <c r="G54" s="18"/>
      <c r="H54" s="18"/>
      <c r="I54" s="18">
        <f t="shared" si="0"/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 spans="1:31">
      <c r="A55" s="16"/>
      <c r="B55" s="17"/>
      <c r="C55" s="18" t="str">
        <f ca="1">IFERROR(__xludf.DUMMYFUNCTION("IF(ISBLANK(B55),,IFERROR(FILTER('Leetcode分类顺序表'!B:G,'Leetcode分类顺序表'!A:A = B55),IFERROR(FILTER(Algoexpert.io!B:D,Algoexpert.io!A:A = B55),FILTER('Leetcode List'!B:G,'Leetcode List'!A:A = B55))))"),"")</f>
        <v/>
      </c>
      <c r="D55" s="18"/>
      <c r="E55" s="18"/>
      <c r="F55" s="18"/>
      <c r="G55" s="18"/>
      <c r="H55" s="18"/>
      <c r="I55" s="18">
        <f t="shared" si="0"/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1">
      <c r="A56" s="16"/>
      <c r="B56" s="17"/>
      <c r="C56" s="18" t="str">
        <f ca="1">IFERROR(__xludf.DUMMYFUNCTION("IF(ISBLANK(B56),,IFERROR(FILTER('Leetcode分类顺序表'!B:G,'Leetcode分类顺序表'!A:A = B56),IFERROR(FILTER(Algoexpert.io!B:D,Algoexpert.io!A:A = B56),FILTER('Leetcode List'!B:G,'Leetcode List'!A:A = B56))))"),"")</f>
        <v/>
      </c>
      <c r="D56" s="18"/>
      <c r="E56" s="18"/>
      <c r="F56" s="18"/>
      <c r="G56" s="18"/>
      <c r="H56" s="18"/>
      <c r="I56" s="18">
        <f t="shared" si="0"/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1">
      <c r="A57" s="16"/>
      <c r="B57" s="17"/>
      <c r="C57" s="18" t="str">
        <f ca="1">IFERROR(__xludf.DUMMYFUNCTION("IF(ISBLANK(B57),,IFERROR(FILTER('Leetcode分类顺序表'!B:G,'Leetcode分类顺序表'!A:A = B57),IFERROR(FILTER(Algoexpert.io!B:D,Algoexpert.io!A:A = B57),FILTER('Leetcode List'!B:G,'Leetcode List'!A:A = B57))))"),"")</f>
        <v/>
      </c>
      <c r="D57" s="18"/>
      <c r="E57" s="18"/>
      <c r="F57" s="18"/>
      <c r="G57" s="18"/>
      <c r="H57" s="18"/>
      <c r="I57" s="18">
        <f t="shared" si="0"/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1">
      <c r="A58" s="16"/>
      <c r="B58" s="17"/>
      <c r="C58" s="18" t="str">
        <f ca="1">IFERROR(__xludf.DUMMYFUNCTION("IF(ISBLANK(B58),,IFERROR(FILTER('Leetcode分类顺序表'!B:G,'Leetcode分类顺序表'!A:A = B58),IFERROR(FILTER(Algoexpert.io!B:D,Algoexpert.io!A:A = B58),FILTER('Leetcode List'!B:G,'Leetcode List'!A:A = B58))))"),"")</f>
        <v/>
      </c>
      <c r="D58" s="18"/>
      <c r="E58" s="18"/>
      <c r="F58" s="18"/>
      <c r="G58" s="18"/>
      <c r="H58" s="18"/>
      <c r="I58" s="18">
        <f t="shared" si="0"/>
        <v>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 spans="1:31">
      <c r="A59" s="19"/>
      <c r="B59" s="17"/>
      <c r="C59" s="18" t="str">
        <f ca="1">IFERROR(__xludf.DUMMYFUNCTION("IF(ISBLANK(B59),,IFERROR(FILTER('Leetcode分类顺序表'!B:G,'Leetcode分类顺序表'!A:A = B59),IFERROR(FILTER(Algoexpert.io!B:D,Algoexpert.io!A:A = B59),FILTER('Leetcode List'!B:G,'Leetcode List'!A:A = B59))))"),"")</f>
        <v/>
      </c>
      <c r="D59" s="18"/>
      <c r="E59" s="18"/>
      <c r="F59" s="18"/>
      <c r="G59" s="18"/>
      <c r="H59" s="18"/>
      <c r="I59" s="18">
        <f t="shared" si="0"/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 spans="1:31">
      <c r="A60" s="19"/>
      <c r="B60" s="20"/>
      <c r="C60" s="18" t="str">
        <f ca="1">IFERROR(__xludf.DUMMYFUNCTION("IF(ISBLANK(B60),,IFERROR(FILTER('Leetcode分类顺序表'!B:D,'Leetcode分类顺序表'!A:A = B60),FILTER(Algoexpert.io!B:D,Algoexpert.io!A:A = B60)))"),"")</f>
        <v/>
      </c>
      <c r="D60" s="18"/>
      <c r="E60" s="18"/>
      <c r="F60" s="18"/>
      <c r="G60" s="18"/>
      <c r="H60" s="18"/>
      <c r="I60" s="18">
        <f t="shared" si="0"/>
        <v>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 spans="1:31">
      <c r="A61" s="19"/>
      <c r="B61" s="20"/>
      <c r="C61" s="18" t="str">
        <f ca="1">IFERROR(__xludf.DUMMYFUNCTION("IF(ISBLANK(B61),,IFERROR(FILTER('Leetcode分类顺序表'!B:D,'Leetcode分类顺序表'!A:A = B61),FILTER(Algoexpert.io!B:D,Algoexpert.io!A:A = B61)))"),"")</f>
        <v/>
      </c>
      <c r="D61" s="18"/>
      <c r="E61" s="18"/>
      <c r="F61" s="18"/>
      <c r="G61" s="18"/>
      <c r="H61" s="18"/>
      <c r="I61" s="18">
        <f t="shared" si="0"/>
        <v>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 spans="1:31">
      <c r="A62" s="19"/>
      <c r="B62" s="20"/>
      <c r="C62" s="18" t="str">
        <f ca="1">IFERROR(__xludf.DUMMYFUNCTION("IF(ISBLANK(B62),,IFERROR(FILTER('Leetcode分类顺序表'!B:D,'Leetcode分类顺序表'!A:A = B62),FILTER(Algoexpert.io!B:D,Algoexpert.io!A:A = B62)))"),"")</f>
        <v/>
      </c>
      <c r="D62" s="18"/>
      <c r="E62" s="18"/>
      <c r="F62" s="18"/>
      <c r="G62" s="18"/>
      <c r="H62" s="18"/>
      <c r="I62" s="18">
        <f t="shared" si="0"/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 spans="1:31">
      <c r="A63" s="19"/>
      <c r="B63" s="20"/>
      <c r="C63" s="18" t="str">
        <f ca="1">IFERROR(__xludf.DUMMYFUNCTION("IF(ISBLANK(B63),,IFERROR(FILTER('Leetcode分类顺序表'!B:D,'Leetcode分类顺序表'!A:A = B63),FILTER(Algoexpert.io!B:D,Algoexpert.io!A:A = B63)))"),"")</f>
        <v/>
      </c>
      <c r="D63" s="18"/>
      <c r="E63" s="18"/>
      <c r="F63" s="18"/>
      <c r="G63" s="18"/>
      <c r="H63" s="18"/>
      <c r="I63" s="18">
        <f t="shared" si="0"/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1:31">
      <c r="A64" s="19"/>
      <c r="B64" s="20"/>
      <c r="C64" s="18" t="str">
        <f ca="1">IFERROR(__xludf.DUMMYFUNCTION("IF(ISBLANK(B64),,IFERROR(FILTER('Leetcode分类顺序表'!B:D,'Leetcode分类顺序表'!A:A = B64),FILTER(Algoexpert.io!B:D,Algoexpert.io!A:A = B64)))"),"")</f>
        <v/>
      </c>
      <c r="D64" s="18"/>
      <c r="E64" s="18"/>
      <c r="F64" s="18"/>
      <c r="G64" s="18"/>
      <c r="H64" s="18"/>
      <c r="I64" s="18">
        <f t="shared" si="0"/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 spans="1:31">
      <c r="A65" s="19"/>
      <c r="B65" s="20"/>
      <c r="C65" s="18" t="str">
        <f ca="1">IFERROR(__xludf.DUMMYFUNCTION("IF(ISBLANK(B65),,IFERROR(FILTER('Leetcode分类顺序表'!B:D,'Leetcode分类顺序表'!A:A = B65),FILTER(Algoexpert.io!B:D,Algoexpert.io!A:A = B65)))"),"")</f>
        <v/>
      </c>
      <c r="D65" s="18"/>
      <c r="E65" s="18"/>
      <c r="F65" s="18"/>
      <c r="G65" s="18"/>
      <c r="H65" s="18"/>
      <c r="I65" s="18">
        <f t="shared" si="0"/>
        <v>0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 spans="1:31">
      <c r="A66" s="19"/>
      <c r="B66" s="20"/>
      <c r="C66" s="18" t="str">
        <f ca="1">IFERROR(__xludf.DUMMYFUNCTION("IF(ISBLANK(B66),,IFERROR(FILTER('Leetcode分类顺序表'!B:D,'Leetcode分类顺序表'!A:A = B66),FILTER(Algoexpert.io!B:D,Algoexpert.io!A:A = B66)))"),"")</f>
        <v/>
      </c>
      <c r="D66" s="18"/>
      <c r="E66" s="18"/>
      <c r="F66" s="18"/>
      <c r="G66" s="18"/>
      <c r="H66" s="18"/>
      <c r="I66" s="18">
        <f t="shared" si="0"/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1">
      <c r="A67" s="19"/>
      <c r="B67" s="20"/>
      <c r="C67" s="18" t="str">
        <f ca="1">IFERROR(__xludf.DUMMYFUNCTION("IF(ISBLANK(B67),,IFERROR(FILTER('Leetcode分类顺序表'!B:D,'Leetcode分类顺序表'!A:A = B67),FILTER(Algoexpert.io!B:D,Algoexpert.io!A:A = B67)))"),"")</f>
        <v/>
      </c>
      <c r="D67" s="18"/>
      <c r="E67" s="18"/>
      <c r="F67" s="18"/>
      <c r="G67" s="18"/>
      <c r="H67" s="18"/>
      <c r="I67" s="18">
        <f t="shared" si="0"/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1">
      <c r="A68" s="19"/>
      <c r="B68" s="20"/>
      <c r="C68" s="18" t="str">
        <f ca="1">IFERROR(__xludf.DUMMYFUNCTION("IF(ISBLANK(B68),,IFERROR(FILTER('Leetcode分类顺序表'!B:D,'Leetcode分类顺序表'!A:A = B68),FILTER(Algoexpert.io!B:D,Algoexpert.io!A:A = B68)))"),"")</f>
        <v/>
      </c>
      <c r="D68" s="18"/>
      <c r="E68" s="18"/>
      <c r="F68" s="18"/>
      <c r="G68" s="18"/>
      <c r="H68" s="18"/>
      <c r="I68" s="18">
        <f t="shared" si="0"/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1">
      <c r="A69" s="19"/>
      <c r="B69" s="20"/>
      <c r="C69" s="18" t="str">
        <f ca="1">IFERROR(__xludf.DUMMYFUNCTION("IF(ISBLANK(B69),,IFERROR(FILTER('Leetcode分类顺序表'!B:D,'Leetcode分类顺序表'!A:A = B69),FILTER(Algoexpert.io!B:D,Algoexpert.io!A:A = B69)))"),"")</f>
        <v/>
      </c>
      <c r="D69" s="18"/>
      <c r="E69" s="18"/>
      <c r="F69" s="18"/>
      <c r="G69" s="18"/>
      <c r="H69" s="18"/>
      <c r="I69" s="18">
        <f t="shared" si="0"/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1">
      <c r="A70" s="19"/>
      <c r="B70" s="20"/>
      <c r="C70" s="18" t="str">
        <f ca="1">IFERROR(__xludf.DUMMYFUNCTION("IF(ISBLANK(B70),,IFERROR(FILTER('Leetcode分类顺序表'!B:D,'Leetcode分类顺序表'!A:A = B70),FILTER(Algoexpert.io!B:D,Algoexpert.io!A:A = B70)))"),"")</f>
        <v/>
      </c>
      <c r="D70" s="18"/>
      <c r="E70" s="18"/>
      <c r="F70" s="18"/>
      <c r="G70" s="18"/>
      <c r="H70" s="18"/>
      <c r="I70" s="18">
        <f t="shared" si="0"/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spans="1:31">
      <c r="A71" s="19"/>
      <c r="B71" s="20"/>
      <c r="C71" s="18" t="str">
        <f ca="1">IFERROR(__xludf.DUMMYFUNCTION("IF(ISBLANK(B71),,IFERROR(FILTER('Leetcode分类顺序表'!B:D,'Leetcode分类顺序表'!A:A = B71),FILTER(Algoexpert.io!B:D,Algoexpert.io!A:A = B71)))"),"")</f>
        <v/>
      </c>
      <c r="D71" s="18"/>
      <c r="E71" s="18"/>
      <c r="F71" s="18"/>
      <c r="G71" s="18"/>
      <c r="H71" s="18"/>
      <c r="I71" s="18">
        <f t="shared" si="0"/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1:31">
      <c r="A72" s="19"/>
      <c r="B72" s="20"/>
      <c r="C72" s="18" t="str">
        <f ca="1">IFERROR(__xludf.DUMMYFUNCTION("IF(ISBLANK(B72),,IFERROR(FILTER('Leetcode分类顺序表'!B:D,'Leetcode分类顺序表'!A:A = B72),FILTER(Algoexpert.io!B:D,Algoexpert.io!A:A = B72)))"),"")</f>
        <v/>
      </c>
      <c r="D72" s="18"/>
      <c r="E72" s="18"/>
      <c r="F72" s="18"/>
      <c r="G72" s="18"/>
      <c r="H72" s="18"/>
      <c r="I72" s="18">
        <f t="shared" si="0"/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1:31">
      <c r="A73" s="19"/>
      <c r="B73" s="20"/>
      <c r="C73" s="18" t="str">
        <f ca="1">IFERROR(__xludf.DUMMYFUNCTION("IF(ISBLANK(B73),,IFERROR(FILTER('Leetcode分类顺序表'!B:D,'Leetcode分类顺序表'!A:A = B73),FILTER(Algoexpert.io!B:D,Algoexpert.io!A:A = B73)))"),"")</f>
        <v/>
      </c>
      <c r="D73" s="18"/>
      <c r="E73" s="18"/>
      <c r="F73" s="18"/>
      <c r="G73" s="18"/>
      <c r="H73" s="18"/>
      <c r="I73" s="18">
        <f t="shared" si="0"/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1">
      <c r="A74" s="19"/>
      <c r="B74" s="20"/>
      <c r="C74" s="18" t="str">
        <f ca="1">IFERROR(__xludf.DUMMYFUNCTION("IF(ISBLANK(B74),,IFERROR(FILTER('Leetcode分类顺序表'!B:D,'Leetcode分类顺序表'!A:A = B74),FILTER(Algoexpert.io!B:D,Algoexpert.io!A:A = B74)))"),"")</f>
        <v/>
      </c>
      <c r="D74" s="18"/>
      <c r="E74" s="18"/>
      <c r="F74" s="18"/>
      <c r="G74" s="18"/>
      <c r="H74" s="18"/>
      <c r="I74" s="18">
        <f t="shared" si="0"/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1">
      <c r="A75" s="19"/>
      <c r="B75" s="20"/>
      <c r="C75" s="18" t="str">
        <f ca="1">IFERROR(__xludf.DUMMYFUNCTION("IF(ISBLANK(B75),,IFERROR(FILTER('Leetcode分类顺序表'!B:D,'Leetcode分类顺序表'!A:A = B75),FILTER(Algoexpert.io!B:D,Algoexpert.io!A:A = B75)))"),"")</f>
        <v/>
      </c>
      <c r="D75" s="18"/>
      <c r="E75" s="18"/>
      <c r="F75" s="18"/>
      <c r="G75" s="18"/>
      <c r="H75" s="18"/>
      <c r="I75" s="18">
        <f t="shared" si="0"/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 spans="1:31">
      <c r="A76" s="19"/>
      <c r="B76" s="20"/>
      <c r="C76" s="18" t="str">
        <f ca="1">IFERROR(__xludf.DUMMYFUNCTION("IF(ISBLANK(B76),,IFERROR(FILTER('Leetcode分类顺序表'!B:D,'Leetcode分类顺序表'!A:A = B76),FILTER(Algoexpert.io!B:D,Algoexpert.io!A:A = B76)))"),"")</f>
        <v/>
      </c>
      <c r="D76" s="18"/>
      <c r="E76" s="18"/>
      <c r="F76" s="18"/>
      <c r="G76" s="18"/>
      <c r="H76" s="18"/>
      <c r="I76" s="18">
        <f t="shared" si="0"/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1">
      <c r="A77" s="19"/>
      <c r="B77" s="20"/>
      <c r="C77" s="18" t="str">
        <f ca="1">IFERROR(__xludf.DUMMYFUNCTION("IF(ISBLANK(B77),,IFERROR(FILTER('Leetcode分类顺序表'!B:D,'Leetcode分类顺序表'!A:A = B77),FILTER(Algoexpert.io!B:D,Algoexpert.io!A:A = B77)))"),"")</f>
        <v/>
      </c>
      <c r="D77" s="18"/>
      <c r="E77" s="18"/>
      <c r="F77" s="18"/>
      <c r="G77" s="18"/>
      <c r="H77" s="18"/>
      <c r="I77" s="18">
        <f t="shared" si="0"/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1">
      <c r="A78" s="19"/>
      <c r="B78" s="20"/>
      <c r="C78" s="18" t="str">
        <f ca="1">IFERROR(__xludf.DUMMYFUNCTION("IF(ISBLANK(B78),,IFERROR(FILTER('Leetcode分类顺序表'!B:D,'Leetcode分类顺序表'!A:A = B78),FILTER(Algoexpert.io!B:D,Algoexpert.io!A:A = B78)))"),"")</f>
        <v/>
      </c>
      <c r="D78" s="18"/>
      <c r="E78" s="18"/>
      <c r="F78" s="18"/>
      <c r="G78" s="18"/>
      <c r="H78" s="18"/>
      <c r="I78" s="18">
        <f t="shared" si="0"/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 spans="1:31">
      <c r="A79" s="19"/>
      <c r="B79" s="20"/>
      <c r="C79" s="18" t="str">
        <f ca="1">IFERROR(__xludf.DUMMYFUNCTION("IF(ISBLANK(B79),,IFERROR(FILTER('Leetcode分类顺序表'!B:D,'Leetcode分类顺序表'!A:A = B79),FILTER(Algoexpert.io!B:D,Algoexpert.io!A:A = B79)))"),"")</f>
        <v/>
      </c>
      <c r="D79" s="18"/>
      <c r="E79" s="18"/>
      <c r="F79" s="18"/>
      <c r="G79" s="18"/>
      <c r="H79" s="18"/>
      <c r="I79" s="18">
        <f t="shared" si="0"/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1">
      <c r="A80" s="19"/>
      <c r="B80" s="20"/>
      <c r="C80" s="18" t="str">
        <f ca="1">IFERROR(__xludf.DUMMYFUNCTION("IF(ISBLANK(B80),,IFERROR(FILTER('Leetcode分类顺序表'!B:D,'Leetcode分类顺序表'!A:A = B80),FILTER(Algoexpert.io!B:D,Algoexpert.io!A:A = B80)))"),"")</f>
        <v/>
      </c>
      <c r="D80" s="18"/>
      <c r="E80" s="18"/>
      <c r="F80" s="18"/>
      <c r="G80" s="18"/>
      <c r="H80" s="18"/>
      <c r="I80" s="18">
        <f t="shared" si="0"/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1">
      <c r="A81" s="19"/>
      <c r="B81" s="20"/>
      <c r="C81" s="18" t="str">
        <f ca="1">IFERROR(__xludf.DUMMYFUNCTION("IF(ISBLANK(B81),,IFERROR(FILTER('Leetcode分类顺序表'!B:D,'Leetcode分类顺序表'!A:A = B81),FILTER(Algoexpert.io!B:D,Algoexpert.io!A:A = B81)))"),"")</f>
        <v/>
      </c>
      <c r="D81" s="18"/>
      <c r="E81" s="18"/>
      <c r="F81" s="18"/>
      <c r="G81" s="18"/>
      <c r="H81" s="18"/>
      <c r="I81" s="18">
        <f t="shared" si="0"/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 spans="1:31">
      <c r="A82" s="19"/>
      <c r="B82" s="20"/>
      <c r="C82" s="18" t="str">
        <f ca="1">IFERROR(__xludf.DUMMYFUNCTION("IF(ISBLANK(B82),,IFERROR(FILTER('Leetcode分类顺序表'!B:D,'Leetcode分类顺序表'!A:A = B82),FILTER(Algoexpert.io!B:D,Algoexpert.io!A:A = B82)))"),"")</f>
        <v/>
      </c>
      <c r="D82" s="18"/>
      <c r="E82" s="18"/>
      <c r="F82" s="18"/>
      <c r="G82" s="18"/>
      <c r="H82" s="18"/>
      <c r="I82" s="18">
        <f t="shared" si="0"/>
        <v>0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1">
      <c r="A83" s="19"/>
      <c r="B83" s="20"/>
      <c r="C83" s="18" t="str">
        <f ca="1">IFERROR(__xludf.DUMMYFUNCTION("IF(ISBLANK(B83),,IFERROR(FILTER('Leetcode分类顺序表'!B:D,'Leetcode分类顺序表'!A:A = B83),FILTER(Algoexpert.io!B:D,Algoexpert.io!A:A = B83)))"),"")</f>
        <v/>
      </c>
      <c r="D83" s="18"/>
      <c r="E83" s="18"/>
      <c r="F83" s="18"/>
      <c r="G83" s="18"/>
      <c r="H83" s="18"/>
      <c r="I83" s="18">
        <f t="shared" si="0"/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 spans="1:31">
      <c r="A84" s="19"/>
      <c r="B84" s="20"/>
      <c r="C84" s="18" t="str">
        <f ca="1">IFERROR(__xludf.DUMMYFUNCTION("IF(ISBLANK(B84),,IFERROR(FILTER('Leetcode分类顺序表'!B:D,'Leetcode分类顺序表'!A:A = B84),FILTER(Algoexpert.io!B:D,Algoexpert.io!A:A = B84)))"),"")</f>
        <v/>
      </c>
      <c r="D84" s="18"/>
      <c r="E84" s="18"/>
      <c r="F84" s="18"/>
      <c r="G84" s="18"/>
      <c r="H84" s="18"/>
      <c r="I84" s="18">
        <f t="shared" si="0"/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 spans="1:31">
      <c r="A85" s="19"/>
      <c r="B85" s="20"/>
      <c r="C85" s="18" t="str">
        <f ca="1">IFERROR(__xludf.DUMMYFUNCTION("IF(ISBLANK(B85),,IFERROR(FILTER('Leetcode分类顺序表'!B:D,'Leetcode分类顺序表'!A:A = B85),FILTER(Algoexpert.io!B:D,Algoexpert.io!A:A = B85)))"),"")</f>
        <v/>
      </c>
      <c r="D85" s="18"/>
      <c r="E85" s="18"/>
      <c r="F85" s="18"/>
      <c r="G85" s="18"/>
      <c r="H85" s="18"/>
      <c r="I85" s="18">
        <f t="shared" si="0"/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 spans="1:31">
      <c r="A86" s="19"/>
      <c r="B86" s="20"/>
      <c r="C86" s="18" t="str">
        <f ca="1">IFERROR(__xludf.DUMMYFUNCTION("IF(ISBLANK(B86),,IFERROR(FILTER('Leetcode分类顺序表'!B:D,'Leetcode分类顺序表'!A:A = B86),FILTER(Algoexpert.io!B:D,Algoexpert.io!A:A = B86)))"),"")</f>
        <v/>
      </c>
      <c r="D86" s="18"/>
      <c r="E86" s="18"/>
      <c r="F86" s="18"/>
      <c r="G86" s="18"/>
      <c r="H86" s="18"/>
      <c r="I86" s="18">
        <f t="shared" si="0"/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 spans="1:31">
      <c r="A87" s="19"/>
      <c r="B87" s="20"/>
      <c r="C87" s="18" t="str">
        <f ca="1">IFERROR(__xludf.DUMMYFUNCTION("IF(ISBLANK(B87),,IFERROR(FILTER('Leetcode分类顺序表'!B:D,'Leetcode分类顺序表'!A:A = B87),FILTER(Algoexpert.io!B:D,Algoexpert.io!A:A = B87)))"),"")</f>
        <v/>
      </c>
      <c r="D87" s="18"/>
      <c r="E87" s="18"/>
      <c r="F87" s="18"/>
      <c r="G87" s="18"/>
      <c r="H87" s="18"/>
      <c r="I87" s="18">
        <f t="shared" si="0"/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 spans="1:31">
      <c r="A88" s="19"/>
      <c r="B88" s="20"/>
      <c r="C88" s="18" t="str">
        <f ca="1">IFERROR(__xludf.DUMMYFUNCTION("IF(ISBLANK(B88),,IFERROR(FILTER('Leetcode分类顺序表'!B:D,'Leetcode分类顺序表'!A:A = B88),FILTER(Algoexpert.io!B:D,Algoexpert.io!A:A = B88)))"),"")</f>
        <v/>
      </c>
      <c r="D88" s="18"/>
      <c r="E88" s="18"/>
      <c r="F88" s="18"/>
      <c r="G88" s="18"/>
      <c r="H88" s="18"/>
      <c r="I88" s="18">
        <f t="shared" si="0"/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 spans="1:31">
      <c r="A89" s="19"/>
      <c r="B89" s="20"/>
      <c r="C89" s="18" t="str">
        <f ca="1">IFERROR(__xludf.DUMMYFUNCTION("IF(ISBLANK(B89),,IFERROR(FILTER('Leetcode分类顺序表'!B:D,'Leetcode分类顺序表'!A:A = B89),FILTER(Algoexpert.io!B:D,Algoexpert.io!A:A = B89)))"),"")</f>
        <v/>
      </c>
      <c r="D89" s="18"/>
      <c r="E89" s="18"/>
      <c r="F89" s="18"/>
      <c r="G89" s="18"/>
      <c r="H89" s="18"/>
      <c r="I89" s="18">
        <f t="shared" si="0"/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 spans="1:31">
      <c r="A90" s="19"/>
      <c r="B90" s="20"/>
      <c r="C90" s="18" t="str">
        <f ca="1">IFERROR(__xludf.DUMMYFUNCTION("IF(ISBLANK(B90),,IFERROR(FILTER('Leetcode分类顺序表'!B:D,'Leetcode分类顺序表'!A:A = B90),FILTER(Algoexpert.io!B:D,Algoexpert.io!A:A = B90)))"),"")</f>
        <v/>
      </c>
      <c r="D90" s="18"/>
      <c r="E90" s="18"/>
      <c r="F90" s="18"/>
      <c r="G90" s="18"/>
      <c r="H90" s="18"/>
      <c r="I90" s="18">
        <f t="shared" si="0"/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 spans="1:31">
      <c r="A91" s="19"/>
      <c r="B91" s="20"/>
      <c r="C91" s="18" t="str">
        <f ca="1">IFERROR(__xludf.DUMMYFUNCTION("IF(ISBLANK(B91),,IFERROR(FILTER('Leetcode分类顺序表'!B:D,'Leetcode分类顺序表'!A:A = B91),FILTER(Algoexpert.io!B:D,Algoexpert.io!A:A = B91)))"),"")</f>
        <v/>
      </c>
      <c r="D91" s="18"/>
      <c r="E91" s="18"/>
      <c r="F91" s="18"/>
      <c r="G91" s="18"/>
      <c r="H91" s="18"/>
      <c r="I91" s="18">
        <f t="shared" si="0"/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 spans="1:31">
      <c r="A92" s="19"/>
      <c r="B92" s="20"/>
      <c r="C92" s="18" t="str">
        <f ca="1">IFERROR(__xludf.DUMMYFUNCTION("IF(ISBLANK(B92),,IFERROR(FILTER('Leetcode分类顺序表'!B:D,'Leetcode分类顺序表'!A:A = B92),FILTER(Algoexpert.io!B:D,Algoexpert.io!A:A = B92)))"),"")</f>
        <v/>
      </c>
      <c r="D92" s="18"/>
      <c r="E92" s="18"/>
      <c r="F92" s="18"/>
      <c r="G92" s="18"/>
      <c r="H92" s="18"/>
      <c r="I92" s="18">
        <f t="shared" si="0"/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 spans="1:31">
      <c r="A93" s="19"/>
      <c r="B93" s="20"/>
      <c r="C93" s="18" t="str">
        <f ca="1">IFERROR(__xludf.DUMMYFUNCTION("IF(ISBLANK(B93),,IFERROR(FILTER('Leetcode分类顺序表'!B:D,'Leetcode分类顺序表'!A:A = B93),FILTER(Algoexpert.io!B:D,Algoexpert.io!A:A = B93)))"),"")</f>
        <v/>
      </c>
      <c r="D93" s="18"/>
      <c r="E93" s="18"/>
      <c r="F93" s="18"/>
      <c r="G93" s="18"/>
      <c r="H93" s="18"/>
      <c r="I93" s="18">
        <f t="shared" si="0"/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 spans="1:31">
      <c r="A94" s="19"/>
      <c r="B94" s="20"/>
      <c r="C94" s="18" t="str">
        <f ca="1">IFERROR(__xludf.DUMMYFUNCTION("IF(ISBLANK(B94),,IFERROR(FILTER('Leetcode分类顺序表'!B:D,'Leetcode分类顺序表'!A:A = B94),FILTER(Algoexpert.io!B:D,Algoexpert.io!A:A = B94)))"),"")</f>
        <v/>
      </c>
      <c r="D94" s="18"/>
      <c r="E94" s="18"/>
      <c r="F94" s="18"/>
      <c r="G94" s="18"/>
      <c r="H94" s="18"/>
      <c r="I94" s="18">
        <f t="shared" si="0"/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 spans="1:31">
      <c r="A95" s="19"/>
      <c r="B95" s="20"/>
      <c r="C95" s="18" t="str">
        <f ca="1">IFERROR(__xludf.DUMMYFUNCTION("IF(ISBLANK(B95),,IFERROR(FILTER('Leetcode分类顺序表'!B:D,'Leetcode分类顺序表'!A:A = B95),FILTER(Algoexpert.io!B:D,Algoexpert.io!A:A = B95)))"),"")</f>
        <v/>
      </c>
      <c r="D95" s="18"/>
      <c r="E95" s="18"/>
      <c r="F95" s="18"/>
      <c r="G95" s="18"/>
      <c r="H95" s="18"/>
      <c r="I95" s="18">
        <f t="shared" si="0"/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 spans="1:31">
      <c r="A96" s="19"/>
      <c r="B96" s="20"/>
      <c r="C96" s="18" t="str">
        <f ca="1">IFERROR(__xludf.DUMMYFUNCTION("IF(ISBLANK(B96),,IFERROR(FILTER('Leetcode分类顺序表'!B:D,'Leetcode分类顺序表'!A:A = B96),FILTER(Algoexpert.io!B:D,Algoexpert.io!A:A = B96)))"),"")</f>
        <v/>
      </c>
      <c r="D96" s="18"/>
      <c r="E96" s="18"/>
      <c r="F96" s="18"/>
      <c r="G96" s="18"/>
      <c r="H96" s="18"/>
      <c r="I96" s="18">
        <f t="shared" si="0"/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 spans="1:31">
      <c r="A97" s="19"/>
      <c r="B97" s="20"/>
      <c r="C97" s="18" t="str">
        <f ca="1">IFERROR(__xludf.DUMMYFUNCTION("IF(ISBLANK(B97),,IFERROR(FILTER('Leetcode分类顺序表'!B:D,'Leetcode分类顺序表'!A:A = B97),FILTER(Algoexpert.io!B:D,Algoexpert.io!A:A = B97)))"),"")</f>
        <v/>
      </c>
      <c r="D97" s="18"/>
      <c r="E97" s="18"/>
      <c r="F97" s="18"/>
      <c r="G97" s="18"/>
      <c r="H97" s="18"/>
      <c r="I97" s="18">
        <f t="shared" si="0"/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1:31">
      <c r="A98" s="19"/>
      <c r="B98" s="20"/>
      <c r="C98" s="18" t="str">
        <f ca="1">IFERROR(__xludf.DUMMYFUNCTION("IF(ISBLANK(B98),,IFERROR(FILTER('Leetcode分类顺序表'!B:D,'Leetcode分类顺序表'!A:A = B98),FILTER(Algoexpert.io!B:D,Algoexpert.io!A:A = B98)))"),"")</f>
        <v/>
      </c>
      <c r="D98" s="18"/>
      <c r="E98" s="18"/>
      <c r="F98" s="18"/>
      <c r="G98" s="18"/>
      <c r="H98" s="18"/>
      <c r="I98" s="18">
        <f t="shared" si="0"/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1:31">
      <c r="A99" s="19"/>
      <c r="B99" s="20"/>
      <c r="C99" s="18" t="str">
        <f ca="1">IFERROR(__xludf.DUMMYFUNCTION("IF(ISBLANK(B99),,IFERROR(FILTER('Leetcode分类顺序表'!B:D,'Leetcode分类顺序表'!A:A = B99),FILTER(Algoexpert.io!B:D,Algoexpert.io!A:A = B99)))"),"")</f>
        <v/>
      </c>
      <c r="D99" s="18"/>
      <c r="E99" s="18"/>
      <c r="F99" s="18"/>
      <c r="G99" s="18"/>
      <c r="H99" s="18"/>
      <c r="I99" s="18">
        <f t="shared" si="0"/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1:31">
      <c r="A100" s="19"/>
      <c r="B100" s="20"/>
      <c r="C100" s="18" t="str">
        <f ca="1">IFERROR(__xludf.DUMMYFUNCTION("IF(ISBLANK(B100),,IFERROR(FILTER('Leetcode分类顺序表'!B:D,'Leetcode分类顺序表'!A:A = B100),FILTER(Algoexpert.io!B:D,Algoexpert.io!A:A = B100)))"),"")</f>
        <v/>
      </c>
      <c r="D100" s="18"/>
      <c r="E100" s="18"/>
      <c r="F100" s="18"/>
      <c r="G100" s="18"/>
      <c r="H100" s="18"/>
      <c r="I100" s="18">
        <f t="shared" si="0"/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 spans="1:31">
      <c r="A101" s="19"/>
      <c r="B101" s="20"/>
      <c r="C101" s="18" t="str">
        <f ca="1">IFERROR(__xludf.DUMMYFUNCTION("IF(ISBLANK(B101),,IFERROR(FILTER('Leetcode分类顺序表'!B:D,'Leetcode分类顺序表'!A:A = B101),FILTER(Algoexpert.io!B:D,Algoexpert.io!A:A = B101)))"),"")</f>
        <v/>
      </c>
      <c r="D101" s="18"/>
      <c r="E101" s="18"/>
      <c r="F101" s="18"/>
      <c r="G101" s="18"/>
      <c r="H101" s="18"/>
      <c r="I101" s="18">
        <f t="shared" si="0"/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 spans="1:31">
      <c r="A102" s="19"/>
      <c r="B102" s="20"/>
      <c r="C102" s="18" t="str">
        <f ca="1">IFERROR(__xludf.DUMMYFUNCTION("IF(ISBLANK(B102),,IFERROR(FILTER('Leetcode分类顺序表'!B:D,'Leetcode分类顺序表'!A:A = B102),FILTER(Algoexpert.io!B:D,Algoexpert.io!A:A = B102)))"),"")</f>
        <v/>
      </c>
      <c r="D102" s="18"/>
      <c r="E102" s="18"/>
      <c r="F102" s="18"/>
      <c r="G102" s="18"/>
      <c r="H102" s="18"/>
      <c r="I102" s="18">
        <f t="shared" si="0"/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spans="1:31">
      <c r="A103" s="19"/>
      <c r="B103" s="20"/>
      <c r="C103" s="18" t="str">
        <f ca="1">IFERROR(__xludf.DUMMYFUNCTION("IF(ISBLANK(B103),,IFERROR(FILTER('Leetcode分类顺序表'!B:D,'Leetcode分类顺序表'!A:A = B103),FILTER(Algoexpert.io!B:D,Algoexpert.io!A:A = B103)))"),"")</f>
        <v/>
      </c>
      <c r="D103" s="18"/>
      <c r="E103" s="18"/>
      <c r="F103" s="18"/>
      <c r="G103" s="18"/>
      <c r="H103" s="18"/>
      <c r="I103" s="18">
        <f t="shared" si="0"/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1:31">
      <c r="A104" s="19"/>
      <c r="B104" s="20"/>
      <c r="C104" s="18" t="str">
        <f ca="1">IFERROR(__xludf.DUMMYFUNCTION("IF(ISBLANK(B104),,IFERROR(FILTER('Leetcode分类顺序表'!B:D,'Leetcode分类顺序表'!A:A = B104),FILTER(Algoexpert.io!B:D,Algoexpert.io!A:A = B104)))"),"")</f>
        <v/>
      </c>
      <c r="D104" s="18"/>
      <c r="E104" s="18"/>
      <c r="F104" s="18"/>
      <c r="G104" s="18"/>
      <c r="H104" s="18"/>
      <c r="I104" s="18">
        <f t="shared" si="0"/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1:31">
      <c r="A105" s="19"/>
      <c r="B105" s="20"/>
      <c r="C105" s="18" t="str">
        <f ca="1">IFERROR(__xludf.DUMMYFUNCTION("IF(ISBLANK(B105),,IFERROR(FILTER('Leetcode分类顺序表'!B:D,'Leetcode分类顺序表'!A:A = B105),FILTER(Algoexpert.io!B:D,Algoexpert.io!A:A = B105)))"),"")</f>
        <v/>
      </c>
      <c r="D105" s="18"/>
      <c r="E105" s="18"/>
      <c r="F105" s="18"/>
      <c r="G105" s="18"/>
      <c r="H105" s="18"/>
      <c r="I105" s="18">
        <f t="shared" si="0"/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1:31">
      <c r="A106" s="19"/>
      <c r="B106" s="20"/>
      <c r="C106" s="18" t="str">
        <f ca="1">IFERROR(__xludf.DUMMYFUNCTION("IF(ISBLANK(B106),,IFERROR(FILTER('Leetcode分类顺序表'!B:D,'Leetcode分类顺序表'!A:A = B106),FILTER(Algoexpert.io!B:D,Algoexpert.io!A:A = B106)))"),"")</f>
        <v/>
      </c>
      <c r="D106" s="18"/>
      <c r="E106" s="18"/>
      <c r="F106" s="18"/>
      <c r="G106" s="18"/>
      <c r="H106" s="18"/>
      <c r="I106" s="18">
        <f t="shared" si="0"/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 spans="1:31">
      <c r="A107" s="19"/>
      <c r="B107" s="20"/>
      <c r="C107" s="18" t="str">
        <f ca="1">IFERROR(__xludf.DUMMYFUNCTION("IF(ISBLANK(B107),,IFERROR(FILTER('Leetcode分类顺序表'!B:D,'Leetcode分类顺序表'!A:A = B107),FILTER(Algoexpert.io!B:D,Algoexpert.io!A:A = B107)))"),"")</f>
        <v/>
      </c>
      <c r="D107" s="18"/>
      <c r="E107" s="18"/>
      <c r="F107" s="18"/>
      <c r="G107" s="18"/>
      <c r="H107" s="18"/>
      <c r="I107" s="18">
        <f t="shared" si="0"/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 spans="1:31">
      <c r="A108" s="19"/>
      <c r="B108" s="20"/>
      <c r="C108" s="18" t="str">
        <f ca="1">IFERROR(__xludf.DUMMYFUNCTION("IF(ISBLANK(B108),,IFERROR(FILTER('Leetcode分类顺序表'!B:D,'Leetcode分类顺序表'!A:A = B108),FILTER(Algoexpert.io!B:D,Algoexpert.io!A:A = B108)))"),"")</f>
        <v/>
      </c>
      <c r="D108" s="18"/>
      <c r="E108" s="18"/>
      <c r="F108" s="18"/>
      <c r="G108" s="18"/>
      <c r="H108" s="18"/>
      <c r="I108" s="18">
        <f t="shared" si="0"/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spans="1:31">
      <c r="A109" s="19"/>
      <c r="B109" s="20"/>
      <c r="C109" s="18" t="str">
        <f ca="1">IFERROR(__xludf.DUMMYFUNCTION("IF(ISBLANK(B109),,IFERROR(FILTER('Leetcode分类顺序表'!B:D,'Leetcode分类顺序表'!A:A = B109),FILTER(Algoexpert.io!B:D,Algoexpert.io!A:A = B109)))"),"")</f>
        <v/>
      </c>
      <c r="D109" s="18"/>
      <c r="E109" s="18"/>
      <c r="F109" s="18"/>
      <c r="G109" s="18"/>
      <c r="H109" s="18"/>
      <c r="I109" s="18">
        <f t="shared" si="0"/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 spans="1:31">
      <c r="A110" s="19"/>
      <c r="B110" s="20"/>
      <c r="C110" s="18" t="str">
        <f ca="1">IFERROR(__xludf.DUMMYFUNCTION("IF(ISBLANK(B110),,IFERROR(FILTER('Leetcode分类顺序表'!B:D,'Leetcode分类顺序表'!A:A = B110),FILTER(Algoexpert.io!B:D,Algoexpert.io!A:A = B110)))"),"")</f>
        <v/>
      </c>
      <c r="D110" s="18"/>
      <c r="E110" s="18"/>
      <c r="F110" s="18"/>
      <c r="G110" s="18"/>
      <c r="H110" s="18"/>
      <c r="I110" s="18">
        <f t="shared" si="0"/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spans="1:31">
      <c r="A111" s="19"/>
      <c r="B111" s="20"/>
      <c r="C111" s="18" t="str">
        <f ca="1">IFERROR(__xludf.DUMMYFUNCTION("IF(ISBLANK(B111),,IFERROR(FILTER('Leetcode分类顺序表'!B:D,'Leetcode分类顺序表'!A:A = B111),FILTER(Algoexpert.io!B:D,Algoexpert.io!A:A = B111)))"),"")</f>
        <v/>
      </c>
      <c r="D111" s="18"/>
      <c r="E111" s="18"/>
      <c r="F111" s="18"/>
      <c r="G111" s="18"/>
      <c r="H111" s="18"/>
      <c r="I111" s="18">
        <f t="shared" si="0"/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spans="1:31">
      <c r="A112" s="19"/>
      <c r="B112" s="20"/>
      <c r="C112" s="18" t="str">
        <f ca="1">IFERROR(__xludf.DUMMYFUNCTION("IF(ISBLANK(B112),,IFERROR(FILTER('Leetcode分类顺序表'!B:D,'Leetcode分类顺序表'!A:A = B112),FILTER(Algoexpert.io!B:D,Algoexpert.io!A:A = B112)))"),"")</f>
        <v/>
      </c>
      <c r="D112" s="18"/>
      <c r="E112" s="18"/>
      <c r="F112" s="18"/>
      <c r="G112" s="18"/>
      <c r="H112" s="18"/>
      <c r="I112" s="18">
        <f t="shared" si="0"/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spans="1:31">
      <c r="A113" s="19"/>
      <c r="B113" s="20"/>
      <c r="C113" s="18" t="str">
        <f ca="1">IFERROR(__xludf.DUMMYFUNCTION("IF(ISBLANK(B113),,IFERROR(FILTER('Leetcode分类顺序表'!B:D,'Leetcode分类顺序表'!A:A = B113),FILTER(Algoexpert.io!B:D,Algoexpert.io!A:A = B113)))"),"")</f>
        <v/>
      </c>
      <c r="D113" s="18"/>
      <c r="E113" s="18"/>
      <c r="F113" s="18"/>
      <c r="G113" s="18"/>
      <c r="H113" s="18"/>
      <c r="I113" s="18">
        <f t="shared" si="0"/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 spans="1:31">
      <c r="A114" s="19"/>
      <c r="B114" s="20"/>
      <c r="C114" s="18" t="str">
        <f ca="1">IFERROR(__xludf.DUMMYFUNCTION("IF(ISBLANK(B114),,IFERROR(FILTER('Leetcode分类顺序表'!B:D,'Leetcode分类顺序表'!A:A = B114),FILTER(Algoexpert.io!B:D,Algoexpert.io!A:A = B114)))"),"")</f>
        <v/>
      </c>
      <c r="D114" s="18"/>
      <c r="E114" s="18"/>
      <c r="F114" s="18"/>
      <c r="G114" s="18"/>
      <c r="H114" s="18"/>
      <c r="I114" s="18">
        <f t="shared" si="0"/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 spans="1:31">
      <c r="A115" s="19"/>
      <c r="B115" s="20"/>
      <c r="C115" s="18" t="str">
        <f ca="1">IFERROR(__xludf.DUMMYFUNCTION("IF(ISBLANK(B115),,IFERROR(FILTER('Leetcode分类顺序表'!B:D,'Leetcode分类顺序表'!A:A = B115),FILTER(Algoexpert.io!B:D,Algoexpert.io!A:A = B115)))"),"")</f>
        <v/>
      </c>
      <c r="D115" s="18"/>
      <c r="E115" s="18"/>
      <c r="F115" s="18"/>
      <c r="G115" s="18"/>
      <c r="H115" s="18"/>
      <c r="I115" s="18">
        <f t="shared" si="0"/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 spans="1:31">
      <c r="A116" s="19"/>
      <c r="B116" s="20"/>
      <c r="C116" s="18" t="str">
        <f ca="1">IFERROR(__xludf.DUMMYFUNCTION("IF(ISBLANK(B116),,IFERROR(FILTER('Leetcode分类顺序表'!B:D,'Leetcode分类顺序表'!A:A = B116),FILTER(Algoexpert.io!B:D,Algoexpert.io!A:A = B116)))"),"")</f>
        <v/>
      </c>
      <c r="D116" s="18"/>
      <c r="E116" s="18"/>
      <c r="F116" s="18"/>
      <c r="G116" s="18"/>
      <c r="H116" s="18"/>
      <c r="I116" s="18">
        <f t="shared" si="0"/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 spans="1:31">
      <c r="A117" s="19"/>
      <c r="B117" s="20"/>
      <c r="C117" s="18" t="str">
        <f ca="1">IFERROR(__xludf.DUMMYFUNCTION("IF(ISBLANK(B117),,IFERROR(FILTER('Leetcode分类顺序表'!B:D,'Leetcode分类顺序表'!A:A = B117),FILTER(Algoexpert.io!B:D,Algoexpert.io!A:A = B117)))"),"")</f>
        <v/>
      </c>
      <c r="D117" s="18"/>
      <c r="E117" s="18"/>
      <c r="F117" s="18"/>
      <c r="G117" s="18"/>
      <c r="H117" s="18"/>
      <c r="I117" s="18">
        <f t="shared" si="0"/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 spans="1:31">
      <c r="A118" s="19"/>
      <c r="B118" s="20"/>
      <c r="C118" s="18" t="str">
        <f ca="1">IFERROR(__xludf.DUMMYFUNCTION("IF(ISBLANK(B118),,IFERROR(FILTER('Leetcode分类顺序表'!B:D,'Leetcode分类顺序表'!A:A = B118),FILTER(Algoexpert.io!B:D,Algoexpert.io!A:A = B118)))"),"")</f>
        <v/>
      </c>
      <c r="D118" s="18"/>
      <c r="E118" s="18"/>
      <c r="F118" s="18"/>
      <c r="G118" s="18"/>
      <c r="H118" s="18"/>
      <c r="I118" s="18">
        <f t="shared" si="0"/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spans="1:31">
      <c r="A119" s="19"/>
      <c r="B119" s="20"/>
      <c r="C119" s="18" t="str">
        <f ca="1">IFERROR(__xludf.DUMMYFUNCTION("IF(ISBLANK(B119),,IFERROR(FILTER('Leetcode分类顺序表'!B:D,'Leetcode分类顺序表'!A:A = B119),FILTER(Algoexpert.io!B:D,Algoexpert.io!A:A = B119)))"),"")</f>
        <v/>
      </c>
      <c r="D119" s="18"/>
      <c r="E119" s="18"/>
      <c r="F119" s="18"/>
      <c r="G119" s="18"/>
      <c r="H119" s="18"/>
      <c r="I119" s="18">
        <f t="shared" si="0"/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1:31">
      <c r="A120" s="19"/>
      <c r="B120" s="20"/>
      <c r="C120" s="18" t="str">
        <f ca="1">IFERROR(__xludf.DUMMYFUNCTION("IF(ISBLANK(B120),,IFERROR(FILTER('Leetcode分类顺序表'!B:D,'Leetcode分类顺序表'!A:A = B120),FILTER(Algoexpert.io!B:D,Algoexpert.io!A:A = B120)))"),"")</f>
        <v/>
      </c>
      <c r="D120" s="18"/>
      <c r="E120" s="18"/>
      <c r="F120" s="18"/>
      <c r="G120" s="18"/>
      <c r="H120" s="18"/>
      <c r="I120" s="18">
        <f t="shared" si="0"/>
        <v>0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 spans="1:31">
      <c r="A121" s="19"/>
      <c r="B121" s="20"/>
      <c r="C121" s="18" t="str">
        <f ca="1">IFERROR(__xludf.DUMMYFUNCTION("IF(ISBLANK(B121),,IFERROR(FILTER('Leetcode分类顺序表'!B:D,'Leetcode分类顺序表'!A:A = B121),FILTER(Algoexpert.io!B:D,Algoexpert.io!A:A = B121)))"),"")</f>
        <v/>
      </c>
      <c r="D121" s="18"/>
      <c r="E121" s="18"/>
      <c r="F121" s="18"/>
      <c r="G121" s="18"/>
      <c r="H121" s="18"/>
      <c r="I121" s="18">
        <f t="shared" si="0"/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 spans="1:31">
      <c r="A122" s="19"/>
      <c r="B122" s="20"/>
      <c r="C122" s="18" t="str">
        <f ca="1">IFERROR(__xludf.DUMMYFUNCTION("IF(ISBLANK(B122),,IFERROR(FILTER('Leetcode分类顺序表'!B:D,'Leetcode分类顺序表'!A:A = B122),FILTER(Algoexpert.io!B:D,Algoexpert.io!A:A = B122)))"),"")</f>
        <v/>
      </c>
      <c r="D122" s="18"/>
      <c r="E122" s="18"/>
      <c r="F122" s="18"/>
      <c r="G122" s="18"/>
      <c r="H122" s="18"/>
      <c r="I122" s="18">
        <f t="shared" si="0"/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 spans="1:31">
      <c r="A123" s="19"/>
      <c r="B123" s="20"/>
      <c r="C123" s="18" t="str">
        <f ca="1">IFERROR(__xludf.DUMMYFUNCTION("IF(ISBLANK(B123),,IFERROR(FILTER('Leetcode分类顺序表'!B:D,'Leetcode分类顺序表'!A:A = B123),FILTER(Algoexpert.io!B:D,Algoexpert.io!A:A = B123)))"),"")</f>
        <v/>
      </c>
      <c r="D123" s="18"/>
      <c r="E123" s="18"/>
      <c r="F123" s="18"/>
      <c r="G123" s="18"/>
      <c r="H123" s="18"/>
      <c r="I123" s="18">
        <f t="shared" si="0"/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 spans="1:31">
      <c r="A124" s="19"/>
      <c r="B124" s="20"/>
      <c r="C124" s="18" t="str">
        <f ca="1">IFERROR(__xludf.DUMMYFUNCTION("IF(ISBLANK(B124),,IFERROR(FILTER('Leetcode分类顺序表'!B:D,'Leetcode分类顺序表'!A:A = B124),FILTER(Algoexpert.io!B:D,Algoexpert.io!A:A = B124)))"),"")</f>
        <v/>
      </c>
      <c r="D124" s="18"/>
      <c r="E124" s="18"/>
      <c r="F124" s="18"/>
      <c r="G124" s="18"/>
      <c r="H124" s="18"/>
      <c r="I124" s="18">
        <f t="shared" si="0"/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 spans="1:31">
      <c r="A125" s="19"/>
      <c r="B125" s="20"/>
      <c r="C125" s="18" t="str">
        <f ca="1">IFERROR(__xludf.DUMMYFUNCTION("IF(ISBLANK(B125),,IFERROR(FILTER('Leetcode分类顺序表'!B:D,'Leetcode分类顺序表'!A:A = B125),FILTER(Algoexpert.io!B:D,Algoexpert.io!A:A = B125)))"),"")</f>
        <v/>
      </c>
      <c r="D125" s="18"/>
      <c r="E125" s="18"/>
      <c r="F125" s="18"/>
      <c r="G125" s="18"/>
      <c r="H125" s="18"/>
      <c r="I125" s="18">
        <f t="shared" si="0"/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 spans="1:31">
      <c r="A126" s="19"/>
      <c r="B126" s="20"/>
      <c r="C126" s="18" t="str">
        <f ca="1">IFERROR(__xludf.DUMMYFUNCTION("IF(ISBLANK(B126),,IFERROR(FILTER('Leetcode分类顺序表'!B:D,'Leetcode分类顺序表'!A:A = B126),FILTER(Algoexpert.io!B:D,Algoexpert.io!A:A = B126)))"),"")</f>
        <v/>
      </c>
      <c r="D126" s="18"/>
      <c r="E126" s="18"/>
      <c r="F126" s="18"/>
      <c r="G126" s="18"/>
      <c r="H126" s="18"/>
      <c r="I126" s="18">
        <f t="shared" si="0"/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 spans="1:31">
      <c r="A127" s="19"/>
      <c r="B127" s="20"/>
      <c r="C127" s="18" t="str">
        <f ca="1">IFERROR(__xludf.DUMMYFUNCTION("IF(ISBLANK(B127),,IFERROR(FILTER('Leetcode分类顺序表'!B:D,'Leetcode分类顺序表'!A:A = B127),FILTER(Algoexpert.io!B:D,Algoexpert.io!A:A = B127)))"),"")</f>
        <v/>
      </c>
      <c r="D127" s="18"/>
      <c r="E127" s="18"/>
      <c r="F127" s="18"/>
      <c r="G127" s="18"/>
      <c r="H127" s="18"/>
      <c r="I127" s="18">
        <f t="shared" si="0"/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 spans="1:31">
      <c r="A128" s="19"/>
      <c r="B128" s="20"/>
      <c r="C128" s="18" t="str">
        <f ca="1">IFERROR(__xludf.DUMMYFUNCTION("IF(ISBLANK(B128),,IFERROR(FILTER('Leetcode分类顺序表'!B:D,'Leetcode分类顺序表'!A:A = B128),FILTER(Algoexpert.io!B:D,Algoexpert.io!A:A = B128)))"),"")</f>
        <v/>
      </c>
      <c r="D128" s="18"/>
      <c r="E128" s="18"/>
      <c r="F128" s="18"/>
      <c r="G128" s="18"/>
      <c r="H128" s="18"/>
      <c r="I128" s="18">
        <f t="shared" si="0"/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spans="1:31">
      <c r="A129" s="19"/>
      <c r="B129" s="20"/>
      <c r="C129" s="18" t="str">
        <f ca="1">IFERROR(__xludf.DUMMYFUNCTION("IF(ISBLANK(B129),,IFERROR(FILTER('Leetcode分类顺序表'!B:D,'Leetcode分类顺序表'!A:A = B129),FILTER(Algoexpert.io!B:D,Algoexpert.io!A:A = B129)))"),"")</f>
        <v/>
      </c>
      <c r="D129" s="18"/>
      <c r="E129" s="18"/>
      <c r="F129" s="18"/>
      <c r="G129" s="18"/>
      <c r="H129" s="18"/>
      <c r="I129" s="18">
        <f t="shared" si="0"/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 spans="1:31">
      <c r="A130" s="19"/>
      <c r="B130" s="20"/>
      <c r="C130" s="18" t="str">
        <f ca="1">IFERROR(__xludf.DUMMYFUNCTION("IF(ISBLANK(B130),,IFERROR(FILTER('Leetcode分类顺序表'!B:D,'Leetcode分类顺序表'!A:A = B130),FILTER(Algoexpert.io!B:D,Algoexpert.io!A:A = B130)))"),"")</f>
        <v/>
      </c>
      <c r="D130" s="18"/>
      <c r="E130" s="18"/>
      <c r="F130" s="18"/>
      <c r="G130" s="18"/>
      <c r="H130" s="18"/>
      <c r="I130" s="18">
        <f t="shared" si="0"/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 spans="1:31">
      <c r="A131" s="19"/>
      <c r="B131" s="20"/>
      <c r="C131" s="18" t="str">
        <f ca="1">IFERROR(__xludf.DUMMYFUNCTION("IF(ISBLANK(B131),,IFERROR(FILTER('Leetcode分类顺序表'!B:D,'Leetcode分类顺序表'!A:A = B131),FILTER(Algoexpert.io!B:D,Algoexpert.io!A:A = B131)))"),"")</f>
        <v/>
      </c>
      <c r="D131" s="18"/>
      <c r="E131" s="18"/>
      <c r="F131" s="18"/>
      <c r="G131" s="18"/>
      <c r="H131" s="18"/>
      <c r="I131" s="18">
        <f t="shared" si="0"/>
        <v>0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 spans="1:31">
      <c r="A132" s="19"/>
      <c r="B132" s="20"/>
      <c r="C132" s="18" t="str">
        <f ca="1">IFERROR(__xludf.DUMMYFUNCTION("IF(ISBLANK(B132),,IFERROR(FILTER('Leetcode分类顺序表'!B:D,'Leetcode分类顺序表'!A:A = B132),FILTER(Algoexpert.io!B:D,Algoexpert.io!A:A = B132)))"),"")</f>
        <v/>
      </c>
      <c r="D132" s="18"/>
      <c r="E132" s="18"/>
      <c r="F132" s="18"/>
      <c r="G132" s="18"/>
      <c r="H132" s="18"/>
      <c r="I132" s="18">
        <f t="shared" si="0"/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 spans="1:31">
      <c r="A133" s="19"/>
      <c r="B133" s="20"/>
      <c r="C133" s="18" t="str">
        <f ca="1">IFERROR(__xludf.DUMMYFUNCTION("IF(ISBLANK(B133),,IFERROR(FILTER('Leetcode分类顺序表'!B:D,'Leetcode分类顺序表'!A:A = B133),FILTER(Algoexpert.io!B:D,Algoexpert.io!A:A = B133)))"),"")</f>
        <v/>
      </c>
      <c r="D133" s="18"/>
      <c r="E133" s="18"/>
      <c r="F133" s="18"/>
      <c r="G133" s="18"/>
      <c r="H133" s="18"/>
      <c r="I133" s="18">
        <f t="shared" si="0"/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 spans="1:31">
      <c r="A134" s="19"/>
      <c r="B134" s="20"/>
      <c r="C134" s="18" t="str">
        <f ca="1">IFERROR(__xludf.DUMMYFUNCTION("IF(ISBLANK(B134),,IFERROR(FILTER('Leetcode分类顺序表'!B:D,'Leetcode分类顺序表'!A:A = B134),FILTER(Algoexpert.io!B:D,Algoexpert.io!A:A = B134)))"),"")</f>
        <v/>
      </c>
      <c r="D134" s="18"/>
      <c r="E134" s="18"/>
      <c r="F134" s="18"/>
      <c r="G134" s="18"/>
      <c r="H134" s="18"/>
      <c r="I134" s="18">
        <f t="shared" si="0"/>
        <v>0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 spans="1:31">
      <c r="A135" s="19"/>
      <c r="B135" s="20"/>
      <c r="C135" s="18" t="str">
        <f ca="1">IFERROR(__xludf.DUMMYFUNCTION("IF(ISBLANK(B135),,IFERROR(FILTER('Leetcode分类顺序表'!B:D,'Leetcode分类顺序表'!A:A = B135),FILTER(Algoexpert.io!B:D,Algoexpert.io!A:A = B135)))"),"")</f>
        <v/>
      </c>
      <c r="D135" s="18"/>
      <c r="E135" s="18"/>
      <c r="F135" s="18"/>
      <c r="G135" s="18"/>
      <c r="H135" s="18"/>
      <c r="I135" s="18">
        <f t="shared" si="0"/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 spans="1:31">
      <c r="A136" s="19"/>
      <c r="B136" s="20"/>
      <c r="C136" s="18" t="str">
        <f ca="1">IFERROR(__xludf.DUMMYFUNCTION("IF(ISBLANK(B136),,IFERROR(FILTER('Leetcode分类顺序表'!B:D,'Leetcode分类顺序表'!A:A = B136),FILTER(Algoexpert.io!B:D,Algoexpert.io!A:A = B136)))"),"")</f>
        <v/>
      </c>
      <c r="D136" s="18"/>
      <c r="E136" s="18"/>
      <c r="F136" s="18"/>
      <c r="G136" s="18"/>
      <c r="H136" s="18"/>
      <c r="I136" s="18">
        <f t="shared" si="0"/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 spans="1:31">
      <c r="A137" s="19"/>
      <c r="B137" s="20"/>
      <c r="C137" s="18" t="str">
        <f ca="1">IFERROR(__xludf.DUMMYFUNCTION("IF(ISBLANK(B137),,IFERROR(FILTER('Leetcode分类顺序表'!B:D,'Leetcode分类顺序表'!A:A = B137),FILTER(Algoexpert.io!B:D,Algoexpert.io!A:A = B137)))"),"")</f>
        <v/>
      </c>
      <c r="D137" s="18"/>
      <c r="E137" s="18"/>
      <c r="F137" s="18"/>
      <c r="G137" s="18"/>
      <c r="H137" s="18"/>
      <c r="I137" s="18">
        <f t="shared" si="0"/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 spans="1:31">
      <c r="A138" s="19"/>
      <c r="B138" s="20"/>
      <c r="C138" s="18" t="str">
        <f ca="1">IFERROR(__xludf.DUMMYFUNCTION("IF(ISBLANK(B138),,IFERROR(FILTER('Leetcode分类顺序表'!B:D,'Leetcode分类顺序表'!A:A = B138),FILTER(Algoexpert.io!B:D,Algoexpert.io!A:A = B138)))"),"")</f>
        <v/>
      </c>
      <c r="D138" s="18"/>
      <c r="E138" s="18"/>
      <c r="F138" s="18"/>
      <c r="G138" s="18"/>
      <c r="H138" s="18"/>
      <c r="I138" s="18">
        <f t="shared" si="0"/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 spans="1:31">
      <c r="A139" s="19"/>
      <c r="B139" s="20"/>
      <c r="C139" s="18" t="str">
        <f ca="1">IFERROR(__xludf.DUMMYFUNCTION("IF(ISBLANK(B139),,IFERROR(FILTER('Leetcode分类顺序表'!B:D,'Leetcode分类顺序表'!A:A = B139),FILTER(Algoexpert.io!B:D,Algoexpert.io!A:A = B139)))"),"")</f>
        <v/>
      </c>
      <c r="D139" s="18"/>
      <c r="E139" s="18"/>
      <c r="F139" s="18"/>
      <c r="G139" s="18"/>
      <c r="H139" s="18"/>
      <c r="I139" s="18">
        <f t="shared" si="0"/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 spans="1:31">
      <c r="A140" s="19"/>
      <c r="B140" s="20"/>
      <c r="C140" s="18" t="str">
        <f ca="1">IFERROR(__xludf.DUMMYFUNCTION("IF(ISBLANK(B140),,IFERROR(FILTER('Leetcode分类顺序表'!B:D,'Leetcode分类顺序表'!A:A = B140),FILTER(Algoexpert.io!B:D,Algoexpert.io!A:A = B140)))"),"")</f>
        <v/>
      </c>
      <c r="D140" s="18"/>
      <c r="E140" s="18"/>
      <c r="F140" s="18"/>
      <c r="G140" s="18"/>
      <c r="H140" s="18"/>
      <c r="I140" s="18">
        <f t="shared" si="0"/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 spans="1:31">
      <c r="A141" s="19"/>
      <c r="B141" s="20"/>
      <c r="C141" s="18" t="str">
        <f ca="1">IFERROR(__xludf.DUMMYFUNCTION("IF(ISBLANK(B141),,IFERROR(FILTER('Leetcode分类顺序表'!B:D,'Leetcode分类顺序表'!A:A = B141),FILTER(Algoexpert.io!B:D,Algoexpert.io!A:A = B141)))"),"")</f>
        <v/>
      </c>
      <c r="D141" s="18"/>
      <c r="E141" s="18"/>
      <c r="F141" s="18"/>
      <c r="G141" s="18"/>
      <c r="H141" s="18"/>
      <c r="I141" s="18">
        <f t="shared" si="0"/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 spans="1:31">
      <c r="A142" s="19"/>
      <c r="B142" s="20"/>
      <c r="C142" s="18" t="str">
        <f ca="1">IFERROR(__xludf.DUMMYFUNCTION("IF(ISBLANK(B142),,IFERROR(FILTER('Leetcode分类顺序表'!B:D,'Leetcode分类顺序表'!A:A = B142),FILTER(Algoexpert.io!B:D,Algoexpert.io!A:A = B142)))"),"")</f>
        <v/>
      </c>
      <c r="D142" s="18"/>
      <c r="E142" s="18"/>
      <c r="F142" s="18"/>
      <c r="G142" s="18"/>
      <c r="H142" s="18"/>
      <c r="I142" s="18">
        <f t="shared" si="0"/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 spans="1:31">
      <c r="A143" s="19"/>
      <c r="B143" s="20"/>
      <c r="C143" s="18" t="str">
        <f ca="1">IFERROR(__xludf.DUMMYFUNCTION("IF(ISBLANK(B143),,IFERROR(FILTER('Leetcode分类顺序表'!B:D,'Leetcode分类顺序表'!A:A = B143),FILTER(Algoexpert.io!B:D,Algoexpert.io!A:A = B143)))"),"")</f>
        <v/>
      </c>
      <c r="D143" s="18"/>
      <c r="E143" s="18"/>
      <c r="F143" s="18"/>
      <c r="G143" s="18"/>
      <c r="H143" s="18"/>
      <c r="I143" s="18">
        <f t="shared" si="0"/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 spans="1:31">
      <c r="A144" s="19"/>
      <c r="B144" s="20"/>
      <c r="C144" s="18" t="str">
        <f ca="1">IFERROR(__xludf.DUMMYFUNCTION("IF(ISBLANK(B144),,IFERROR(FILTER('Leetcode分类顺序表'!B:D,'Leetcode分类顺序表'!A:A = B144),FILTER(Algoexpert.io!B:D,Algoexpert.io!A:A = B144)))"),"")</f>
        <v/>
      </c>
      <c r="D144" s="18"/>
      <c r="E144" s="18"/>
      <c r="F144" s="18"/>
      <c r="G144" s="18"/>
      <c r="H144" s="18"/>
      <c r="I144" s="18">
        <f t="shared" si="0"/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 spans="1:31">
      <c r="A145" s="19"/>
      <c r="B145" s="20"/>
      <c r="C145" s="18" t="str">
        <f ca="1">IFERROR(__xludf.DUMMYFUNCTION("IF(ISBLANK(B145),,IFERROR(FILTER('Leetcode分类顺序表'!B:D,'Leetcode分类顺序表'!A:A = B145),FILTER(Algoexpert.io!B:D,Algoexpert.io!A:A = B145)))"),"")</f>
        <v/>
      </c>
      <c r="D145" s="18"/>
      <c r="E145" s="18"/>
      <c r="F145" s="18"/>
      <c r="G145" s="18"/>
      <c r="H145" s="18"/>
      <c r="I145" s="18">
        <f t="shared" si="0"/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 spans="1:31">
      <c r="A146" s="19"/>
      <c r="B146" s="20"/>
      <c r="C146" s="18" t="str">
        <f ca="1">IFERROR(__xludf.DUMMYFUNCTION("IF(ISBLANK(B146),,IFERROR(FILTER('Leetcode分类顺序表'!B:D,'Leetcode分类顺序表'!A:A = B146),FILTER(Algoexpert.io!B:D,Algoexpert.io!A:A = B146)))"),"")</f>
        <v/>
      </c>
      <c r="D146" s="18"/>
      <c r="E146" s="18"/>
      <c r="F146" s="18"/>
      <c r="G146" s="18"/>
      <c r="H146" s="18"/>
      <c r="I146" s="18">
        <f t="shared" si="0"/>
        <v>0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 spans="1:31">
      <c r="A147" s="19"/>
      <c r="B147" s="20"/>
      <c r="C147" s="18" t="str">
        <f ca="1">IFERROR(__xludf.DUMMYFUNCTION("IF(ISBLANK(B147),,IFERROR(FILTER('Leetcode分类顺序表'!B:D,'Leetcode分类顺序表'!A:A = B147),FILTER(Algoexpert.io!B:D,Algoexpert.io!A:A = B147)))"),"")</f>
        <v/>
      </c>
      <c r="D147" s="18"/>
      <c r="E147" s="18"/>
      <c r="F147" s="18"/>
      <c r="G147" s="18"/>
      <c r="H147" s="18"/>
      <c r="I147" s="18">
        <f t="shared" si="0"/>
        <v>0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 spans="1:31">
      <c r="A148" s="19"/>
      <c r="B148" s="20"/>
      <c r="C148" s="18" t="str">
        <f ca="1">IFERROR(__xludf.DUMMYFUNCTION("IF(ISBLANK(B148),,IFERROR(FILTER('Leetcode分类顺序表'!B:D,'Leetcode分类顺序表'!A:A = B148),FILTER(Algoexpert.io!B:D,Algoexpert.io!A:A = B148)))"),"")</f>
        <v/>
      </c>
      <c r="D148" s="18"/>
      <c r="E148" s="18"/>
      <c r="F148" s="18"/>
      <c r="G148" s="18"/>
      <c r="H148" s="18"/>
      <c r="I148" s="18">
        <f t="shared" si="0"/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 spans="1:31">
      <c r="A149" s="19"/>
      <c r="B149" s="20"/>
      <c r="C149" s="18" t="str">
        <f ca="1">IFERROR(__xludf.DUMMYFUNCTION("IF(ISBLANK(B149),,IFERROR(FILTER('Leetcode分类顺序表'!B:D,'Leetcode分类顺序表'!A:A = B149),FILTER(Algoexpert.io!B:D,Algoexpert.io!A:A = B149)))"),"")</f>
        <v/>
      </c>
      <c r="D149" s="18"/>
      <c r="E149" s="18"/>
      <c r="F149" s="18"/>
      <c r="G149" s="18"/>
      <c r="H149" s="18"/>
      <c r="I149" s="18">
        <f t="shared" si="0"/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 spans="1:31">
      <c r="A150" s="19"/>
      <c r="B150" s="20"/>
      <c r="C150" s="18" t="str">
        <f ca="1">IFERROR(__xludf.DUMMYFUNCTION("IF(ISBLANK(B150),,IFERROR(FILTER('Leetcode分类顺序表'!B:D,'Leetcode分类顺序表'!A:A = B150),FILTER(Algoexpert.io!B:D,Algoexpert.io!A:A = B150)))"),"")</f>
        <v/>
      </c>
      <c r="D150" s="18"/>
      <c r="E150" s="18"/>
      <c r="F150" s="18"/>
      <c r="G150" s="18"/>
      <c r="H150" s="18"/>
      <c r="I150" s="18">
        <f t="shared" si="0"/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 spans="1:31">
      <c r="A151" s="19"/>
      <c r="B151" s="20"/>
      <c r="C151" s="18" t="str">
        <f ca="1">IFERROR(__xludf.DUMMYFUNCTION("IF(ISBLANK(B151),,IFERROR(FILTER('Leetcode分类顺序表'!B:D,'Leetcode分类顺序表'!A:A = B151),FILTER(Algoexpert.io!B:D,Algoexpert.io!A:A = B151)))"),"")</f>
        <v/>
      </c>
      <c r="D151" s="18"/>
      <c r="E151" s="18"/>
      <c r="F151" s="18"/>
      <c r="G151" s="18"/>
      <c r="H151" s="18"/>
      <c r="I151" s="18">
        <f t="shared" si="0"/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 spans="1:31">
      <c r="A152" s="19"/>
      <c r="B152" s="20"/>
      <c r="C152" s="18" t="str">
        <f ca="1">IFERROR(__xludf.DUMMYFUNCTION("IF(ISBLANK(B152),,IFERROR(FILTER('Leetcode分类顺序表'!B:D,'Leetcode分类顺序表'!A:A = B152),FILTER(Algoexpert.io!B:D,Algoexpert.io!A:A = B152)))"),"")</f>
        <v/>
      </c>
      <c r="D152" s="18"/>
      <c r="E152" s="18"/>
      <c r="F152" s="18"/>
      <c r="G152" s="18"/>
      <c r="H152" s="18"/>
      <c r="I152" s="18">
        <f t="shared" si="0"/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 spans="1:31">
      <c r="A153" s="19"/>
      <c r="B153" s="20"/>
      <c r="C153" s="18" t="str">
        <f ca="1">IFERROR(__xludf.DUMMYFUNCTION("IF(ISBLANK(B153),,IFERROR(FILTER('Leetcode分类顺序表'!B:D,'Leetcode分类顺序表'!A:A = B153),FILTER(Algoexpert.io!B:D,Algoexpert.io!A:A = B153)))"),"")</f>
        <v/>
      </c>
      <c r="D153" s="18"/>
      <c r="E153" s="18"/>
      <c r="F153" s="18"/>
      <c r="G153" s="18"/>
      <c r="H153" s="18"/>
      <c r="I153" s="18">
        <f t="shared" si="0"/>
        <v>0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 spans="1:31">
      <c r="A154" s="19"/>
      <c r="B154" s="20"/>
      <c r="C154" s="18" t="str">
        <f ca="1">IFERROR(__xludf.DUMMYFUNCTION("IF(ISBLANK(B154),,IFERROR(FILTER('Leetcode分类顺序表'!B:D,'Leetcode分类顺序表'!A:A = B154),FILTER(Algoexpert.io!B:D,Algoexpert.io!A:A = B154)))"),"")</f>
        <v/>
      </c>
      <c r="D154" s="18"/>
      <c r="E154" s="18"/>
      <c r="F154" s="18"/>
      <c r="G154" s="18"/>
      <c r="H154" s="18"/>
      <c r="I154" s="18">
        <f t="shared" si="0"/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 spans="1:31">
      <c r="A155" s="19"/>
      <c r="B155" s="20"/>
      <c r="C155" s="18" t="str">
        <f ca="1">IFERROR(__xludf.DUMMYFUNCTION("IF(ISBLANK(B155),,IFERROR(FILTER('Leetcode分类顺序表'!B:D,'Leetcode分类顺序表'!A:A = B155),FILTER(Algoexpert.io!B:D,Algoexpert.io!A:A = B155)))"),"")</f>
        <v/>
      </c>
      <c r="D155" s="18"/>
      <c r="E155" s="18"/>
      <c r="F155" s="18"/>
      <c r="G155" s="18"/>
      <c r="H155" s="18"/>
      <c r="I155" s="18">
        <f t="shared" si="0"/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 spans="1:31">
      <c r="A156" s="19"/>
      <c r="B156" s="20"/>
      <c r="C156" s="18" t="str">
        <f ca="1">IFERROR(__xludf.DUMMYFUNCTION("IF(ISBLANK(B156),,IFERROR(FILTER('Leetcode分类顺序表'!B:D,'Leetcode分类顺序表'!A:A = B156),FILTER(Algoexpert.io!B:D,Algoexpert.io!A:A = B156)))"),"")</f>
        <v/>
      </c>
      <c r="D156" s="18"/>
      <c r="E156" s="18"/>
      <c r="F156" s="18"/>
      <c r="G156" s="18"/>
      <c r="H156" s="18"/>
      <c r="I156" s="18">
        <f t="shared" si="0"/>
        <v>0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 spans="1:31">
      <c r="A157" s="19"/>
      <c r="B157" s="20"/>
      <c r="C157" s="18" t="str">
        <f ca="1">IFERROR(__xludf.DUMMYFUNCTION("IF(ISBLANK(B157),,IFERROR(FILTER('Leetcode分类顺序表'!B:D,'Leetcode分类顺序表'!A:A = B157),FILTER(Algoexpert.io!B:D,Algoexpert.io!A:A = B157)))"),"")</f>
        <v/>
      </c>
      <c r="D157" s="18"/>
      <c r="E157" s="18"/>
      <c r="F157" s="18"/>
      <c r="G157" s="18"/>
      <c r="H157" s="18"/>
      <c r="I157" s="18">
        <f t="shared" si="0"/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 spans="1:31">
      <c r="A158" s="19"/>
      <c r="B158" s="20"/>
      <c r="C158" s="18" t="str">
        <f ca="1">IFERROR(__xludf.DUMMYFUNCTION("IF(ISBLANK(B158),,IFERROR(FILTER('Leetcode分类顺序表'!B:D,'Leetcode分类顺序表'!A:A = B158),FILTER(Algoexpert.io!B:D,Algoexpert.io!A:A = B158)))"),"")</f>
        <v/>
      </c>
      <c r="D158" s="18"/>
      <c r="E158" s="18"/>
      <c r="F158" s="18"/>
      <c r="G158" s="18"/>
      <c r="H158" s="18"/>
      <c r="I158" s="18">
        <f t="shared" si="0"/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 spans="1:31">
      <c r="A159" s="19"/>
      <c r="B159" s="20"/>
      <c r="C159" s="18" t="str">
        <f ca="1">IFERROR(__xludf.DUMMYFUNCTION("IF(ISBLANK(B159),,IFERROR(FILTER('Leetcode分类顺序表'!B:D,'Leetcode分类顺序表'!A:A = B159),FILTER(Algoexpert.io!B:D,Algoexpert.io!A:A = B159)))"),"")</f>
        <v/>
      </c>
      <c r="D159" s="18"/>
      <c r="E159" s="18"/>
      <c r="F159" s="18"/>
      <c r="G159" s="18"/>
      <c r="H159" s="18"/>
      <c r="I159" s="18">
        <f t="shared" si="0"/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 spans="1:31">
      <c r="A160" s="19"/>
      <c r="B160" s="20"/>
      <c r="C160" s="18" t="str">
        <f ca="1">IFERROR(__xludf.DUMMYFUNCTION("IF(ISBLANK(B160),,IFERROR(FILTER('Leetcode分类顺序表'!B:D,'Leetcode分类顺序表'!A:A = B160),FILTER(Algoexpert.io!B:D,Algoexpert.io!A:A = B160)))"),"")</f>
        <v/>
      </c>
      <c r="D160" s="18"/>
      <c r="E160" s="18"/>
      <c r="F160" s="18"/>
      <c r="G160" s="18"/>
      <c r="H160" s="18"/>
      <c r="I160" s="18">
        <f t="shared" si="0"/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 spans="1:31">
      <c r="A161" s="19"/>
      <c r="B161" s="20"/>
      <c r="C161" s="18" t="str">
        <f ca="1">IFERROR(__xludf.DUMMYFUNCTION("IF(ISBLANK(B161),,IFERROR(FILTER('Leetcode分类顺序表'!B:D,'Leetcode分类顺序表'!A:A = B161),FILTER(Algoexpert.io!B:D,Algoexpert.io!A:A = B161)))"),"")</f>
        <v/>
      </c>
      <c r="D161" s="18"/>
      <c r="E161" s="18"/>
      <c r="F161" s="18"/>
      <c r="G161" s="18"/>
      <c r="H161" s="18"/>
      <c r="I161" s="18">
        <f t="shared" si="0"/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 spans="1:31">
      <c r="A162" s="19"/>
      <c r="B162" s="20"/>
      <c r="C162" s="18" t="str">
        <f ca="1">IFERROR(__xludf.DUMMYFUNCTION("IF(ISBLANK(B162),,IFERROR(FILTER('Leetcode分类顺序表'!B:D,'Leetcode分类顺序表'!A:A = B162),FILTER(Algoexpert.io!B:D,Algoexpert.io!A:A = B162)))"),"")</f>
        <v/>
      </c>
      <c r="D162" s="18"/>
      <c r="E162" s="18"/>
      <c r="F162" s="18"/>
      <c r="G162" s="18"/>
      <c r="H162" s="18"/>
      <c r="I162" s="18">
        <f t="shared" si="0"/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 spans="1:31">
      <c r="A163" s="19"/>
      <c r="B163" s="20"/>
      <c r="C163" s="18" t="str">
        <f ca="1">IFERROR(__xludf.DUMMYFUNCTION("IF(ISBLANK(B163),,IFERROR(FILTER('Leetcode分类顺序表'!B:D,'Leetcode分类顺序表'!A:A = B163),FILTER(Algoexpert.io!B:D,Algoexpert.io!A:A = B163)))"),"")</f>
        <v/>
      </c>
      <c r="D163" s="18"/>
      <c r="E163" s="18"/>
      <c r="F163" s="18"/>
      <c r="G163" s="18"/>
      <c r="H163" s="18"/>
      <c r="I163" s="18">
        <f t="shared" si="0"/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 spans="1:31">
      <c r="A164" s="19"/>
      <c r="B164" s="20"/>
      <c r="C164" s="18" t="str">
        <f ca="1">IFERROR(__xludf.DUMMYFUNCTION("IF(ISBLANK(B164),,IFERROR(FILTER('Leetcode分类顺序表'!B:D,'Leetcode分类顺序表'!A:A = B164),FILTER(Algoexpert.io!B:D,Algoexpert.io!A:A = B164)))"),"")</f>
        <v/>
      </c>
      <c r="D164" s="18"/>
      <c r="E164" s="18"/>
      <c r="F164" s="18"/>
      <c r="G164" s="18"/>
      <c r="H164" s="18"/>
      <c r="I164" s="18">
        <f t="shared" si="0"/>
        <v>0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 spans="1:31">
      <c r="A165" s="19"/>
      <c r="B165" s="20"/>
      <c r="C165" s="18" t="str">
        <f ca="1">IFERROR(__xludf.DUMMYFUNCTION("IF(ISBLANK(B165),,IFERROR(FILTER('Leetcode分类顺序表'!B:D,'Leetcode分类顺序表'!A:A = B165),FILTER(Algoexpert.io!B:D,Algoexpert.io!A:A = B165)))"),"")</f>
        <v/>
      </c>
      <c r="D165" s="18"/>
      <c r="E165" s="18"/>
      <c r="F165" s="18"/>
      <c r="G165" s="18"/>
      <c r="H165" s="18"/>
      <c r="I165" s="18">
        <f t="shared" si="0"/>
        <v>0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 spans="1:31">
      <c r="A166" s="19"/>
      <c r="B166" s="20"/>
      <c r="C166" s="18" t="str">
        <f ca="1">IFERROR(__xludf.DUMMYFUNCTION("IF(ISBLANK(B166),,IFERROR(FILTER('Leetcode分类顺序表'!B:D,'Leetcode分类顺序表'!A:A = B166),FILTER(Algoexpert.io!B:D,Algoexpert.io!A:A = B166)))"),"")</f>
        <v/>
      </c>
      <c r="D166" s="18"/>
      <c r="E166" s="18"/>
      <c r="F166" s="18"/>
      <c r="G166" s="18"/>
      <c r="H166" s="18"/>
      <c r="I166" s="18">
        <f t="shared" si="0"/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 spans="1:31">
      <c r="A167" s="19"/>
      <c r="B167" s="20"/>
      <c r="C167" s="18" t="str">
        <f ca="1">IFERROR(__xludf.DUMMYFUNCTION("IF(ISBLANK(B167),,IFERROR(FILTER('Leetcode分类顺序表'!B:D,'Leetcode分类顺序表'!A:A = B167),FILTER(Algoexpert.io!B:D,Algoexpert.io!A:A = B167)))"),"")</f>
        <v/>
      </c>
      <c r="D167" s="18"/>
      <c r="E167" s="18"/>
      <c r="F167" s="18"/>
      <c r="G167" s="18"/>
      <c r="H167" s="18"/>
      <c r="I167" s="18">
        <f t="shared" si="0"/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 spans="1:31">
      <c r="A168" s="19"/>
      <c r="B168" s="20"/>
      <c r="C168" s="18" t="str">
        <f ca="1">IFERROR(__xludf.DUMMYFUNCTION("IF(ISBLANK(B168),,IFERROR(FILTER('Leetcode分类顺序表'!B:D,'Leetcode分类顺序表'!A:A = B168),FILTER(Algoexpert.io!B:D,Algoexpert.io!A:A = B168)))"),"")</f>
        <v/>
      </c>
      <c r="D168" s="18"/>
      <c r="E168" s="18"/>
      <c r="F168" s="18"/>
      <c r="G168" s="18"/>
      <c r="H168" s="18"/>
      <c r="I168" s="18">
        <f t="shared" si="0"/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 spans="1:31">
      <c r="A169" s="19"/>
      <c r="B169" s="20"/>
      <c r="C169" s="18" t="str">
        <f ca="1">IFERROR(__xludf.DUMMYFUNCTION("IF(ISBLANK(B169),,IFERROR(FILTER('Leetcode分类顺序表'!B:D,'Leetcode分类顺序表'!A:A = B169),FILTER(Algoexpert.io!B:D,Algoexpert.io!A:A = B169)))"),"")</f>
        <v/>
      </c>
      <c r="D169" s="18"/>
      <c r="E169" s="18"/>
      <c r="F169" s="18"/>
      <c r="G169" s="18"/>
      <c r="H169" s="18"/>
      <c r="I169" s="18">
        <f t="shared" si="0"/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 spans="1:31">
      <c r="A170" s="19"/>
      <c r="B170" s="20"/>
      <c r="C170" s="18" t="str">
        <f ca="1">IFERROR(__xludf.DUMMYFUNCTION("IF(ISBLANK(B170),,IFERROR(FILTER('Leetcode分类顺序表'!B:D,'Leetcode分类顺序表'!A:A = B170),FILTER(Algoexpert.io!B:D,Algoexpert.io!A:A = B170)))"),"")</f>
        <v/>
      </c>
      <c r="D170" s="18"/>
      <c r="E170" s="18"/>
      <c r="F170" s="18"/>
      <c r="G170" s="18"/>
      <c r="H170" s="18"/>
      <c r="I170" s="18">
        <f t="shared" si="0"/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 spans="1:31">
      <c r="A171" s="19"/>
      <c r="B171" s="20"/>
      <c r="C171" s="18" t="str">
        <f ca="1">IFERROR(__xludf.DUMMYFUNCTION("IF(ISBLANK(B171),,IFERROR(FILTER('Leetcode分类顺序表'!B:D,'Leetcode分类顺序表'!A:A = B171),FILTER(Algoexpert.io!B:D,Algoexpert.io!A:A = B171)))"),"")</f>
        <v/>
      </c>
      <c r="D171" s="18"/>
      <c r="E171" s="18"/>
      <c r="F171" s="18"/>
      <c r="G171" s="18"/>
      <c r="H171" s="18"/>
      <c r="I171" s="18">
        <f t="shared" si="0"/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 spans="1:31">
      <c r="A172" s="19"/>
      <c r="B172" s="20"/>
      <c r="C172" s="18" t="str">
        <f ca="1">IFERROR(__xludf.DUMMYFUNCTION("IF(ISBLANK(B172),,IFERROR(FILTER('Leetcode分类顺序表'!B:D,'Leetcode分类顺序表'!A:A = B172),FILTER(Algoexpert.io!B:D,Algoexpert.io!A:A = B172)))"),"")</f>
        <v/>
      </c>
      <c r="D172" s="18"/>
      <c r="E172" s="18"/>
      <c r="F172" s="18"/>
      <c r="G172" s="18"/>
      <c r="H172" s="18"/>
      <c r="I172" s="18">
        <f t="shared" si="0"/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 spans="1:31">
      <c r="A173" s="19"/>
      <c r="B173" s="20"/>
      <c r="C173" s="18" t="str">
        <f ca="1">IFERROR(__xludf.DUMMYFUNCTION("IF(ISBLANK(B173),,IFERROR(FILTER('Leetcode分类顺序表'!B:D,'Leetcode分类顺序表'!A:A = B173),FILTER(Algoexpert.io!B:D,Algoexpert.io!A:A = B173)))"),"")</f>
        <v/>
      </c>
      <c r="D173" s="18"/>
      <c r="E173" s="18"/>
      <c r="F173" s="18"/>
      <c r="G173" s="18"/>
      <c r="H173" s="18"/>
      <c r="I173" s="18">
        <f t="shared" si="0"/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 spans="1:31">
      <c r="A174" s="19"/>
      <c r="B174" s="20"/>
      <c r="C174" s="18" t="str">
        <f ca="1">IFERROR(__xludf.DUMMYFUNCTION("IF(ISBLANK(B174),,IFERROR(FILTER('Leetcode分类顺序表'!B:D,'Leetcode分类顺序表'!A:A = B174),FILTER(Algoexpert.io!B:D,Algoexpert.io!A:A = B174)))"),"")</f>
        <v/>
      </c>
      <c r="D174" s="18"/>
      <c r="E174" s="18"/>
      <c r="F174" s="18"/>
      <c r="G174" s="18"/>
      <c r="H174" s="18"/>
      <c r="I174" s="18">
        <f t="shared" si="0"/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 spans="1:31">
      <c r="A175" s="19"/>
      <c r="B175" s="20"/>
      <c r="C175" s="18" t="str">
        <f ca="1">IFERROR(__xludf.DUMMYFUNCTION("IF(ISBLANK(B175),,IFERROR(FILTER('Leetcode分类顺序表'!B:D,'Leetcode分类顺序表'!A:A = B175),FILTER(Algoexpert.io!B:D,Algoexpert.io!A:A = B175)))"),"")</f>
        <v/>
      </c>
      <c r="D175" s="18"/>
      <c r="E175" s="18"/>
      <c r="F175" s="18"/>
      <c r="G175" s="18"/>
      <c r="H175" s="18"/>
      <c r="I175" s="18">
        <f t="shared" si="0"/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 spans="1:31">
      <c r="A176" s="19"/>
      <c r="B176" s="20"/>
      <c r="C176" s="18" t="str">
        <f ca="1">IFERROR(__xludf.DUMMYFUNCTION("IF(ISBLANK(B176),,IFERROR(FILTER('Leetcode分类顺序表'!B:D,'Leetcode分类顺序表'!A:A = B176),FILTER(Algoexpert.io!B:D,Algoexpert.io!A:A = B176)))"),"")</f>
        <v/>
      </c>
      <c r="D176" s="18"/>
      <c r="E176" s="18"/>
      <c r="F176" s="18"/>
      <c r="G176" s="18"/>
      <c r="H176" s="18"/>
      <c r="I176" s="18">
        <f t="shared" si="0"/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 spans="1:31">
      <c r="A177" s="19"/>
      <c r="B177" s="20"/>
      <c r="C177" s="18" t="str">
        <f ca="1">IFERROR(__xludf.DUMMYFUNCTION("IF(ISBLANK(B177),,IFERROR(FILTER('Leetcode分类顺序表'!B:D,'Leetcode分类顺序表'!A:A = B177),FILTER(Algoexpert.io!B:D,Algoexpert.io!A:A = B177)))"),"")</f>
        <v/>
      </c>
      <c r="D177" s="18"/>
      <c r="E177" s="18"/>
      <c r="F177" s="18"/>
      <c r="G177" s="18"/>
      <c r="H177" s="18"/>
      <c r="I177" s="18">
        <f t="shared" si="0"/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 spans="1:31">
      <c r="A178" s="19"/>
      <c r="B178" s="20"/>
      <c r="C178" s="18" t="str">
        <f ca="1">IFERROR(__xludf.DUMMYFUNCTION("IF(ISBLANK(B178),,IFERROR(FILTER('Leetcode分类顺序表'!B:D,'Leetcode分类顺序表'!A:A = B178),FILTER(Algoexpert.io!B:D,Algoexpert.io!A:A = B178)))"),"")</f>
        <v/>
      </c>
      <c r="D178" s="18"/>
      <c r="E178" s="18"/>
      <c r="F178" s="18"/>
      <c r="G178" s="18"/>
      <c r="H178" s="18"/>
      <c r="I178" s="18">
        <f t="shared" si="0"/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 spans="1:31">
      <c r="A179" s="19"/>
      <c r="B179" s="20"/>
      <c r="C179" s="18" t="str">
        <f ca="1">IFERROR(__xludf.DUMMYFUNCTION("IF(ISBLANK(B179),,IFERROR(FILTER('Leetcode分类顺序表'!B:D,'Leetcode分类顺序表'!A:A = B179),FILTER(Algoexpert.io!B:D,Algoexpert.io!A:A = B179)))"),"")</f>
        <v/>
      </c>
      <c r="D179" s="18"/>
      <c r="E179" s="18"/>
      <c r="F179" s="18"/>
      <c r="G179" s="18"/>
      <c r="H179" s="18"/>
      <c r="I179" s="18">
        <f t="shared" si="0"/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 spans="1:31">
      <c r="A180" s="19"/>
      <c r="B180" s="20"/>
      <c r="C180" s="18" t="str">
        <f ca="1">IFERROR(__xludf.DUMMYFUNCTION("IF(ISBLANK(B180),,FILTER('Leetcode分类顺序表'!B:D,'Leetcode分类顺序表'!A:A = B180))"),"")</f>
        <v/>
      </c>
      <c r="D180" s="18"/>
      <c r="E180" s="18"/>
      <c r="F180" s="18"/>
      <c r="G180" s="18"/>
      <c r="H180" s="18"/>
      <c r="I180" s="18">
        <f t="shared" si="0"/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 spans="1:31">
      <c r="A181" s="19"/>
      <c r="B181" s="20"/>
      <c r="C181" s="18" t="str">
        <f ca="1">IFERROR(__xludf.DUMMYFUNCTION("IF(ISBLANK(B181),,FILTER('Leetcode分类顺序表'!B:D,'Leetcode分类顺序表'!A:A = B181))"),"")</f>
        <v/>
      </c>
      <c r="D181" s="18"/>
      <c r="E181" s="18"/>
      <c r="F181" s="18"/>
      <c r="G181" s="18"/>
      <c r="H181" s="18"/>
      <c r="I181" s="18">
        <f t="shared" si="0"/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 spans="1:31">
      <c r="A182" s="19"/>
      <c r="B182" s="20"/>
      <c r="C182" s="18" t="str">
        <f ca="1">IFERROR(__xludf.DUMMYFUNCTION("IF(ISBLANK(B182),,FILTER('Leetcode分类顺序表'!B:D,'Leetcode分类顺序表'!A:A = B182))"),"")</f>
        <v/>
      </c>
      <c r="D182" s="18"/>
      <c r="E182" s="18"/>
      <c r="F182" s="18"/>
      <c r="G182" s="18"/>
      <c r="H182" s="18"/>
      <c r="I182" s="18">
        <f t="shared" si="0"/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 spans="1:31">
      <c r="A183" s="19"/>
      <c r="B183" s="20"/>
      <c r="C183" s="18" t="str">
        <f ca="1">IFERROR(__xludf.DUMMYFUNCTION("IF(ISBLANK(B183),,FILTER('Leetcode分类顺序表'!B:D,'Leetcode分类顺序表'!A:A = B183))"),"")</f>
        <v/>
      </c>
      <c r="D183" s="18"/>
      <c r="E183" s="18"/>
      <c r="F183" s="18"/>
      <c r="G183" s="18"/>
      <c r="H183" s="18"/>
      <c r="I183" s="18">
        <f t="shared" si="0"/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 spans="1:31">
      <c r="A184" s="19"/>
      <c r="B184" s="20"/>
      <c r="C184" s="18" t="str">
        <f ca="1">IFERROR(__xludf.DUMMYFUNCTION("IF(ISBLANK(B184),,FILTER('Leetcode分类顺序表'!B:D,'Leetcode分类顺序表'!A:A = B184))"),"")</f>
        <v/>
      </c>
      <c r="D184" s="18"/>
      <c r="E184" s="18"/>
      <c r="F184" s="18"/>
      <c r="G184" s="18"/>
      <c r="H184" s="18"/>
      <c r="I184" s="18">
        <f t="shared" si="0"/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 spans="1:31">
      <c r="A185" s="19"/>
      <c r="B185" s="20"/>
      <c r="C185" s="18" t="str">
        <f ca="1">IFERROR(__xludf.DUMMYFUNCTION("IF(ISBLANK(B185),,FILTER('Leetcode分类顺序表'!B:D,'Leetcode分类顺序表'!A:A = B185))"),"")</f>
        <v/>
      </c>
      <c r="D185" s="18"/>
      <c r="E185" s="18"/>
      <c r="F185" s="18"/>
      <c r="G185" s="18"/>
      <c r="H185" s="18"/>
      <c r="I185" s="18">
        <f t="shared" si="0"/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 spans="1:31">
      <c r="A186" s="19"/>
      <c r="B186" s="20"/>
      <c r="C186" s="18" t="str">
        <f ca="1">IFERROR(__xludf.DUMMYFUNCTION("IF(ISBLANK(B186),,FILTER('Leetcode分类顺序表'!B:D,'Leetcode分类顺序表'!A:A = B186))"),"")</f>
        <v/>
      </c>
      <c r="D186" s="18"/>
      <c r="E186" s="18"/>
      <c r="F186" s="18"/>
      <c r="G186" s="18"/>
      <c r="H186" s="18"/>
      <c r="I186" s="18">
        <f t="shared" si="0"/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 spans="1:31">
      <c r="A187" s="19"/>
      <c r="B187" s="20"/>
      <c r="C187" s="18" t="str">
        <f ca="1">IFERROR(__xludf.DUMMYFUNCTION("IF(ISBLANK(B187),,FILTER('Leetcode分类顺序表'!B:D,'Leetcode分类顺序表'!A:A = B187))"),"")</f>
        <v/>
      </c>
      <c r="D187" s="18"/>
      <c r="E187" s="18"/>
      <c r="F187" s="18"/>
      <c r="G187" s="18"/>
      <c r="H187" s="18"/>
      <c r="I187" s="18">
        <f t="shared" si="0"/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 spans="1:31">
      <c r="A188" s="19"/>
      <c r="B188" s="20"/>
      <c r="C188" s="18" t="str">
        <f ca="1">IFERROR(__xludf.DUMMYFUNCTION("IF(ISBLANK(B188),,FILTER('Leetcode分类顺序表'!B:D,'Leetcode分类顺序表'!A:A = B188))"),"")</f>
        <v/>
      </c>
      <c r="D188" s="18"/>
      <c r="E188" s="18"/>
      <c r="F188" s="18"/>
      <c r="G188" s="18"/>
      <c r="H188" s="18"/>
      <c r="I188" s="18">
        <f t="shared" si="0"/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 spans="1:31">
      <c r="A189" s="19"/>
      <c r="B189" s="20"/>
      <c r="C189" s="18" t="str">
        <f ca="1">IFERROR(__xludf.DUMMYFUNCTION("IF(ISBLANK(B189),,FILTER('Leetcode分类顺序表'!B:D,'Leetcode分类顺序表'!A:A = B189))"),"")</f>
        <v/>
      </c>
      <c r="D189" s="18"/>
      <c r="E189" s="18"/>
      <c r="F189" s="18"/>
      <c r="G189" s="18"/>
      <c r="H189" s="18"/>
      <c r="I189" s="18">
        <f t="shared" si="0"/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 spans="1:31">
      <c r="A190" s="19"/>
      <c r="B190" s="20"/>
      <c r="C190" s="18" t="str">
        <f ca="1">IFERROR(__xludf.DUMMYFUNCTION("IF(ISBLANK(B190),,FILTER('Leetcode分类顺序表'!B:D,'Leetcode分类顺序表'!A:A = B190))"),"")</f>
        <v/>
      </c>
      <c r="D190" s="18"/>
      <c r="E190" s="18"/>
      <c r="F190" s="18"/>
      <c r="G190" s="18"/>
      <c r="H190" s="18"/>
      <c r="I190" s="18">
        <f t="shared" si="0"/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 spans="1:31">
      <c r="A191" s="19"/>
      <c r="B191" s="20"/>
      <c r="C191" s="18" t="str">
        <f ca="1">IFERROR(__xludf.DUMMYFUNCTION("IF(ISBLANK(B191),,FILTER('Leetcode分类顺序表'!B:D,'Leetcode分类顺序表'!A:A = B191))"),"")</f>
        <v/>
      </c>
      <c r="D191" s="18"/>
      <c r="E191" s="18"/>
      <c r="F191" s="18"/>
      <c r="G191" s="18"/>
      <c r="H191" s="18"/>
      <c r="I191" s="18">
        <f t="shared" si="0"/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 spans="1:31">
      <c r="A192" s="19"/>
      <c r="B192" s="20"/>
      <c r="C192" s="18" t="str">
        <f ca="1">IFERROR(__xludf.DUMMYFUNCTION("IF(ISBLANK(B192),,FILTER('Leetcode分类顺序表'!B:D,'Leetcode分类顺序表'!A:A = B192))"),"")</f>
        <v/>
      </c>
      <c r="D192" s="18"/>
      <c r="E192" s="18"/>
      <c r="F192" s="18"/>
      <c r="G192" s="18"/>
      <c r="H192" s="18"/>
      <c r="I192" s="18">
        <f t="shared" si="0"/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 spans="1:31">
      <c r="A193" s="19"/>
      <c r="B193" s="20"/>
      <c r="C193" s="18" t="str">
        <f ca="1">IFERROR(__xludf.DUMMYFUNCTION("IF(ISBLANK(B193),,FILTER('Leetcode分类顺序表'!B:D,'Leetcode分类顺序表'!A:A = B193))"),"")</f>
        <v/>
      </c>
      <c r="D193" s="18"/>
      <c r="E193" s="18"/>
      <c r="F193" s="18"/>
      <c r="G193" s="18"/>
      <c r="H193" s="18"/>
      <c r="I193" s="18">
        <f t="shared" si="0"/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 spans="1:31">
      <c r="A194" s="19"/>
      <c r="B194" s="20"/>
      <c r="C194" s="18" t="str">
        <f ca="1">IFERROR(__xludf.DUMMYFUNCTION("IF(ISBLANK(B194),,FILTER('Leetcode分类顺序表'!B:D,'Leetcode分类顺序表'!A:A = B194))"),"")</f>
        <v/>
      </c>
      <c r="D194" s="18"/>
      <c r="E194" s="18"/>
      <c r="F194" s="18"/>
      <c r="G194" s="18"/>
      <c r="H194" s="18"/>
      <c r="I194" s="18">
        <f t="shared" si="0"/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 spans="1:31">
      <c r="A195" s="19"/>
      <c r="B195" s="20"/>
      <c r="C195" s="18" t="str">
        <f ca="1">IFERROR(__xludf.DUMMYFUNCTION("IF(ISBLANK(B195),,FILTER('Leetcode分类顺序表'!B:D,'Leetcode分类顺序表'!A:A = B195))"),"")</f>
        <v/>
      </c>
      <c r="D195" s="18"/>
      <c r="E195" s="18"/>
      <c r="F195" s="18"/>
      <c r="G195" s="18"/>
      <c r="H195" s="18"/>
      <c r="I195" s="18">
        <f t="shared" si="0"/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 spans="1:31">
      <c r="A196" s="19"/>
      <c r="B196" s="20"/>
      <c r="C196" s="18" t="str">
        <f ca="1">IFERROR(__xludf.DUMMYFUNCTION("IF(ISBLANK(B196),,FILTER('Leetcode分类顺序表'!B:D,'Leetcode分类顺序表'!A:A = B196))"),"")</f>
        <v/>
      </c>
      <c r="D196" s="18"/>
      <c r="E196" s="18"/>
      <c r="F196" s="18"/>
      <c r="G196" s="18"/>
      <c r="H196" s="18"/>
      <c r="I196" s="18">
        <f t="shared" si="0"/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 spans="1:31">
      <c r="A197" s="19"/>
      <c r="B197" s="20"/>
      <c r="C197" s="18" t="str">
        <f ca="1">IFERROR(__xludf.DUMMYFUNCTION("IF(ISBLANK(B197),,FILTER('Leetcode分类顺序表'!B:D,'Leetcode分类顺序表'!A:A = B197))"),"")</f>
        <v/>
      </c>
      <c r="D197" s="18"/>
      <c r="E197" s="18"/>
      <c r="F197" s="18"/>
      <c r="G197" s="18"/>
      <c r="H197" s="18"/>
      <c r="I197" s="18">
        <f t="shared" si="0"/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 spans="1:31">
      <c r="A198" s="19"/>
      <c r="B198" s="20"/>
      <c r="C198" s="18" t="str">
        <f ca="1">IFERROR(__xludf.DUMMYFUNCTION("IF(ISBLANK(B198),,FILTER('Leetcode分类顺序表'!B:D,'Leetcode分类顺序表'!A:A = B198))"),"")</f>
        <v/>
      </c>
      <c r="D198" s="18"/>
      <c r="E198" s="18"/>
      <c r="F198" s="18"/>
      <c r="G198" s="18"/>
      <c r="H198" s="18"/>
      <c r="I198" s="18">
        <f t="shared" si="0"/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 spans="1:31">
      <c r="A199" s="19"/>
      <c r="B199" s="20"/>
      <c r="C199" s="18" t="str">
        <f ca="1">IFERROR(__xludf.DUMMYFUNCTION("IF(ISBLANK(B199),,FILTER('Leetcode分类顺序表'!B:D,'Leetcode分类顺序表'!A:A = B199))"),"")</f>
        <v/>
      </c>
      <c r="D199" s="18"/>
      <c r="E199" s="18"/>
      <c r="F199" s="18"/>
      <c r="G199" s="18"/>
      <c r="H199" s="18"/>
      <c r="I199" s="18">
        <f t="shared" si="0"/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 spans="1:31">
      <c r="A200" s="19"/>
      <c r="B200" s="20"/>
      <c r="C200" s="18" t="str">
        <f ca="1">IFERROR(__xludf.DUMMYFUNCTION("IF(ISBLANK(B200),,FILTER('Leetcode分类顺序表'!B:D,'Leetcode分类顺序表'!A:A = B200))"),"")</f>
        <v/>
      </c>
      <c r="D200" s="18"/>
      <c r="E200" s="18"/>
      <c r="F200" s="18"/>
      <c r="G200" s="18"/>
      <c r="H200" s="18"/>
      <c r="I200" s="18">
        <f t="shared" si="0"/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r="201" spans="1:31">
      <c r="A201" s="19"/>
      <c r="B201" s="20"/>
      <c r="C201" s="18" t="str">
        <f ca="1">IFERROR(__xludf.DUMMYFUNCTION("IF(ISBLANK(B201),,FILTER('Leetcode分类顺序表'!B:D,'Leetcode分类顺序表'!A:A = B201))"),"")</f>
        <v/>
      </c>
      <c r="D201" s="18"/>
      <c r="E201" s="18"/>
      <c r="F201" s="18"/>
      <c r="G201" s="18"/>
      <c r="H201" s="18"/>
      <c r="I201" s="18">
        <f t="shared" si="0"/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 spans="1:31">
      <c r="A202" s="19"/>
      <c r="B202" s="20"/>
      <c r="C202" s="18" t="str">
        <f ca="1">IFERROR(__xludf.DUMMYFUNCTION("IF(ISBLANK(B202),,FILTER('Leetcode分类顺序表'!B:D,'Leetcode分类顺序表'!A:A = B202))"),"")</f>
        <v/>
      </c>
      <c r="D202" s="18"/>
      <c r="E202" s="18"/>
      <c r="F202" s="18"/>
      <c r="G202" s="18"/>
      <c r="H202" s="18"/>
      <c r="I202" s="18">
        <f t="shared" si="0"/>
        <v>0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r="203" spans="1:31">
      <c r="A203" s="19"/>
      <c r="B203" s="20"/>
      <c r="C203" s="18" t="str">
        <f ca="1">IFERROR(__xludf.DUMMYFUNCTION("IF(ISBLANK(B203),,FILTER('Leetcode分类顺序表'!B:D,'Leetcode分类顺序表'!A:A = B203))"),"")</f>
        <v/>
      </c>
      <c r="D203" s="18"/>
      <c r="E203" s="18"/>
      <c r="F203" s="18"/>
      <c r="G203" s="18"/>
      <c r="H203" s="18"/>
      <c r="I203" s="18">
        <f t="shared" si="0"/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 spans="1:31">
      <c r="A204" s="19"/>
      <c r="B204" s="20"/>
      <c r="C204" s="18" t="str">
        <f ca="1">IFERROR(__xludf.DUMMYFUNCTION("IF(ISBLANK(B204),,FILTER('Leetcode分类顺序表'!B:D,'Leetcode分类顺序表'!A:A = B204))"),"")</f>
        <v/>
      </c>
      <c r="D204" s="18"/>
      <c r="E204" s="18"/>
      <c r="F204" s="18"/>
      <c r="G204" s="18"/>
      <c r="H204" s="18"/>
      <c r="I204" s="18">
        <f t="shared" si="0"/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r="205" spans="1:31">
      <c r="A205" s="19"/>
      <c r="B205" s="20"/>
      <c r="C205" s="18" t="str">
        <f ca="1">IFERROR(__xludf.DUMMYFUNCTION("IF(ISBLANK(B205),,FILTER('Leetcode分类顺序表'!B:D,'Leetcode分类顺序表'!A:A = B205))"),"")</f>
        <v/>
      </c>
      <c r="D205" s="18"/>
      <c r="E205" s="18"/>
      <c r="F205" s="18"/>
      <c r="G205" s="18"/>
      <c r="H205" s="18"/>
      <c r="I205" s="18">
        <f t="shared" si="0"/>
        <v>0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 spans="1:31">
      <c r="A206" s="19"/>
      <c r="B206" s="20"/>
      <c r="C206" s="18" t="str">
        <f ca="1">IFERROR(__xludf.DUMMYFUNCTION("IF(ISBLANK(B206),,FILTER('Leetcode分类顺序表'!B:D,'Leetcode分类顺序表'!A:A = B206))"),"")</f>
        <v/>
      </c>
      <c r="D206" s="18"/>
      <c r="E206" s="18"/>
      <c r="F206" s="18"/>
      <c r="G206" s="18"/>
      <c r="H206" s="18"/>
      <c r="I206" s="18">
        <f t="shared" si="0"/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 spans="1:31">
      <c r="A207" s="19"/>
      <c r="B207" s="20"/>
      <c r="C207" s="18" t="str">
        <f ca="1">IFERROR(__xludf.DUMMYFUNCTION("IF(ISBLANK(B207),,FILTER('Leetcode分类顺序表'!B:D,'Leetcode分类顺序表'!A:A = B207))"),"")</f>
        <v/>
      </c>
      <c r="D207" s="18"/>
      <c r="E207" s="18"/>
      <c r="F207" s="18"/>
      <c r="G207" s="18"/>
      <c r="H207" s="18"/>
      <c r="I207" s="18">
        <f t="shared" si="0"/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 spans="1:31">
      <c r="A208" s="19"/>
      <c r="B208" s="20"/>
      <c r="C208" s="18" t="str">
        <f ca="1">IFERROR(__xludf.DUMMYFUNCTION("IF(ISBLANK(B208),,FILTER('Leetcode分类顺序表'!B:D,'Leetcode分类顺序表'!A:A = B208))"),"")</f>
        <v/>
      </c>
      <c r="D208" s="18"/>
      <c r="E208" s="18"/>
      <c r="F208" s="18"/>
      <c r="G208" s="18"/>
      <c r="H208" s="18"/>
      <c r="I208" s="18">
        <f t="shared" si="0"/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 spans="1:31">
      <c r="A209" s="19"/>
      <c r="B209" s="20"/>
      <c r="C209" s="18" t="str">
        <f ca="1">IFERROR(__xludf.DUMMYFUNCTION("IF(ISBLANK(B209),,FILTER('Leetcode分类顺序表'!B:D,'Leetcode分类顺序表'!A:A = B209))"),"")</f>
        <v/>
      </c>
      <c r="D209" s="18"/>
      <c r="E209" s="18"/>
      <c r="F209" s="18"/>
      <c r="G209" s="18"/>
      <c r="H209" s="18"/>
      <c r="I209" s="18">
        <f t="shared" si="0"/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 spans="1:31">
      <c r="A210" s="19"/>
      <c r="B210" s="20"/>
      <c r="C210" s="18" t="str">
        <f ca="1">IFERROR(__xludf.DUMMYFUNCTION("IF(ISBLANK(B210),,FILTER('Leetcode分类顺序表'!B:D,'Leetcode分类顺序表'!A:A = B210))"),"")</f>
        <v/>
      </c>
      <c r="D210" s="18"/>
      <c r="E210" s="18"/>
      <c r="F210" s="18"/>
      <c r="G210" s="18"/>
      <c r="H210" s="18"/>
      <c r="I210" s="18">
        <f t="shared" si="0"/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 spans="1:31">
      <c r="A211" s="19"/>
      <c r="B211" s="20"/>
      <c r="C211" s="18" t="str">
        <f ca="1">IFERROR(__xludf.DUMMYFUNCTION("IF(ISBLANK(B211),,FILTER('Leetcode分类顺序表'!B:D,'Leetcode分类顺序表'!A:A = B211))"),"")</f>
        <v/>
      </c>
      <c r="D211" s="18"/>
      <c r="E211" s="18"/>
      <c r="F211" s="18"/>
      <c r="G211" s="18"/>
      <c r="H211" s="18"/>
      <c r="I211" s="18">
        <f t="shared" si="0"/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 spans="1:31">
      <c r="A212" s="19"/>
      <c r="B212" s="20"/>
      <c r="C212" s="18" t="str">
        <f ca="1">IFERROR(__xludf.DUMMYFUNCTION("IF(ISBLANK(B212),,FILTER('Leetcode分类顺序表'!B:D,'Leetcode分类顺序表'!A:A = B212))"),"")</f>
        <v/>
      </c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 spans="1:31">
      <c r="A213" s="19"/>
      <c r="B213" s="20"/>
      <c r="C213" s="18" t="str">
        <f ca="1">IFERROR(__xludf.DUMMYFUNCTION("IF(ISBLANK(B213),,FILTER('Leetcode分类顺序表'!B:D,'Leetcode分类顺序表'!A:A = B213))"),"")</f>
        <v/>
      </c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 spans="1:31">
      <c r="A214" s="19"/>
      <c r="B214" s="20"/>
      <c r="C214" s="18" t="str">
        <f ca="1">IFERROR(__xludf.DUMMYFUNCTION("IF(ISBLANK(B214),,FILTER('Leetcode分类顺序表'!B:D,'Leetcode分类顺序表'!A:A = B214))"),"")</f>
        <v/>
      </c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 spans="1:31">
      <c r="A215" s="19"/>
      <c r="B215" s="20"/>
      <c r="C215" s="18" t="str">
        <f ca="1">IFERROR(__xludf.DUMMYFUNCTION("IF(ISBLANK(B215),,FILTER('Leetcode分类顺序表'!B:D,'Leetcode分类顺序表'!A:A = B215))"),"")</f>
        <v/>
      </c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 spans="1:31">
      <c r="A216" s="19"/>
      <c r="B216" s="20"/>
      <c r="C216" s="18" t="str">
        <f ca="1">IFERROR(__xludf.DUMMYFUNCTION("IF(ISBLANK(B216),,FILTER('Leetcode分类顺序表'!B:D,'Leetcode分类顺序表'!A:A = B216))"),"")</f>
        <v/>
      </c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 spans="1:31">
      <c r="A217" s="19"/>
      <c r="B217" s="20"/>
      <c r="C217" s="18" t="str">
        <f ca="1">IFERROR(__xludf.DUMMYFUNCTION("IF(ISBLANK(B217),,FILTER('Leetcode分类顺序表'!B:D,'Leetcode分类顺序表'!A:A = B217))"),"")</f>
        <v/>
      </c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 spans="1:31">
      <c r="A218" s="19"/>
      <c r="B218" s="20"/>
      <c r="C218" s="18" t="str">
        <f ca="1">IFERROR(__xludf.DUMMYFUNCTION("IF(ISBLANK(B218),,FILTER('Leetcode分类顺序表'!B:D,'Leetcode分类顺序表'!A:A = B218))"),"")</f>
        <v/>
      </c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 spans="1:31">
      <c r="A219" s="19"/>
      <c r="B219" s="20"/>
      <c r="C219" s="18" t="str">
        <f ca="1">IFERROR(__xludf.DUMMYFUNCTION("IF(ISBLANK(B219),,FILTER('Leetcode分类顺序表'!B:D,'Leetcode分类顺序表'!A:A = B219))"),"")</f>
        <v/>
      </c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 spans="1:31">
      <c r="A220" s="19"/>
      <c r="B220" s="20"/>
      <c r="C220" s="18" t="str">
        <f ca="1">IFERROR(__xludf.DUMMYFUNCTION("IF(ISBLANK(B220),,FILTER('Leetcode分类顺序表'!B:D,'Leetcode分类顺序表'!A:A = B220))"),"")</f>
        <v/>
      </c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 spans="1:31">
      <c r="A221" s="19"/>
      <c r="B221" s="20"/>
      <c r="C221" s="18" t="str">
        <f ca="1">IFERROR(__xludf.DUMMYFUNCTION("IF(ISBLANK(B221),,FILTER('Leetcode分类顺序表'!B:D,'Leetcode分类顺序表'!A:A = B221))"),"")</f>
        <v/>
      </c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 spans="1:31">
      <c r="A222" s="19"/>
      <c r="B222" s="20"/>
      <c r="C222" s="18" t="str">
        <f ca="1">IFERROR(__xludf.DUMMYFUNCTION("IF(ISBLANK(B222),,FILTER('Leetcode分类顺序表'!B:D,'Leetcode分类顺序表'!A:A = B222))"),"")</f>
        <v/>
      </c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 spans="1:31">
      <c r="A223" s="19"/>
      <c r="B223" s="20"/>
      <c r="C223" s="18" t="str">
        <f ca="1">IFERROR(__xludf.DUMMYFUNCTION("IF(ISBLANK(B223),,FILTER('Leetcode分类顺序表'!B:D,'Leetcode分类顺序表'!A:A = B223))"),"")</f>
        <v/>
      </c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 spans="1:31">
      <c r="A224" s="19"/>
      <c r="B224" s="20"/>
      <c r="C224" s="18" t="str">
        <f ca="1">IFERROR(__xludf.DUMMYFUNCTION("IF(ISBLANK(B224),,FILTER('Leetcode分类顺序表'!B:D,'Leetcode分类顺序表'!A:A = B224))"),"")</f>
        <v/>
      </c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 spans="1:31">
      <c r="A225" s="19"/>
      <c r="B225" s="20"/>
      <c r="C225" s="18" t="str">
        <f ca="1">IFERROR(__xludf.DUMMYFUNCTION("IF(ISBLANK(B225),,FILTER('Leetcode分类顺序表'!B:D,'Leetcode分类顺序表'!A:A = B225))"),"")</f>
        <v/>
      </c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 spans="1:31">
      <c r="A226" s="19"/>
      <c r="B226" s="20"/>
      <c r="C226" s="18" t="str">
        <f ca="1">IFERROR(__xludf.DUMMYFUNCTION("IF(ISBLANK(B226),,FILTER('Leetcode分类顺序表'!B:D,'Leetcode分类顺序表'!A:A = B226))"),"")</f>
        <v/>
      </c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 spans="1:31">
      <c r="A227" s="19"/>
      <c r="B227" s="20"/>
      <c r="C227" s="18" t="str">
        <f ca="1">IFERROR(__xludf.DUMMYFUNCTION("IF(ISBLANK(B227),,FILTER('Leetcode分类顺序表'!B:D,'Leetcode分类顺序表'!A:A = B227))"),"")</f>
        <v/>
      </c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 spans="1:31">
      <c r="A228" s="19"/>
      <c r="B228" s="20"/>
      <c r="C228" s="18" t="str">
        <f ca="1">IFERROR(__xludf.DUMMYFUNCTION("IF(ISBLANK(B228),,FILTER('Leetcode分类顺序表'!B:D,'Leetcode分类顺序表'!A:A = B228))"),"")</f>
        <v/>
      </c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 spans="1:31">
      <c r="A229" s="19"/>
      <c r="B229" s="20"/>
      <c r="C229" s="18" t="str">
        <f ca="1">IFERROR(__xludf.DUMMYFUNCTION("IF(ISBLANK(B229),,FILTER('Leetcode分类顺序表'!B:D,'Leetcode分类顺序表'!A:A = B229))"),"")</f>
        <v/>
      </c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 spans="1:31">
      <c r="A230" s="19"/>
      <c r="B230" s="20"/>
      <c r="C230" s="18" t="str">
        <f ca="1">IFERROR(__xludf.DUMMYFUNCTION("IF(ISBLANK(B230),,FILTER('Leetcode分类顺序表'!B:D,'Leetcode分类顺序表'!A:A = B230))"),"")</f>
        <v/>
      </c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 spans="1:31">
      <c r="A231" s="19"/>
      <c r="B231" s="20"/>
      <c r="C231" s="18" t="str">
        <f ca="1">IFERROR(__xludf.DUMMYFUNCTION("IF(ISBLANK(B231),,FILTER('Leetcode分类顺序表'!B:D,'Leetcode分类顺序表'!A:A = B231))"),"")</f>
        <v/>
      </c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 spans="1:31">
      <c r="A232" s="19"/>
      <c r="B232" s="20"/>
      <c r="C232" s="18" t="str">
        <f ca="1">IFERROR(__xludf.DUMMYFUNCTION("IF(ISBLANK(B232),,FILTER('Leetcode分类顺序表'!B:D,'Leetcode分类顺序表'!A:A = B232))"),"")</f>
        <v/>
      </c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 spans="1:31">
      <c r="A233" s="19"/>
      <c r="B233" s="20"/>
      <c r="C233" s="18" t="str">
        <f ca="1">IFERROR(__xludf.DUMMYFUNCTION("IF(ISBLANK(B233),,FILTER('Leetcode分类顺序表'!B:D,'Leetcode分类顺序表'!A:A = B233))"),"")</f>
        <v/>
      </c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 spans="1:31">
      <c r="A234" s="19"/>
      <c r="B234" s="20"/>
      <c r="C234" s="18" t="str">
        <f ca="1">IFERROR(__xludf.DUMMYFUNCTION("IF(ISBLANK(B234),,FILTER('Leetcode分类顺序表'!B:D,'Leetcode分类顺序表'!A:A = B234))"),"")</f>
        <v/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 spans="1:31">
      <c r="A235" s="19"/>
      <c r="B235" s="20"/>
      <c r="C235" s="18" t="str">
        <f ca="1">IFERROR(__xludf.DUMMYFUNCTION("IF(ISBLANK(B235),,FILTER('Leetcode分类顺序表'!B:D,'Leetcode分类顺序表'!A:A = B235))"),"")</f>
        <v/>
      </c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 spans="1:31">
      <c r="A236" s="19"/>
      <c r="B236" s="20"/>
      <c r="C236" s="18" t="str">
        <f ca="1">IFERROR(__xludf.DUMMYFUNCTION("IF(ISBLANK(B236),,FILTER('Leetcode分类顺序表'!B:D,'Leetcode分类顺序表'!A:A = B236))"),"")</f>
        <v/>
      </c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 spans="1:31">
      <c r="A237" s="19"/>
      <c r="B237" s="20"/>
      <c r="C237" s="18" t="str">
        <f ca="1">IFERROR(__xludf.DUMMYFUNCTION("IF(ISBLANK(B237),,FILTER('Leetcode分类顺序表'!B:D,'Leetcode分类顺序表'!A:A = B237))"),"")</f>
        <v/>
      </c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 spans="1:31">
      <c r="A238" s="19"/>
      <c r="B238" s="20"/>
      <c r="C238" s="18" t="str">
        <f ca="1">IFERROR(__xludf.DUMMYFUNCTION("IF(ISBLANK(B238),,FILTER('Leetcode分类顺序表'!B:D,'Leetcode分类顺序表'!A:A = B238))"),"")</f>
        <v/>
      </c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 spans="1:31">
      <c r="A239" s="19"/>
      <c r="B239" s="20"/>
      <c r="C239" s="18" t="str">
        <f ca="1">IFERROR(__xludf.DUMMYFUNCTION("IF(ISBLANK(B239),,FILTER('Leetcode分类顺序表'!B:D,'Leetcode分类顺序表'!A:A = B239))"),"")</f>
        <v/>
      </c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 spans="1:31">
      <c r="A240" s="19"/>
      <c r="B240" s="20"/>
      <c r="C240" s="18" t="str">
        <f ca="1">IFERROR(__xludf.DUMMYFUNCTION("IF(ISBLANK(B240),,FILTER('Leetcode分类顺序表'!B:D,'Leetcode分类顺序表'!A:A = B240))"),"")</f>
        <v/>
      </c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 spans="1:31">
      <c r="A241" s="19"/>
      <c r="B241" s="20"/>
      <c r="C241" s="18" t="str">
        <f ca="1">IFERROR(__xludf.DUMMYFUNCTION("IF(ISBLANK(B241),,FILTER('Leetcode分类顺序表'!B:D,'Leetcode分类顺序表'!A:A = B241))"),"")</f>
        <v/>
      </c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 spans="1:31">
      <c r="A242" s="19"/>
      <c r="B242" s="20"/>
      <c r="C242" s="18" t="str">
        <f ca="1">IFERROR(__xludf.DUMMYFUNCTION("IF(ISBLANK(B242),,FILTER('Leetcode分类顺序表'!B:D,'Leetcode分类顺序表'!A:A = B242))"),"")</f>
        <v/>
      </c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 spans="1:31">
      <c r="A243" s="19"/>
      <c r="B243" s="20"/>
      <c r="C243" s="18" t="str">
        <f ca="1">IFERROR(__xludf.DUMMYFUNCTION("IF(ISBLANK(B243),,FILTER('Leetcode分类顺序表'!B:D,'Leetcode分类顺序表'!A:A = B243))"),"")</f>
        <v/>
      </c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 spans="1:31">
      <c r="A244" s="19"/>
      <c r="B244" s="20"/>
      <c r="C244" s="18" t="str">
        <f ca="1">IFERROR(__xludf.DUMMYFUNCTION("IF(ISBLANK(B244),,FILTER('Leetcode分类顺序表'!B:D,'Leetcode分类顺序表'!A:A = B244))"),"")</f>
        <v/>
      </c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 spans="1:31">
      <c r="A245" s="19"/>
      <c r="B245" s="20"/>
      <c r="C245" s="18" t="str">
        <f ca="1">IFERROR(__xludf.DUMMYFUNCTION("IF(ISBLANK(B245),,FILTER('Leetcode分类顺序表'!B:D,'Leetcode分类顺序表'!A:A = B245))"),"")</f>
        <v/>
      </c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 spans="1:31">
      <c r="A246" s="19"/>
      <c r="B246" s="20"/>
      <c r="C246" s="18" t="str">
        <f ca="1">IFERROR(__xludf.DUMMYFUNCTION("IF(ISBLANK(B246),,FILTER('Leetcode分类顺序表'!B:D,'Leetcode分类顺序表'!A:A = B246))"),"")</f>
        <v/>
      </c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 spans="1:31">
      <c r="A247" s="19"/>
      <c r="B247" s="20"/>
      <c r="C247" s="18" t="str">
        <f ca="1">IFERROR(__xludf.DUMMYFUNCTION("IF(ISBLANK(B247),,FILTER('Leetcode分类顺序表'!B:D,'Leetcode分类顺序表'!A:A = B247))"),"")</f>
        <v/>
      </c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 spans="1:31">
      <c r="A248" s="19"/>
      <c r="B248" s="20"/>
      <c r="C248" s="18" t="str">
        <f ca="1">IFERROR(__xludf.DUMMYFUNCTION("IF(ISBLANK(B248),,FILTER('Leetcode分类顺序表'!B:D,'Leetcode分类顺序表'!A:A = B248))"),"")</f>
        <v/>
      </c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 spans="1:31">
      <c r="A249" s="19"/>
      <c r="B249" s="20"/>
      <c r="C249" s="18" t="str">
        <f ca="1">IFERROR(__xludf.DUMMYFUNCTION("IF(ISBLANK(B249),,FILTER('Leetcode分类顺序表'!B:D,'Leetcode分类顺序表'!A:A = B249))"),"")</f>
        <v/>
      </c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 spans="1:31">
      <c r="A250" s="19"/>
      <c r="B250" s="20"/>
      <c r="C250" s="18" t="str">
        <f ca="1">IFERROR(__xludf.DUMMYFUNCTION("IF(ISBLANK(B250),,FILTER('Leetcode分类顺序表'!B:D,'Leetcode分类顺序表'!A:A = B250))"),"")</f>
        <v/>
      </c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 spans="1:31">
      <c r="A251" s="19"/>
      <c r="B251" s="20"/>
      <c r="C251" s="18" t="str">
        <f ca="1">IFERROR(__xludf.DUMMYFUNCTION("IF(ISBLANK(B251),,FILTER('Leetcode分类顺序表'!B:D,'Leetcode分类顺序表'!A:A = B251))"),"")</f>
        <v/>
      </c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 spans="1:31">
      <c r="A252" s="19"/>
      <c r="B252" s="20"/>
      <c r="C252" s="18" t="str">
        <f ca="1">IFERROR(__xludf.DUMMYFUNCTION("IF(ISBLANK(B252),,FILTER('Leetcode分类顺序表'!B:D,'Leetcode分类顺序表'!A:A = B252))"),"")</f>
        <v/>
      </c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 spans="1:31">
      <c r="A253" s="19"/>
      <c r="B253" s="20"/>
      <c r="C253" s="18" t="str">
        <f ca="1">IFERROR(__xludf.DUMMYFUNCTION("IF(ISBLANK(B253),,FILTER('Leetcode分类顺序表'!B:D,'Leetcode分类顺序表'!A:A = B253))"),"")</f>
        <v/>
      </c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 spans="1:31">
      <c r="A254" s="19"/>
      <c r="B254" s="20"/>
      <c r="C254" s="18" t="str">
        <f ca="1">IFERROR(__xludf.DUMMYFUNCTION("IF(ISBLANK(B254),,FILTER('Leetcode分类顺序表'!B:D,'Leetcode分类顺序表'!A:A = B254))"),"")</f>
        <v/>
      </c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 spans="1:31">
      <c r="A255" s="19"/>
      <c r="B255" s="20"/>
      <c r="C255" s="18" t="str">
        <f ca="1">IFERROR(__xludf.DUMMYFUNCTION("IF(ISBLANK(B255),,FILTER('Leetcode分类顺序表'!B:D,'Leetcode分类顺序表'!A:A = B255))"),"")</f>
        <v/>
      </c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 spans="1:31">
      <c r="A256" s="19"/>
      <c r="B256" s="20"/>
      <c r="C256" s="18" t="str">
        <f ca="1">IFERROR(__xludf.DUMMYFUNCTION("IF(ISBLANK(B256),,FILTER('Leetcode分类顺序表'!B:D,'Leetcode分类顺序表'!A:A = B256))"),"")</f>
        <v/>
      </c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 spans="1:31">
      <c r="A257" s="19"/>
      <c r="B257" s="20"/>
      <c r="C257" s="18" t="str">
        <f ca="1">IFERROR(__xludf.DUMMYFUNCTION("IF(ISBLANK(B257),,FILTER('Leetcode分类顺序表'!B:D,'Leetcode分类顺序表'!A:A = B257))"),"")</f>
        <v/>
      </c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 spans="1:31">
      <c r="A258" s="19"/>
      <c r="B258" s="20"/>
      <c r="C258" s="18" t="str">
        <f ca="1">IFERROR(__xludf.DUMMYFUNCTION("IF(ISBLANK(B258),,FILTER('Leetcode分类顺序表'!B:D,'Leetcode分类顺序表'!A:A = B258))"),"")</f>
        <v/>
      </c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 spans="1:31">
      <c r="A259" s="19"/>
      <c r="B259" s="20"/>
      <c r="C259" s="18" t="str">
        <f ca="1">IFERROR(__xludf.DUMMYFUNCTION("IF(ISBLANK(B259),,FILTER('Leetcode分类顺序表'!B:D,'Leetcode分类顺序表'!A:A = B259))"),"")</f>
        <v/>
      </c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 spans="1:31">
      <c r="A260" s="19"/>
      <c r="B260" s="20"/>
      <c r="C260" s="18" t="str">
        <f ca="1">IFERROR(__xludf.DUMMYFUNCTION("IF(ISBLANK(B260),,FILTER('Leetcode分类顺序表'!B:D,'Leetcode分类顺序表'!A:A = B260))"),"")</f>
        <v/>
      </c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 spans="1:31">
      <c r="A261" s="19"/>
      <c r="B261" s="20"/>
      <c r="C261" s="18" t="str">
        <f ca="1">IFERROR(__xludf.DUMMYFUNCTION("IF(ISBLANK(B261),,FILTER('Leetcode分类顺序表'!B:D,'Leetcode分类顺序表'!A:A = B261))"),"")</f>
        <v/>
      </c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 spans="1:31">
      <c r="A262" s="19"/>
      <c r="B262" s="20"/>
      <c r="C262" s="18" t="str">
        <f ca="1">IFERROR(__xludf.DUMMYFUNCTION("IF(ISBLANK(B262),,FILTER('Leetcode分类顺序表'!B:D,'Leetcode分类顺序表'!A:A = B262))"),"")</f>
        <v/>
      </c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 spans="1:31">
      <c r="A263" s="19"/>
      <c r="B263" s="20"/>
      <c r="C263" s="18" t="str">
        <f ca="1">IFERROR(__xludf.DUMMYFUNCTION("IF(ISBLANK(B263),,FILTER('Leetcode分类顺序表'!B:D,'Leetcode分类顺序表'!A:A = B263))"),"")</f>
        <v/>
      </c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 spans="1:31">
      <c r="A264" s="19"/>
      <c r="B264" s="20"/>
      <c r="C264" s="18" t="str">
        <f ca="1">IFERROR(__xludf.DUMMYFUNCTION("IF(ISBLANK(B264),,FILTER('Leetcode分类顺序表'!B:D,'Leetcode分类顺序表'!A:A = B264))"),"")</f>
        <v/>
      </c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 spans="1:31">
      <c r="A265" s="19"/>
      <c r="B265" s="20"/>
      <c r="C265" s="18" t="str">
        <f ca="1">IFERROR(__xludf.DUMMYFUNCTION("IF(ISBLANK(B265),,FILTER('Leetcode分类顺序表'!B:D,'Leetcode分类顺序表'!A:A = B265))"),"")</f>
        <v/>
      </c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 spans="1:31">
      <c r="A266" s="19"/>
      <c r="B266" s="20"/>
      <c r="C266" s="18" t="str">
        <f ca="1">IFERROR(__xludf.DUMMYFUNCTION("IF(ISBLANK(B266),,FILTER('Leetcode分类顺序表'!B:D,'Leetcode分类顺序表'!A:A = B266))"),"")</f>
        <v/>
      </c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 spans="1:31">
      <c r="A267" s="19"/>
      <c r="B267" s="20"/>
      <c r="C267" s="18" t="str">
        <f ca="1">IFERROR(__xludf.DUMMYFUNCTION("IF(ISBLANK(B267),,FILTER('Leetcode分类顺序表'!B:D,'Leetcode分类顺序表'!A:A = B267))"),"")</f>
        <v/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 spans="1:31">
      <c r="A268" s="19"/>
      <c r="B268" s="20"/>
      <c r="C268" s="18" t="str">
        <f ca="1">IFERROR(__xludf.DUMMYFUNCTION("IF(ISBLANK(B268),,FILTER('Leetcode分类顺序表'!B:D,'Leetcode分类顺序表'!A:A = B268))"),"")</f>
        <v/>
      </c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 spans="1:31">
      <c r="A269" s="19"/>
      <c r="B269" s="20"/>
      <c r="C269" s="18" t="str">
        <f ca="1">IFERROR(__xludf.DUMMYFUNCTION("IF(ISBLANK(B269),,FILTER('Leetcode分类顺序表'!B:D,'Leetcode分类顺序表'!A:A = B269))"),"")</f>
        <v/>
      </c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 spans="1:31">
      <c r="A270" s="19"/>
      <c r="B270" s="20"/>
      <c r="C270" s="18" t="str">
        <f ca="1">IFERROR(__xludf.DUMMYFUNCTION("IF(ISBLANK(B270),,FILTER('Leetcode分类顺序表'!B:D,'Leetcode分类顺序表'!A:A = B270))"),"")</f>
        <v/>
      </c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 spans="1:31">
      <c r="A271" s="19"/>
      <c r="B271" s="20"/>
      <c r="C271" s="18" t="str">
        <f ca="1">IFERROR(__xludf.DUMMYFUNCTION("IF(ISBLANK(B271),,FILTER('Leetcode分类顺序表'!B:D,'Leetcode分类顺序表'!A:A = B271))"),"")</f>
        <v/>
      </c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 spans="1:31">
      <c r="A272" s="19"/>
      <c r="B272" s="20"/>
      <c r="C272" s="18" t="str">
        <f ca="1">IFERROR(__xludf.DUMMYFUNCTION("IF(ISBLANK(B272),,FILTER('Leetcode分类顺序表'!B:D,'Leetcode分类顺序表'!A:A = B272))"),"")</f>
        <v/>
      </c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 spans="1:31">
      <c r="A273" s="19"/>
      <c r="B273" s="20"/>
      <c r="C273" s="18" t="str">
        <f ca="1">IFERROR(__xludf.DUMMYFUNCTION("IF(ISBLANK(B273),,FILTER('Leetcode分类顺序表'!B:D,'Leetcode分类顺序表'!A:A = B273))"),"")</f>
        <v/>
      </c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 spans="1:31">
      <c r="A274" s="19"/>
      <c r="B274" s="20"/>
      <c r="C274" s="18" t="str">
        <f ca="1">IFERROR(__xludf.DUMMYFUNCTION("IF(ISBLANK(B274),,FILTER('Leetcode分类顺序表'!B:D,'Leetcode分类顺序表'!A:A = B274))"),"")</f>
        <v/>
      </c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 spans="1:31">
      <c r="A275" s="19"/>
      <c r="B275" s="20"/>
      <c r="C275" s="18" t="str">
        <f ca="1">IFERROR(__xludf.DUMMYFUNCTION("IF(ISBLANK(B275),,FILTER('Leetcode分类顺序表'!B:D,'Leetcode分类顺序表'!A:A = B275))"),"")</f>
        <v/>
      </c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 spans="1:31">
      <c r="A276" s="19"/>
      <c r="B276" s="20"/>
      <c r="C276" s="18" t="str">
        <f ca="1">IFERROR(__xludf.DUMMYFUNCTION("IF(ISBLANK(B276),,FILTER('Leetcode分类顺序表'!B:D,'Leetcode分类顺序表'!A:A = B276))"),"")</f>
        <v/>
      </c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 spans="1:31">
      <c r="A277" s="19"/>
      <c r="B277" s="20"/>
      <c r="C277" s="18" t="str">
        <f ca="1">IFERROR(__xludf.DUMMYFUNCTION("IF(ISBLANK(B277),,FILTER('Leetcode分类顺序表'!B:D,'Leetcode分类顺序表'!A:A = B277))"),"")</f>
        <v/>
      </c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 spans="1:31">
      <c r="A278" s="19"/>
      <c r="B278" s="20"/>
      <c r="C278" s="18" t="str">
        <f ca="1">IFERROR(__xludf.DUMMYFUNCTION("IF(ISBLANK(B278),,FILTER('Leetcode分类顺序表'!B:D,'Leetcode分类顺序表'!A:A = B278))"),"")</f>
        <v/>
      </c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 spans="1:31">
      <c r="A279" s="19"/>
      <c r="B279" s="20"/>
      <c r="C279" s="18" t="str">
        <f ca="1">IFERROR(__xludf.DUMMYFUNCTION("IF(ISBLANK(B279),,FILTER('Leetcode分类顺序表'!B:D,'Leetcode分类顺序表'!A:A = B279))"),"")</f>
        <v/>
      </c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 spans="1:31">
      <c r="A280" s="19"/>
      <c r="B280" s="20"/>
      <c r="C280" s="18" t="str">
        <f ca="1">IFERROR(__xludf.DUMMYFUNCTION("IF(ISBLANK(B280),,FILTER('Leetcode分类顺序表'!B:D,'Leetcode分类顺序表'!A:A = B280))"),"")</f>
        <v/>
      </c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 spans="1:31">
      <c r="A281" s="19"/>
      <c r="B281" s="20"/>
      <c r="C281" s="18" t="str">
        <f ca="1">IFERROR(__xludf.DUMMYFUNCTION("IF(ISBLANK(B281),,FILTER('Leetcode分类顺序表'!B:D,'Leetcode分类顺序表'!A:A = B281))"),"")</f>
        <v/>
      </c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 spans="1:31">
      <c r="A282" s="19"/>
      <c r="B282" s="20"/>
      <c r="C282" s="18" t="str">
        <f ca="1">IFERROR(__xludf.DUMMYFUNCTION("IF(ISBLANK(B282),,FILTER('Leetcode分类顺序表'!B:D,'Leetcode分类顺序表'!A:A = B282))"),"")</f>
        <v/>
      </c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 spans="1:31">
      <c r="A283" s="19"/>
      <c r="B283" s="20"/>
      <c r="C283" s="18" t="str">
        <f ca="1">IFERROR(__xludf.DUMMYFUNCTION("IF(ISBLANK(B283),,FILTER('Leetcode分类顺序表'!B:D,'Leetcode分类顺序表'!A:A = B283))"),"")</f>
        <v/>
      </c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 spans="1:31">
      <c r="A284" s="19"/>
      <c r="B284" s="20"/>
      <c r="C284" s="18" t="str">
        <f ca="1">IFERROR(__xludf.DUMMYFUNCTION("IF(ISBLANK(B284),,FILTER('Leetcode分类顺序表'!B:D,'Leetcode分类顺序表'!A:A = B284))"),"")</f>
        <v/>
      </c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 spans="1:31">
      <c r="A285" s="19"/>
      <c r="B285" s="20"/>
      <c r="C285" s="18" t="str">
        <f ca="1">IFERROR(__xludf.DUMMYFUNCTION("IF(ISBLANK(B285),,FILTER('Leetcode分类顺序表'!B:D,'Leetcode分类顺序表'!A:A = B285))"),"")</f>
        <v/>
      </c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 spans="1:31">
      <c r="A286" s="19"/>
      <c r="B286" s="20"/>
      <c r="C286" s="18" t="str">
        <f ca="1">IFERROR(__xludf.DUMMYFUNCTION("IF(ISBLANK(B286),,FILTER('Leetcode分类顺序表'!B:D,'Leetcode分类顺序表'!A:A = B286))"),"")</f>
        <v/>
      </c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 spans="1:31">
      <c r="A287" s="19"/>
      <c r="B287" s="20"/>
      <c r="C287" s="18" t="str">
        <f ca="1">IFERROR(__xludf.DUMMYFUNCTION("IF(ISBLANK(B287),,FILTER('Leetcode分类顺序表'!B:D,'Leetcode分类顺序表'!A:A = B287))"),"")</f>
        <v/>
      </c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 spans="1:31">
      <c r="A288" s="19"/>
      <c r="B288" s="20"/>
      <c r="C288" s="18" t="str">
        <f ca="1">IFERROR(__xludf.DUMMYFUNCTION("IF(ISBLANK(B288),,FILTER('Leetcode分类顺序表'!B:D,'Leetcode分类顺序表'!A:A = B288))"),"")</f>
        <v/>
      </c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 spans="1:31">
      <c r="A289" s="19"/>
      <c r="B289" s="20"/>
      <c r="C289" s="18" t="str">
        <f ca="1">IFERROR(__xludf.DUMMYFUNCTION("IF(ISBLANK(B289),,FILTER('Leetcode分类顺序表'!B:D,'Leetcode分类顺序表'!A:A = B289))"),"")</f>
        <v/>
      </c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 spans="1:31">
      <c r="A290" s="19"/>
      <c r="B290" s="20"/>
      <c r="C290" s="18" t="str">
        <f ca="1">IFERROR(__xludf.DUMMYFUNCTION("IF(ISBLANK(B290),,FILTER('Leetcode分类顺序表'!B:D,'Leetcode分类顺序表'!A:A = B290))"),"")</f>
        <v/>
      </c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 spans="1:31">
      <c r="A291" s="19"/>
      <c r="B291" s="20"/>
      <c r="C291" s="18" t="str">
        <f ca="1">IFERROR(__xludf.DUMMYFUNCTION("IF(ISBLANK(B291),,FILTER('Leetcode分类顺序表'!B:D,'Leetcode分类顺序表'!A:A = B291))"),"")</f>
        <v/>
      </c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 spans="1:31">
      <c r="A292" s="19"/>
      <c r="B292" s="20"/>
      <c r="C292" s="18" t="str">
        <f ca="1">IFERROR(__xludf.DUMMYFUNCTION("IF(ISBLANK(B292),,FILTER('Leetcode分类顺序表'!B:D,'Leetcode分类顺序表'!A:A = B292))"),"")</f>
        <v/>
      </c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 spans="1:31">
      <c r="A293" s="19"/>
      <c r="B293" s="20"/>
      <c r="C293" s="18" t="str">
        <f ca="1">IFERROR(__xludf.DUMMYFUNCTION("IF(ISBLANK(B293),,FILTER('Leetcode分类顺序表'!B:D,'Leetcode分类顺序表'!A:A = B293))"),"")</f>
        <v/>
      </c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 spans="1:31">
      <c r="A294" s="19"/>
      <c r="B294" s="20"/>
      <c r="C294" s="18" t="str">
        <f ca="1">IFERROR(__xludf.DUMMYFUNCTION("IF(ISBLANK(B294),,FILTER('Leetcode分类顺序表'!B:D,'Leetcode分类顺序表'!A:A = B294))"),"")</f>
        <v/>
      </c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 spans="1:31">
      <c r="A295" s="19"/>
      <c r="B295" s="20"/>
      <c r="C295" s="18" t="str">
        <f ca="1">IFERROR(__xludf.DUMMYFUNCTION("IF(ISBLANK(B295),,FILTER('Leetcode分类顺序表'!B:D,'Leetcode分类顺序表'!A:A = B295))"),"")</f>
        <v/>
      </c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 spans="1:31">
      <c r="A296" s="19"/>
      <c r="B296" s="20"/>
      <c r="C296" s="18" t="str">
        <f ca="1">IFERROR(__xludf.DUMMYFUNCTION("IF(ISBLANK(B296),,FILTER('Leetcode分类顺序表'!B:D,'Leetcode分类顺序表'!A:A = B296))"),"")</f>
        <v/>
      </c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 spans="1:31">
      <c r="A297" s="19"/>
      <c r="B297" s="20"/>
      <c r="C297" s="18" t="str">
        <f ca="1">IFERROR(__xludf.DUMMYFUNCTION("IF(ISBLANK(B297),,FILTER('Leetcode分类顺序表'!B:D,'Leetcode分类顺序表'!A:A = B297))"),"")</f>
        <v/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 spans="1:31">
      <c r="A298" s="19"/>
      <c r="B298" s="20"/>
      <c r="C298" s="18" t="str">
        <f ca="1">IFERROR(__xludf.DUMMYFUNCTION("IF(ISBLANK(B298),,FILTER('Leetcode分类顺序表'!B:D,'Leetcode分类顺序表'!A:A = B298))"),"")</f>
        <v/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 spans="1:31">
      <c r="A299" s="19"/>
      <c r="B299" s="20"/>
      <c r="C299" s="18" t="str">
        <f ca="1">IFERROR(__xludf.DUMMYFUNCTION("IF(ISBLANK(B299),,FILTER('Leetcode分类顺序表'!B:D,'Leetcode分类顺序表'!A:A = B299))"),"")</f>
        <v/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 spans="1:31">
      <c r="A300" s="19"/>
      <c r="B300" s="20"/>
      <c r="C300" s="18" t="str">
        <f ca="1">IFERROR(__xludf.DUMMYFUNCTION("IF(ISBLANK(B300),,FILTER('Leetcode分类顺序表'!B:D,'Leetcode分类顺序表'!A:A = B300))"),"")</f>
        <v/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 spans="1:31">
      <c r="A301" s="19"/>
      <c r="B301" s="20"/>
      <c r="C301" s="18" t="str">
        <f ca="1">IFERROR(__xludf.DUMMYFUNCTION("IF(ISBLANK(B301),,FILTER('Leetcode分类顺序表'!B:D,'Leetcode分类顺序表'!A:A = B301))"),"")</f>
        <v/>
      </c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 spans="1:31">
      <c r="A302" s="19"/>
      <c r="B302" s="20"/>
      <c r="C302" s="18" t="str">
        <f ca="1">IFERROR(__xludf.DUMMYFUNCTION("IF(ISBLANK(B302),,FILTER('Leetcode分类顺序表'!B:D,'Leetcode分类顺序表'!A:A = B302))"),"")</f>
        <v/>
      </c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 spans="1:31">
      <c r="A303" s="19"/>
      <c r="B303" s="20"/>
      <c r="C303" s="18" t="str">
        <f ca="1">IFERROR(__xludf.DUMMYFUNCTION("IF(ISBLANK(B303),,FILTER('Leetcode分类顺序表'!B:D,'Leetcode分类顺序表'!A:A = B303))"),"")</f>
        <v/>
      </c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 spans="1:31">
      <c r="A304" s="19"/>
      <c r="B304" s="20"/>
      <c r="C304" s="18" t="str">
        <f ca="1">IFERROR(__xludf.DUMMYFUNCTION("IF(ISBLANK(B304),,FILTER('Leetcode分类顺序表'!B:D,'Leetcode分类顺序表'!A:A = B304))"),"")</f>
        <v/>
      </c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 spans="1:31">
      <c r="A305" s="19"/>
      <c r="B305" s="20"/>
      <c r="C305" s="18" t="str">
        <f ca="1">IFERROR(__xludf.DUMMYFUNCTION("IF(ISBLANK(B305),,FILTER('Leetcode分类顺序表'!B:D,'Leetcode分类顺序表'!A:A = B305))"),"")</f>
        <v/>
      </c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 spans="1:31">
      <c r="A306" s="19"/>
      <c r="B306" s="20"/>
      <c r="C306" s="18" t="str">
        <f ca="1">IFERROR(__xludf.DUMMYFUNCTION("IF(ISBLANK(B306),,FILTER('Leetcode分类顺序表'!B:D,'Leetcode分类顺序表'!A:A = B306))"),"")</f>
        <v/>
      </c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 spans="1:31">
      <c r="A307" s="19"/>
      <c r="B307" s="20"/>
      <c r="C307" s="18" t="str">
        <f ca="1">IFERROR(__xludf.DUMMYFUNCTION("IF(ISBLANK(B307),,FILTER('Leetcode分类顺序表'!B:D,'Leetcode分类顺序表'!A:A = B307))"),"")</f>
        <v/>
      </c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 spans="1:31">
      <c r="A308" s="19"/>
      <c r="B308" s="20"/>
      <c r="C308" s="18" t="str">
        <f ca="1">IFERROR(__xludf.DUMMYFUNCTION("IF(ISBLANK(B308),,FILTER('Leetcode分类顺序表'!B:D,'Leetcode分类顺序表'!A:A = B308))"),"")</f>
        <v/>
      </c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 spans="1:31">
      <c r="A309" s="19"/>
      <c r="B309" s="20"/>
      <c r="C309" s="18" t="str">
        <f ca="1">IFERROR(__xludf.DUMMYFUNCTION("IF(ISBLANK(B309),,FILTER('Leetcode分类顺序表'!B:D,'Leetcode分类顺序表'!A:A = B309))"),"")</f>
        <v/>
      </c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 spans="1:31">
      <c r="A310" s="19"/>
      <c r="B310" s="20"/>
      <c r="C310" s="18" t="str">
        <f ca="1">IFERROR(__xludf.DUMMYFUNCTION("IF(ISBLANK(B310),,FILTER('Leetcode分类顺序表'!B:D,'Leetcode分类顺序表'!A:A = B310))"),"")</f>
        <v/>
      </c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 spans="1:31">
      <c r="A311" s="19"/>
      <c r="B311" s="20"/>
      <c r="C311" s="18" t="str">
        <f ca="1">IFERROR(__xludf.DUMMYFUNCTION("IF(ISBLANK(B311),,FILTER('Leetcode分类顺序表'!B:D,'Leetcode分类顺序表'!A:A = B311))"),"")</f>
        <v/>
      </c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 spans="1:31">
      <c r="A312" s="19"/>
      <c r="B312" s="20"/>
      <c r="C312" s="18" t="str">
        <f ca="1">IFERROR(__xludf.DUMMYFUNCTION("IF(ISBLANK(B312),,FILTER('Leetcode分类顺序表'!B:D,'Leetcode分类顺序表'!A:A = B312))"),"")</f>
        <v/>
      </c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 spans="1:31">
      <c r="A313" s="19"/>
      <c r="B313" s="20"/>
      <c r="C313" s="18" t="str">
        <f ca="1">IFERROR(__xludf.DUMMYFUNCTION("IF(ISBLANK(B313),,FILTER('Leetcode分类顺序表'!B:D,'Leetcode分类顺序表'!A:A = B313))"),"")</f>
        <v/>
      </c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 spans="1:31">
      <c r="A314" s="19"/>
      <c r="B314" s="20"/>
      <c r="C314" s="18" t="str">
        <f ca="1">IFERROR(__xludf.DUMMYFUNCTION("IF(ISBLANK(B314),,FILTER('Leetcode分类顺序表'!B:D,'Leetcode分类顺序表'!A:A = B314))"),"")</f>
        <v/>
      </c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 spans="1:31">
      <c r="A315" s="19"/>
      <c r="B315" s="20"/>
      <c r="C315" s="18" t="str">
        <f ca="1">IFERROR(__xludf.DUMMYFUNCTION("IF(ISBLANK(B315),,FILTER('Leetcode分类顺序表'!B:D,'Leetcode分类顺序表'!A:A = B315))"),"")</f>
        <v/>
      </c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 spans="1:31">
      <c r="A316" s="19"/>
      <c r="B316" s="20"/>
      <c r="C316" s="18" t="str">
        <f ca="1">IFERROR(__xludf.DUMMYFUNCTION("IF(ISBLANK(B316),,FILTER('Leetcode分类顺序表'!B:D,'Leetcode分类顺序表'!A:A = B316))"),"")</f>
        <v/>
      </c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 spans="1:31">
      <c r="A317" s="19"/>
      <c r="B317" s="20"/>
      <c r="C317" s="18" t="str">
        <f ca="1">IFERROR(__xludf.DUMMYFUNCTION("IF(ISBLANK(B317),,FILTER('Leetcode分类顺序表'!B:D,'Leetcode分类顺序表'!A:A = B317))"),"")</f>
        <v/>
      </c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 spans="1:31">
      <c r="A318" s="19"/>
      <c r="B318" s="20"/>
      <c r="C318" s="18" t="str">
        <f ca="1">IFERROR(__xludf.DUMMYFUNCTION("IF(ISBLANK(B318),,FILTER('Leetcode分类顺序表'!B:D,'Leetcode分类顺序表'!A:A = B318))"),"")</f>
        <v/>
      </c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 spans="1:31">
      <c r="A319" s="19"/>
      <c r="B319" s="20"/>
      <c r="C319" s="18" t="str">
        <f ca="1">IFERROR(__xludf.DUMMYFUNCTION("IF(ISBLANK(B319),,FILTER('Leetcode分类顺序表'!B:D,'Leetcode分类顺序表'!A:A = B319))"),"")</f>
        <v/>
      </c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 spans="1:31">
      <c r="A320" s="19"/>
      <c r="B320" s="20"/>
      <c r="C320" s="18" t="str">
        <f ca="1">IFERROR(__xludf.DUMMYFUNCTION("IF(ISBLANK(B320),,FILTER('Leetcode分类顺序表'!B:D,'Leetcode分类顺序表'!A:A = B320))"),"")</f>
        <v/>
      </c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 spans="1:31">
      <c r="A321" s="19"/>
      <c r="B321" s="20"/>
      <c r="C321" s="18" t="str">
        <f ca="1">IFERROR(__xludf.DUMMYFUNCTION("IF(ISBLANK(B321),,FILTER('Leetcode分类顺序表'!B:D,'Leetcode分类顺序表'!A:A = B321))"),"")</f>
        <v/>
      </c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 spans="1:31">
      <c r="A322" s="19"/>
      <c r="B322" s="20"/>
      <c r="C322" s="18" t="str">
        <f ca="1">IFERROR(__xludf.DUMMYFUNCTION("IF(ISBLANK(B322),,FILTER('Leetcode分类顺序表'!B:D,'Leetcode分类顺序表'!A:A = B322))"),"")</f>
        <v/>
      </c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 spans="1:31">
      <c r="A323" s="19"/>
      <c r="B323" s="20"/>
      <c r="C323" s="18" t="str">
        <f ca="1">IFERROR(__xludf.DUMMYFUNCTION("IF(ISBLANK(B323),,FILTER('Leetcode分类顺序表'!B:D,'Leetcode分类顺序表'!A:A = B323))"),"")</f>
        <v/>
      </c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 spans="1:31">
      <c r="A324" s="19"/>
      <c r="B324" s="20"/>
      <c r="C324" s="18" t="str">
        <f ca="1">IFERROR(__xludf.DUMMYFUNCTION("IF(ISBLANK(B324),,FILTER('Leetcode分类顺序表'!B:D,'Leetcode分类顺序表'!A:A = B324))"),"")</f>
        <v/>
      </c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 spans="1:31">
      <c r="A325" s="19"/>
      <c r="B325" s="20"/>
      <c r="C325" s="18" t="str">
        <f ca="1">IFERROR(__xludf.DUMMYFUNCTION("IF(ISBLANK(B325),,FILTER('Leetcode分类顺序表'!B:D,'Leetcode分类顺序表'!A:A = B325))"),"")</f>
        <v/>
      </c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 spans="1:31">
      <c r="A326" s="19"/>
      <c r="B326" s="20"/>
      <c r="C326" s="18" t="str">
        <f ca="1">IFERROR(__xludf.DUMMYFUNCTION("IF(ISBLANK(B326),,FILTER('Leetcode分类顺序表'!B:D,'Leetcode分类顺序表'!A:A = B326))"),"")</f>
        <v/>
      </c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 spans="1:31">
      <c r="A327" s="19"/>
      <c r="B327" s="20"/>
      <c r="C327" s="18" t="str">
        <f ca="1">IFERROR(__xludf.DUMMYFUNCTION("IF(ISBLANK(B327),,FILTER('Leetcode分类顺序表'!B:D,'Leetcode分类顺序表'!A:A = B327))"),"")</f>
        <v/>
      </c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 spans="1:31">
      <c r="A328" s="19"/>
      <c r="B328" s="20"/>
      <c r="C328" s="18" t="str">
        <f ca="1">IFERROR(__xludf.DUMMYFUNCTION("IF(ISBLANK(B328),,FILTER('Leetcode分类顺序表'!B:D,'Leetcode分类顺序表'!A:A = B328))"),"")</f>
        <v/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 spans="1:31">
      <c r="A329" s="19"/>
      <c r="B329" s="20"/>
      <c r="C329" s="18" t="str">
        <f ca="1">IFERROR(__xludf.DUMMYFUNCTION("IF(ISBLANK(B329),,FILTER('Leetcode分类顺序表'!B:D,'Leetcode分类顺序表'!A:A = B329))"),"")</f>
        <v/>
      </c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 spans="1:31">
      <c r="A330" s="19"/>
      <c r="B330" s="20"/>
      <c r="C330" s="18" t="str">
        <f ca="1">IFERROR(__xludf.DUMMYFUNCTION("IF(ISBLANK(B330),,FILTER('Leetcode分类顺序表'!B:D,'Leetcode分类顺序表'!A:A = B330))"),"")</f>
        <v/>
      </c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 spans="1:31">
      <c r="A331" s="19"/>
      <c r="B331" s="20"/>
      <c r="C331" s="18" t="str">
        <f ca="1">IFERROR(__xludf.DUMMYFUNCTION("IF(ISBLANK(B331),,FILTER('Leetcode分类顺序表'!B:D,'Leetcode分类顺序表'!A:A = B331))"),"")</f>
        <v/>
      </c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 spans="1:31">
      <c r="A332" s="19"/>
      <c r="B332" s="20"/>
      <c r="C332" s="18" t="str">
        <f ca="1">IFERROR(__xludf.DUMMYFUNCTION("IF(ISBLANK(B332),,FILTER('Leetcode分类顺序表'!B:D,'Leetcode分类顺序表'!A:A = B332))"),"")</f>
        <v/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 spans="1:31">
      <c r="A333" s="19"/>
      <c r="B333" s="20"/>
      <c r="C333" s="18" t="str">
        <f ca="1">IFERROR(__xludf.DUMMYFUNCTION("IF(ISBLANK(B333),,FILTER('Leetcode分类顺序表'!B:D,'Leetcode分类顺序表'!A:A = B333))"),"")</f>
        <v/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 spans="1:31">
      <c r="A334" s="19"/>
      <c r="B334" s="20"/>
      <c r="C334" s="18" t="str">
        <f ca="1">IFERROR(__xludf.DUMMYFUNCTION("IF(ISBLANK(B334),,FILTER('Leetcode分类顺序表'!B:D,'Leetcode分类顺序表'!A:A = B334))"),"")</f>
        <v/>
      </c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 spans="1:31">
      <c r="A335" s="19"/>
      <c r="B335" s="20"/>
      <c r="C335" s="18" t="str">
        <f ca="1">IFERROR(__xludf.DUMMYFUNCTION("IF(ISBLANK(B335),,FILTER('Leetcode分类顺序表'!B:D,'Leetcode分类顺序表'!A:A = B335))"),"")</f>
        <v/>
      </c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 spans="1:31">
      <c r="A336" s="19"/>
      <c r="B336" s="20"/>
      <c r="C336" s="18" t="str">
        <f ca="1">IFERROR(__xludf.DUMMYFUNCTION("IF(ISBLANK(B336),,FILTER('Leetcode分类顺序表'!B:D,'Leetcode分类顺序表'!A:A = B336))"),"")</f>
        <v/>
      </c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 spans="1:31">
      <c r="A337" s="19"/>
      <c r="B337" s="20"/>
      <c r="C337" s="18" t="str">
        <f ca="1">IFERROR(__xludf.DUMMYFUNCTION("IF(ISBLANK(B337),,FILTER('Leetcode分类顺序表'!B:D,'Leetcode分类顺序表'!A:A = B337))"),"")</f>
        <v/>
      </c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 spans="1:31">
      <c r="A338" s="19"/>
      <c r="B338" s="20"/>
      <c r="C338" s="18" t="str">
        <f ca="1">IFERROR(__xludf.DUMMYFUNCTION("IF(ISBLANK(B338),,FILTER('Leetcode分类顺序表'!B:D,'Leetcode分类顺序表'!A:A = B338))"),"")</f>
        <v/>
      </c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 spans="1:31">
      <c r="A339" s="19"/>
      <c r="B339" s="20"/>
      <c r="C339" s="18" t="str">
        <f ca="1">IFERROR(__xludf.DUMMYFUNCTION("IF(ISBLANK(B339),,FILTER('Leetcode分类顺序表'!B:D,'Leetcode分类顺序表'!A:A = B339))"),"")</f>
        <v/>
      </c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 spans="1:31">
      <c r="A340" s="19"/>
      <c r="B340" s="20"/>
      <c r="C340" s="18" t="str">
        <f ca="1">IFERROR(__xludf.DUMMYFUNCTION("IF(ISBLANK(B340),,FILTER('Leetcode分类顺序表'!B:D,'Leetcode分类顺序表'!A:A = B340))"),"")</f>
        <v/>
      </c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 spans="1:31">
      <c r="A341" s="19"/>
      <c r="B341" s="20"/>
      <c r="C341" s="18" t="str">
        <f ca="1">IFERROR(__xludf.DUMMYFUNCTION("IF(ISBLANK(B341),,FILTER('Leetcode分类顺序表'!B:D,'Leetcode分类顺序表'!A:A = B341))"),"")</f>
        <v/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 spans="1:31">
      <c r="A342" s="19"/>
      <c r="B342" s="20"/>
      <c r="C342" s="18" t="str">
        <f ca="1">IFERROR(__xludf.DUMMYFUNCTION("IF(ISBLANK(B342),,FILTER('Leetcode分类顺序表'!B:D,'Leetcode分类顺序表'!A:A = B342))"),"")</f>
        <v/>
      </c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 spans="1:31">
      <c r="A343" s="19"/>
      <c r="B343" s="20"/>
      <c r="C343" s="18" t="str">
        <f ca="1">IFERROR(__xludf.DUMMYFUNCTION("IF(ISBLANK(B343),,FILTER('Leetcode分类顺序表'!B:D,'Leetcode分类顺序表'!A:A = B343))"),"")</f>
        <v/>
      </c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 spans="1:31">
      <c r="A344" s="19"/>
      <c r="B344" s="20"/>
      <c r="C344" s="18" t="str">
        <f ca="1">IFERROR(__xludf.DUMMYFUNCTION("IF(ISBLANK(B344),,FILTER('Leetcode分类顺序表'!B:D,'Leetcode分类顺序表'!A:A = B344))"),"")</f>
        <v/>
      </c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 spans="1:31">
      <c r="A345" s="19"/>
      <c r="B345" s="20"/>
      <c r="C345" s="18" t="str">
        <f ca="1">IFERROR(__xludf.DUMMYFUNCTION("IF(ISBLANK(B345),,FILTER('Leetcode分类顺序表'!B:D,'Leetcode分类顺序表'!A:A = B345))"),"")</f>
        <v/>
      </c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 spans="1:31">
      <c r="A346" s="19"/>
      <c r="B346" s="20"/>
      <c r="C346" s="18" t="str">
        <f ca="1">IFERROR(__xludf.DUMMYFUNCTION("IF(ISBLANK(B346),,FILTER('Leetcode分类顺序表'!B:D,'Leetcode分类顺序表'!A:A = B346))"),"")</f>
        <v/>
      </c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 spans="1:31">
      <c r="A347" s="19"/>
      <c r="B347" s="20"/>
      <c r="C347" s="18" t="str">
        <f ca="1">IFERROR(__xludf.DUMMYFUNCTION("IF(ISBLANK(B347),,FILTER('Leetcode分类顺序表'!B:D,'Leetcode分类顺序表'!A:A = B347))"),"")</f>
        <v/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 spans="1:31">
      <c r="A348" s="19"/>
      <c r="B348" s="20"/>
      <c r="C348" s="18" t="str">
        <f ca="1">IFERROR(__xludf.DUMMYFUNCTION("IF(ISBLANK(B348),,FILTER('Leetcode分类顺序表'!B:D,'Leetcode分类顺序表'!A:A = B348))"),"")</f>
        <v/>
      </c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 spans="1:31">
      <c r="A349" s="19"/>
      <c r="B349" s="20"/>
      <c r="C349" s="18" t="str">
        <f ca="1">IFERROR(__xludf.DUMMYFUNCTION("IF(ISBLANK(B349),,FILTER('Leetcode分类顺序表'!B:D,'Leetcode分类顺序表'!A:A = B349))"),"")</f>
        <v/>
      </c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 spans="1:31">
      <c r="A350" s="19"/>
      <c r="B350" s="20"/>
      <c r="C350" s="18" t="str">
        <f ca="1">IFERROR(__xludf.DUMMYFUNCTION("IF(ISBLANK(B350),,FILTER('Leetcode分类顺序表'!B:D,'Leetcode分类顺序表'!A:A = B350))"),"")</f>
        <v/>
      </c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 spans="1:31">
      <c r="A351" s="19"/>
      <c r="B351" s="20"/>
      <c r="C351" s="18" t="str">
        <f ca="1">IFERROR(__xludf.DUMMYFUNCTION("IF(ISBLANK(B351),,FILTER('Leetcode分类顺序表'!B:D,'Leetcode分类顺序表'!A:A = B351))"),"")</f>
        <v/>
      </c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 spans="1:31">
      <c r="A352" s="19"/>
      <c r="B352" s="20"/>
      <c r="C352" s="18" t="str">
        <f ca="1">IFERROR(__xludf.DUMMYFUNCTION("IF(ISBLANK(B352),,FILTER('Leetcode分类顺序表'!B:D,'Leetcode分类顺序表'!A:A = B352))"),"")</f>
        <v/>
      </c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 spans="1:31">
      <c r="A353" s="19"/>
      <c r="B353" s="20"/>
      <c r="C353" s="18" t="str">
        <f ca="1">IFERROR(__xludf.DUMMYFUNCTION("IF(ISBLANK(B353),,FILTER('Leetcode分类顺序表'!B:D,'Leetcode分类顺序表'!A:A = B353))"),"")</f>
        <v/>
      </c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 spans="1:31">
      <c r="A354" s="19"/>
      <c r="B354" s="20"/>
      <c r="C354" s="18" t="str">
        <f ca="1">IFERROR(__xludf.DUMMYFUNCTION("IF(ISBLANK(B354),,FILTER('Leetcode分类顺序表'!B:D,'Leetcode分类顺序表'!A:A = B354))"),"")</f>
        <v/>
      </c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 spans="1:31">
      <c r="A355" s="19"/>
      <c r="B355" s="20"/>
      <c r="C355" s="18" t="str">
        <f ca="1">IFERROR(__xludf.DUMMYFUNCTION("IF(ISBLANK(B355),,FILTER('Leetcode分类顺序表'!B:D,'Leetcode分类顺序表'!A:A = B355))"),"")</f>
        <v/>
      </c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 spans="1:31">
      <c r="A356" s="19"/>
      <c r="B356" s="20"/>
      <c r="C356" s="18" t="str">
        <f ca="1">IFERROR(__xludf.DUMMYFUNCTION("IF(ISBLANK(B356),,FILTER('Leetcode分类顺序表'!B:D,'Leetcode分类顺序表'!A:A = B356))"),"")</f>
        <v/>
      </c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 spans="1:31">
      <c r="A357" s="19"/>
      <c r="B357" s="20"/>
      <c r="C357" s="18" t="str">
        <f ca="1">IFERROR(__xludf.DUMMYFUNCTION("IF(ISBLANK(B357),,FILTER('Leetcode分类顺序表'!B:D,'Leetcode分类顺序表'!A:A = B357))"),"")</f>
        <v/>
      </c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 spans="1:31">
      <c r="A358" s="19"/>
      <c r="B358" s="20"/>
      <c r="C358" s="18" t="str">
        <f ca="1">IFERROR(__xludf.DUMMYFUNCTION("IF(ISBLANK(B358),,FILTER('Leetcode分类顺序表'!B:D,'Leetcode分类顺序表'!A:A = B358))"),"")</f>
        <v/>
      </c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 spans="1:31">
      <c r="A359" s="19"/>
      <c r="B359" s="20"/>
      <c r="C359" s="18" t="str">
        <f ca="1">IFERROR(__xludf.DUMMYFUNCTION("IF(ISBLANK(B359),,FILTER('Leetcode分类顺序表'!B:D,'Leetcode分类顺序表'!A:A = B359))"),"")</f>
        <v/>
      </c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 spans="1:31">
      <c r="A360" s="19"/>
      <c r="B360" s="20"/>
      <c r="C360" s="18" t="str">
        <f ca="1">IFERROR(__xludf.DUMMYFUNCTION("IF(ISBLANK(B360),,FILTER('Leetcode分类顺序表'!B:D,'Leetcode分类顺序表'!A:A = B360))"),"")</f>
        <v/>
      </c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 spans="1:31">
      <c r="A361" s="19"/>
      <c r="B361" s="20"/>
      <c r="C361" s="18" t="str">
        <f ca="1">IFERROR(__xludf.DUMMYFUNCTION("IF(ISBLANK(B361),,FILTER('Leetcode分类顺序表'!B:D,'Leetcode分类顺序表'!A:A = B361))"),"")</f>
        <v/>
      </c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 spans="1:31">
      <c r="A362" s="19"/>
      <c r="B362" s="20"/>
      <c r="C362" s="18" t="str">
        <f ca="1">IFERROR(__xludf.DUMMYFUNCTION("IF(ISBLANK(B362),,FILTER('Leetcode分类顺序表'!B:D,'Leetcode分类顺序表'!A:A = B362))"),"")</f>
        <v/>
      </c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 spans="1:31">
      <c r="A363" s="19"/>
      <c r="B363" s="20"/>
      <c r="C363" s="18" t="str">
        <f ca="1">IFERROR(__xludf.DUMMYFUNCTION("IF(ISBLANK(B363),,FILTER('Leetcode分类顺序表'!B:D,'Leetcode分类顺序表'!A:A = B363))"),"")</f>
        <v/>
      </c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 spans="1:31">
      <c r="A364" s="19"/>
      <c r="B364" s="20"/>
      <c r="C364" s="18" t="str">
        <f ca="1">IFERROR(__xludf.DUMMYFUNCTION("IF(ISBLANK(B364),,FILTER('Leetcode分类顺序表'!B:D,'Leetcode分类顺序表'!A:A = B364))"),"")</f>
        <v/>
      </c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 spans="1:31">
      <c r="A365" s="19"/>
      <c r="B365" s="20"/>
      <c r="C365" s="18" t="str">
        <f ca="1">IFERROR(__xludf.DUMMYFUNCTION("IF(ISBLANK(B365),,FILTER('Leetcode分类顺序表'!B:D,'Leetcode分类顺序表'!A:A = B365))"),"")</f>
        <v/>
      </c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 spans="1:31">
      <c r="A366" s="19"/>
      <c r="B366" s="20"/>
      <c r="C366" s="18" t="str">
        <f ca="1">IFERROR(__xludf.DUMMYFUNCTION("IF(ISBLANK(B366),,FILTER('Leetcode分类顺序表'!B:D,'Leetcode分类顺序表'!A:A = B366))"),"")</f>
        <v/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 spans="1:31">
      <c r="A367" s="19"/>
      <c r="B367" s="20"/>
      <c r="C367" s="18" t="str">
        <f ca="1">IFERROR(__xludf.DUMMYFUNCTION("IF(ISBLANK(B367),,FILTER('Leetcode分类顺序表'!B:D,'Leetcode分类顺序表'!A:A = B367))"),"")</f>
        <v/>
      </c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 spans="1:31">
      <c r="A368" s="19"/>
      <c r="B368" s="20"/>
      <c r="C368" s="18" t="str">
        <f ca="1">IFERROR(__xludf.DUMMYFUNCTION("IF(ISBLANK(B368),,FILTER('Leetcode分类顺序表'!B:D,'Leetcode分类顺序表'!A:A = B368))"),"")</f>
        <v/>
      </c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 spans="1:31">
      <c r="A369" s="19"/>
      <c r="B369" s="20"/>
      <c r="C369" s="18" t="str">
        <f ca="1">IFERROR(__xludf.DUMMYFUNCTION("IF(ISBLANK(B369),,FILTER('Leetcode分类顺序表'!B:D,'Leetcode分类顺序表'!A:A = B369))"),"")</f>
        <v/>
      </c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 spans="1:31">
      <c r="A370" s="19"/>
      <c r="B370" s="20"/>
      <c r="C370" s="18" t="str">
        <f ca="1">IFERROR(__xludf.DUMMYFUNCTION("IF(ISBLANK(B370),,FILTER('Leetcode分类顺序表'!B:D,'Leetcode分类顺序表'!A:A = B370))"),"")</f>
        <v/>
      </c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 spans="1:31">
      <c r="A371" s="19"/>
      <c r="B371" s="20"/>
      <c r="C371" s="18" t="str">
        <f ca="1">IFERROR(__xludf.DUMMYFUNCTION("IF(ISBLANK(B371),,FILTER('Leetcode分类顺序表'!B:D,'Leetcode分类顺序表'!A:A = B371))"),"")</f>
        <v/>
      </c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 spans="1:31">
      <c r="A372" s="19"/>
      <c r="B372" s="20"/>
      <c r="C372" s="18" t="str">
        <f ca="1">IFERROR(__xludf.DUMMYFUNCTION("IF(ISBLANK(B372),,FILTER('Leetcode分类顺序表'!B:D,'Leetcode分类顺序表'!A:A = B372))"),"")</f>
        <v/>
      </c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 spans="1:31">
      <c r="A373" s="19"/>
      <c r="B373" s="20"/>
      <c r="C373" s="18" t="str">
        <f ca="1">IFERROR(__xludf.DUMMYFUNCTION("IF(ISBLANK(B373),,FILTER('Leetcode分类顺序表'!B:D,'Leetcode分类顺序表'!A:A = B373))"),"")</f>
        <v/>
      </c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 spans="1:31">
      <c r="A374" s="19"/>
      <c r="B374" s="20"/>
      <c r="C374" s="18" t="str">
        <f ca="1">IFERROR(__xludf.DUMMYFUNCTION("IF(ISBLANK(B374),,FILTER('Leetcode分类顺序表'!B:D,'Leetcode分类顺序表'!A:A = B374))"),"")</f>
        <v/>
      </c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 spans="1:31">
      <c r="A375" s="19"/>
      <c r="B375" s="20"/>
      <c r="C375" s="18" t="str">
        <f ca="1">IFERROR(__xludf.DUMMYFUNCTION("IF(ISBLANK(B375),,FILTER('Leetcode分类顺序表'!B:D,'Leetcode分类顺序表'!A:A = B375))"),"")</f>
        <v/>
      </c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 spans="1:31">
      <c r="A376" s="19"/>
      <c r="B376" s="20"/>
      <c r="C376" s="18" t="str">
        <f ca="1">IFERROR(__xludf.DUMMYFUNCTION("IF(ISBLANK(B376),,FILTER('Leetcode分类顺序表'!B:D,'Leetcode分类顺序表'!A:A = B376))"),"")</f>
        <v/>
      </c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 spans="1:31">
      <c r="A377" s="19"/>
      <c r="B377" s="20"/>
      <c r="C377" s="18" t="str">
        <f ca="1">IFERROR(__xludf.DUMMYFUNCTION("IF(ISBLANK(B377),,FILTER('Leetcode分类顺序表'!B:D,'Leetcode分类顺序表'!A:A = B377))"),"")</f>
        <v/>
      </c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 spans="1:31">
      <c r="A378" s="19"/>
      <c r="B378" s="20"/>
      <c r="C378" s="18" t="str">
        <f ca="1">IFERROR(__xludf.DUMMYFUNCTION("IF(ISBLANK(B378),,FILTER('Leetcode分类顺序表'!B:D,'Leetcode分类顺序表'!A:A = B378))"),"")</f>
        <v/>
      </c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 spans="1:31">
      <c r="A379" s="19"/>
      <c r="B379" s="20"/>
      <c r="C379" s="18" t="str">
        <f ca="1">IFERROR(__xludf.DUMMYFUNCTION("IF(ISBLANK(B379),,FILTER('Leetcode分类顺序表'!B:D,'Leetcode分类顺序表'!A:A = B379))"),"")</f>
        <v/>
      </c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 spans="1:31">
      <c r="A380" s="19"/>
      <c r="B380" s="20"/>
      <c r="C380" s="18" t="str">
        <f ca="1">IFERROR(__xludf.DUMMYFUNCTION("IF(ISBLANK(B380),,FILTER('Leetcode分类顺序表'!B:D,'Leetcode分类顺序表'!A:A = B380))"),"")</f>
        <v/>
      </c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 spans="1:31">
      <c r="A381" s="19"/>
      <c r="B381" s="20"/>
      <c r="C381" s="18" t="str">
        <f ca="1">IFERROR(__xludf.DUMMYFUNCTION("IF(ISBLANK(B381),,FILTER('Leetcode分类顺序表'!B:D,'Leetcode分类顺序表'!A:A = B381))"),"")</f>
        <v/>
      </c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 spans="1:31">
      <c r="A382" s="19"/>
      <c r="B382" s="20"/>
      <c r="C382" s="18" t="str">
        <f ca="1">IFERROR(__xludf.DUMMYFUNCTION("IF(ISBLANK(B382),,FILTER('Leetcode分类顺序表'!B:D,'Leetcode分类顺序表'!A:A = B382))"),"")</f>
        <v/>
      </c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 spans="1:31">
      <c r="A383" s="19"/>
      <c r="B383" s="20"/>
      <c r="C383" s="18" t="str">
        <f ca="1">IFERROR(__xludf.DUMMYFUNCTION("IF(ISBLANK(B383),,FILTER('Leetcode分类顺序表'!B:D,'Leetcode分类顺序表'!A:A = B383))"),"")</f>
        <v/>
      </c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 spans="1:31">
      <c r="A384" s="19"/>
      <c r="B384" s="20"/>
      <c r="C384" s="18" t="str">
        <f ca="1">IFERROR(__xludf.DUMMYFUNCTION("IF(ISBLANK(B384),,FILTER('Leetcode分类顺序表'!B:D,'Leetcode分类顺序表'!A:A = B384))"),"")</f>
        <v/>
      </c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 spans="1:31">
      <c r="A385" s="19"/>
      <c r="B385" s="20"/>
      <c r="C385" s="18" t="str">
        <f ca="1">IFERROR(__xludf.DUMMYFUNCTION("IF(ISBLANK(B385),,FILTER('Leetcode分类顺序表'!B:D,'Leetcode分类顺序表'!A:A = B385))"),"")</f>
        <v/>
      </c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 spans="1:31">
      <c r="A386" s="19"/>
      <c r="B386" s="20"/>
      <c r="C386" s="18" t="str">
        <f ca="1">IFERROR(__xludf.DUMMYFUNCTION("IF(ISBLANK(B386),,FILTER('Leetcode分类顺序表'!B:D,'Leetcode分类顺序表'!A:A = B386))"),"")</f>
        <v/>
      </c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 spans="1:31">
      <c r="A387" s="19"/>
      <c r="B387" s="20"/>
      <c r="C387" s="18" t="str">
        <f ca="1">IFERROR(__xludf.DUMMYFUNCTION("IF(ISBLANK(B387),,FILTER('Leetcode分类顺序表'!B:D,'Leetcode分类顺序表'!A:A = B387))"),"")</f>
        <v/>
      </c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 spans="1:31">
      <c r="A388" s="19"/>
      <c r="B388" s="20"/>
      <c r="C388" s="18" t="str">
        <f ca="1">IFERROR(__xludf.DUMMYFUNCTION("IF(ISBLANK(B388),,FILTER('Leetcode分类顺序表'!B:D,'Leetcode分类顺序表'!A:A = B388))"),"")</f>
        <v/>
      </c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 spans="1:31">
      <c r="A389" s="19"/>
      <c r="B389" s="20"/>
      <c r="C389" s="18" t="str">
        <f ca="1">IFERROR(__xludf.DUMMYFUNCTION("IF(ISBLANK(B389),,FILTER('Leetcode分类顺序表'!B:D,'Leetcode分类顺序表'!A:A = B389))"),"")</f>
        <v/>
      </c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 spans="1:31">
      <c r="A390" s="19"/>
      <c r="B390" s="20"/>
      <c r="C390" s="18" t="str">
        <f ca="1">IFERROR(__xludf.DUMMYFUNCTION("IF(ISBLANK(B390),,FILTER('Leetcode分类顺序表'!B:D,'Leetcode分类顺序表'!A:A = B390))"),"")</f>
        <v/>
      </c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 spans="1:31">
      <c r="A391" s="19"/>
      <c r="B391" s="20"/>
      <c r="C391" s="18" t="str">
        <f ca="1">IFERROR(__xludf.DUMMYFUNCTION("IF(ISBLANK(B391),,FILTER('Leetcode分类顺序表'!B:D,'Leetcode分类顺序表'!A:A = B391))"),"")</f>
        <v/>
      </c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 spans="1:31">
      <c r="A392" s="19"/>
      <c r="B392" s="20"/>
      <c r="C392" s="18" t="str">
        <f ca="1">IFERROR(__xludf.DUMMYFUNCTION("IF(ISBLANK(B392),,FILTER('Leetcode分类顺序表'!B:D,'Leetcode分类顺序表'!A:A = B392))"),"")</f>
        <v/>
      </c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 spans="1:31">
      <c r="A393" s="19"/>
      <c r="B393" s="20"/>
      <c r="C393" s="18" t="str">
        <f ca="1">IFERROR(__xludf.DUMMYFUNCTION("IF(ISBLANK(B393),,FILTER('Leetcode分类顺序表'!B:D,'Leetcode分类顺序表'!A:A = B393))"),"")</f>
        <v/>
      </c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 spans="1:31">
      <c r="A394" s="19"/>
      <c r="B394" s="20"/>
      <c r="C394" s="18" t="str">
        <f ca="1">IFERROR(__xludf.DUMMYFUNCTION("IF(ISBLANK(B394),,FILTER('Leetcode分类顺序表'!B:D,'Leetcode分类顺序表'!A:A = B394))"),"")</f>
        <v/>
      </c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 spans="1:31">
      <c r="A395" s="19"/>
      <c r="B395" s="20"/>
      <c r="C395" s="18" t="str">
        <f ca="1">IFERROR(__xludf.DUMMYFUNCTION("IF(ISBLANK(B395),,FILTER('Leetcode分类顺序表'!B:D,'Leetcode分类顺序表'!A:A = B395))"),"")</f>
        <v/>
      </c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 spans="1:31">
      <c r="A396" s="19"/>
      <c r="B396" s="20"/>
      <c r="C396" s="18" t="str">
        <f ca="1">IFERROR(__xludf.DUMMYFUNCTION("IF(ISBLANK(B396),,FILTER('Leetcode分类顺序表'!B:D,'Leetcode分类顺序表'!A:A = B396))"),"")</f>
        <v/>
      </c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 spans="1:31">
      <c r="A397" s="19"/>
      <c r="B397" s="20"/>
      <c r="C397" s="18" t="str">
        <f ca="1">IFERROR(__xludf.DUMMYFUNCTION("IF(ISBLANK(B397),,FILTER('Leetcode分类顺序表'!B:D,'Leetcode分类顺序表'!A:A = B397))"),"")</f>
        <v/>
      </c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 spans="1:31">
      <c r="A398" s="19"/>
      <c r="B398" s="20"/>
      <c r="C398" s="18" t="str">
        <f ca="1">IFERROR(__xludf.DUMMYFUNCTION("IF(ISBLANK(B398),,FILTER('Leetcode分类顺序表'!B:D,'Leetcode分类顺序表'!A:A = B398))"),"")</f>
        <v/>
      </c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 spans="1:31">
      <c r="A399" s="19"/>
      <c r="B399" s="20"/>
      <c r="C399" s="18" t="str">
        <f ca="1">IFERROR(__xludf.DUMMYFUNCTION("IF(ISBLANK(B399),,FILTER('Leetcode分类顺序表'!B:D,'Leetcode分类顺序表'!A:A = B399))"),"")</f>
        <v/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 spans="1:31">
      <c r="A400" s="19"/>
      <c r="B400" s="20"/>
      <c r="C400" s="18" t="str">
        <f ca="1">IFERROR(__xludf.DUMMYFUNCTION("IF(ISBLANK(B400),,FILTER('Leetcode分类顺序表'!B:D,'Leetcode分类顺序表'!A:A = B400))"),"")</f>
        <v/>
      </c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 spans="1:31">
      <c r="A401" s="19"/>
      <c r="B401" s="20"/>
      <c r="C401" s="18" t="str">
        <f ca="1">IFERROR(__xludf.DUMMYFUNCTION("IF(ISBLANK(B401),,FILTER('Leetcode分类顺序表'!B:D,'Leetcode分类顺序表'!A:A = B401))"),"")</f>
        <v/>
      </c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 spans="1:31">
      <c r="A402" s="19"/>
      <c r="B402" s="20"/>
      <c r="C402" s="18" t="str">
        <f ca="1">IFERROR(__xludf.DUMMYFUNCTION("IF(ISBLANK(B402),,FILTER('Leetcode分类顺序表'!B:D,'Leetcode分类顺序表'!A:A = B402))"),"")</f>
        <v/>
      </c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 spans="1:31">
      <c r="A403" s="19"/>
      <c r="B403" s="20"/>
      <c r="C403" s="18" t="str">
        <f ca="1">IFERROR(__xludf.DUMMYFUNCTION("IF(ISBLANK(B403),,FILTER('Leetcode分类顺序表'!B:D,'Leetcode分类顺序表'!A:A = B403))"),"")</f>
        <v/>
      </c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 spans="1:31">
      <c r="A404" s="19"/>
      <c r="B404" s="20"/>
      <c r="C404" s="18" t="str">
        <f ca="1">IFERROR(__xludf.DUMMYFUNCTION("IF(ISBLANK(B404),,FILTER('Leetcode分类顺序表'!B:D,'Leetcode分类顺序表'!A:A = B404))"),"")</f>
        <v/>
      </c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 spans="1:31">
      <c r="A405" s="19"/>
      <c r="B405" s="20"/>
      <c r="C405" s="18" t="str">
        <f ca="1">IFERROR(__xludf.DUMMYFUNCTION("IF(ISBLANK(B405),,FILTER('Leetcode分类顺序表'!B:D,'Leetcode分类顺序表'!A:A = B405))"),"")</f>
        <v/>
      </c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 spans="1:31">
      <c r="A406" s="19"/>
      <c r="B406" s="20"/>
      <c r="C406" s="18" t="str">
        <f ca="1">IFERROR(__xludf.DUMMYFUNCTION("IF(ISBLANK(B406),,FILTER('Leetcode分类顺序表'!B:D,'Leetcode分类顺序表'!A:A = B406))"),"")</f>
        <v/>
      </c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 spans="1:31">
      <c r="A407" s="19"/>
      <c r="B407" s="20"/>
      <c r="C407" s="18" t="str">
        <f ca="1">IFERROR(__xludf.DUMMYFUNCTION("IF(ISBLANK(B407),,FILTER('Leetcode分类顺序表'!B:D,'Leetcode分类顺序表'!A:A = B407))"),"")</f>
        <v/>
      </c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 spans="1:31">
      <c r="A408" s="19"/>
      <c r="B408" s="20"/>
      <c r="C408" s="18" t="str">
        <f ca="1">IFERROR(__xludf.DUMMYFUNCTION("IF(ISBLANK(B408),,FILTER('Leetcode分类顺序表'!B:D,'Leetcode分类顺序表'!A:A = B408))"),"")</f>
        <v/>
      </c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 spans="1:31">
      <c r="A409" s="19"/>
      <c r="B409" s="20"/>
      <c r="C409" s="18" t="str">
        <f ca="1">IFERROR(__xludf.DUMMYFUNCTION("IF(ISBLANK(B409),,FILTER('Leetcode分类顺序表'!B:D,'Leetcode分类顺序表'!A:A = B409))"),"")</f>
        <v/>
      </c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 spans="1:31">
      <c r="A410" s="19"/>
      <c r="B410" s="20"/>
      <c r="C410" s="18" t="str">
        <f ca="1">IFERROR(__xludf.DUMMYFUNCTION("IF(ISBLANK(B410),,FILTER('Leetcode分类顺序表'!B:D,'Leetcode分类顺序表'!A:A = B410))"),"")</f>
        <v/>
      </c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 spans="1:31">
      <c r="A411" s="19"/>
      <c r="B411" s="20"/>
      <c r="C411" s="18" t="str">
        <f ca="1">IFERROR(__xludf.DUMMYFUNCTION("IF(ISBLANK(B411),,FILTER('Leetcode分类顺序表'!B:D,'Leetcode分类顺序表'!A:A = B411))"),"")</f>
        <v/>
      </c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 spans="1:31">
      <c r="A412" s="19"/>
      <c r="B412" s="20"/>
      <c r="C412" s="18" t="str">
        <f ca="1">IFERROR(__xludf.DUMMYFUNCTION("IF(ISBLANK(B412),,FILTER('Leetcode分类顺序表'!B:D,'Leetcode分类顺序表'!A:A = B412))"),"")</f>
        <v/>
      </c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 spans="1:31">
      <c r="A413" s="19"/>
      <c r="B413" s="20"/>
      <c r="C413" s="18" t="str">
        <f ca="1">IFERROR(__xludf.DUMMYFUNCTION("IF(ISBLANK(B413),,FILTER('Leetcode分类顺序表'!B:D,'Leetcode分类顺序表'!A:A = B413))"),"")</f>
        <v/>
      </c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 spans="1:31">
      <c r="A414" s="19"/>
      <c r="B414" s="20"/>
      <c r="C414" s="18" t="str">
        <f ca="1">IFERROR(__xludf.DUMMYFUNCTION("IF(ISBLANK(B414),,FILTER('Leetcode分类顺序表'!B:D,'Leetcode分类顺序表'!A:A = B414))"),"")</f>
        <v/>
      </c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 spans="1:31">
      <c r="A415" s="19"/>
      <c r="B415" s="20"/>
      <c r="C415" s="18" t="str">
        <f ca="1">IFERROR(__xludf.DUMMYFUNCTION("IF(ISBLANK(B415),,FILTER('Leetcode分类顺序表'!B:D,'Leetcode分类顺序表'!A:A = B415))"),"")</f>
        <v/>
      </c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 spans="1:31">
      <c r="A416" s="19"/>
      <c r="B416" s="20"/>
      <c r="C416" s="18" t="str">
        <f ca="1">IFERROR(__xludf.DUMMYFUNCTION("IF(ISBLANK(B416),,FILTER('Leetcode分类顺序表'!B:D,'Leetcode分类顺序表'!A:A = B416))"),"")</f>
        <v/>
      </c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 spans="1:31">
      <c r="A417" s="19"/>
      <c r="B417" s="20"/>
      <c r="C417" s="18" t="str">
        <f ca="1">IFERROR(__xludf.DUMMYFUNCTION("IF(ISBLANK(B417),,FILTER('Leetcode分类顺序表'!B:D,'Leetcode分类顺序表'!A:A = B417))"),"")</f>
        <v/>
      </c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 spans="1:31">
      <c r="A418" s="19"/>
      <c r="B418" s="20"/>
      <c r="C418" s="18" t="str">
        <f ca="1">IFERROR(__xludf.DUMMYFUNCTION("IF(ISBLANK(B418),,FILTER('Leetcode分类顺序表'!B:D,'Leetcode分类顺序表'!A:A = B418))"),"")</f>
        <v/>
      </c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 spans="1:31">
      <c r="A419" s="19"/>
      <c r="B419" s="20"/>
      <c r="C419" s="18" t="str">
        <f ca="1">IFERROR(__xludf.DUMMYFUNCTION("IF(ISBLANK(B419),,FILTER('Leetcode分类顺序表'!B:D,'Leetcode分类顺序表'!A:A = B419))"),"")</f>
        <v/>
      </c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 spans="1:31">
      <c r="A420" s="19"/>
      <c r="B420" s="20"/>
      <c r="C420" s="18" t="str">
        <f ca="1">IFERROR(__xludf.DUMMYFUNCTION("IF(ISBLANK(B420),,FILTER('Leetcode分类顺序表'!B:D,'Leetcode分类顺序表'!A:A = B420))"),"")</f>
        <v/>
      </c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 spans="1:31">
      <c r="A421" s="19"/>
      <c r="B421" s="20"/>
      <c r="C421" s="18" t="str">
        <f ca="1">IFERROR(__xludf.DUMMYFUNCTION("IF(ISBLANK(B421),,FILTER('Leetcode分类顺序表'!B:D,'Leetcode分类顺序表'!A:A = B421))"),"")</f>
        <v/>
      </c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 spans="1:31">
      <c r="A422" s="19"/>
      <c r="B422" s="20"/>
      <c r="C422" s="18" t="str">
        <f ca="1">IFERROR(__xludf.DUMMYFUNCTION("IF(ISBLANK(B422),,FILTER('Leetcode分类顺序表'!B:D,'Leetcode分类顺序表'!A:A = B422))"),"")</f>
        <v/>
      </c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 spans="1:31">
      <c r="A423" s="19"/>
      <c r="B423" s="20"/>
      <c r="C423" s="18" t="str">
        <f ca="1">IFERROR(__xludf.DUMMYFUNCTION("IF(ISBLANK(B423),,FILTER('Leetcode分类顺序表'!B:D,'Leetcode分类顺序表'!A:A = B423))"),"")</f>
        <v/>
      </c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 spans="1:31">
      <c r="A424" s="19"/>
      <c r="B424" s="20"/>
      <c r="C424" s="18" t="str">
        <f ca="1">IFERROR(__xludf.DUMMYFUNCTION("IF(ISBLANK(B424),,FILTER('Leetcode分类顺序表'!B:D,'Leetcode分类顺序表'!A:A = B424))"),"")</f>
        <v/>
      </c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 spans="1:31">
      <c r="A425" s="19"/>
      <c r="B425" s="20"/>
      <c r="C425" s="18" t="str">
        <f ca="1">IFERROR(__xludf.DUMMYFUNCTION("IF(ISBLANK(B425),,FILTER('Leetcode分类顺序表'!B:D,'Leetcode分类顺序表'!A:A = B425))"),"")</f>
        <v/>
      </c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 spans="1:31">
      <c r="A426" s="19"/>
      <c r="B426" s="20"/>
      <c r="C426" s="18" t="str">
        <f ca="1">IFERROR(__xludf.DUMMYFUNCTION("IF(ISBLANK(B426),,FILTER('Leetcode分类顺序表'!B:D,'Leetcode分类顺序表'!A:A = B426))"),"")</f>
        <v/>
      </c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 spans="1:31">
      <c r="A427" s="19"/>
      <c r="B427" s="20"/>
      <c r="C427" s="18" t="str">
        <f ca="1">IFERROR(__xludf.DUMMYFUNCTION("IF(ISBLANK(B427),,FILTER('Leetcode分类顺序表'!B:D,'Leetcode分类顺序表'!A:A = B427))"),"")</f>
        <v/>
      </c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 spans="1:31">
      <c r="A428" s="19"/>
      <c r="B428" s="20"/>
      <c r="C428" s="18" t="str">
        <f ca="1">IFERROR(__xludf.DUMMYFUNCTION("IF(ISBLANK(B428),,FILTER('Leetcode分类顺序表'!B:D,'Leetcode分类顺序表'!A:A = B428))"),"")</f>
        <v/>
      </c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 spans="1:31">
      <c r="A429" s="19"/>
      <c r="B429" s="20"/>
      <c r="C429" s="18" t="str">
        <f ca="1">IFERROR(__xludf.DUMMYFUNCTION("IF(ISBLANK(B429),,FILTER('Leetcode分类顺序表'!B:D,'Leetcode分类顺序表'!A:A = B429))"),"")</f>
        <v/>
      </c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 spans="1:31">
      <c r="A430" s="19"/>
      <c r="B430" s="20"/>
      <c r="C430" s="18" t="str">
        <f ca="1">IFERROR(__xludf.DUMMYFUNCTION("IF(ISBLANK(B430),,FILTER('Leetcode分类顺序表'!B:D,'Leetcode分类顺序表'!A:A = B430))"),"")</f>
        <v/>
      </c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 spans="1:31">
      <c r="A431" s="19"/>
      <c r="B431" s="20"/>
      <c r="C431" s="18" t="str">
        <f ca="1">IFERROR(__xludf.DUMMYFUNCTION("IF(ISBLANK(B431),,FILTER('Leetcode分类顺序表'!B:D,'Leetcode分类顺序表'!A:A = B431))"),"")</f>
        <v/>
      </c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 spans="1:31">
      <c r="A432" s="19"/>
      <c r="B432" s="20"/>
      <c r="C432" s="18" t="str">
        <f ca="1">IFERROR(__xludf.DUMMYFUNCTION("IF(ISBLANK(B432),,FILTER('Leetcode分类顺序表'!B:D,'Leetcode分类顺序表'!A:A = B432))"),"")</f>
        <v/>
      </c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 spans="1:31">
      <c r="A433" s="19"/>
      <c r="B433" s="20"/>
      <c r="C433" s="18" t="str">
        <f ca="1">IFERROR(__xludf.DUMMYFUNCTION("IF(ISBLANK(B433),,FILTER('Leetcode分类顺序表'!B:D,'Leetcode分类顺序表'!A:A = B433))"),"")</f>
        <v/>
      </c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 spans="1:31">
      <c r="A434" s="19"/>
      <c r="B434" s="20"/>
      <c r="C434" s="18" t="str">
        <f ca="1">IFERROR(__xludf.DUMMYFUNCTION("IF(ISBLANK(B434),,FILTER('Leetcode分类顺序表'!B:D,'Leetcode分类顺序表'!A:A = B434))"),"")</f>
        <v/>
      </c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 spans="1:31">
      <c r="A435" s="19"/>
      <c r="B435" s="20"/>
      <c r="C435" s="18" t="str">
        <f ca="1">IFERROR(__xludf.DUMMYFUNCTION("IF(ISBLANK(B435),,FILTER('Leetcode分类顺序表'!B:D,'Leetcode分类顺序表'!A:A = B435))"),"")</f>
        <v/>
      </c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 spans="1:31">
      <c r="A436" s="19"/>
      <c r="B436" s="20"/>
      <c r="C436" s="18" t="str">
        <f ca="1">IFERROR(__xludf.DUMMYFUNCTION("IF(ISBLANK(B436),,FILTER('Leetcode分类顺序表'!B:D,'Leetcode分类顺序表'!A:A = B436))"),"")</f>
        <v/>
      </c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 spans="1:31">
      <c r="A437" s="19"/>
      <c r="B437" s="20"/>
      <c r="C437" s="18" t="str">
        <f ca="1">IFERROR(__xludf.DUMMYFUNCTION("IF(ISBLANK(B437),,FILTER('Leetcode分类顺序表'!B:D,'Leetcode分类顺序表'!A:A = B437))"),"")</f>
        <v/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 spans="1:31">
      <c r="A438" s="19"/>
      <c r="B438" s="20"/>
      <c r="C438" s="18" t="str">
        <f ca="1">IFERROR(__xludf.DUMMYFUNCTION("IF(ISBLANK(B438),,FILTER('Leetcode分类顺序表'!B:D,'Leetcode分类顺序表'!A:A = B438))"),"")</f>
        <v/>
      </c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 spans="1:31">
      <c r="A439" s="19"/>
      <c r="B439" s="20"/>
      <c r="C439" s="18" t="str">
        <f ca="1">IFERROR(__xludf.DUMMYFUNCTION("IF(ISBLANK(B439),,FILTER('Leetcode分类顺序表'!B:D,'Leetcode分类顺序表'!A:A = B439))"),"")</f>
        <v/>
      </c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 spans="1:31">
      <c r="A440" s="19"/>
      <c r="B440" s="20"/>
      <c r="C440" s="18" t="str">
        <f ca="1">IFERROR(__xludf.DUMMYFUNCTION("IF(ISBLANK(B440),,FILTER('Leetcode分类顺序表'!B:D,'Leetcode分类顺序表'!A:A = B440))"),"")</f>
        <v/>
      </c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 spans="1:31">
      <c r="A441" s="19"/>
      <c r="B441" s="20"/>
      <c r="C441" s="18" t="str">
        <f ca="1">IFERROR(__xludf.DUMMYFUNCTION("IF(ISBLANK(B441),,FILTER('Leetcode分类顺序表'!B:D,'Leetcode分类顺序表'!A:A = B441))"),"")</f>
        <v/>
      </c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 spans="1:31">
      <c r="A442" s="19"/>
      <c r="B442" s="20"/>
      <c r="C442" s="18" t="str">
        <f ca="1">IFERROR(__xludf.DUMMYFUNCTION("IF(ISBLANK(B442),,FILTER('Leetcode分类顺序表'!B:D,'Leetcode分类顺序表'!A:A = B442))"),"")</f>
        <v/>
      </c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 spans="1:31">
      <c r="A443" s="19"/>
      <c r="B443" s="20"/>
      <c r="C443" s="18" t="str">
        <f ca="1">IFERROR(__xludf.DUMMYFUNCTION("IF(ISBLANK(B443),,FILTER('Leetcode分类顺序表'!B:D,'Leetcode分类顺序表'!A:A = B443))"),"")</f>
        <v/>
      </c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 spans="1:31">
      <c r="A444" s="19"/>
      <c r="B444" s="20"/>
      <c r="C444" s="18" t="str">
        <f ca="1">IFERROR(__xludf.DUMMYFUNCTION("IF(ISBLANK(B444),,FILTER('Leetcode分类顺序表'!B:D,'Leetcode分类顺序表'!A:A = B444))"),"")</f>
        <v/>
      </c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 spans="1:31">
      <c r="A445" s="19"/>
      <c r="B445" s="20"/>
      <c r="C445" s="18" t="str">
        <f ca="1">IFERROR(__xludf.DUMMYFUNCTION("IF(ISBLANK(B445),,FILTER('Leetcode分类顺序表'!B:D,'Leetcode分类顺序表'!A:A = B445))"),"")</f>
        <v/>
      </c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 spans="1:31">
      <c r="A446" s="19"/>
      <c r="B446" s="20"/>
      <c r="C446" s="18" t="str">
        <f ca="1">IFERROR(__xludf.DUMMYFUNCTION("IF(ISBLANK(B446),,FILTER('Leetcode分类顺序表'!B:D,'Leetcode分类顺序表'!A:A = B446))"),"")</f>
        <v/>
      </c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 spans="1:31">
      <c r="A447" s="19"/>
      <c r="B447" s="20"/>
      <c r="C447" s="18" t="str">
        <f ca="1">IFERROR(__xludf.DUMMYFUNCTION("IF(ISBLANK(B447),,FILTER('Leetcode分类顺序表'!B:D,'Leetcode分类顺序表'!A:A = B447))"),"")</f>
        <v/>
      </c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 spans="1:31">
      <c r="A448" s="19"/>
      <c r="B448" s="20"/>
      <c r="C448" s="18" t="str">
        <f ca="1">IFERROR(__xludf.DUMMYFUNCTION("IF(ISBLANK(B448),,FILTER('Leetcode分类顺序表'!B:D,'Leetcode分类顺序表'!A:A = B448))"),"")</f>
        <v/>
      </c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 spans="1:31">
      <c r="A449" s="19"/>
      <c r="B449" s="20"/>
      <c r="C449" s="18" t="str">
        <f ca="1">IFERROR(__xludf.DUMMYFUNCTION("IF(ISBLANK(B449),,FILTER('Leetcode分类顺序表'!B:D,'Leetcode分类顺序表'!A:A = B449))"),"")</f>
        <v/>
      </c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 spans="1:31">
      <c r="A450" s="19"/>
      <c r="B450" s="20"/>
      <c r="C450" s="18" t="str">
        <f ca="1">IFERROR(__xludf.DUMMYFUNCTION("IF(ISBLANK(B450),,FILTER('Leetcode分类顺序表'!B:D,'Leetcode分类顺序表'!A:A = B450))"),"")</f>
        <v/>
      </c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 spans="1:31">
      <c r="A451" s="19"/>
      <c r="B451" s="20"/>
      <c r="C451" s="18" t="str">
        <f ca="1">IFERROR(__xludf.DUMMYFUNCTION("IF(ISBLANK(B451),,FILTER('Leetcode分类顺序表'!B:D,'Leetcode分类顺序表'!A:A = B451))"),"")</f>
        <v/>
      </c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 spans="1:31">
      <c r="A452" s="19"/>
      <c r="B452" s="20"/>
      <c r="C452" s="18" t="str">
        <f ca="1">IFERROR(__xludf.DUMMYFUNCTION("IF(ISBLANK(B452),,FILTER('Leetcode分类顺序表'!B:D,'Leetcode分类顺序表'!A:A = B452))"),"")</f>
        <v/>
      </c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 spans="1:31">
      <c r="A453" s="19"/>
      <c r="B453" s="20"/>
      <c r="C453" s="18" t="str">
        <f ca="1">IFERROR(__xludf.DUMMYFUNCTION("IF(ISBLANK(B453),,FILTER('Leetcode分类顺序表'!B:D,'Leetcode分类顺序表'!A:A = B453))"),"")</f>
        <v/>
      </c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 spans="1:31">
      <c r="A454" s="19"/>
      <c r="B454" s="20"/>
      <c r="C454" s="18" t="str">
        <f ca="1">IFERROR(__xludf.DUMMYFUNCTION("IF(ISBLANK(B454),,FILTER('Leetcode分类顺序表'!B:D,'Leetcode分类顺序表'!A:A = B454))"),"")</f>
        <v/>
      </c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 spans="1:31">
      <c r="A455" s="19"/>
      <c r="B455" s="20"/>
      <c r="C455" s="18" t="str">
        <f ca="1">IFERROR(__xludf.DUMMYFUNCTION("IF(ISBLANK(B455),,FILTER('Leetcode分类顺序表'!B:D,'Leetcode分类顺序表'!A:A = B455))"),"")</f>
        <v/>
      </c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 spans="1:31">
      <c r="A456" s="19"/>
      <c r="B456" s="20"/>
      <c r="C456" s="18" t="str">
        <f ca="1">IFERROR(__xludf.DUMMYFUNCTION("IF(ISBLANK(B456),,FILTER('Leetcode分类顺序表'!B:D,'Leetcode分类顺序表'!A:A = B456))"),"")</f>
        <v/>
      </c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 spans="1:31">
      <c r="A457" s="19"/>
      <c r="B457" s="20"/>
      <c r="C457" s="18" t="str">
        <f ca="1">IFERROR(__xludf.DUMMYFUNCTION("IF(ISBLANK(B457),,FILTER('Leetcode分类顺序表'!B:D,'Leetcode分类顺序表'!A:A = B457))"),"")</f>
        <v/>
      </c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 spans="1:31">
      <c r="A458" s="19"/>
      <c r="B458" s="20"/>
      <c r="C458" s="18" t="str">
        <f ca="1">IFERROR(__xludf.DUMMYFUNCTION("IF(ISBLANK(B458),,FILTER('Leetcode分类顺序表'!B:D,'Leetcode分类顺序表'!A:A = B458))"),"")</f>
        <v/>
      </c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 spans="1:31">
      <c r="A459" s="19"/>
      <c r="B459" s="20"/>
      <c r="C459" s="18" t="str">
        <f ca="1">IFERROR(__xludf.DUMMYFUNCTION("IF(ISBLANK(B459),,FILTER('Leetcode分类顺序表'!B:D,'Leetcode分类顺序表'!A:A = B459))"),"")</f>
        <v/>
      </c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 spans="1:31">
      <c r="A460" s="19"/>
      <c r="B460" s="20"/>
      <c r="C460" s="18" t="str">
        <f ca="1">IFERROR(__xludf.DUMMYFUNCTION("IF(ISBLANK(B460),,FILTER('Leetcode分类顺序表'!B:D,'Leetcode分类顺序表'!A:A = B460))"),"")</f>
        <v/>
      </c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 spans="1:31">
      <c r="A461" s="19"/>
      <c r="B461" s="20"/>
      <c r="C461" s="18" t="str">
        <f ca="1">IFERROR(__xludf.DUMMYFUNCTION("IF(ISBLANK(B461),,FILTER('Leetcode分类顺序表'!B:D,'Leetcode分类顺序表'!A:A = B461))"),"")</f>
        <v/>
      </c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 spans="1:31">
      <c r="A462" s="19"/>
      <c r="B462" s="20"/>
      <c r="C462" s="18" t="str">
        <f ca="1">IFERROR(__xludf.DUMMYFUNCTION("IF(ISBLANK(B462),,FILTER('Leetcode分类顺序表'!B:D,'Leetcode分类顺序表'!A:A = B462))"),"")</f>
        <v/>
      </c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 spans="1:31">
      <c r="A463" s="19"/>
      <c r="B463" s="20"/>
      <c r="C463" s="18" t="str">
        <f ca="1">IFERROR(__xludf.DUMMYFUNCTION("IF(ISBLANK(B463),,FILTER('Leetcode分类顺序表'!B:D,'Leetcode分类顺序表'!A:A = B463))"),"")</f>
        <v/>
      </c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 spans="1:31">
      <c r="A464" s="19"/>
      <c r="B464" s="20"/>
      <c r="C464" s="18" t="str">
        <f ca="1">IFERROR(__xludf.DUMMYFUNCTION("IF(ISBLANK(B464),,FILTER('Leetcode分类顺序表'!B:D,'Leetcode分类顺序表'!A:A = B464))"),"")</f>
        <v/>
      </c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 spans="1:31">
      <c r="A465" s="19"/>
      <c r="B465" s="20"/>
      <c r="C465" s="18" t="str">
        <f ca="1">IFERROR(__xludf.DUMMYFUNCTION("IF(ISBLANK(B465),,FILTER('Leetcode分类顺序表'!B:D,'Leetcode分类顺序表'!A:A = B465))"),"")</f>
        <v/>
      </c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 spans="1:31">
      <c r="A466" s="19"/>
      <c r="B466" s="20"/>
      <c r="C466" s="18" t="str">
        <f ca="1">IFERROR(__xludf.DUMMYFUNCTION("IF(ISBLANK(B466),,FILTER('Leetcode分类顺序表'!B:D,'Leetcode分类顺序表'!A:A = B466))"),"")</f>
        <v/>
      </c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 spans="1:31">
      <c r="A467" s="19"/>
      <c r="B467" s="20"/>
      <c r="C467" s="18" t="str">
        <f ca="1">IFERROR(__xludf.DUMMYFUNCTION("IF(ISBLANK(B467),,FILTER('Leetcode分类顺序表'!B:D,'Leetcode分类顺序表'!A:A = B467))"),"")</f>
        <v/>
      </c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 spans="1:31">
      <c r="A468" s="19"/>
      <c r="B468" s="20"/>
      <c r="C468" s="18" t="str">
        <f ca="1">IFERROR(__xludf.DUMMYFUNCTION("IF(ISBLANK(B468),,FILTER('Leetcode分类顺序表'!B:D,'Leetcode分类顺序表'!A:A = B468))"),"")</f>
        <v/>
      </c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 spans="1:31">
      <c r="A469" s="19"/>
      <c r="B469" s="20"/>
      <c r="C469" s="18" t="str">
        <f ca="1">IFERROR(__xludf.DUMMYFUNCTION("IF(ISBLANK(B469),,FILTER('Leetcode分类顺序表'!B:D,'Leetcode分类顺序表'!A:A = B469))"),"")</f>
        <v/>
      </c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 spans="1:31">
      <c r="A470" s="19"/>
      <c r="B470" s="20"/>
      <c r="C470" s="18" t="str">
        <f ca="1">IFERROR(__xludf.DUMMYFUNCTION("IF(ISBLANK(B470),,FILTER('Leetcode分类顺序表'!B:D,'Leetcode分类顺序表'!A:A = B470))"),"")</f>
        <v/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 spans="1:31">
      <c r="A471" s="19"/>
      <c r="B471" s="20"/>
      <c r="C471" s="18" t="str">
        <f ca="1">IFERROR(__xludf.DUMMYFUNCTION("IF(ISBLANK(B471),,FILTER('Leetcode分类顺序表'!B:D,'Leetcode分类顺序表'!A:A = B471))"),"")</f>
        <v/>
      </c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 spans="1:31">
      <c r="A472" s="19"/>
      <c r="B472" s="20"/>
      <c r="C472" s="18" t="str">
        <f ca="1">IFERROR(__xludf.DUMMYFUNCTION("IF(ISBLANK(B472),,FILTER('Leetcode分类顺序表'!B:D,'Leetcode分类顺序表'!A:A = B472))"),"")</f>
        <v/>
      </c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 spans="1:31">
      <c r="A473" s="19"/>
      <c r="B473" s="20"/>
      <c r="C473" s="18" t="str">
        <f ca="1">IFERROR(__xludf.DUMMYFUNCTION("IF(ISBLANK(B473),,FILTER('Leetcode分类顺序表'!B:D,'Leetcode分类顺序表'!A:A = B473))"),"")</f>
        <v/>
      </c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 spans="1:31">
      <c r="A474" s="19"/>
      <c r="B474" s="20"/>
      <c r="C474" s="18" t="str">
        <f ca="1">IFERROR(__xludf.DUMMYFUNCTION("IF(ISBLANK(B474),,FILTER('Leetcode分类顺序表'!B:D,'Leetcode分类顺序表'!A:A = B474))"),"")</f>
        <v/>
      </c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 spans="1:31">
      <c r="A475" s="19"/>
      <c r="B475" s="20"/>
      <c r="C475" s="18" t="str">
        <f ca="1">IFERROR(__xludf.DUMMYFUNCTION("IF(ISBLANK(B475),,FILTER('Leetcode分类顺序表'!B:D,'Leetcode分类顺序表'!A:A = B475))"),"")</f>
        <v/>
      </c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 spans="1:31">
      <c r="A476" s="19"/>
      <c r="B476" s="20"/>
      <c r="C476" s="18" t="str">
        <f ca="1">IFERROR(__xludf.DUMMYFUNCTION("IF(ISBLANK(B476),,FILTER('Leetcode分类顺序表'!B:D,'Leetcode分类顺序表'!A:A = B476))"),"")</f>
        <v/>
      </c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 spans="1:31">
      <c r="A477" s="19"/>
      <c r="B477" s="20"/>
      <c r="C477" s="18" t="str">
        <f ca="1">IFERROR(__xludf.DUMMYFUNCTION("IF(ISBLANK(B477),,FILTER('Leetcode分类顺序表'!B:D,'Leetcode分类顺序表'!A:A = B477))"),"")</f>
        <v/>
      </c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 spans="1:31">
      <c r="A478" s="19"/>
      <c r="B478" s="20"/>
      <c r="C478" s="18" t="str">
        <f ca="1">IFERROR(__xludf.DUMMYFUNCTION("IF(ISBLANK(B478),,FILTER('Leetcode分类顺序表'!B:D,'Leetcode分类顺序表'!A:A = B478))"),"")</f>
        <v/>
      </c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 spans="1:31">
      <c r="A479" s="19"/>
      <c r="B479" s="20"/>
      <c r="C479" s="18" t="str">
        <f ca="1">IFERROR(__xludf.DUMMYFUNCTION("IF(ISBLANK(B479),,FILTER('Leetcode分类顺序表'!B:D,'Leetcode分类顺序表'!A:A = B479))"),"")</f>
        <v/>
      </c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 spans="1:31">
      <c r="A480" s="19"/>
      <c r="B480" s="20"/>
      <c r="C480" s="18" t="str">
        <f ca="1">IFERROR(__xludf.DUMMYFUNCTION("IF(ISBLANK(B480),,FILTER('Leetcode分类顺序表'!B:D,'Leetcode分类顺序表'!A:A = B480))"),"")</f>
        <v/>
      </c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 spans="1:31">
      <c r="A481" s="19"/>
      <c r="B481" s="20"/>
      <c r="C481" s="18" t="str">
        <f ca="1">IFERROR(__xludf.DUMMYFUNCTION("IF(ISBLANK(B481),,FILTER('Leetcode分类顺序表'!B:D,'Leetcode分类顺序表'!A:A = B481))"),"")</f>
        <v/>
      </c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 spans="1:31">
      <c r="A482" s="19"/>
      <c r="B482" s="20"/>
      <c r="C482" s="18" t="str">
        <f ca="1">IFERROR(__xludf.DUMMYFUNCTION("IF(ISBLANK(B482),,FILTER('Leetcode分类顺序表'!B:D,'Leetcode分类顺序表'!A:A = B482))"),"")</f>
        <v/>
      </c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 spans="1:31">
      <c r="A483" s="19"/>
      <c r="B483" s="20"/>
      <c r="C483" s="18" t="str">
        <f ca="1">IFERROR(__xludf.DUMMYFUNCTION("IF(ISBLANK(B483),,FILTER('Leetcode分类顺序表'!B:D,'Leetcode分类顺序表'!A:A = B483))"),"")</f>
        <v/>
      </c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 spans="1:31">
      <c r="A484" s="19"/>
      <c r="B484" s="20"/>
      <c r="C484" s="18" t="str">
        <f ca="1">IFERROR(__xludf.DUMMYFUNCTION("IF(ISBLANK(B484),,FILTER('Leetcode分类顺序表'!B:D,'Leetcode分类顺序表'!A:A = B484))"),"")</f>
        <v/>
      </c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 spans="1:31">
      <c r="A485" s="19"/>
      <c r="B485" s="20"/>
      <c r="C485" s="18" t="str">
        <f ca="1">IFERROR(__xludf.DUMMYFUNCTION("IF(ISBLANK(B485),,FILTER('Leetcode分类顺序表'!B:D,'Leetcode分类顺序表'!A:A = B485))"),"")</f>
        <v/>
      </c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 spans="1:31">
      <c r="A486" s="19"/>
      <c r="B486" s="20"/>
      <c r="C486" s="18" t="str">
        <f ca="1">IFERROR(__xludf.DUMMYFUNCTION("IF(ISBLANK(B486),,FILTER('Leetcode分类顺序表'!B:D,'Leetcode分类顺序表'!A:A = B486))"),"")</f>
        <v/>
      </c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 spans="1:31">
      <c r="A487" s="19"/>
      <c r="B487" s="20"/>
      <c r="C487" s="18" t="str">
        <f ca="1">IFERROR(__xludf.DUMMYFUNCTION("IF(ISBLANK(B487),,FILTER('Leetcode分类顺序表'!B:D,'Leetcode分类顺序表'!A:A = B487))"),"")</f>
        <v/>
      </c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 spans="1:31">
      <c r="A488" s="19"/>
      <c r="B488" s="20"/>
      <c r="C488" s="18" t="str">
        <f ca="1">IFERROR(__xludf.DUMMYFUNCTION("IF(ISBLANK(B488),,FILTER('Leetcode分类顺序表'!B:D,'Leetcode分类顺序表'!A:A = B488))"),"")</f>
        <v/>
      </c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 spans="1:31">
      <c r="A489" s="19"/>
      <c r="B489" s="20"/>
      <c r="C489" s="18" t="str">
        <f ca="1">IFERROR(__xludf.DUMMYFUNCTION("IF(ISBLANK(B489),,FILTER('Leetcode分类顺序表'!B:D,'Leetcode分类顺序表'!A:A = B489))"),"")</f>
        <v/>
      </c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 spans="1:31">
      <c r="A490" s="19"/>
      <c r="B490" s="20"/>
      <c r="C490" s="18" t="str">
        <f ca="1">IFERROR(__xludf.DUMMYFUNCTION("IF(ISBLANK(B490),,FILTER('Leetcode分类顺序表'!B:D,'Leetcode分类顺序表'!A:A = B490))"),"")</f>
        <v/>
      </c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 spans="1:31">
      <c r="A491" s="19"/>
      <c r="B491" s="20"/>
      <c r="C491" s="18" t="str">
        <f ca="1">IFERROR(__xludf.DUMMYFUNCTION("IF(ISBLANK(B491),,FILTER('Leetcode分类顺序表'!B:D,'Leetcode分类顺序表'!A:A = B491))"),"")</f>
        <v/>
      </c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 spans="1:31">
      <c r="A492" s="19"/>
      <c r="B492" s="20"/>
      <c r="C492" s="18" t="str">
        <f ca="1">IFERROR(__xludf.DUMMYFUNCTION("IF(ISBLANK(B492),,FILTER('Leetcode分类顺序表'!B:D,'Leetcode分类顺序表'!A:A = B492))"),"")</f>
        <v/>
      </c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 spans="1:31">
      <c r="A493" s="19"/>
      <c r="B493" s="20"/>
      <c r="C493" s="18" t="str">
        <f ca="1">IFERROR(__xludf.DUMMYFUNCTION("IF(ISBLANK(B493),,FILTER('Leetcode分类顺序表'!B:D,'Leetcode分类顺序表'!A:A = B493))"),"")</f>
        <v/>
      </c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 spans="1:31">
      <c r="A494" s="19"/>
      <c r="B494" s="20"/>
      <c r="C494" s="18" t="str">
        <f ca="1">IFERROR(__xludf.DUMMYFUNCTION("IF(ISBLANK(B494),,FILTER('Leetcode分类顺序表'!B:D,'Leetcode分类顺序表'!A:A = B494))"),"")</f>
        <v/>
      </c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 spans="1:31">
      <c r="A495" s="19"/>
      <c r="B495" s="20"/>
      <c r="C495" s="18" t="str">
        <f ca="1">IFERROR(__xludf.DUMMYFUNCTION("IF(ISBLANK(B495),,FILTER('Leetcode分类顺序表'!B:D,'Leetcode分类顺序表'!A:A = B495))"),"")</f>
        <v/>
      </c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 spans="1:31">
      <c r="A496" s="19"/>
      <c r="B496" s="20"/>
      <c r="C496" s="18" t="str">
        <f ca="1">IFERROR(__xludf.DUMMYFUNCTION("IF(ISBLANK(B496),,FILTER('Leetcode分类顺序表'!B:D,'Leetcode分类顺序表'!A:A = B496))"),"")</f>
        <v/>
      </c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 spans="1:31">
      <c r="A497" s="19"/>
      <c r="B497" s="20"/>
      <c r="C497" s="18" t="str">
        <f ca="1">IFERROR(__xludf.DUMMYFUNCTION("IF(ISBLANK(B497),,FILTER('Leetcode分类顺序表'!B:D,'Leetcode分类顺序表'!A:A = B497))"),"")</f>
        <v/>
      </c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 spans="1:31">
      <c r="A498" s="19"/>
      <c r="B498" s="20"/>
      <c r="C498" s="18" t="str">
        <f ca="1">IFERROR(__xludf.DUMMYFUNCTION("IF(ISBLANK(B498),,FILTER('Leetcode分类顺序表'!B:D,'Leetcode分类顺序表'!A:A = B498))"),"")</f>
        <v/>
      </c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 spans="1:31">
      <c r="A499" s="19"/>
      <c r="B499" s="20"/>
      <c r="C499" s="18" t="str">
        <f ca="1">IFERROR(__xludf.DUMMYFUNCTION("IF(ISBLANK(B499),,FILTER('Leetcode分类顺序表'!B:D,'Leetcode分类顺序表'!A:A = B499))"),"")</f>
        <v/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 spans="1:31">
      <c r="A500" s="19"/>
      <c r="B500" s="20"/>
      <c r="C500" s="18" t="str">
        <f ca="1">IFERROR(__xludf.DUMMYFUNCTION("IF(ISBLANK(B500),,FILTER('Leetcode分类顺序表'!B:D,'Leetcode分类顺序表'!A:A = B500))"),"")</f>
        <v/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 spans="1:31">
      <c r="A501" s="19"/>
      <c r="B501" s="20"/>
      <c r="C501" s="18" t="str">
        <f ca="1">IFERROR(__xludf.DUMMYFUNCTION("IF(ISBLANK(B501),,FILTER('Leetcode分类顺序表'!B:D,'Leetcode分类顺序表'!A:A = B501))"),"")</f>
        <v/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 spans="1:31">
      <c r="A502" s="19"/>
      <c r="B502" s="20"/>
      <c r="C502" s="18" t="str">
        <f ca="1">IFERROR(__xludf.DUMMYFUNCTION("IF(ISBLANK(B502),,FILTER('Leetcode分类顺序表'!B:D,'Leetcode分类顺序表'!A:A = B502))"),"")</f>
        <v/>
      </c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 spans="1:31">
      <c r="A503" s="19"/>
      <c r="B503" s="20"/>
      <c r="C503" s="18" t="str">
        <f ca="1">IFERROR(__xludf.DUMMYFUNCTION("IF(ISBLANK(B503),,FILTER('Leetcode分类顺序表'!B:D,'Leetcode分类顺序表'!A:A = B503))"),"")</f>
        <v/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 spans="1:31">
      <c r="A504" s="19"/>
      <c r="B504" s="20"/>
      <c r="C504" s="18" t="str">
        <f ca="1">IFERROR(__xludf.DUMMYFUNCTION("IF(ISBLANK(B504),,FILTER('Leetcode分类顺序表'!B:D,'Leetcode分类顺序表'!A:A = B504))"),"")</f>
        <v/>
      </c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 spans="1:31">
      <c r="A505" s="19"/>
      <c r="B505" s="20"/>
      <c r="C505" s="18" t="str">
        <f ca="1">IFERROR(__xludf.DUMMYFUNCTION("IF(ISBLANK(B505),,FILTER('Leetcode分类顺序表'!B:D,'Leetcode分类顺序表'!A:A = B505))"),"")</f>
        <v/>
      </c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 spans="1:31">
      <c r="A506" s="19"/>
      <c r="B506" s="20"/>
      <c r="C506" s="18" t="str">
        <f ca="1">IFERROR(__xludf.DUMMYFUNCTION("IF(ISBLANK(B506),,FILTER('Leetcode分类顺序表'!B:D,'Leetcode分类顺序表'!A:A = B506))"),"")</f>
        <v/>
      </c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 spans="1:31">
      <c r="A507" s="19"/>
      <c r="B507" s="20"/>
      <c r="C507" s="18" t="str">
        <f ca="1">IFERROR(__xludf.DUMMYFUNCTION("IF(ISBLANK(B507),,FILTER('Leetcode分类顺序表'!B:D,'Leetcode分类顺序表'!A:A = B507))"),"")</f>
        <v/>
      </c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 spans="1:31">
      <c r="A508" s="19"/>
      <c r="B508" s="20"/>
      <c r="C508" s="18" t="str">
        <f ca="1">IFERROR(__xludf.DUMMYFUNCTION("IF(ISBLANK(B508),,FILTER('Leetcode分类顺序表'!B:D,'Leetcode分类顺序表'!A:A = B508))"),"")</f>
        <v/>
      </c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 spans="1:31">
      <c r="A509" s="19"/>
      <c r="B509" s="20"/>
      <c r="C509" s="18" t="str">
        <f ca="1">IFERROR(__xludf.DUMMYFUNCTION("IF(ISBLANK(B509),,FILTER('Leetcode分类顺序表'!B:D,'Leetcode分类顺序表'!A:A = B509))"),"")</f>
        <v/>
      </c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 spans="1:31">
      <c r="A510" s="19"/>
      <c r="B510" s="20"/>
      <c r="C510" s="18" t="str">
        <f ca="1">IFERROR(__xludf.DUMMYFUNCTION("IF(ISBLANK(B510),,FILTER('Leetcode分类顺序表'!B:D,'Leetcode分类顺序表'!A:A = B510))"),"")</f>
        <v/>
      </c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 spans="1:31">
      <c r="A511" s="19"/>
      <c r="B511" s="20"/>
      <c r="C511" s="18" t="str">
        <f ca="1">IFERROR(__xludf.DUMMYFUNCTION("IF(ISBLANK(B511),,FILTER('Leetcode分类顺序表'!B:D,'Leetcode分类顺序表'!A:A = B511))"),"")</f>
        <v/>
      </c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 spans="1:31">
      <c r="A512" s="19"/>
      <c r="B512" s="20"/>
      <c r="C512" s="18" t="str">
        <f ca="1">IFERROR(__xludf.DUMMYFUNCTION("IF(ISBLANK(B512),,FILTER('Leetcode分类顺序表'!B:D,'Leetcode分类顺序表'!A:A = B512))"),"")</f>
        <v/>
      </c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 spans="1:31">
      <c r="A513" s="19"/>
      <c r="B513" s="20"/>
      <c r="C513" s="18" t="str">
        <f ca="1">IFERROR(__xludf.DUMMYFUNCTION("IF(ISBLANK(B513),,FILTER('Leetcode分类顺序表'!B:D,'Leetcode分类顺序表'!A:A = B513))"),"")</f>
        <v/>
      </c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 spans="1:31">
      <c r="A514" s="19"/>
      <c r="B514" s="20"/>
      <c r="C514" s="18" t="str">
        <f ca="1">IFERROR(__xludf.DUMMYFUNCTION("IF(ISBLANK(B514),,FILTER('Leetcode分类顺序表'!B:D,'Leetcode分类顺序表'!A:A = B514))"),"")</f>
        <v/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 spans="1:31">
      <c r="A515" s="19"/>
      <c r="B515" s="20"/>
      <c r="C515" s="18" t="str">
        <f ca="1">IFERROR(__xludf.DUMMYFUNCTION("IF(ISBLANK(B515),,FILTER('Leetcode分类顺序表'!B:D,'Leetcode分类顺序表'!A:A = B515))"),"")</f>
        <v/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 spans="1:31">
      <c r="A516" s="19"/>
      <c r="B516" s="20"/>
      <c r="C516" s="18" t="str">
        <f ca="1">IFERROR(__xludf.DUMMYFUNCTION("IF(ISBLANK(B516),,FILTER('Leetcode分类顺序表'!B:D,'Leetcode分类顺序表'!A:A = B516))"),"")</f>
        <v/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 spans="1:31">
      <c r="A517" s="19"/>
      <c r="B517" s="20"/>
      <c r="C517" s="18" t="str">
        <f ca="1">IFERROR(__xludf.DUMMYFUNCTION("IF(ISBLANK(B517),,FILTER('Leetcode分类顺序表'!B:D,'Leetcode分类顺序表'!A:A = B517))"),"")</f>
        <v/>
      </c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 spans="1:31">
      <c r="A518" s="19"/>
      <c r="B518" s="20"/>
      <c r="C518" s="18" t="str">
        <f ca="1">IFERROR(__xludf.DUMMYFUNCTION("IF(ISBLANK(B518),,FILTER('Leetcode分类顺序表'!B:D,'Leetcode分类顺序表'!A:A = B518))"),"")</f>
        <v/>
      </c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 spans="1:31">
      <c r="A519" s="19"/>
      <c r="B519" s="20"/>
      <c r="C519" s="18" t="str">
        <f ca="1">IFERROR(__xludf.DUMMYFUNCTION("IF(ISBLANK(B519),,FILTER('Leetcode分类顺序表'!B:D,'Leetcode分类顺序表'!A:A = B519))"),"")</f>
        <v/>
      </c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 spans="1:31">
      <c r="A520" s="19"/>
      <c r="B520" s="20"/>
      <c r="C520" s="18" t="str">
        <f ca="1">IFERROR(__xludf.DUMMYFUNCTION("IF(ISBLANK(B520),,FILTER('Leetcode分类顺序表'!B:D,'Leetcode分类顺序表'!A:A = B520))"),"")</f>
        <v/>
      </c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 spans="1:31">
      <c r="A521" s="19"/>
      <c r="B521" s="20"/>
      <c r="C521" s="18" t="str">
        <f ca="1">IFERROR(__xludf.DUMMYFUNCTION("IF(ISBLANK(B521),,FILTER('Leetcode分类顺序表'!B:D,'Leetcode分类顺序表'!A:A = B521))"),"")</f>
        <v/>
      </c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 spans="1:31">
      <c r="A522" s="19"/>
      <c r="B522" s="20"/>
      <c r="C522" s="18" t="str">
        <f ca="1">IFERROR(__xludf.DUMMYFUNCTION("IF(ISBLANK(B522),,FILTER('Leetcode分类顺序表'!B:D,'Leetcode分类顺序表'!A:A = B522))"),"")</f>
        <v/>
      </c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 spans="1:31">
      <c r="A523" s="19"/>
      <c r="B523" s="20"/>
      <c r="C523" s="18" t="str">
        <f ca="1">IFERROR(__xludf.DUMMYFUNCTION("IF(ISBLANK(B523),,FILTER('Leetcode分类顺序表'!B:D,'Leetcode分类顺序表'!A:A = B523))"),"")</f>
        <v/>
      </c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 spans="1:31">
      <c r="A524" s="19"/>
      <c r="B524" s="20"/>
      <c r="C524" s="18" t="str">
        <f ca="1">IFERROR(__xludf.DUMMYFUNCTION("IF(ISBLANK(B524),,FILTER('Leetcode分类顺序表'!B:D,'Leetcode分类顺序表'!A:A = B524))"),"")</f>
        <v/>
      </c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 spans="1:31">
      <c r="A525" s="19"/>
      <c r="B525" s="20"/>
      <c r="C525" s="18" t="str">
        <f ca="1">IFERROR(__xludf.DUMMYFUNCTION("IF(ISBLANK(B525),,FILTER('Leetcode分类顺序表'!B:D,'Leetcode分类顺序表'!A:A = B525))"),"")</f>
        <v/>
      </c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 spans="1:31">
      <c r="A526" s="19"/>
      <c r="B526" s="20"/>
      <c r="C526" s="18" t="str">
        <f ca="1">IFERROR(__xludf.DUMMYFUNCTION("IF(ISBLANK(B526),,FILTER('Leetcode分类顺序表'!B:D,'Leetcode分类顺序表'!A:A = B526))"),"")</f>
        <v/>
      </c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 spans="1:31">
      <c r="A527" s="19"/>
      <c r="B527" s="20"/>
      <c r="C527" s="18" t="str">
        <f ca="1">IFERROR(__xludf.DUMMYFUNCTION("IF(ISBLANK(B527),,FILTER('Leetcode分类顺序表'!B:D,'Leetcode分类顺序表'!A:A = B527))"),"")</f>
        <v/>
      </c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 spans="1:31">
      <c r="A528" s="19"/>
      <c r="B528" s="20"/>
      <c r="C528" s="18" t="str">
        <f ca="1">IFERROR(__xludf.DUMMYFUNCTION("IF(ISBLANK(B528),,FILTER('Leetcode分类顺序表'!B:D,'Leetcode分类顺序表'!A:A = B528))"),"")</f>
        <v/>
      </c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 spans="1:31">
      <c r="A529" s="19"/>
      <c r="B529" s="20"/>
      <c r="C529" s="18" t="str">
        <f ca="1">IFERROR(__xludf.DUMMYFUNCTION("IF(ISBLANK(B529),,FILTER('Leetcode分类顺序表'!B:D,'Leetcode分类顺序表'!A:A = B529))"),"")</f>
        <v/>
      </c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 spans="1:31">
      <c r="A530" s="19"/>
      <c r="B530" s="20"/>
      <c r="C530" s="18" t="str">
        <f ca="1">IFERROR(__xludf.DUMMYFUNCTION("IF(ISBLANK(B530),,FILTER('Leetcode分类顺序表'!B:D,'Leetcode分类顺序表'!A:A = B530))"),"")</f>
        <v/>
      </c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 spans="1:31">
      <c r="A531" s="19"/>
      <c r="B531" s="20"/>
      <c r="C531" s="18" t="str">
        <f ca="1">IFERROR(__xludf.DUMMYFUNCTION("IF(ISBLANK(B531),,FILTER('Leetcode分类顺序表'!B:D,'Leetcode分类顺序表'!A:A = B531))"),"")</f>
        <v/>
      </c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 spans="1:31">
      <c r="A532" s="19"/>
      <c r="B532" s="20"/>
      <c r="C532" s="18" t="str">
        <f ca="1">IFERROR(__xludf.DUMMYFUNCTION("IF(ISBLANK(B532),,FILTER('Leetcode分类顺序表'!B:D,'Leetcode分类顺序表'!A:A = B532))"),"")</f>
        <v/>
      </c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 spans="1:31">
      <c r="A533" s="19"/>
      <c r="B533" s="20"/>
      <c r="C533" s="18" t="str">
        <f ca="1">IFERROR(__xludf.DUMMYFUNCTION("IF(ISBLANK(B533),,FILTER('Leetcode分类顺序表'!B:D,'Leetcode分类顺序表'!A:A = B533))"),"")</f>
        <v/>
      </c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 spans="1:31">
      <c r="A534" s="19"/>
      <c r="B534" s="20"/>
      <c r="C534" s="18" t="str">
        <f ca="1">IFERROR(__xludf.DUMMYFUNCTION("IF(ISBLANK(B534),,FILTER('Leetcode分类顺序表'!B:D,'Leetcode分类顺序表'!A:A = B534))"),"")</f>
        <v/>
      </c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 spans="1:31">
      <c r="A535" s="19"/>
      <c r="B535" s="20"/>
      <c r="C535" s="18" t="str">
        <f ca="1">IFERROR(__xludf.DUMMYFUNCTION("IF(ISBLANK(B535),,FILTER('Leetcode分类顺序表'!B:D,'Leetcode分类顺序表'!A:A = B535))"),"")</f>
        <v/>
      </c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 spans="1:31">
      <c r="A536" s="19"/>
      <c r="B536" s="20"/>
      <c r="C536" s="18" t="str">
        <f ca="1">IFERROR(__xludf.DUMMYFUNCTION("IF(ISBLANK(B536),,FILTER('Leetcode分类顺序表'!B:D,'Leetcode分类顺序表'!A:A = B536))"),"")</f>
        <v/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 spans="1:31">
      <c r="A537" s="19"/>
      <c r="B537" s="20"/>
      <c r="C537" s="18" t="str">
        <f ca="1">IFERROR(__xludf.DUMMYFUNCTION("IF(ISBLANK(B537),,FILTER('Leetcode分类顺序表'!B:D,'Leetcode分类顺序表'!A:A = B537))"),"")</f>
        <v/>
      </c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 spans="1:31">
      <c r="A538" s="19"/>
      <c r="B538" s="20"/>
      <c r="C538" s="18" t="str">
        <f ca="1">IFERROR(__xludf.DUMMYFUNCTION("IF(ISBLANK(B538),,FILTER('Leetcode分类顺序表'!B:D,'Leetcode分类顺序表'!A:A = B538))"),"")</f>
        <v/>
      </c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 spans="1:31">
      <c r="A539" s="19"/>
      <c r="B539" s="20"/>
      <c r="C539" s="18" t="str">
        <f ca="1">IFERROR(__xludf.DUMMYFUNCTION("IF(ISBLANK(B539),,FILTER('Leetcode分类顺序表'!B:D,'Leetcode分类顺序表'!A:A = B539))"),"")</f>
        <v/>
      </c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 spans="1:31">
      <c r="A540" s="19"/>
      <c r="B540" s="20"/>
      <c r="C540" s="18" t="str">
        <f ca="1">IFERROR(__xludf.DUMMYFUNCTION("IF(ISBLANK(B540),,FILTER('Leetcode分类顺序表'!B:D,'Leetcode分类顺序表'!A:A = B540))"),"")</f>
        <v/>
      </c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 spans="1:31">
      <c r="A541" s="19"/>
      <c r="B541" s="20"/>
      <c r="C541" s="18" t="str">
        <f ca="1">IFERROR(__xludf.DUMMYFUNCTION("IF(ISBLANK(B541),,FILTER('Leetcode分类顺序表'!B:D,'Leetcode分类顺序表'!A:A = B541))"),"")</f>
        <v/>
      </c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 spans="1:31">
      <c r="A542" s="19"/>
      <c r="B542" s="20"/>
      <c r="C542" s="18" t="str">
        <f ca="1">IFERROR(__xludf.DUMMYFUNCTION("IF(ISBLANK(B542),,FILTER('Leetcode分类顺序表'!B:D,'Leetcode分类顺序表'!A:A = B542))"),"")</f>
        <v/>
      </c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 spans="1:31">
      <c r="A543" s="19"/>
      <c r="B543" s="20"/>
      <c r="C543" s="18" t="str">
        <f ca="1">IFERROR(__xludf.DUMMYFUNCTION("IF(ISBLANK(B543),,FILTER('Leetcode分类顺序表'!B:D,'Leetcode分类顺序表'!A:A = B543))"),"")</f>
        <v/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 spans="1:31">
      <c r="A544" s="19"/>
      <c r="B544" s="20"/>
      <c r="C544" s="18" t="str">
        <f ca="1">IFERROR(__xludf.DUMMYFUNCTION("IF(ISBLANK(B544),,FILTER('Leetcode分类顺序表'!B:D,'Leetcode分类顺序表'!A:A = B544))"),"")</f>
        <v/>
      </c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 spans="1:31">
      <c r="A545" s="19"/>
      <c r="B545" s="20"/>
      <c r="C545" s="18" t="str">
        <f ca="1">IFERROR(__xludf.DUMMYFUNCTION("IF(ISBLANK(B545),,FILTER('Leetcode分类顺序表'!B:D,'Leetcode分类顺序表'!A:A = B545))"),"")</f>
        <v/>
      </c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 spans="1:31">
      <c r="A546" s="19"/>
      <c r="B546" s="20"/>
      <c r="C546" s="18" t="str">
        <f ca="1">IFERROR(__xludf.DUMMYFUNCTION("IF(ISBLANK(B546),,FILTER('Leetcode分类顺序表'!B:D,'Leetcode分类顺序表'!A:A = B546))"),"")</f>
        <v/>
      </c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 spans="1:31">
      <c r="A547" s="19"/>
      <c r="B547" s="20"/>
      <c r="C547" s="18" t="str">
        <f ca="1">IFERROR(__xludf.DUMMYFUNCTION("IF(ISBLANK(B547),,FILTER('Leetcode分类顺序表'!B:D,'Leetcode分类顺序表'!A:A = B547))"),"")</f>
        <v/>
      </c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 spans="1:31">
      <c r="A548" s="19"/>
      <c r="B548" s="20"/>
      <c r="C548" s="18" t="str">
        <f ca="1">IFERROR(__xludf.DUMMYFUNCTION("IF(ISBLANK(B548),,FILTER('Leetcode分类顺序表'!B:D,'Leetcode分类顺序表'!A:A = B548))"),"")</f>
        <v/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 spans="1:31">
      <c r="A549" s="19"/>
      <c r="B549" s="20"/>
      <c r="C549" s="18" t="str">
        <f ca="1">IFERROR(__xludf.DUMMYFUNCTION("IF(ISBLANK(B549),,FILTER('Leetcode分类顺序表'!B:D,'Leetcode分类顺序表'!A:A = B549))"),"")</f>
        <v/>
      </c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 spans="1:31">
      <c r="A550" s="19"/>
      <c r="B550" s="20"/>
      <c r="C550" s="18" t="str">
        <f ca="1">IFERROR(__xludf.DUMMYFUNCTION("IF(ISBLANK(B550),,FILTER('Leetcode分类顺序表'!B:D,'Leetcode分类顺序表'!A:A = B550))"),"")</f>
        <v/>
      </c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 spans="1:31">
      <c r="A551" s="19"/>
      <c r="B551" s="20"/>
      <c r="C551" s="18" t="str">
        <f ca="1">IFERROR(__xludf.DUMMYFUNCTION("IF(ISBLANK(B551),,FILTER('Leetcode分类顺序表'!B:D,'Leetcode分类顺序表'!A:A = B551))"),"")</f>
        <v/>
      </c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 spans="1:31">
      <c r="A552" s="19"/>
      <c r="B552" s="20"/>
      <c r="C552" s="18" t="str">
        <f ca="1">IFERROR(__xludf.DUMMYFUNCTION("IF(ISBLANK(B552),,FILTER('Leetcode分类顺序表'!B:D,'Leetcode分类顺序表'!A:A = B552))"),"")</f>
        <v/>
      </c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 spans="1:31">
      <c r="A553" s="19"/>
      <c r="B553" s="20"/>
      <c r="C553" s="18" t="str">
        <f ca="1">IFERROR(__xludf.DUMMYFUNCTION("IF(ISBLANK(B553),,FILTER('Leetcode分类顺序表'!B:D,'Leetcode分类顺序表'!A:A = B553))"),"")</f>
        <v/>
      </c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 spans="1:31">
      <c r="A554" s="19"/>
      <c r="B554" s="20"/>
      <c r="C554" s="18" t="str">
        <f ca="1">IFERROR(__xludf.DUMMYFUNCTION("IF(ISBLANK(B554),,FILTER('Leetcode分类顺序表'!B:D,'Leetcode分类顺序表'!A:A = B554))"),"")</f>
        <v/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 spans="1:31">
      <c r="A555" s="19"/>
      <c r="B555" s="20"/>
      <c r="C555" s="18" t="str">
        <f ca="1">IFERROR(__xludf.DUMMYFUNCTION("IF(ISBLANK(B555),,FILTER('Leetcode分类顺序表'!B:D,'Leetcode分类顺序表'!A:A = B555))"),"")</f>
        <v/>
      </c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 spans="1:31">
      <c r="A556" s="19"/>
      <c r="B556" s="20"/>
      <c r="C556" s="18" t="str">
        <f ca="1">IFERROR(__xludf.DUMMYFUNCTION("IF(ISBLANK(B556),,FILTER('Leetcode分类顺序表'!B:D,'Leetcode分类顺序表'!A:A = B556))"),"")</f>
        <v/>
      </c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 spans="1:31">
      <c r="A557" s="19"/>
      <c r="B557" s="20"/>
      <c r="C557" s="18" t="str">
        <f ca="1">IFERROR(__xludf.DUMMYFUNCTION("IF(ISBLANK(B557),,FILTER('Leetcode分类顺序表'!B:D,'Leetcode分类顺序表'!A:A = B557))"),"")</f>
        <v/>
      </c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 spans="1:31">
      <c r="A558" s="19"/>
      <c r="B558" s="20"/>
      <c r="C558" s="18" t="str">
        <f ca="1">IFERROR(__xludf.DUMMYFUNCTION("IF(ISBLANK(B558),,FILTER('Leetcode分类顺序表'!B:D,'Leetcode分类顺序表'!A:A = B558))"),"")</f>
        <v/>
      </c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 spans="1:31">
      <c r="A559" s="19"/>
      <c r="B559" s="20"/>
      <c r="C559" s="18" t="str">
        <f ca="1">IFERROR(__xludf.DUMMYFUNCTION("IF(ISBLANK(B559),,FILTER('Leetcode分类顺序表'!B:D,'Leetcode分类顺序表'!A:A = B559))"),"")</f>
        <v/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 spans="1:31">
      <c r="A560" s="19"/>
      <c r="B560" s="20"/>
      <c r="C560" s="18" t="str">
        <f ca="1">IFERROR(__xludf.DUMMYFUNCTION("IF(ISBLANK(B560),,FILTER('Leetcode分类顺序表'!B:D,'Leetcode分类顺序表'!A:A = B560))"),"")</f>
        <v/>
      </c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 spans="1:31">
      <c r="A561" s="19"/>
      <c r="B561" s="20"/>
      <c r="C561" s="18" t="str">
        <f ca="1">IFERROR(__xludf.DUMMYFUNCTION("IF(ISBLANK(B561),,FILTER('Leetcode分类顺序表'!B:D,'Leetcode分类顺序表'!A:A = B561))"),"")</f>
        <v/>
      </c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 spans="1:31">
      <c r="A562" s="19"/>
      <c r="B562" s="20"/>
      <c r="C562" s="18" t="str">
        <f ca="1">IFERROR(__xludf.DUMMYFUNCTION("IF(ISBLANK(B562),,FILTER('Leetcode分类顺序表'!B:D,'Leetcode分类顺序表'!A:A = B562))"),"")</f>
        <v/>
      </c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 spans="1:31">
      <c r="A563" s="19"/>
      <c r="B563" s="20"/>
      <c r="C563" s="18" t="str">
        <f ca="1">IFERROR(__xludf.DUMMYFUNCTION("IF(ISBLANK(B563),,FILTER('Leetcode分类顺序表'!B:D,'Leetcode分类顺序表'!A:A = B563))"),"")</f>
        <v/>
      </c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 spans="1:31">
      <c r="A564" s="19"/>
      <c r="B564" s="20"/>
      <c r="C564" s="18" t="str">
        <f ca="1">IFERROR(__xludf.DUMMYFUNCTION("IF(ISBLANK(B564),,FILTER('Leetcode分类顺序表'!B:D,'Leetcode分类顺序表'!A:A = B564))"),"")</f>
        <v/>
      </c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 spans="1:31">
      <c r="A565" s="19"/>
      <c r="B565" s="20"/>
      <c r="C565" s="18" t="str">
        <f ca="1">IFERROR(__xludf.DUMMYFUNCTION("IF(ISBLANK(B565),,FILTER('Leetcode分类顺序表'!B:D,'Leetcode分类顺序表'!A:A = B565))"),"")</f>
        <v/>
      </c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 spans="1:31">
      <c r="A566" s="19"/>
      <c r="B566" s="20"/>
      <c r="C566" s="18" t="str">
        <f ca="1">IFERROR(__xludf.DUMMYFUNCTION("IF(ISBLANK(B566),,FILTER('Leetcode分类顺序表'!B:D,'Leetcode分类顺序表'!A:A = B566))"),"")</f>
        <v/>
      </c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 spans="1:31">
      <c r="A567" s="19"/>
      <c r="B567" s="20"/>
      <c r="C567" s="18" t="str">
        <f ca="1">IFERROR(__xludf.DUMMYFUNCTION("IF(ISBLANK(B567),,FILTER('Leetcode分类顺序表'!B:D,'Leetcode分类顺序表'!A:A = B567))"),"")</f>
        <v/>
      </c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 spans="1:31">
      <c r="A568" s="19"/>
      <c r="B568" s="20"/>
      <c r="C568" s="18" t="str">
        <f ca="1">IFERROR(__xludf.DUMMYFUNCTION("IF(ISBLANK(B568),,FILTER('Leetcode分类顺序表'!B:D,'Leetcode分类顺序表'!A:A = B568))"),"")</f>
        <v/>
      </c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 spans="1:31">
      <c r="A569" s="19"/>
      <c r="B569" s="20"/>
      <c r="C569" s="18" t="str">
        <f ca="1">IFERROR(__xludf.DUMMYFUNCTION("IF(ISBLANK(B569),,FILTER('Leetcode分类顺序表'!B:D,'Leetcode分类顺序表'!A:A = B569))"),"")</f>
        <v/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 spans="1:31">
      <c r="A570" s="19"/>
      <c r="B570" s="20"/>
      <c r="C570" s="18" t="str">
        <f ca="1">IFERROR(__xludf.DUMMYFUNCTION("IF(ISBLANK(B570),,FILTER('Leetcode分类顺序表'!B:D,'Leetcode分类顺序表'!A:A = B570))"),"")</f>
        <v/>
      </c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 spans="1:31">
      <c r="A571" s="19"/>
      <c r="B571" s="20"/>
      <c r="C571" s="18" t="str">
        <f ca="1">IFERROR(__xludf.DUMMYFUNCTION("IF(ISBLANK(B571),,FILTER('Leetcode分类顺序表'!B:D,'Leetcode分类顺序表'!A:A = B571))"),"")</f>
        <v/>
      </c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 spans="1:31">
      <c r="A572" s="19"/>
      <c r="B572" s="20"/>
      <c r="C572" s="18" t="str">
        <f ca="1">IFERROR(__xludf.DUMMYFUNCTION("IF(ISBLANK(B572),,FILTER('Leetcode分类顺序表'!B:D,'Leetcode分类顺序表'!A:A = B572))"),"")</f>
        <v/>
      </c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 spans="1:31">
      <c r="A573" s="19"/>
      <c r="B573" s="20"/>
      <c r="C573" s="18" t="str">
        <f ca="1">IFERROR(__xludf.DUMMYFUNCTION("IF(ISBLANK(B573),,FILTER('Leetcode分类顺序表'!B:D,'Leetcode分类顺序表'!A:A = B573))"),"")</f>
        <v/>
      </c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 spans="1:31">
      <c r="A574" s="19"/>
      <c r="B574" s="20"/>
      <c r="C574" s="18" t="str">
        <f ca="1">IFERROR(__xludf.DUMMYFUNCTION("IF(ISBLANK(B574),,FILTER('Leetcode分类顺序表'!B:D,'Leetcode分类顺序表'!A:A = B574))"),"")</f>
        <v/>
      </c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 spans="1:31">
      <c r="A575" s="19"/>
      <c r="B575" s="20"/>
      <c r="C575" s="18" t="str">
        <f ca="1">IFERROR(__xludf.DUMMYFUNCTION("IF(ISBLANK(B575),,FILTER('Leetcode分类顺序表'!B:D,'Leetcode分类顺序表'!A:A = B575))"),"")</f>
        <v/>
      </c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 spans="1:31">
      <c r="A576" s="19"/>
      <c r="B576" s="20"/>
      <c r="C576" s="18" t="str">
        <f ca="1">IFERROR(__xludf.DUMMYFUNCTION("IF(ISBLANK(B576),,FILTER('Leetcode分类顺序表'!B:D,'Leetcode分类顺序表'!A:A = B576))"),"")</f>
        <v/>
      </c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 spans="1:31">
      <c r="A577" s="19"/>
      <c r="B577" s="20"/>
      <c r="C577" s="18" t="str">
        <f ca="1">IFERROR(__xludf.DUMMYFUNCTION("IF(ISBLANK(B577),,FILTER('Leetcode分类顺序表'!B:D,'Leetcode分类顺序表'!A:A = B577))"),"")</f>
        <v/>
      </c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 spans="1:31">
      <c r="A578" s="19"/>
      <c r="B578" s="20"/>
      <c r="C578" s="18" t="str">
        <f ca="1">IFERROR(__xludf.DUMMYFUNCTION("IF(ISBLANK(B578),,FILTER('Leetcode分类顺序表'!B:D,'Leetcode分类顺序表'!A:A = B578))"),"")</f>
        <v/>
      </c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 spans="1:31">
      <c r="A579" s="19"/>
      <c r="B579" s="20"/>
      <c r="C579" s="18" t="str">
        <f ca="1">IFERROR(__xludf.DUMMYFUNCTION("IF(ISBLANK(B579),,FILTER('Leetcode分类顺序表'!B:D,'Leetcode分类顺序表'!A:A = B579))"),"")</f>
        <v/>
      </c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 spans="1:31">
      <c r="A580" s="19"/>
      <c r="B580" s="20"/>
      <c r="C580" s="18" t="str">
        <f ca="1">IFERROR(__xludf.DUMMYFUNCTION("IF(ISBLANK(B580),,FILTER('Leetcode分类顺序表'!B:D,'Leetcode分类顺序表'!A:A = B580))"),"")</f>
        <v/>
      </c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 spans="1:31">
      <c r="A581" s="19"/>
      <c r="B581" s="20"/>
      <c r="C581" s="18" t="str">
        <f ca="1">IFERROR(__xludf.DUMMYFUNCTION("IF(ISBLANK(B581),,FILTER('Leetcode分类顺序表'!B:D,'Leetcode分类顺序表'!A:A = B581))"),"")</f>
        <v/>
      </c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 spans="1:31">
      <c r="A582" s="19"/>
      <c r="B582" s="20"/>
      <c r="C582" s="18" t="str">
        <f ca="1">IFERROR(__xludf.DUMMYFUNCTION("IF(ISBLANK(B582),,FILTER('Leetcode分类顺序表'!B:D,'Leetcode分类顺序表'!A:A = B582))"),"")</f>
        <v/>
      </c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 spans="1:31">
      <c r="A583" s="19"/>
      <c r="B583" s="20"/>
      <c r="C583" s="18" t="str">
        <f ca="1">IFERROR(__xludf.DUMMYFUNCTION("IF(ISBLANK(B583),,FILTER('Leetcode分类顺序表'!B:D,'Leetcode分类顺序表'!A:A = B583))"),"")</f>
        <v/>
      </c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 spans="1:31">
      <c r="A584" s="19"/>
      <c r="B584" s="20"/>
      <c r="C584" s="18" t="str">
        <f ca="1">IFERROR(__xludf.DUMMYFUNCTION("IF(ISBLANK(B584),,FILTER('Leetcode分类顺序表'!B:D,'Leetcode分类顺序表'!A:A = B584))"),"")</f>
        <v/>
      </c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 spans="1:31">
      <c r="A585" s="19"/>
      <c r="B585" s="20"/>
      <c r="C585" s="18" t="str">
        <f ca="1">IFERROR(__xludf.DUMMYFUNCTION("IF(ISBLANK(B585),,FILTER('Leetcode分类顺序表'!B:D,'Leetcode分类顺序表'!A:A = B585))"),"")</f>
        <v/>
      </c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 spans="1:31">
      <c r="A586" s="19"/>
      <c r="B586" s="20"/>
      <c r="C586" s="18" t="str">
        <f ca="1">IFERROR(__xludf.DUMMYFUNCTION("IF(ISBLANK(B586),,FILTER('Leetcode分类顺序表'!B:D,'Leetcode分类顺序表'!A:A = B586))"),"")</f>
        <v/>
      </c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 spans="1:31">
      <c r="A587" s="19"/>
      <c r="B587" s="20"/>
      <c r="C587" s="18" t="str">
        <f ca="1">IFERROR(__xludf.DUMMYFUNCTION("IF(ISBLANK(B587),,FILTER('Leetcode分类顺序表'!B:D,'Leetcode分类顺序表'!A:A = B587))"),"")</f>
        <v/>
      </c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 spans="1:31">
      <c r="A588" s="19"/>
      <c r="B588" s="20"/>
      <c r="C588" s="18" t="str">
        <f ca="1">IFERROR(__xludf.DUMMYFUNCTION("IF(ISBLANK(B588),,FILTER('Leetcode分类顺序表'!B:D,'Leetcode分类顺序表'!A:A = B588))"),"")</f>
        <v/>
      </c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 spans="1:31">
      <c r="A589" s="19"/>
      <c r="B589" s="20"/>
      <c r="C589" s="18" t="str">
        <f ca="1">IFERROR(__xludf.DUMMYFUNCTION("IF(ISBLANK(B589),,FILTER('Leetcode分类顺序表'!B:D,'Leetcode分类顺序表'!A:A = B589))"),"")</f>
        <v/>
      </c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 spans="1:31">
      <c r="A590" s="19"/>
      <c r="B590" s="20"/>
      <c r="C590" s="18" t="str">
        <f ca="1">IFERROR(__xludf.DUMMYFUNCTION("IF(ISBLANK(B590),,FILTER('Leetcode分类顺序表'!B:D,'Leetcode分类顺序表'!A:A = B590))"),"")</f>
        <v/>
      </c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 spans="1:31">
      <c r="A591" s="19"/>
      <c r="B591" s="20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 spans="1:31">
      <c r="A592" s="19"/>
      <c r="B592" s="20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 spans="1:31">
      <c r="A593" s="19"/>
      <c r="B593" s="20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 spans="1:31">
      <c r="A594" s="19"/>
      <c r="B594" s="20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 spans="1:31">
      <c r="A595" s="19"/>
      <c r="B595" s="20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 spans="1:31">
      <c r="A596" s="19"/>
      <c r="B596" s="20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 spans="1:31">
      <c r="A597" s="19"/>
      <c r="B597" s="20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 spans="1:31">
      <c r="A598" s="19"/>
      <c r="B598" s="20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 spans="1:31">
      <c r="A599" s="19"/>
      <c r="B599" s="20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 spans="1:31">
      <c r="A600" s="19"/>
      <c r="B600" s="20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 spans="1:31">
      <c r="A601" s="19"/>
      <c r="B601" s="20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 spans="1:31">
      <c r="A602" s="19"/>
      <c r="B602" s="20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 spans="1:31">
      <c r="A603" s="19"/>
      <c r="B603" s="20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 spans="1:31">
      <c r="A604" s="19"/>
      <c r="B604" s="20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 spans="1:31">
      <c r="A605" s="19"/>
      <c r="B605" s="20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 spans="1:31">
      <c r="A606" s="19"/>
      <c r="B606" s="20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 spans="1:31">
      <c r="A607" s="19"/>
      <c r="B607" s="20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 spans="1:31">
      <c r="A608" s="19"/>
      <c r="B608" s="20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 spans="1:31">
      <c r="A609" s="19"/>
      <c r="B609" s="20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 spans="1:31">
      <c r="A610" s="19"/>
      <c r="B610" s="20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 spans="1:31">
      <c r="A611" s="19"/>
      <c r="B611" s="20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 spans="1:31">
      <c r="A612" s="19"/>
      <c r="B612" s="20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 spans="1:31">
      <c r="A613" s="19"/>
      <c r="B613" s="20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 spans="1:31">
      <c r="A614" s="19"/>
      <c r="B614" s="20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 spans="1:31">
      <c r="A615" s="19"/>
      <c r="B615" s="20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 spans="1:31">
      <c r="A616" s="19"/>
      <c r="B616" s="20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 spans="1:31">
      <c r="A617" s="19"/>
      <c r="B617" s="20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 spans="1:31">
      <c r="A618" s="19"/>
      <c r="B618" s="20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 spans="1:31">
      <c r="A619" s="19"/>
      <c r="B619" s="20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 spans="1:31">
      <c r="A620" s="19"/>
      <c r="B620" s="20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 spans="1:31">
      <c r="A621" s="19"/>
      <c r="B621" s="20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 spans="1:31">
      <c r="A622" s="19"/>
      <c r="B622" s="20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 spans="1:31">
      <c r="A623" s="19"/>
      <c r="B623" s="20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 spans="1:31">
      <c r="A624" s="19"/>
      <c r="B624" s="20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 spans="1:31">
      <c r="A625" s="19"/>
      <c r="B625" s="20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 spans="1:31">
      <c r="A626" s="19"/>
      <c r="B626" s="20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 spans="1:31">
      <c r="A627" s="19"/>
      <c r="B627" s="20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 spans="1:31">
      <c r="A628" s="19"/>
      <c r="B628" s="20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 spans="1:31">
      <c r="A629" s="19"/>
      <c r="B629" s="20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 spans="1:31">
      <c r="A630" s="19"/>
      <c r="B630" s="20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 spans="1:31">
      <c r="A631" s="19"/>
      <c r="B631" s="20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 spans="1:31">
      <c r="A632" s="19"/>
      <c r="B632" s="20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 spans="1:31">
      <c r="A633" s="19"/>
      <c r="B633" s="20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 spans="1:31">
      <c r="A634" s="19"/>
      <c r="B634" s="20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 spans="1:31">
      <c r="A635" s="19"/>
      <c r="B635" s="20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 spans="1:31">
      <c r="A636" s="19"/>
      <c r="B636" s="20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 spans="1:31">
      <c r="A637" s="19"/>
      <c r="B637" s="20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 spans="1:31">
      <c r="A638" s="19"/>
      <c r="B638" s="20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 spans="1:31">
      <c r="A639" s="19"/>
      <c r="B639" s="20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 spans="1:31">
      <c r="A640" s="19"/>
      <c r="B640" s="20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 spans="1:31">
      <c r="A641" s="19"/>
      <c r="B641" s="20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 spans="1:31">
      <c r="A642" s="19"/>
      <c r="B642" s="20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 spans="1:31">
      <c r="A643" s="19"/>
      <c r="B643" s="20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 spans="1:31">
      <c r="A644" s="19"/>
      <c r="B644" s="20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 spans="1:31">
      <c r="A645" s="19"/>
      <c r="B645" s="20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 spans="1:31">
      <c r="A646" s="19"/>
      <c r="B646" s="20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 spans="1:31">
      <c r="A647" s="19"/>
      <c r="B647" s="20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 spans="1:31">
      <c r="A648" s="19"/>
      <c r="B648" s="20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 spans="1:31">
      <c r="A649" s="19"/>
      <c r="B649" s="20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 spans="1:31">
      <c r="A650" s="19"/>
      <c r="B650" s="20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 spans="1:31">
      <c r="A651" s="19"/>
      <c r="B651" s="20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 spans="1:31">
      <c r="A652" s="19"/>
      <c r="B652" s="20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 spans="1:31">
      <c r="A653" s="19"/>
      <c r="B653" s="20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 spans="1:31">
      <c r="A654" s="19"/>
      <c r="B654" s="20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 spans="1:31">
      <c r="A655" s="19"/>
      <c r="B655" s="20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 spans="1:31">
      <c r="A656" s="19"/>
      <c r="B656" s="20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 spans="1:31">
      <c r="A657" s="19"/>
      <c r="B657" s="20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 spans="1:31">
      <c r="A658" s="19"/>
      <c r="B658" s="20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 spans="1:31">
      <c r="A659" s="19"/>
      <c r="B659" s="20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 spans="1:31">
      <c r="A660" s="19"/>
      <c r="B660" s="20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 spans="1:31">
      <c r="A661" s="19"/>
      <c r="B661" s="20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 spans="1:31">
      <c r="A662" s="19"/>
      <c r="B662" s="20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 spans="1:31">
      <c r="A663" s="19"/>
      <c r="B663" s="20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 spans="1:31">
      <c r="A664" s="19"/>
      <c r="B664" s="20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 spans="1:31">
      <c r="A665" s="19"/>
      <c r="B665" s="20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 spans="1:31">
      <c r="A666" s="19"/>
      <c r="B666" s="20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 spans="1:31">
      <c r="A667" s="19"/>
      <c r="B667" s="20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 spans="1:31">
      <c r="A668" s="19"/>
      <c r="B668" s="20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 spans="1:31">
      <c r="A669" s="19"/>
      <c r="B669" s="20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 spans="1:31">
      <c r="A670" s="19"/>
      <c r="B670" s="20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 spans="1:31">
      <c r="A671" s="19"/>
      <c r="B671" s="20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 spans="1:31">
      <c r="A672" s="19"/>
      <c r="B672" s="20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 spans="1:31">
      <c r="A673" s="19"/>
      <c r="B673" s="20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 spans="1:31">
      <c r="A674" s="19"/>
      <c r="B674" s="20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 spans="1:31">
      <c r="A675" s="19"/>
      <c r="B675" s="20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 spans="1:31">
      <c r="A676" s="19"/>
      <c r="B676" s="20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 spans="1:31">
      <c r="A677" s="19"/>
      <c r="B677" s="20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 spans="1:31">
      <c r="A678" s="19"/>
      <c r="B678" s="20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 spans="1:31">
      <c r="A679" s="19"/>
      <c r="B679" s="20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 spans="1:31">
      <c r="A680" s="19"/>
      <c r="B680" s="20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 spans="1:31">
      <c r="A681" s="19"/>
      <c r="B681" s="20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 spans="1:31">
      <c r="A682" s="19"/>
      <c r="B682" s="20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 spans="1:31">
      <c r="A683" s="19"/>
      <c r="B683" s="20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 spans="1:31">
      <c r="A684" s="19"/>
      <c r="B684" s="20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 spans="1:31">
      <c r="A685" s="19"/>
      <c r="B685" s="20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 spans="1:31">
      <c r="A686" s="19"/>
      <c r="B686" s="20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 spans="1:31">
      <c r="A687" s="19"/>
      <c r="B687" s="20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 spans="1:31">
      <c r="A688" s="19"/>
      <c r="B688" s="20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 spans="1:31">
      <c r="A689" s="19"/>
      <c r="B689" s="20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 spans="1:31">
      <c r="A690" s="19"/>
      <c r="B690" s="20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 spans="1:31">
      <c r="A691" s="19"/>
      <c r="B691" s="20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 spans="1:31">
      <c r="A692" s="19"/>
      <c r="B692" s="20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 spans="1:31">
      <c r="A693" s="19"/>
      <c r="B693" s="20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 spans="1:31">
      <c r="A694" s="19"/>
      <c r="B694" s="20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 spans="1:31">
      <c r="A695" s="19"/>
      <c r="B695" s="20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 spans="1:31">
      <c r="A696" s="19"/>
      <c r="B696" s="20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 spans="1:31">
      <c r="A697" s="19"/>
      <c r="B697" s="20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 spans="1:31">
      <c r="A698" s="19"/>
      <c r="B698" s="20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 spans="1:31">
      <c r="A699" s="19"/>
      <c r="B699" s="20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 spans="1:31">
      <c r="A700" s="19"/>
      <c r="B700" s="20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 spans="1:31">
      <c r="A701" s="19"/>
      <c r="B701" s="20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 spans="1:31">
      <c r="A702" s="19"/>
      <c r="B702" s="20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 spans="1:31">
      <c r="A703" s="19"/>
      <c r="B703" s="20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 spans="1:31">
      <c r="A704" s="19"/>
      <c r="B704" s="20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 spans="1:31">
      <c r="A705" s="19"/>
      <c r="B705" s="20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 spans="1:31">
      <c r="A706" s="19"/>
      <c r="B706" s="20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 spans="1:31">
      <c r="A707" s="19"/>
      <c r="B707" s="20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 spans="1:31">
      <c r="A708" s="19"/>
      <c r="B708" s="20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 spans="1:31">
      <c r="A709" s="19"/>
      <c r="B709" s="20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 spans="1:31">
      <c r="A710" s="19"/>
      <c r="B710" s="20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 spans="1:31">
      <c r="A711" s="19"/>
      <c r="B711" s="20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 spans="1:31">
      <c r="A712" s="19"/>
      <c r="B712" s="20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 spans="1:31">
      <c r="A713" s="19"/>
      <c r="B713" s="20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 spans="1:31">
      <c r="A714" s="19"/>
      <c r="B714" s="20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 spans="1:31">
      <c r="A715" s="19"/>
      <c r="B715" s="20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 spans="1:31">
      <c r="A716" s="19"/>
      <c r="B716" s="20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 spans="1:31">
      <c r="A717" s="19"/>
      <c r="B717" s="20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 spans="1:31">
      <c r="A718" s="19"/>
      <c r="B718" s="20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 spans="1:31">
      <c r="A719" s="19"/>
      <c r="B719" s="20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 spans="1:31">
      <c r="A720" s="19"/>
      <c r="B720" s="20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 spans="1:31">
      <c r="A721" s="19"/>
      <c r="B721" s="20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 spans="1:31">
      <c r="A722" s="19"/>
      <c r="B722" s="20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 spans="1:31">
      <c r="A723" s="19"/>
      <c r="B723" s="20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 spans="1:31">
      <c r="A724" s="19"/>
      <c r="B724" s="20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 spans="1:31">
      <c r="A725" s="19"/>
      <c r="B725" s="20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 spans="1:31">
      <c r="A726" s="19"/>
      <c r="B726" s="20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 spans="1:31">
      <c r="A727" s="19"/>
      <c r="B727" s="20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 spans="1:31">
      <c r="A728" s="19"/>
      <c r="B728" s="20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 spans="1:31">
      <c r="A729" s="19"/>
      <c r="B729" s="20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 spans="1:31">
      <c r="A730" s="19"/>
      <c r="B730" s="20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 spans="1:31">
      <c r="A731" s="19"/>
      <c r="B731" s="20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 spans="1:31">
      <c r="A732" s="19"/>
      <c r="B732" s="20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 spans="1:31">
      <c r="A733" s="19"/>
      <c r="B733" s="20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 spans="1:31">
      <c r="A734" s="19"/>
      <c r="B734" s="20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 spans="1:31">
      <c r="A735" s="19"/>
      <c r="B735" s="20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 spans="1:31">
      <c r="A736" s="19"/>
      <c r="B736" s="20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 spans="1:31">
      <c r="A737" s="19"/>
      <c r="B737" s="20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 spans="1:31">
      <c r="A738" s="19"/>
      <c r="B738" s="20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 spans="1:31">
      <c r="A739" s="19"/>
      <c r="B739" s="20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 spans="1:31">
      <c r="A740" s="19"/>
      <c r="B740" s="20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 spans="1:31">
      <c r="A741" s="19"/>
      <c r="B741" s="20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 spans="1:31">
      <c r="A742" s="19"/>
      <c r="B742" s="20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 spans="1:31">
      <c r="A743" s="19"/>
      <c r="B743" s="20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 spans="1:31">
      <c r="A744" s="19"/>
      <c r="B744" s="20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 spans="1:31">
      <c r="A745" s="19"/>
      <c r="B745" s="20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 spans="1:31">
      <c r="A746" s="19"/>
      <c r="B746" s="20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 spans="1:31">
      <c r="A747" s="19"/>
      <c r="B747" s="20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 spans="1:31">
      <c r="A748" s="19"/>
      <c r="B748" s="20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 spans="1:31">
      <c r="A749" s="19"/>
      <c r="B749" s="20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 spans="1:31">
      <c r="A750" s="19"/>
      <c r="B750" s="20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 spans="1:31">
      <c r="A751" s="19"/>
      <c r="B751" s="20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 spans="1:31">
      <c r="A752" s="19"/>
      <c r="B752" s="20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 spans="1:31">
      <c r="A753" s="19"/>
      <c r="B753" s="20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 spans="1:31">
      <c r="A754" s="19"/>
      <c r="B754" s="20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 spans="1:31">
      <c r="A755" s="19"/>
      <c r="B755" s="20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 spans="1:31">
      <c r="A756" s="19"/>
      <c r="B756" s="20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 spans="1:31">
      <c r="A757" s="19"/>
      <c r="B757" s="20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 spans="1:31">
      <c r="A758" s="19"/>
      <c r="B758" s="20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 spans="1:31">
      <c r="A759" s="19"/>
      <c r="B759" s="20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 spans="1:31">
      <c r="A760" s="19"/>
      <c r="B760" s="20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 spans="1:31">
      <c r="A761" s="19"/>
      <c r="B761" s="20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 spans="1:31">
      <c r="A762" s="19"/>
      <c r="B762" s="20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 spans="1:31">
      <c r="A763" s="19"/>
      <c r="B763" s="20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 spans="1:31">
      <c r="A764" s="19"/>
      <c r="B764" s="20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 spans="1:31">
      <c r="A765" s="19"/>
      <c r="B765" s="20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 spans="1:31">
      <c r="A766" s="19"/>
      <c r="B766" s="20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 spans="1:31">
      <c r="A767" s="19"/>
      <c r="B767" s="20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 spans="1:31">
      <c r="A768" s="19"/>
      <c r="B768" s="20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 spans="1:31">
      <c r="A769" s="19"/>
      <c r="B769" s="20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 spans="1:31">
      <c r="A770" s="19"/>
      <c r="B770" s="20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 spans="1:31">
      <c r="A771" s="19"/>
      <c r="B771" s="20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 spans="1:31">
      <c r="A772" s="19"/>
      <c r="B772" s="20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 spans="1:31">
      <c r="A773" s="19"/>
      <c r="B773" s="20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 spans="1:31">
      <c r="A774" s="19"/>
      <c r="B774" s="20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 spans="1:31">
      <c r="A775" s="19"/>
      <c r="B775" s="20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 spans="1:31">
      <c r="A776" s="19"/>
      <c r="B776" s="20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 spans="1:31">
      <c r="A777" s="19"/>
      <c r="B777" s="20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 spans="1:31">
      <c r="A778" s="19"/>
      <c r="B778" s="20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 spans="1:31">
      <c r="A779" s="19"/>
      <c r="B779" s="20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 spans="1:31">
      <c r="A780" s="19"/>
      <c r="B780" s="20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 spans="1:31">
      <c r="A781" s="19"/>
      <c r="B781" s="20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 spans="1:31">
      <c r="A782" s="19"/>
      <c r="B782" s="20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 spans="1:31">
      <c r="A783" s="19"/>
      <c r="B783" s="20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 spans="1:31">
      <c r="A784" s="19"/>
      <c r="B784" s="20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 spans="1:31">
      <c r="A785" s="19"/>
      <c r="B785" s="20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 spans="1:31">
      <c r="A786" s="19"/>
      <c r="B786" s="20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 spans="1:31">
      <c r="A787" s="19"/>
      <c r="B787" s="20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 spans="1:31">
      <c r="A788" s="19"/>
      <c r="B788" s="20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 spans="1:31">
      <c r="A789" s="19"/>
      <c r="B789" s="20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 spans="1:31">
      <c r="A790" s="19"/>
      <c r="B790" s="20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 spans="1:31">
      <c r="A791" s="19"/>
      <c r="B791" s="20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 spans="1:31">
      <c r="A792" s="19"/>
      <c r="B792" s="20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 spans="1:31">
      <c r="A793" s="19"/>
      <c r="B793" s="20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 spans="1:31">
      <c r="A794" s="19"/>
      <c r="B794" s="20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 spans="1:31">
      <c r="A795" s="19"/>
      <c r="B795" s="20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 spans="1:31">
      <c r="A796" s="19"/>
      <c r="B796" s="20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 spans="1:31">
      <c r="A797" s="19"/>
      <c r="B797" s="20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 spans="1:31">
      <c r="A798" s="19"/>
      <c r="B798" s="20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 spans="1:31">
      <c r="A799" s="19"/>
      <c r="B799" s="20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 spans="1:31">
      <c r="A800" s="19"/>
      <c r="B800" s="20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 spans="1:31">
      <c r="A801" s="19"/>
      <c r="B801" s="20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 spans="1:31">
      <c r="A802" s="19"/>
      <c r="B802" s="20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 spans="1:31">
      <c r="A803" s="19"/>
      <c r="B803" s="20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 spans="1:31">
      <c r="A804" s="19"/>
      <c r="B804" s="20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 spans="1:31">
      <c r="A805" s="19"/>
      <c r="B805" s="20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 spans="1:31">
      <c r="A806" s="19"/>
      <c r="B806" s="20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 spans="1:31">
      <c r="A807" s="19"/>
      <c r="B807" s="20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 spans="1:31">
      <c r="A808" s="19"/>
      <c r="B808" s="20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 spans="1:31">
      <c r="A809" s="19"/>
      <c r="B809" s="20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 spans="1:31">
      <c r="A810" s="19"/>
      <c r="B810" s="20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 spans="1:31">
      <c r="A811" s="19"/>
      <c r="B811" s="20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 spans="1:31">
      <c r="A812" s="19"/>
      <c r="B812" s="20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 spans="1:31">
      <c r="A813" s="19"/>
      <c r="B813" s="20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 spans="1:31">
      <c r="A814" s="19"/>
      <c r="B814" s="20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 spans="1:31">
      <c r="A815" s="19"/>
      <c r="B815" s="20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 spans="1:31">
      <c r="A816" s="19"/>
      <c r="B816" s="20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 spans="1:31">
      <c r="A817" s="19"/>
      <c r="B817" s="20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 spans="1:31">
      <c r="A818" s="19"/>
      <c r="B818" s="20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 spans="1:31">
      <c r="A819" s="19"/>
      <c r="B819" s="20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 spans="1:31">
      <c r="A820" s="19"/>
      <c r="B820" s="20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 spans="1:31">
      <c r="A821" s="19"/>
      <c r="B821" s="20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 spans="1:31">
      <c r="A822" s="19"/>
      <c r="B822" s="20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 spans="1:31">
      <c r="A823" s="19"/>
      <c r="B823" s="20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 spans="1:31">
      <c r="A824" s="19"/>
      <c r="B824" s="20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 spans="1:31">
      <c r="A825" s="19"/>
      <c r="B825" s="20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 spans="1:31">
      <c r="A826" s="19"/>
      <c r="B826" s="20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 spans="1:31">
      <c r="A827" s="19"/>
      <c r="B827" s="20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 spans="1:31">
      <c r="A828" s="19"/>
      <c r="B828" s="20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 spans="1:31">
      <c r="A829" s="19"/>
      <c r="B829" s="20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 spans="1:31">
      <c r="A830" s="19"/>
      <c r="B830" s="20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 spans="1:31">
      <c r="A831" s="19"/>
      <c r="B831" s="20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 spans="1:31">
      <c r="A832" s="19"/>
      <c r="B832" s="20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 spans="1:31">
      <c r="A833" s="19"/>
      <c r="B833" s="20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 spans="1:31">
      <c r="A834" s="19"/>
      <c r="B834" s="20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 spans="1:31">
      <c r="A835" s="19"/>
      <c r="B835" s="20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 spans="1:31">
      <c r="A836" s="19"/>
      <c r="B836" s="20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 spans="1:31">
      <c r="A837" s="19"/>
      <c r="B837" s="20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 spans="1:31">
      <c r="A838" s="19"/>
      <c r="B838" s="20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 spans="1:31">
      <c r="A839" s="19"/>
      <c r="B839" s="20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 spans="1:31">
      <c r="A840" s="19"/>
      <c r="B840" s="20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 spans="1:31">
      <c r="A841" s="19"/>
      <c r="B841" s="20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 spans="1:31">
      <c r="A842" s="19"/>
      <c r="B842" s="20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 spans="1:31">
      <c r="A843" s="19"/>
      <c r="B843" s="20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 spans="1:31">
      <c r="A844" s="19"/>
      <c r="B844" s="20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 spans="1:31">
      <c r="A845" s="19"/>
      <c r="B845" s="20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 spans="1:31">
      <c r="A846" s="19"/>
      <c r="B846" s="20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 spans="1:31">
      <c r="A847" s="19"/>
      <c r="B847" s="20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 spans="1:31">
      <c r="A848" s="19"/>
      <c r="B848" s="20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 spans="1:31">
      <c r="A849" s="19"/>
      <c r="B849" s="20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 spans="1:31">
      <c r="A850" s="19"/>
      <c r="B850" s="20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 spans="1:31">
      <c r="A851" s="19"/>
      <c r="B851" s="20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 spans="1:31">
      <c r="A852" s="19"/>
      <c r="B852" s="20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 spans="1:31">
      <c r="A853" s="19"/>
      <c r="B853" s="20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 spans="1:31">
      <c r="A854" s="19"/>
      <c r="B854" s="20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 spans="1:31">
      <c r="A855" s="19"/>
      <c r="B855" s="20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 spans="1:31">
      <c r="A856" s="19"/>
      <c r="B856" s="20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 spans="1:31">
      <c r="A857" s="19"/>
      <c r="B857" s="20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 spans="1:31">
      <c r="A858" s="19"/>
      <c r="B858" s="20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 spans="1:31">
      <c r="A859" s="19"/>
      <c r="B859" s="20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 spans="1:31">
      <c r="A860" s="19"/>
      <c r="B860" s="20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 spans="1:31">
      <c r="A861" s="19"/>
      <c r="B861" s="20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 spans="1:31">
      <c r="A862" s="19"/>
      <c r="B862" s="20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 spans="1:31">
      <c r="A863" s="19"/>
      <c r="B863" s="20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 spans="1:31">
      <c r="A864" s="19"/>
      <c r="B864" s="20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 spans="1:31">
      <c r="A865" s="19"/>
      <c r="B865" s="20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 spans="1:31">
      <c r="A866" s="19"/>
      <c r="B866" s="20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 spans="1:31">
      <c r="A867" s="19"/>
      <c r="B867" s="20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 spans="1:31">
      <c r="A868" s="19"/>
      <c r="B868" s="20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 spans="1:31">
      <c r="A869" s="19"/>
      <c r="B869" s="20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 spans="1:31">
      <c r="A870" s="19"/>
      <c r="B870" s="20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 spans="1:31">
      <c r="A871" s="19"/>
      <c r="B871" s="20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 spans="1:31">
      <c r="A872" s="19"/>
      <c r="B872" s="20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 spans="1:31">
      <c r="A873" s="19"/>
      <c r="B873" s="20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 spans="1:31">
      <c r="A874" s="19"/>
      <c r="B874" s="20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 spans="1:31">
      <c r="A875" s="19"/>
      <c r="B875" s="20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 spans="1:31">
      <c r="A876" s="19"/>
      <c r="B876" s="20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 spans="1:31">
      <c r="A877" s="19"/>
      <c r="B877" s="20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 spans="1:31">
      <c r="A878" s="19"/>
      <c r="B878" s="20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 spans="1:31">
      <c r="A879" s="19"/>
      <c r="B879" s="20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 spans="1:31">
      <c r="A880" s="19"/>
      <c r="B880" s="20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 spans="1:31">
      <c r="A881" s="19"/>
      <c r="B881" s="20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 spans="1:31">
      <c r="A882" s="19"/>
      <c r="B882" s="20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 spans="1:31">
      <c r="A883" s="19"/>
      <c r="B883" s="20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 spans="1:31">
      <c r="A884" s="19"/>
      <c r="B884" s="20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 spans="1:31">
      <c r="A885" s="19"/>
      <c r="B885" s="20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 spans="1:31">
      <c r="A886" s="19"/>
      <c r="B886" s="20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 spans="1:31">
      <c r="A887" s="19"/>
      <c r="B887" s="20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 spans="1:31">
      <c r="A888" s="19"/>
      <c r="B888" s="20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 spans="1:31">
      <c r="A889" s="19"/>
      <c r="B889" s="20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 spans="1:31">
      <c r="A890" s="19"/>
      <c r="B890" s="20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 spans="1:31">
      <c r="A891" s="19"/>
      <c r="B891" s="20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 spans="1:31">
      <c r="A892" s="19"/>
      <c r="B892" s="20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 spans="1:31">
      <c r="A893" s="19"/>
      <c r="B893" s="20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 spans="1:31">
      <c r="A894" s="19"/>
      <c r="B894" s="20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 spans="1:31">
      <c r="A895" s="19"/>
      <c r="B895" s="20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 spans="1:31">
      <c r="A896" s="19"/>
      <c r="B896" s="20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 spans="1:31">
      <c r="A897" s="19"/>
      <c r="B897" s="20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 spans="1:31">
      <c r="A898" s="19"/>
      <c r="B898" s="20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 spans="1:31">
      <c r="A899" s="19"/>
      <c r="B899" s="20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 spans="1:31">
      <c r="A900" s="19"/>
      <c r="B900" s="20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 spans="1:31">
      <c r="A901" s="19"/>
      <c r="B901" s="20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 spans="1:31">
      <c r="A902" s="19"/>
      <c r="B902" s="20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 spans="1:31">
      <c r="A903" s="19"/>
      <c r="B903" s="20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 spans="1:31">
      <c r="A904" s="19"/>
      <c r="B904" s="20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 spans="1:31">
      <c r="A905" s="19"/>
      <c r="B905" s="20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 spans="1:31">
      <c r="A906" s="19"/>
      <c r="B906" s="20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 spans="1:31">
      <c r="A907" s="19"/>
      <c r="B907" s="20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 spans="1:31">
      <c r="A908" s="19"/>
      <c r="B908" s="20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 spans="1:31">
      <c r="A909" s="19"/>
      <c r="B909" s="20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 spans="1:31">
      <c r="A910" s="19"/>
      <c r="B910" s="20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 spans="1:31">
      <c r="A911" s="19"/>
      <c r="B911" s="20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 spans="1:31">
      <c r="A912" s="19"/>
      <c r="B912" s="20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 spans="1:31">
      <c r="A913" s="19"/>
      <c r="B913" s="20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 spans="1:31">
      <c r="A914" s="19"/>
      <c r="B914" s="20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 spans="1:31">
      <c r="A915" s="19"/>
      <c r="B915" s="20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 spans="1:31">
      <c r="A916" s="19"/>
      <c r="B916" s="20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 spans="1:31">
      <c r="A917" s="19"/>
      <c r="B917" s="20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 spans="1:31">
      <c r="A918" s="19"/>
      <c r="B918" s="20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 spans="1:31">
      <c r="A919" s="19"/>
      <c r="B919" s="20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 spans="1:31">
      <c r="A920" s="19"/>
      <c r="B920" s="20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 spans="1:31">
      <c r="A921" s="19"/>
      <c r="B921" s="20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 spans="1:31">
      <c r="A922" s="19"/>
      <c r="B922" s="20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 spans="1:31">
      <c r="A923" s="19"/>
      <c r="B923" s="20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 spans="1:31">
      <c r="A924" s="19"/>
      <c r="B924" s="20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 spans="1:31">
      <c r="A925" s="19"/>
      <c r="B925" s="20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 spans="1:31">
      <c r="A926" s="19"/>
      <c r="B926" s="20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 spans="1:31">
      <c r="A927" s="19"/>
      <c r="B927" s="20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 spans="1:31">
      <c r="A928" s="19"/>
      <c r="B928" s="20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 spans="1:31">
      <c r="A929" s="19"/>
      <c r="B929" s="20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 spans="1:31">
      <c r="A930" s="19"/>
      <c r="B930" s="20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 spans="1:31">
      <c r="A931" s="19"/>
      <c r="B931" s="20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 spans="1:31">
      <c r="A932" s="19"/>
      <c r="B932" s="20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 spans="1:31">
      <c r="A933" s="19"/>
      <c r="B933" s="20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 spans="1:31">
      <c r="A934" s="19"/>
      <c r="B934" s="20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 spans="1:31">
      <c r="A935" s="19"/>
      <c r="B935" s="20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 spans="1:31">
      <c r="A936" s="19"/>
      <c r="B936" s="20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 spans="1:31">
      <c r="A937" s="19"/>
      <c r="B937" s="20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 spans="1:31">
      <c r="A938" s="19"/>
      <c r="B938" s="20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 spans="1:31">
      <c r="A939" s="19"/>
      <c r="B939" s="20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 spans="1:31">
      <c r="A940" s="19"/>
      <c r="B940" s="20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 spans="1:31">
      <c r="A941" s="19"/>
      <c r="B941" s="20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 spans="1:31">
      <c r="A942" s="19"/>
      <c r="B942" s="20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 spans="1:31">
      <c r="A943" s="19"/>
      <c r="B943" s="20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 spans="1:31">
      <c r="A944" s="19"/>
      <c r="B944" s="20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 spans="1:31">
      <c r="A945" s="19"/>
      <c r="B945" s="20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 spans="1:31">
      <c r="A946" s="19"/>
      <c r="B946" s="20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 spans="1:31">
      <c r="A947" s="19"/>
      <c r="B947" s="20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 spans="1:31">
      <c r="A948" s="19"/>
      <c r="B948" s="20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 spans="1:31">
      <c r="A949" s="19"/>
      <c r="B949" s="20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 spans="1:31">
      <c r="A950" s="19"/>
      <c r="B950" s="20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 spans="1:31">
      <c r="A951" s="19"/>
      <c r="B951" s="20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 spans="1:31">
      <c r="A952" s="19"/>
      <c r="B952" s="20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 spans="1:31">
      <c r="A953" s="19"/>
      <c r="B953" s="20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 spans="1:31">
      <c r="A954" s="19"/>
      <c r="B954" s="20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 spans="1:31">
      <c r="A955" s="19"/>
      <c r="B955" s="20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 spans="1:31">
      <c r="A956" s="19"/>
      <c r="B956" s="20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 spans="1:31">
      <c r="A957" s="19"/>
      <c r="B957" s="20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 spans="1:31">
      <c r="A958" s="19"/>
      <c r="B958" s="20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 spans="1:31">
      <c r="A959" s="19"/>
      <c r="B959" s="20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 spans="1:31">
      <c r="A960" s="19"/>
      <c r="B960" s="20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 spans="1:31">
      <c r="A961" s="19"/>
      <c r="B961" s="20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 spans="1:31">
      <c r="A962" s="19"/>
      <c r="B962" s="20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 spans="1:31">
      <c r="A963" s="19"/>
      <c r="B963" s="20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 spans="1:31">
      <c r="A964" s="19"/>
      <c r="B964" s="20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 spans="1:31">
      <c r="A965" s="19"/>
      <c r="B965" s="20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 spans="1:31">
      <c r="A966" s="19"/>
      <c r="B966" s="20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 spans="1:31">
      <c r="A967" s="19"/>
      <c r="B967" s="20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 spans="1:31">
      <c r="A968" s="19"/>
      <c r="B968" s="20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 spans="1:31">
      <c r="A969" s="19"/>
      <c r="B969" s="20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 spans="1:31">
      <c r="A970" s="19"/>
      <c r="B970" s="20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 spans="1:31">
      <c r="A971" s="19"/>
      <c r="B971" s="20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 spans="1:31">
      <c r="A972" s="19"/>
      <c r="B972" s="20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 spans="1:31">
      <c r="A973" s="19"/>
      <c r="B973" s="20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 spans="1:31">
      <c r="A974" s="19"/>
      <c r="B974" s="20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</row>
    <row r="975" spans="1:31">
      <c r="A975" s="19"/>
      <c r="B975" s="20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</row>
    <row r="976" spans="1:31">
      <c r="A976" s="19"/>
      <c r="B976" s="20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</row>
    <row r="977" spans="1:31">
      <c r="A977" s="19"/>
      <c r="B977" s="20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</row>
    <row r="978" spans="1:31">
      <c r="A978" s="19"/>
      <c r="B978" s="20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</row>
    <row r="979" spans="1:31">
      <c r="A979" s="19"/>
      <c r="B979" s="20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</row>
    <row r="980" spans="1:31">
      <c r="A980" s="19"/>
      <c r="B980" s="20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</row>
    <row r="981" spans="1:31">
      <c r="A981" s="19"/>
      <c r="B981" s="20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</row>
    <row r="982" spans="1:31">
      <c r="A982" s="19"/>
      <c r="B982" s="20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</row>
    <row r="983" spans="1:31">
      <c r="A983" s="19"/>
      <c r="B983" s="20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</row>
    <row r="984" spans="1:31">
      <c r="A984" s="19"/>
      <c r="B984" s="20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 spans="1:31">
      <c r="A985" s="19"/>
      <c r="B985" s="20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 spans="1:31">
      <c r="A986" s="19"/>
      <c r="B986" s="20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 spans="1:31">
      <c r="A987" s="19"/>
      <c r="B987" s="20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 spans="1:31">
      <c r="A988" s="19"/>
      <c r="B988" s="20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 spans="1:31">
      <c r="A989" s="19"/>
      <c r="B989" s="20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 spans="1:31">
      <c r="A990" s="19"/>
      <c r="B990" s="20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  <row r="991" spans="1:31">
      <c r="A991" s="19"/>
      <c r="B991" s="20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</row>
    <row r="992" spans="1:31">
      <c r="A992" s="19"/>
      <c r="B992" s="20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</row>
    <row r="993" spans="1:31">
      <c r="A993" s="19"/>
      <c r="B993" s="20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</row>
    <row r="994" spans="1:31">
      <c r="A994" s="19"/>
      <c r="B994" s="20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</row>
    <row r="995" spans="1:31">
      <c r="A995" s="19"/>
      <c r="B995" s="20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</row>
    <row r="996" spans="1:31">
      <c r="A996" s="19"/>
      <c r="B996" s="20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 spans="1:31">
      <c r="A997" s="19"/>
      <c r="B997" s="20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 spans="1:31">
      <c r="A998" s="19"/>
      <c r="B998" s="20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 spans="1:31">
      <c r="A999" s="19"/>
      <c r="B999" s="20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 spans="1:31">
      <c r="A1000" s="19"/>
      <c r="B1000" s="20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</sheetData>
  <phoneticPr fontId="18" type="noConversion"/>
  <conditionalFormatting sqref="C1:D1">
    <cfRule type="expression" dxfId="20" priority="1">
      <formula>AND(ISNUMBER($I2),$I2=0)</formula>
    </cfRule>
  </conditionalFormatting>
  <conditionalFormatting sqref="C1:D1">
    <cfRule type="expression" dxfId="19" priority="2">
      <formula>AND(ISNUMBER($I2),$I2&gt;0)</formula>
    </cfRule>
  </conditionalFormatting>
  <conditionalFormatting sqref="C1:D1">
    <cfRule type="expression" dxfId="18" priority="3">
      <formula>AND(ISNUMBER($I2),$I2&gt;3)</formula>
    </cfRule>
  </conditionalFormatting>
  <conditionalFormatting sqref="C31">
    <cfRule type="expression" dxfId="17" priority="4">
      <formula>AND(ISNUMBER($I29),$I29&gt;3)</formula>
    </cfRule>
  </conditionalFormatting>
  <conditionalFormatting sqref="C31">
    <cfRule type="expression" dxfId="16" priority="5">
      <formula>AND(ISNUMBER($I29),$I29&gt;0)</formula>
    </cfRule>
  </conditionalFormatting>
  <conditionalFormatting sqref="C31">
    <cfRule type="expression" dxfId="15" priority="6">
      <formula>AND(ISNUMBER($I29),$I29=0)</formula>
    </cfRule>
  </conditionalFormatting>
  <conditionalFormatting sqref="A1:C1000 E1:AE1000 D3:D1000">
    <cfRule type="expression" dxfId="14" priority="7">
      <formula>AND(ISNUMBER($I1),$I1&gt;3)</formula>
    </cfRule>
  </conditionalFormatting>
  <conditionalFormatting sqref="A1:C1000 E1:AE1000 D3:D1000">
    <cfRule type="expression" dxfId="13" priority="8">
      <formula>AND(ISNUMBER($I1),$I1&gt;0)</formula>
    </cfRule>
  </conditionalFormatting>
  <conditionalFormatting sqref="A1:C1000 E1:AE1000 D3:D1000">
    <cfRule type="expression" dxfId="12" priority="9">
      <formula>AND(ISNUMBER($I1),$I1=0)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3" max="3" width="22.7109375" customWidth="1"/>
    <col min="6" max="6" width="14.42578125" hidden="1"/>
  </cols>
  <sheetData>
    <row r="1" spans="1:31">
      <c r="A1" s="8" t="s">
        <v>2</v>
      </c>
      <c r="B1" s="9" t="s">
        <v>16</v>
      </c>
      <c r="C1" s="8" t="s">
        <v>3</v>
      </c>
      <c r="D1" s="10" t="str">
        <f ca="1">IFERROR(__xludf.DUMMYFUNCTION("IF(COUNTUNIQUE(B3:B1000)&gt;0,COUNTUNIQUE(B3:B1000),)"),"")</f>
        <v/>
      </c>
      <c r="E1" s="8" t="s">
        <v>4</v>
      </c>
      <c r="F1" s="8"/>
      <c r="G1" s="8"/>
      <c r="H1" s="8"/>
      <c r="I1" s="8"/>
      <c r="J1" s="11"/>
      <c r="K1" s="12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>
      <c r="A2" s="13" t="s">
        <v>5</v>
      </c>
      <c r="B2" s="8" t="s">
        <v>6</v>
      </c>
      <c r="C2" s="14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11"/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>
      <c r="A3" s="16"/>
      <c r="B3" s="17"/>
      <c r="C3" s="18" t="str">
        <f ca="1">IFERROR(__xludf.DUMMYFUNCTION("IF(ISBLANK(B3),,IFERROR(FILTER('Leetcode分类顺序表'!B:G,'Leetcode分类顺序表'!A:A = B3),IFERROR(FILTER(Algoexpert.io!B:D,Algoexpert.io!A:A = B3),FILTER('Leetcode List'!B:G,'Leetcode List'!A:A = B3))))"),"")</f>
        <v/>
      </c>
      <c r="D3" s="20"/>
      <c r="E3" s="20"/>
      <c r="F3" s="20"/>
      <c r="G3" s="20"/>
      <c r="H3" s="20"/>
      <c r="I3" s="18">
        <f t="shared" ref="I3:I211" si="0">IF(ISBLANK(B3),,COUNTIF(B:B,"="&amp;B3)-1)</f>
        <v>0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</row>
    <row r="4" spans="1:31">
      <c r="A4" s="16"/>
      <c r="B4" s="17"/>
      <c r="C4" s="18" t="str">
        <f ca="1">IFERROR(__xludf.DUMMYFUNCTION("IF(ISBLANK(B4),,IFERROR(FILTER('Leetcode分类顺序表'!B:G,'Leetcode分类顺序表'!A:A = B4),IFERROR(FILTER(Algoexpert.io!B:D,Algoexpert.io!A:A = B4),FILTER('Leetcode List'!B:G,'Leetcode List'!A:A = B4))))"),"")</f>
        <v/>
      </c>
      <c r="D4" s="20"/>
      <c r="E4" s="20"/>
      <c r="F4" s="20"/>
      <c r="G4" s="20"/>
      <c r="H4" s="20"/>
      <c r="I4" s="18">
        <f t="shared" si="0"/>
        <v>0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 spans="1:31">
      <c r="A5" s="16"/>
      <c r="B5" s="17"/>
      <c r="C5" s="18" t="str">
        <f ca="1">IFERROR(__xludf.DUMMYFUNCTION("IF(ISBLANK(B5),,IFERROR(FILTER('Leetcode分类顺序表'!B:G,'Leetcode分类顺序表'!A:A = B5),IFERROR(FILTER(Algoexpert.io!B:D,Algoexpert.io!A:A = B5),FILTER('Leetcode List'!B:G,'Leetcode List'!A:A = B5))))"),"")</f>
        <v/>
      </c>
      <c r="D5" s="20"/>
      <c r="E5" s="20"/>
      <c r="F5" s="20"/>
      <c r="G5" s="20"/>
      <c r="H5" s="20"/>
      <c r="I5" s="18">
        <f t="shared" si="0"/>
        <v>0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</row>
    <row r="6" spans="1:31">
      <c r="A6" s="16"/>
      <c r="B6" s="17"/>
      <c r="C6" s="18" t="str">
        <f ca="1">IFERROR(__xludf.DUMMYFUNCTION("IF(ISBLANK(B6),,IFERROR(FILTER('Leetcode分类顺序表'!B:G,'Leetcode分类顺序表'!A:A = B6),IFERROR(FILTER(Algoexpert.io!B:D,Algoexpert.io!A:A = B6),FILTER('Leetcode List'!B:G,'Leetcode List'!A:A = B6))))"),"")</f>
        <v/>
      </c>
      <c r="D6" s="20"/>
      <c r="E6" s="20"/>
      <c r="F6" s="20"/>
      <c r="G6" s="20"/>
      <c r="H6" s="20"/>
      <c r="I6" s="18">
        <f t="shared" si="0"/>
        <v>0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</row>
    <row r="7" spans="1:31">
      <c r="A7" s="16"/>
      <c r="B7" s="17"/>
      <c r="C7" s="18" t="str">
        <f ca="1">IFERROR(__xludf.DUMMYFUNCTION("IF(ISBLANK(B7),,IFERROR(FILTER('Leetcode分类顺序表'!B:G,'Leetcode分类顺序表'!A:A = B7),IFERROR(FILTER(Algoexpert.io!B:D,Algoexpert.io!A:A = B7),FILTER('Leetcode List'!B:G,'Leetcode List'!A:A = B7))))"),"")</f>
        <v/>
      </c>
      <c r="D7" s="20"/>
      <c r="E7" s="20"/>
      <c r="F7" s="20"/>
      <c r="G7" s="20"/>
      <c r="H7" s="20"/>
      <c r="I7" s="18">
        <f t="shared" si="0"/>
        <v>0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 spans="1:31">
      <c r="A8" s="16"/>
      <c r="B8" s="17"/>
      <c r="C8" s="18" t="str">
        <f ca="1">IFERROR(__xludf.DUMMYFUNCTION("IF(ISBLANK(B8),,IFERROR(FILTER('Leetcode分类顺序表'!B:G,'Leetcode分类顺序表'!A:A = B8),IFERROR(FILTER(Algoexpert.io!B:D,Algoexpert.io!A:A = B8),FILTER('Leetcode List'!B:G,'Leetcode List'!A:A = B8))))"),"")</f>
        <v/>
      </c>
      <c r="D8" s="20"/>
      <c r="E8" s="20"/>
      <c r="F8" s="20"/>
      <c r="G8" s="20"/>
      <c r="H8" s="20"/>
      <c r="I8" s="18">
        <f t="shared" si="0"/>
        <v>0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1">
      <c r="A9" s="16"/>
      <c r="B9" s="17"/>
      <c r="C9" s="18" t="str">
        <f ca="1">IFERROR(__xludf.DUMMYFUNCTION("IF(ISBLANK(B9),,IFERROR(FILTER('Leetcode分类顺序表'!B:G,'Leetcode分类顺序表'!A:A = B9),IFERROR(FILTER(Algoexpert.io!B:D,Algoexpert.io!A:A = B9),FILTER('Leetcode List'!B:G,'Leetcode List'!A:A = B9))))"),"")</f>
        <v/>
      </c>
      <c r="D9" s="20"/>
      <c r="E9" s="20"/>
      <c r="F9" s="20"/>
      <c r="G9" s="20"/>
      <c r="H9" s="20"/>
      <c r="I9" s="18">
        <f t="shared" si="0"/>
        <v>0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 spans="1:31">
      <c r="A10" s="16"/>
      <c r="B10" s="17"/>
      <c r="C10" s="18" t="str">
        <f ca="1">IFERROR(__xludf.DUMMYFUNCTION("IF(ISBLANK(B10),,IFERROR(FILTER('Leetcode分类顺序表'!B:G,'Leetcode分类顺序表'!A:A = B10),IFERROR(FILTER(Algoexpert.io!B:D,Algoexpert.io!A:A = B10),FILTER('Leetcode List'!B:G,'Leetcode List'!A:A = B10))))"),"")</f>
        <v/>
      </c>
      <c r="D10" s="20"/>
      <c r="E10" s="20"/>
      <c r="F10" s="20"/>
      <c r="G10" s="20"/>
      <c r="H10" s="20"/>
      <c r="I10" s="18">
        <f t="shared" si="0"/>
        <v>0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 spans="1:31">
      <c r="A11" s="16"/>
      <c r="B11" s="17"/>
      <c r="C11" s="18" t="str">
        <f ca="1">IFERROR(__xludf.DUMMYFUNCTION("IF(ISBLANK(B11),,IFERROR(FILTER('Leetcode分类顺序表'!B:G,'Leetcode分类顺序表'!A:A = B11),IFERROR(FILTER(Algoexpert.io!B:D,Algoexpert.io!A:A = B11),FILTER('Leetcode List'!B:G,'Leetcode List'!A:A = B11))))"),"")</f>
        <v/>
      </c>
      <c r="D11" s="20"/>
      <c r="E11" s="20"/>
      <c r="F11" s="20"/>
      <c r="G11" s="20"/>
      <c r="H11" s="20"/>
      <c r="I11" s="18">
        <f t="shared" si="0"/>
        <v>0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 spans="1:31">
      <c r="A12" s="16"/>
      <c r="B12" s="17"/>
      <c r="C12" s="18" t="str">
        <f ca="1">IFERROR(__xludf.DUMMYFUNCTION("IF(ISBLANK(B12),,IFERROR(FILTER('Leetcode分类顺序表'!B:G,'Leetcode分类顺序表'!A:A = B12),IFERROR(FILTER(Algoexpert.io!B:D,Algoexpert.io!A:A = B12),FILTER('Leetcode List'!B:G,'Leetcode List'!A:A = B12))))"),"")</f>
        <v/>
      </c>
      <c r="D12" s="20"/>
      <c r="E12" s="20"/>
      <c r="F12" s="20"/>
      <c r="G12" s="20"/>
      <c r="H12" s="20"/>
      <c r="I12" s="18">
        <f t="shared" si="0"/>
        <v>0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 spans="1:31">
      <c r="A13" s="16"/>
      <c r="B13" s="17"/>
      <c r="C13" s="18" t="str">
        <f ca="1">IFERROR(__xludf.DUMMYFUNCTION("IF(ISBLANK(B13),,IFERROR(FILTER('Leetcode分类顺序表'!B:G,'Leetcode分类顺序表'!A:A = B13),IFERROR(FILTER(Algoexpert.io!B:D,Algoexpert.io!A:A = B13),FILTER('Leetcode List'!B:G,'Leetcode List'!A:A = B13))))"),"")</f>
        <v/>
      </c>
      <c r="D13" s="20"/>
      <c r="E13" s="20"/>
      <c r="F13" s="20"/>
      <c r="G13" s="20"/>
      <c r="H13" s="20"/>
      <c r="I13" s="18">
        <f t="shared" si="0"/>
        <v>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 spans="1:31">
      <c r="A14" s="16"/>
      <c r="B14" s="17"/>
      <c r="C14" s="18" t="str">
        <f ca="1">IFERROR(__xludf.DUMMYFUNCTION("IF(ISBLANK(B14),,IFERROR(FILTER('Leetcode分类顺序表'!B:G,'Leetcode分类顺序表'!A:A = B14),IFERROR(FILTER(Algoexpert.io!B:D,Algoexpert.io!A:A = B14),FILTER('Leetcode List'!B:G,'Leetcode List'!A:A = B14))))"),"")</f>
        <v/>
      </c>
      <c r="D14" s="20"/>
      <c r="E14" s="20"/>
      <c r="F14" s="20"/>
      <c r="G14" s="20"/>
      <c r="H14" s="20"/>
      <c r="I14" s="18">
        <f t="shared" si="0"/>
        <v>0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  <row r="15" spans="1:31">
      <c r="A15" s="16"/>
      <c r="B15" s="17"/>
      <c r="C15" s="18" t="str">
        <f ca="1">IFERROR(__xludf.DUMMYFUNCTION("IF(ISBLANK(B15),,IFERROR(FILTER('Leetcode分类顺序表'!B:G,'Leetcode分类顺序表'!A:A = B15),IFERROR(FILTER(Algoexpert.io!B:D,Algoexpert.io!A:A = B15),FILTER('Leetcode List'!B:G,'Leetcode List'!A:A = B15))))"),"")</f>
        <v/>
      </c>
      <c r="D15" s="20"/>
      <c r="E15" s="20"/>
      <c r="F15" s="20"/>
      <c r="G15" s="20"/>
      <c r="H15" s="20"/>
      <c r="I15" s="18">
        <f t="shared" si="0"/>
        <v>0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 spans="1:31">
      <c r="A16" s="16"/>
      <c r="B16" s="17"/>
      <c r="C16" s="18" t="str">
        <f ca="1">IFERROR(__xludf.DUMMYFUNCTION("IF(ISBLANK(B16),,IFERROR(FILTER('Leetcode分类顺序表'!B:G,'Leetcode分类顺序表'!A:A = B16),IFERROR(FILTER(Algoexpert.io!B:D,Algoexpert.io!A:A = B16),FILTER('Leetcode List'!B:G,'Leetcode List'!A:A = B16))))"),"")</f>
        <v/>
      </c>
      <c r="D16" s="20"/>
      <c r="E16" s="20"/>
      <c r="F16" s="20"/>
      <c r="G16" s="20"/>
      <c r="H16" s="20"/>
      <c r="I16" s="18">
        <f t="shared" si="0"/>
        <v>0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1">
      <c r="A17" s="16"/>
      <c r="B17" s="17"/>
      <c r="C17" s="18" t="str">
        <f ca="1">IFERROR(__xludf.DUMMYFUNCTION("IF(ISBLANK(B17),,IFERROR(FILTER('Leetcode分类顺序表'!B:G,'Leetcode分类顺序表'!A:A = B17),IFERROR(FILTER(Algoexpert.io!B:D,Algoexpert.io!A:A = B17),FILTER('Leetcode List'!B:G,'Leetcode List'!A:A = B17))))"),"")</f>
        <v/>
      </c>
      <c r="D17" s="20"/>
      <c r="E17" s="20"/>
      <c r="F17" s="20"/>
      <c r="G17" s="20"/>
      <c r="H17" s="20"/>
      <c r="I17" s="18">
        <f t="shared" si="0"/>
        <v>0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1">
      <c r="A18" s="16"/>
      <c r="B18" s="17"/>
      <c r="C18" s="18" t="str">
        <f ca="1">IFERROR(__xludf.DUMMYFUNCTION("IF(ISBLANK(B18),,IFERROR(FILTER('Leetcode分类顺序表'!B:G,'Leetcode分类顺序表'!A:A = B18),IFERROR(FILTER(Algoexpert.io!B:D,Algoexpert.io!A:A = B18),FILTER('Leetcode List'!B:G,'Leetcode List'!A:A = B18))))"),"")</f>
        <v/>
      </c>
      <c r="D18" s="20"/>
      <c r="E18" s="20"/>
      <c r="F18" s="20"/>
      <c r="G18" s="20"/>
      <c r="H18" s="20"/>
      <c r="I18" s="18">
        <f t="shared" si="0"/>
        <v>0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1">
      <c r="A19" s="16"/>
      <c r="B19" s="17"/>
      <c r="C19" s="18" t="str">
        <f ca="1">IFERROR(__xludf.DUMMYFUNCTION("IF(ISBLANK(B19),,IFERROR(FILTER('Leetcode分类顺序表'!B:G,'Leetcode分类顺序表'!A:A = B19),IFERROR(FILTER(Algoexpert.io!B:D,Algoexpert.io!A:A = B19),FILTER('Leetcode List'!B:G,'Leetcode List'!A:A = B19))))"),"")</f>
        <v/>
      </c>
      <c r="D19" s="20"/>
      <c r="E19" s="20"/>
      <c r="F19" s="20"/>
      <c r="G19" s="20"/>
      <c r="H19" s="20"/>
      <c r="I19" s="18">
        <f t="shared" si="0"/>
        <v>0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1">
      <c r="A20" s="16"/>
      <c r="B20" s="17"/>
      <c r="C20" s="18" t="str">
        <f ca="1">IFERROR(__xludf.DUMMYFUNCTION("IF(ISBLANK(B20),,IFERROR(FILTER('Leetcode分类顺序表'!B:G,'Leetcode分类顺序表'!A:A = B20),IFERROR(FILTER(Algoexpert.io!B:D,Algoexpert.io!A:A = B20),FILTER('Leetcode List'!B:G,'Leetcode List'!A:A = B20))))"),"")</f>
        <v/>
      </c>
      <c r="D20" s="20"/>
      <c r="E20" s="20"/>
      <c r="F20" s="20"/>
      <c r="G20" s="20"/>
      <c r="H20" s="20"/>
      <c r="I20" s="18">
        <f t="shared" si="0"/>
        <v>0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1">
      <c r="A21" s="16"/>
      <c r="B21" s="17"/>
      <c r="C21" s="18" t="str">
        <f ca="1">IFERROR(__xludf.DUMMYFUNCTION("IF(ISBLANK(B21),,IFERROR(FILTER('Leetcode分类顺序表'!B:G,'Leetcode分类顺序表'!A:A = B21),IFERROR(FILTER(Algoexpert.io!B:D,Algoexpert.io!A:A = B21),FILTER('Leetcode List'!B:G,'Leetcode List'!A:A = B21))))"),"")</f>
        <v/>
      </c>
      <c r="D21" s="20"/>
      <c r="E21" s="20"/>
      <c r="F21" s="20"/>
      <c r="G21" s="20"/>
      <c r="H21" s="20"/>
      <c r="I21" s="18">
        <f t="shared" si="0"/>
        <v>0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1">
      <c r="A22" s="16"/>
      <c r="B22" s="17"/>
      <c r="C22" s="18" t="str">
        <f ca="1">IFERROR(__xludf.DUMMYFUNCTION("IF(ISBLANK(B22),,IFERROR(FILTER('Leetcode分类顺序表'!B:G,'Leetcode分类顺序表'!A:A = B22),IFERROR(FILTER(Algoexpert.io!B:D,Algoexpert.io!A:A = B22),FILTER('Leetcode List'!B:G,'Leetcode List'!A:A = B22))))"),"")</f>
        <v/>
      </c>
      <c r="D22" s="20"/>
      <c r="E22" s="20"/>
      <c r="F22" s="20"/>
      <c r="G22" s="20"/>
      <c r="H22" s="20"/>
      <c r="I22" s="18">
        <f t="shared" si="0"/>
        <v>0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1">
      <c r="A23" s="16"/>
      <c r="B23" s="17"/>
      <c r="C23" s="18" t="str">
        <f ca="1">IFERROR(__xludf.DUMMYFUNCTION("IF(ISBLANK(B23),,IFERROR(FILTER('Leetcode分类顺序表'!B:G,'Leetcode分类顺序表'!A:A = B23),IFERROR(FILTER(Algoexpert.io!B:D,Algoexpert.io!A:A = B23),FILTER('Leetcode List'!B:G,'Leetcode List'!A:A = B23))))"),"")</f>
        <v/>
      </c>
      <c r="D23" s="20"/>
      <c r="E23" s="20"/>
      <c r="F23" s="20"/>
      <c r="G23" s="20"/>
      <c r="H23" s="20"/>
      <c r="I23" s="18">
        <f t="shared" si="0"/>
        <v>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1">
      <c r="A24" s="16"/>
      <c r="B24" s="17"/>
      <c r="C24" s="18" t="str">
        <f ca="1">IFERROR(__xludf.DUMMYFUNCTION("IF(ISBLANK(B24),,IFERROR(FILTER('Leetcode分类顺序表'!B:G,'Leetcode分类顺序表'!A:A = B24),IFERROR(FILTER(Algoexpert.io!B:D,Algoexpert.io!A:A = B24),FILTER('Leetcode List'!B:G,'Leetcode List'!A:A = B24))))"),"")</f>
        <v/>
      </c>
      <c r="D24" s="20"/>
      <c r="E24" s="20"/>
      <c r="F24" s="20"/>
      <c r="G24" s="20"/>
      <c r="H24" s="20"/>
      <c r="I24" s="18">
        <f t="shared" si="0"/>
        <v>0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1">
      <c r="A25" s="16"/>
      <c r="B25" s="17"/>
      <c r="C25" s="18" t="str">
        <f ca="1">IFERROR(__xludf.DUMMYFUNCTION("IF(ISBLANK(B25),,IFERROR(FILTER('Leetcode分类顺序表'!B:G,'Leetcode分类顺序表'!A:A = B25),IFERROR(FILTER(Algoexpert.io!B:D,Algoexpert.io!A:A = B25),FILTER('Leetcode List'!B:G,'Leetcode List'!A:A = B25))))"),"")</f>
        <v/>
      </c>
      <c r="D25" s="20"/>
      <c r="E25" s="20"/>
      <c r="F25" s="20"/>
      <c r="G25" s="20"/>
      <c r="H25" s="20"/>
      <c r="I25" s="18">
        <f t="shared" si="0"/>
        <v>0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1">
      <c r="A26" s="16"/>
      <c r="B26" s="17"/>
      <c r="C26" s="18" t="str">
        <f ca="1">IFERROR(__xludf.DUMMYFUNCTION("IF(ISBLANK(B26),,IFERROR(FILTER('Leetcode分类顺序表'!B:G,'Leetcode分类顺序表'!A:A = B26),IFERROR(FILTER(Algoexpert.io!B:D,Algoexpert.io!A:A = B26),FILTER('Leetcode List'!B:G,'Leetcode List'!A:A = B26))))"),"")</f>
        <v/>
      </c>
      <c r="D26" s="20"/>
      <c r="E26" s="20"/>
      <c r="F26" s="20"/>
      <c r="G26" s="20"/>
      <c r="H26" s="20"/>
      <c r="I26" s="18">
        <f t="shared" si="0"/>
        <v>0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1">
      <c r="A27" s="16"/>
      <c r="B27" s="17"/>
      <c r="C27" s="18" t="str">
        <f ca="1">IFERROR(__xludf.DUMMYFUNCTION("IF(ISBLANK(B27),,IFERROR(FILTER('Leetcode分类顺序表'!B:G,'Leetcode分类顺序表'!A:A = B27),IFERROR(FILTER(Algoexpert.io!B:D,Algoexpert.io!A:A = B27),FILTER('Leetcode List'!B:G,'Leetcode List'!A:A = B27))))"),"")</f>
        <v/>
      </c>
      <c r="D27" s="20"/>
      <c r="E27" s="20"/>
      <c r="F27" s="20"/>
      <c r="G27" s="20"/>
      <c r="H27" s="20"/>
      <c r="I27" s="18">
        <f t="shared" si="0"/>
        <v>0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1">
      <c r="A28" s="16"/>
      <c r="B28" s="17"/>
      <c r="C28" s="18" t="str">
        <f ca="1">IFERROR(__xludf.DUMMYFUNCTION("IF(ISBLANK(B28),,IFERROR(FILTER('Leetcode分类顺序表'!B:G,'Leetcode分类顺序表'!A:A = B28),IFERROR(FILTER(Algoexpert.io!B:D,Algoexpert.io!A:A = B28),FILTER('Leetcode List'!B:G,'Leetcode List'!A:A = B28))))"),"")</f>
        <v/>
      </c>
      <c r="D28" s="20"/>
      <c r="E28" s="20"/>
      <c r="F28" s="20"/>
      <c r="G28" s="20"/>
      <c r="H28" s="20"/>
      <c r="I28" s="18">
        <f t="shared" si="0"/>
        <v>0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1">
      <c r="A29" s="16"/>
      <c r="B29" s="17"/>
      <c r="C29" s="18" t="str">
        <f ca="1">IFERROR(__xludf.DUMMYFUNCTION("IF(ISBLANK(B29),,IFERROR(FILTER('Leetcode分类顺序表'!B:G,'Leetcode分类顺序表'!A:A = B29),IFERROR(FILTER(Algoexpert.io!B:D,Algoexpert.io!A:A = B29),FILTER('Leetcode List'!B:G,'Leetcode List'!A:A = B29))))"),"")</f>
        <v/>
      </c>
      <c r="D29" s="20"/>
      <c r="E29" s="20"/>
      <c r="F29" s="20"/>
      <c r="G29" s="20"/>
      <c r="H29" s="20"/>
      <c r="I29" s="18">
        <f t="shared" si="0"/>
        <v>0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1">
      <c r="A30" s="16"/>
      <c r="B30" s="17"/>
      <c r="C30" s="18" t="str">
        <f ca="1">IFERROR(__xludf.DUMMYFUNCTION("IF(ISBLANK(B30),,IFERROR(FILTER('Leetcode分类顺序表'!B:G,'Leetcode分类顺序表'!A:A = B30),IFERROR(FILTER(Algoexpert.io!B:D,Algoexpert.io!A:A = B30),FILTER('Leetcode List'!B:G,'Leetcode List'!A:A = B30))))"),"")</f>
        <v/>
      </c>
      <c r="D30" s="20"/>
      <c r="E30" s="20"/>
      <c r="F30" s="20"/>
      <c r="G30" s="20"/>
      <c r="H30" s="20"/>
      <c r="I30" s="18">
        <f t="shared" si="0"/>
        <v>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</row>
    <row r="31" spans="1:31">
      <c r="A31" s="16"/>
      <c r="B31" s="17"/>
      <c r="C31" s="18" t="str">
        <f ca="1">IFERROR(__xludf.DUMMYFUNCTION("IF(ISBLANK(B31),,IFERROR(FILTER('Leetcode分类顺序表'!B:G,'Leetcode分类顺序表'!A:A = B31),IFERROR(FILTER(Algoexpert.io!B:D,Algoexpert.io!A:A = B31),FILTER('Leetcode List'!B:G,'Leetcode List'!A:A = B31))))"),"")</f>
        <v/>
      </c>
      <c r="D31" s="20"/>
      <c r="E31" s="20"/>
      <c r="F31" s="20"/>
      <c r="G31" s="20"/>
      <c r="H31" s="20"/>
      <c r="I31" s="18">
        <f t="shared" si="0"/>
        <v>0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 spans="1:31">
      <c r="A32" s="16"/>
      <c r="B32" s="17"/>
      <c r="C32" s="18" t="str">
        <f ca="1">IFERROR(__xludf.DUMMYFUNCTION("IF(ISBLANK(B32),,IFERROR(FILTER('Leetcode分类顺序表'!B:G,'Leetcode分类顺序表'!A:A = B32),IFERROR(FILTER(Algoexpert.io!B:D,Algoexpert.io!A:A = B32),FILTER('Leetcode List'!B:G,'Leetcode List'!A:A = B32))))"),"")</f>
        <v/>
      </c>
      <c r="D32" s="20"/>
      <c r="E32" s="20"/>
      <c r="F32" s="20"/>
      <c r="G32" s="20"/>
      <c r="H32" s="20"/>
      <c r="I32" s="18">
        <f t="shared" si="0"/>
        <v>0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spans="1:31">
      <c r="A33" s="16"/>
      <c r="B33" s="17"/>
      <c r="C33" s="18" t="str">
        <f ca="1">IFERROR(__xludf.DUMMYFUNCTION("IF(ISBLANK(B33),,IFERROR(FILTER('Leetcode分类顺序表'!B:G,'Leetcode分类顺序表'!A:A = B33),IFERROR(FILTER(Algoexpert.io!B:D,Algoexpert.io!A:A = B33),FILTER('Leetcode List'!B:G,'Leetcode List'!A:A = B33))))"),"")</f>
        <v/>
      </c>
      <c r="D33" s="20"/>
      <c r="E33" s="20"/>
      <c r="F33" s="20"/>
      <c r="G33" s="20"/>
      <c r="H33" s="20"/>
      <c r="I33" s="18">
        <f t="shared" si="0"/>
        <v>0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>
      <c r="A34" s="16"/>
      <c r="B34" s="17"/>
      <c r="C34" s="18" t="str">
        <f ca="1">IFERROR(__xludf.DUMMYFUNCTION("IF(ISBLANK(B34),,IFERROR(FILTER('Leetcode分类顺序表'!B:G,'Leetcode分类顺序表'!A:A = B34),IFERROR(FILTER(Algoexpert.io!B:D,Algoexpert.io!A:A = B34),FILTER('Leetcode List'!B:G,'Leetcode List'!A:A = B34))))"),"")</f>
        <v/>
      </c>
      <c r="D34" s="20"/>
      <c r="E34" s="20"/>
      <c r="F34" s="20"/>
      <c r="G34" s="20"/>
      <c r="H34" s="20"/>
      <c r="I34" s="18">
        <f t="shared" si="0"/>
        <v>0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1">
      <c r="A35" s="16"/>
      <c r="B35" s="17"/>
      <c r="C35" s="18" t="str">
        <f ca="1">IFERROR(__xludf.DUMMYFUNCTION("IF(ISBLANK(B35),,IFERROR(FILTER('Leetcode分类顺序表'!B:G,'Leetcode分类顺序表'!A:A = B35),IFERROR(FILTER(Algoexpert.io!B:D,Algoexpert.io!A:A = B35),FILTER('Leetcode List'!B:G,'Leetcode List'!A:A = B35))))"),"")</f>
        <v/>
      </c>
      <c r="D35" s="20"/>
      <c r="E35" s="20"/>
      <c r="F35" s="20"/>
      <c r="G35" s="20"/>
      <c r="H35" s="20"/>
      <c r="I35" s="18">
        <f t="shared" si="0"/>
        <v>0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1">
      <c r="A36" s="16"/>
      <c r="B36" s="17"/>
      <c r="C36" s="18" t="str">
        <f ca="1">IFERROR(__xludf.DUMMYFUNCTION("IF(ISBLANK(B36),,IFERROR(FILTER('Leetcode分类顺序表'!B:G,'Leetcode分类顺序表'!A:A = B36),IFERROR(FILTER(Algoexpert.io!B:D,Algoexpert.io!A:A = B36),FILTER('Leetcode List'!B:G,'Leetcode List'!A:A = B36))))"),"")</f>
        <v/>
      </c>
      <c r="D36" s="20"/>
      <c r="E36" s="20"/>
      <c r="F36" s="20"/>
      <c r="G36" s="20"/>
      <c r="H36" s="20"/>
      <c r="I36" s="18">
        <f t="shared" si="0"/>
        <v>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1">
      <c r="A37" s="16"/>
      <c r="B37" s="17"/>
      <c r="C37" s="18" t="str">
        <f ca="1">IFERROR(__xludf.DUMMYFUNCTION("IF(ISBLANK(B37),,IFERROR(FILTER('Leetcode分类顺序表'!B:G,'Leetcode分类顺序表'!A:A = B37),IFERROR(FILTER(Algoexpert.io!B:D,Algoexpert.io!A:A = B37),FILTER('Leetcode List'!B:G,'Leetcode List'!A:A = B37))))"),"")</f>
        <v/>
      </c>
      <c r="D37" s="20"/>
      <c r="E37" s="20"/>
      <c r="F37" s="20"/>
      <c r="G37" s="20"/>
      <c r="H37" s="20"/>
      <c r="I37" s="18">
        <f t="shared" si="0"/>
        <v>0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 spans="1:31">
      <c r="A38" s="16"/>
      <c r="B38" s="17"/>
      <c r="C38" s="18" t="str">
        <f ca="1">IFERROR(__xludf.DUMMYFUNCTION("IF(ISBLANK(B38),,IFERROR(FILTER('Leetcode分类顺序表'!B:G,'Leetcode分类顺序表'!A:A = B38),IFERROR(FILTER(Algoexpert.io!B:D,Algoexpert.io!A:A = B38),FILTER('Leetcode List'!B:G,'Leetcode List'!A:A = B38))))"),"")</f>
        <v/>
      </c>
      <c r="D38" s="20"/>
      <c r="E38" s="20"/>
      <c r="F38" s="20"/>
      <c r="G38" s="20"/>
      <c r="H38" s="20"/>
      <c r="I38" s="18">
        <f t="shared" si="0"/>
        <v>0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 spans="1:31">
      <c r="A39" s="16"/>
      <c r="B39" s="17"/>
      <c r="C39" s="18" t="str">
        <f ca="1">IFERROR(__xludf.DUMMYFUNCTION("IF(ISBLANK(B39),,IFERROR(FILTER('Leetcode分类顺序表'!B:G,'Leetcode分类顺序表'!A:A = B39),IFERROR(FILTER(Algoexpert.io!B:D,Algoexpert.io!A:A = B39),FILTER('Leetcode List'!B:G,'Leetcode List'!A:A = B39))))"),"")</f>
        <v/>
      </c>
      <c r="D39" s="20"/>
      <c r="E39" s="20"/>
      <c r="F39" s="20"/>
      <c r="G39" s="20"/>
      <c r="H39" s="20"/>
      <c r="I39" s="18">
        <f t="shared" si="0"/>
        <v>0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1">
      <c r="A40" s="16"/>
      <c r="B40" s="17"/>
      <c r="C40" s="18" t="str">
        <f ca="1">IFERROR(__xludf.DUMMYFUNCTION("IF(ISBLANK(B40),,IFERROR(FILTER('Leetcode分类顺序表'!B:G,'Leetcode分类顺序表'!A:A = B40),IFERROR(FILTER(Algoexpert.io!B:D,Algoexpert.io!A:A = B40),FILTER('Leetcode List'!B:G,'Leetcode List'!A:A = B40))))"),"")</f>
        <v/>
      </c>
      <c r="D40" s="20"/>
      <c r="E40" s="20"/>
      <c r="F40" s="20"/>
      <c r="G40" s="20"/>
      <c r="H40" s="20"/>
      <c r="I40" s="18">
        <f t="shared" si="0"/>
        <v>0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 spans="1:31">
      <c r="A41" s="16"/>
      <c r="B41" s="17"/>
      <c r="C41" s="18" t="str">
        <f ca="1">IFERROR(__xludf.DUMMYFUNCTION("IF(ISBLANK(B41),,IFERROR(FILTER('Leetcode分类顺序表'!B:G,'Leetcode分类顺序表'!A:A = B41),IFERROR(FILTER(Algoexpert.io!B:D,Algoexpert.io!A:A = B41),FILTER('Leetcode List'!B:G,'Leetcode List'!A:A = B41))))"),"")</f>
        <v/>
      </c>
      <c r="D41" s="20"/>
      <c r="E41" s="20"/>
      <c r="F41" s="20"/>
      <c r="G41" s="20"/>
      <c r="H41" s="20"/>
      <c r="I41" s="18">
        <f t="shared" si="0"/>
        <v>0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 spans="1:31">
      <c r="A42" s="16"/>
      <c r="B42" s="17"/>
      <c r="C42" s="18" t="str">
        <f ca="1">IFERROR(__xludf.DUMMYFUNCTION("IF(ISBLANK(B42),,IFERROR(FILTER('Leetcode分类顺序表'!B:G,'Leetcode分类顺序表'!A:A = B42),IFERROR(FILTER(Algoexpert.io!B:D,Algoexpert.io!A:A = B42),FILTER('Leetcode List'!B:G,'Leetcode List'!A:A = B42))))"),"")</f>
        <v/>
      </c>
      <c r="D42" s="20"/>
      <c r="E42" s="20"/>
      <c r="F42" s="20"/>
      <c r="G42" s="20"/>
      <c r="H42" s="20"/>
      <c r="I42" s="18">
        <f t="shared" si="0"/>
        <v>0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 spans="1:31">
      <c r="A43" s="16"/>
      <c r="B43" s="17"/>
      <c r="C43" s="18" t="str">
        <f ca="1">IFERROR(__xludf.DUMMYFUNCTION("IF(ISBLANK(B43),,IFERROR(FILTER('Leetcode分类顺序表'!B:G,'Leetcode分类顺序表'!A:A = B43),IFERROR(FILTER(Algoexpert.io!B:D,Algoexpert.io!A:A = B43),FILTER('Leetcode List'!B:G,'Leetcode List'!A:A = B43))))"),"")</f>
        <v/>
      </c>
      <c r="D43" s="20"/>
      <c r="E43" s="20"/>
      <c r="F43" s="20"/>
      <c r="G43" s="20"/>
      <c r="H43" s="20"/>
      <c r="I43" s="18">
        <f t="shared" si="0"/>
        <v>0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spans="1:31">
      <c r="A44" s="16"/>
      <c r="B44" s="17"/>
      <c r="C44" s="18" t="str">
        <f ca="1">IFERROR(__xludf.DUMMYFUNCTION("IF(ISBLANK(B44),,IFERROR(FILTER('Leetcode分类顺序表'!B:G,'Leetcode分类顺序表'!A:A = B44),IFERROR(FILTER(Algoexpert.io!B:D,Algoexpert.io!A:A = B44),FILTER('Leetcode List'!B:G,'Leetcode List'!A:A = B44))))"),"")</f>
        <v/>
      </c>
      <c r="D44" s="20"/>
      <c r="E44" s="20"/>
      <c r="F44" s="20"/>
      <c r="G44" s="20"/>
      <c r="H44" s="20"/>
      <c r="I44" s="18">
        <f t="shared" si="0"/>
        <v>0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spans="1:31">
      <c r="A45" s="16"/>
      <c r="B45" s="17"/>
      <c r="C45" s="18" t="str">
        <f ca="1">IFERROR(__xludf.DUMMYFUNCTION("IF(ISBLANK(B45),,IFERROR(FILTER('Leetcode分类顺序表'!B:G,'Leetcode分类顺序表'!A:A = B45),IFERROR(FILTER(Algoexpert.io!B:D,Algoexpert.io!A:A = B45),FILTER('Leetcode List'!B:G,'Leetcode List'!A:A = B45))))"),"")</f>
        <v/>
      </c>
      <c r="D45" s="20"/>
      <c r="E45" s="20"/>
      <c r="F45" s="20"/>
      <c r="G45" s="20"/>
      <c r="H45" s="20"/>
      <c r="I45" s="18">
        <f t="shared" si="0"/>
        <v>0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>
      <c r="A46" s="16"/>
      <c r="B46" s="17"/>
      <c r="C46" s="18" t="str">
        <f ca="1">IFERROR(__xludf.DUMMYFUNCTION("IF(ISBLANK(B46),,IFERROR(FILTER('Leetcode分类顺序表'!B:G,'Leetcode分类顺序表'!A:A = B46),IFERROR(FILTER(Algoexpert.io!B:D,Algoexpert.io!A:A = B46),FILTER('Leetcode List'!B:G,'Leetcode List'!A:A = B46))))"),"")</f>
        <v/>
      </c>
      <c r="D46" s="20"/>
      <c r="E46" s="20"/>
      <c r="F46" s="20"/>
      <c r="G46" s="20"/>
      <c r="H46" s="20"/>
      <c r="I46" s="18">
        <f t="shared" si="0"/>
        <v>0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>
      <c r="A47" s="16"/>
      <c r="B47" s="17"/>
      <c r="C47" s="18" t="str">
        <f ca="1">IFERROR(__xludf.DUMMYFUNCTION("IF(ISBLANK(B47),,IFERROR(FILTER('Leetcode分类顺序表'!B:G,'Leetcode分类顺序表'!A:A = B47),IFERROR(FILTER(Algoexpert.io!B:D,Algoexpert.io!A:A = B47),FILTER('Leetcode List'!B:G,'Leetcode List'!A:A = B47))))"),"")</f>
        <v/>
      </c>
      <c r="D47" s="20"/>
      <c r="E47" s="20"/>
      <c r="F47" s="20"/>
      <c r="G47" s="20"/>
      <c r="H47" s="20"/>
      <c r="I47" s="18">
        <f t="shared" si="0"/>
        <v>0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spans="1:31">
      <c r="A48" s="16"/>
      <c r="B48" s="17"/>
      <c r="C48" s="18" t="str">
        <f ca="1">IFERROR(__xludf.DUMMYFUNCTION("IF(ISBLANK(B48),,IFERROR(FILTER('Leetcode分类顺序表'!B:G,'Leetcode分类顺序表'!A:A = B48),IFERROR(FILTER(Algoexpert.io!B:D,Algoexpert.io!A:A = B48),FILTER('Leetcode List'!B:G,'Leetcode List'!A:A = B48))))"),"")</f>
        <v/>
      </c>
      <c r="D48" s="20"/>
      <c r="E48" s="20"/>
      <c r="F48" s="20"/>
      <c r="G48" s="20"/>
      <c r="H48" s="20"/>
      <c r="I48" s="18">
        <f t="shared" si="0"/>
        <v>0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spans="1:31">
      <c r="A49" s="16"/>
      <c r="B49" s="17"/>
      <c r="C49" s="18" t="str">
        <f ca="1">IFERROR(__xludf.DUMMYFUNCTION("IF(ISBLANK(B49),,IFERROR(FILTER('Leetcode分类顺序表'!B:G,'Leetcode分类顺序表'!A:A = B49),IFERROR(FILTER(Algoexpert.io!B:D,Algoexpert.io!A:A = B49),FILTER('Leetcode List'!B:G,'Leetcode List'!A:A = B49))))"),"")</f>
        <v/>
      </c>
      <c r="D49" s="20"/>
      <c r="E49" s="20"/>
      <c r="F49" s="20"/>
      <c r="G49" s="20"/>
      <c r="H49" s="20"/>
      <c r="I49" s="18">
        <f t="shared" si="0"/>
        <v>0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spans="1:31">
      <c r="A50" s="16"/>
      <c r="B50" s="17"/>
      <c r="C50" s="18" t="str">
        <f ca="1">IFERROR(__xludf.DUMMYFUNCTION("IF(ISBLANK(B50),,IFERROR(FILTER('Leetcode分类顺序表'!B:G,'Leetcode分类顺序表'!A:A = B50),IFERROR(FILTER(Algoexpert.io!B:D,Algoexpert.io!A:A = B50),FILTER('Leetcode List'!B:G,'Leetcode List'!A:A = B50))))"),"")</f>
        <v/>
      </c>
      <c r="D50" s="20"/>
      <c r="E50" s="20"/>
      <c r="F50" s="20"/>
      <c r="G50" s="20"/>
      <c r="H50" s="20"/>
      <c r="I50" s="18">
        <f t="shared" si="0"/>
        <v>0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spans="1:31">
      <c r="A51" s="16"/>
      <c r="B51" s="17"/>
      <c r="C51" s="18" t="str">
        <f ca="1">IFERROR(__xludf.DUMMYFUNCTION("IF(ISBLANK(B51),,IFERROR(FILTER('Leetcode分类顺序表'!B:G,'Leetcode分类顺序表'!A:A = B51),IFERROR(FILTER(Algoexpert.io!B:D,Algoexpert.io!A:A = B51),FILTER('Leetcode List'!B:G,'Leetcode List'!A:A = B51))))"),"")</f>
        <v/>
      </c>
      <c r="D51" s="20"/>
      <c r="E51" s="20"/>
      <c r="F51" s="20"/>
      <c r="G51" s="20"/>
      <c r="H51" s="20"/>
      <c r="I51" s="18">
        <f t="shared" si="0"/>
        <v>0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spans="1:31">
      <c r="A52" s="16"/>
      <c r="B52" s="17"/>
      <c r="C52" s="18" t="str">
        <f ca="1">IFERROR(__xludf.DUMMYFUNCTION("IF(ISBLANK(B52),,IFERROR(FILTER('Leetcode分类顺序表'!B:G,'Leetcode分类顺序表'!A:A = B52),IFERROR(FILTER(Algoexpert.io!B:D,Algoexpert.io!A:A = B52),FILTER('Leetcode List'!B:G,'Leetcode List'!A:A = B52))))"),"")</f>
        <v/>
      </c>
      <c r="D52" s="20"/>
      <c r="E52" s="20"/>
      <c r="F52" s="20"/>
      <c r="G52" s="20"/>
      <c r="H52" s="20"/>
      <c r="I52" s="18">
        <f t="shared" si="0"/>
        <v>0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1">
      <c r="A53" s="16"/>
      <c r="B53" s="17"/>
      <c r="C53" s="18" t="str">
        <f ca="1">IFERROR(__xludf.DUMMYFUNCTION("IF(ISBLANK(B53),,IFERROR(FILTER('Leetcode分类顺序表'!B:G,'Leetcode分类顺序表'!A:A = B53),IFERROR(FILTER(Algoexpert.io!B:D,Algoexpert.io!A:A = B53),FILTER('Leetcode List'!B:G,'Leetcode List'!A:A = B53))))"),"")</f>
        <v/>
      </c>
      <c r="D53" s="20"/>
      <c r="E53" s="20"/>
      <c r="F53" s="20"/>
      <c r="G53" s="20"/>
      <c r="H53" s="20"/>
      <c r="I53" s="18">
        <f t="shared" si="0"/>
        <v>0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1">
      <c r="A54" s="16"/>
      <c r="B54" s="17"/>
      <c r="C54" s="18" t="str">
        <f ca="1">IFERROR(__xludf.DUMMYFUNCTION("IF(ISBLANK(B54),,IFERROR(FILTER('Leetcode分类顺序表'!B:G,'Leetcode分类顺序表'!A:A = B54),IFERROR(FILTER(Algoexpert.io!B:D,Algoexpert.io!A:A = B54),FILTER('Leetcode List'!B:G,'Leetcode List'!A:A = B54))))"),"")</f>
        <v/>
      </c>
      <c r="D54" s="20"/>
      <c r="E54" s="20"/>
      <c r="F54" s="20"/>
      <c r="G54" s="20"/>
      <c r="H54" s="20"/>
      <c r="I54" s="18">
        <f t="shared" si="0"/>
        <v>0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spans="1:31">
      <c r="A55" s="16"/>
      <c r="B55" s="17"/>
      <c r="C55" s="18" t="str">
        <f ca="1">IFERROR(__xludf.DUMMYFUNCTION("IF(ISBLANK(B55),,IFERROR(FILTER('Leetcode分类顺序表'!B:G,'Leetcode分类顺序表'!A:A = B55),IFERROR(FILTER(Algoexpert.io!B:D,Algoexpert.io!A:A = B55),FILTER('Leetcode List'!B:G,'Leetcode List'!A:A = B55))))"),"")</f>
        <v/>
      </c>
      <c r="D55" s="20"/>
      <c r="E55" s="20"/>
      <c r="F55" s="20"/>
      <c r="G55" s="20"/>
      <c r="H55" s="20"/>
      <c r="I55" s="18">
        <f t="shared" si="0"/>
        <v>0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spans="1:31">
      <c r="A56" s="16"/>
      <c r="B56" s="17"/>
      <c r="C56" s="18" t="str">
        <f ca="1">IFERROR(__xludf.DUMMYFUNCTION("IF(ISBLANK(B56),,IFERROR(FILTER('Leetcode分类顺序表'!B:G,'Leetcode分类顺序表'!A:A = B56),IFERROR(FILTER(Algoexpert.io!B:D,Algoexpert.io!A:A = B56),FILTER('Leetcode List'!B:G,'Leetcode List'!A:A = B56))))"),"")</f>
        <v/>
      </c>
      <c r="D56" s="20"/>
      <c r="E56" s="20"/>
      <c r="F56" s="20"/>
      <c r="G56" s="20"/>
      <c r="H56" s="20"/>
      <c r="I56" s="18">
        <f t="shared" si="0"/>
        <v>0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spans="1:31">
      <c r="A57" s="16"/>
      <c r="B57" s="17"/>
      <c r="C57" s="18" t="str">
        <f ca="1">IFERROR(__xludf.DUMMYFUNCTION("IF(ISBLANK(B57),,IFERROR(FILTER('Leetcode分类顺序表'!B:G,'Leetcode分类顺序表'!A:A = B57),IFERROR(FILTER(Algoexpert.io!B:D,Algoexpert.io!A:A = B57),FILTER('Leetcode List'!B:G,'Leetcode List'!A:A = B57))))"),"")</f>
        <v/>
      </c>
      <c r="D57" s="20"/>
      <c r="E57" s="20"/>
      <c r="F57" s="20"/>
      <c r="G57" s="20"/>
      <c r="H57" s="20"/>
      <c r="I57" s="18">
        <f t="shared" si="0"/>
        <v>0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spans="1:31">
      <c r="A58" s="16"/>
      <c r="B58" s="17"/>
      <c r="C58" s="18" t="str">
        <f ca="1">IFERROR(__xludf.DUMMYFUNCTION("IF(ISBLANK(B58),,IFERROR(FILTER('Leetcode分类顺序表'!B:G,'Leetcode分类顺序表'!A:A = B58),IFERROR(FILTER(Algoexpert.io!B:D,Algoexpert.io!A:A = B58),FILTER('Leetcode List'!B:G,'Leetcode List'!A:A = B58))))"),"")</f>
        <v/>
      </c>
      <c r="D58" s="20"/>
      <c r="E58" s="20"/>
      <c r="F58" s="20"/>
      <c r="G58" s="20"/>
      <c r="H58" s="20"/>
      <c r="I58" s="18">
        <f t="shared" si="0"/>
        <v>0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spans="1:31">
      <c r="A59" s="19"/>
      <c r="B59" s="17"/>
      <c r="C59" s="18" t="str">
        <f ca="1">IFERROR(__xludf.DUMMYFUNCTION("IF(ISBLANK(B59),,IFERROR(FILTER('Leetcode分类顺序表'!B:G,'Leetcode分类顺序表'!A:A = B59),IFERROR(FILTER(Algoexpert.io!B:D,Algoexpert.io!A:A = B59),FILTER('Leetcode List'!B:G,'Leetcode List'!A:A = B59))))"),"")</f>
        <v/>
      </c>
      <c r="D59" s="20"/>
      <c r="E59" s="20"/>
      <c r="F59" s="20"/>
      <c r="G59" s="20"/>
      <c r="H59" s="20"/>
      <c r="I59" s="18">
        <f t="shared" si="0"/>
        <v>0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spans="1:31">
      <c r="A60" s="19"/>
      <c r="B60" s="20"/>
      <c r="C60" s="18" t="str">
        <f ca="1">IFERROR(__xludf.DUMMYFUNCTION("IF(ISBLANK(B60),,IFERROR(FILTER('Leetcode分类顺序表'!B:D,'Leetcode分类顺序表'!A:A = B60),FILTER(Algoexpert.io!B:D,Algoexpert.io!A:A = B60)))"),"")</f>
        <v/>
      </c>
      <c r="D60" s="20"/>
      <c r="E60" s="20"/>
      <c r="F60" s="20"/>
      <c r="G60" s="20"/>
      <c r="H60" s="20"/>
      <c r="I60" s="18">
        <f t="shared" si="0"/>
        <v>0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spans="1:31">
      <c r="A61" s="19"/>
      <c r="B61" s="20"/>
      <c r="C61" s="18" t="str">
        <f ca="1">IFERROR(__xludf.DUMMYFUNCTION("IF(ISBLANK(B61),,IFERROR(FILTER('Leetcode分类顺序表'!B:D,'Leetcode分类顺序表'!A:A = B61),FILTER(Algoexpert.io!B:D,Algoexpert.io!A:A = B61)))"),"")</f>
        <v/>
      </c>
      <c r="D61" s="20"/>
      <c r="E61" s="20"/>
      <c r="F61" s="20"/>
      <c r="G61" s="20"/>
      <c r="H61" s="20"/>
      <c r="I61" s="18">
        <f t="shared" si="0"/>
        <v>0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spans="1:31">
      <c r="A62" s="19"/>
      <c r="B62" s="20"/>
      <c r="C62" s="18" t="str">
        <f ca="1">IFERROR(__xludf.DUMMYFUNCTION("IF(ISBLANK(B62),,IFERROR(FILTER('Leetcode分类顺序表'!B:D,'Leetcode分类顺序表'!A:A = B62),FILTER(Algoexpert.io!B:D,Algoexpert.io!A:A = B62)))"),"")</f>
        <v/>
      </c>
      <c r="D62" s="20"/>
      <c r="E62" s="20"/>
      <c r="F62" s="20"/>
      <c r="G62" s="20"/>
      <c r="H62" s="20"/>
      <c r="I62" s="18">
        <f t="shared" si="0"/>
        <v>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 spans="1:31">
      <c r="A63" s="19"/>
      <c r="B63" s="20"/>
      <c r="C63" s="18" t="str">
        <f ca="1">IFERROR(__xludf.DUMMYFUNCTION("IF(ISBLANK(B63),,IFERROR(FILTER('Leetcode分类顺序表'!B:D,'Leetcode分类顺序表'!A:A = B63),FILTER(Algoexpert.io!B:D,Algoexpert.io!A:A = B63)))"),"")</f>
        <v/>
      </c>
      <c r="D63" s="20"/>
      <c r="E63" s="20"/>
      <c r="F63" s="20"/>
      <c r="G63" s="20"/>
      <c r="H63" s="20"/>
      <c r="I63" s="18">
        <f t="shared" si="0"/>
        <v>0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 spans="1:31">
      <c r="A64" s="19"/>
      <c r="B64" s="20"/>
      <c r="C64" s="18" t="str">
        <f ca="1">IFERROR(__xludf.DUMMYFUNCTION("IF(ISBLANK(B64),,IFERROR(FILTER('Leetcode分类顺序表'!B:D,'Leetcode分类顺序表'!A:A = B64),FILTER(Algoexpert.io!B:D,Algoexpert.io!A:A = B64)))"),"")</f>
        <v/>
      </c>
      <c r="D64" s="20"/>
      <c r="E64" s="20"/>
      <c r="F64" s="20"/>
      <c r="G64" s="20"/>
      <c r="H64" s="20"/>
      <c r="I64" s="18">
        <f t="shared" si="0"/>
        <v>0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 spans="1:31">
      <c r="A65" s="19"/>
      <c r="B65" s="20"/>
      <c r="C65" s="18" t="str">
        <f ca="1">IFERROR(__xludf.DUMMYFUNCTION("IF(ISBLANK(B65),,IFERROR(FILTER('Leetcode分类顺序表'!B:D,'Leetcode分类顺序表'!A:A = B65),FILTER(Algoexpert.io!B:D,Algoexpert.io!A:A = B65)))"),"")</f>
        <v/>
      </c>
      <c r="D65" s="20"/>
      <c r="E65" s="20"/>
      <c r="F65" s="20"/>
      <c r="G65" s="20"/>
      <c r="H65" s="20"/>
      <c r="I65" s="18">
        <f t="shared" si="0"/>
        <v>0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 spans="1:31">
      <c r="A66" s="19"/>
      <c r="B66" s="20"/>
      <c r="C66" s="18" t="str">
        <f ca="1">IFERROR(__xludf.DUMMYFUNCTION("IF(ISBLANK(B66),,IFERROR(FILTER('Leetcode分类顺序表'!B:D,'Leetcode分类顺序表'!A:A = B66),FILTER(Algoexpert.io!B:D,Algoexpert.io!A:A = B66)))"),"")</f>
        <v/>
      </c>
      <c r="D66" s="20"/>
      <c r="E66" s="20"/>
      <c r="F66" s="20"/>
      <c r="G66" s="20"/>
      <c r="H66" s="20"/>
      <c r="I66" s="18">
        <f t="shared" si="0"/>
        <v>0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 spans="1:31">
      <c r="A67" s="19"/>
      <c r="B67" s="20"/>
      <c r="C67" s="18" t="str">
        <f ca="1">IFERROR(__xludf.DUMMYFUNCTION("IF(ISBLANK(B67),,IFERROR(FILTER('Leetcode分类顺序表'!B:D,'Leetcode分类顺序表'!A:A = B67),FILTER(Algoexpert.io!B:D,Algoexpert.io!A:A = B67)))"),"")</f>
        <v/>
      </c>
      <c r="D67" s="20"/>
      <c r="E67" s="20"/>
      <c r="F67" s="20"/>
      <c r="G67" s="20"/>
      <c r="H67" s="20"/>
      <c r="I67" s="18">
        <f t="shared" si="0"/>
        <v>0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 spans="1:31">
      <c r="A68" s="19"/>
      <c r="B68" s="20"/>
      <c r="C68" s="18" t="str">
        <f ca="1">IFERROR(__xludf.DUMMYFUNCTION("IF(ISBLANK(B68),,IFERROR(FILTER('Leetcode分类顺序表'!B:D,'Leetcode分类顺序表'!A:A = B68),FILTER(Algoexpert.io!B:D,Algoexpert.io!A:A = B68)))"),"")</f>
        <v/>
      </c>
      <c r="D68" s="20"/>
      <c r="E68" s="20"/>
      <c r="F68" s="20"/>
      <c r="G68" s="20"/>
      <c r="H68" s="20"/>
      <c r="I68" s="18">
        <f t="shared" si="0"/>
        <v>0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 spans="1:31">
      <c r="A69" s="19"/>
      <c r="B69" s="20"/>
      <c r="C69" s="18" t="str">
        <f ca="1">IFERROR(__xludf.DUMMYFUNCTION("IF(ISBLANK(B69),,IFERROR(FILTER('Leetcode分类顺序表'!B:D,'Leetcode分类顺序表'!A:A = B69),FILTER(Algoexpert.io!B:D,Algoexpert.io!A:A = B69)))"),"")</f>
        <v/>
      </c>
      <c r="D69" s="20"/>
      <c r="E69" s="20"/>
      <c r="F69" s="20"/>
      <c r="G69" s="20"/>
      <c r="H69" s="20"/>
      <c r="I69" s="18">
        <f t="shared" si="0"/>
        <v>0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 spans="1:31">
      <c r="A70" s="19"/>
      <c r="B70" s="20"/>
      <c r="C70" s="18" t="str">
        <f ca="1">IFERROR(__xludf.DUMMYFUNCTION("IF(ISBLANK(B70),,IFERROR(FILTER('Leetcode分类顺序表'!B:D,'Leetcode分类顺序表'!A:A = B70),FILTER(Algoexpert.io!B:D,Algoexpert.io!A:A = B70)))"),"")</f>
        <v/>
      </c>
      <c r="D70" s="20"/>
      <c r="E70" s="20"/>
      <c r="F70" s="20"/>
      <c r="G70" s="20"/>
      <c r="H70" s="20"/>
      <c r="I70" s="18">
        <f t="shared" si="0"/>
        <v>0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 spans="1:31">
      <c r="A71" s="19"/>
      <c r="B71" s="20"/>
      <c r="C71" s="18" t="str">
        <f ca="1">IFERROR(__xludf.DUMMYFUNCTION("IF(ISBLANK(B71),,IFERROR(FILTER('Leetcode分类顺序表'!B:D,'Leetcode分类顺序表'!A:A = B71),FILTER(Algoexpert.io!B:D,Algoexpert.io!A:A = B71)))"),"")</f>
        <v/>
      </c>
      <c r="D71" s="20"/>
      <c r="E71" s="20"/>
      <c r="F71" s="20"/>
      <c r="G71" s="20"/>
      <c r="H71" s="20"/>
      <c r="I71" s="18">
        <f t="shared" si="0"/>
        <v>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 spans="1:31">
      <c r="A72" s="19"/>
      <c r="B72" s="20"/>
      <c r="C72" s="18" t="str">
        <f ca="1">IFERROR(__xludf.DUMMYFUNCTION("IF(ISBLANK(B72),,IFERROR(FILTER('Leetcode分类顺序表'!B:D,'Leetcode分类顺序表'!A:A = B72),FILTER(Algoexpert.io!B:D,Algoexpert.io!A:A = B72)))"),"")</f>
        <v/>
      </c>
      <c r="D72" s="20"/>
      <c r="E72" s="20"/>
      <c r="F72" s="20"/>
      <c r="G72" s="20"/>
      <c r="H72" s="20"/>
      <c r="I72" s="18">
        <f t="shared" si="0"/>
        <v>0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</row>
    <row r="73" spans="1:31">
      <c r="A73" s="19"/>
      <c r="B73" s="20"/>
      <c r="C73" s="18" t="str">
        <f ca="1">IFERROR(__xludf.DUMMYFUNCTION("IF(ISBLANK(B73),,IFERROR(FILTER('Leetcode分类顺序表'!B:D,'Leetcode分类顺序表'!A:A = B73),FILTER(Algoexpert.io!B:D,Algoexpert.io!A:A = B73)))"),"")</f>
        <v/>
      </c>
      <c r="D73" s="20"/>
      <c r="E73" s="20"/>
      <c r="F73" s="20"/>
      <c r="G73" s="20"/>
      <c r="H73" s="20"/>
      <c r="I73" s="18">
        <f t="shared" si="0"/>
        <v>0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 spans="1:31">
      <c r="A74" s="19"/>
      <c r="B74" s="20"/>
      <c r="C74" s="18" t="str">
        <f ca="1">IFERROR(__xludf.DUMMYFUNCTION("IF(ISBLANK(B74),,IFERROR(FILTER('Leetcode分类顺序表'!B:D,'Leetcode分类顺序表'!A:A = B74),FILTER(Algoexpert.io!B:D,Algoexpert.io!A:A = B74)))"),"")</f>
        <v/>
      </c>
      <c r="D74" s="20"/>
      <c r="E74" s="20"/>
      <c r="F74" s="20"/>
      <c r="G74" s="20"/>
      <c r="H74" s="20"/>
      <c r="I74" s="18">
        <f t="shared" si="0"/>
        <v>0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 spans="1:31">
      <c r="A75" s="19"/>
      <c r="B75" s="20"/>
      <c r="C75" s="18" t="str">
        <f ca="1">IFERROR(__xludf.DUMMYFUNCTION("IF(ISBLANK(B75),,IFERROR(FILTER('Leetcode分类顺序表'!B:D,'Leetcode分类顺序表'!A:A = B75),FILTER(Algoexpert.io!B:D,Algoexpert.io!A:A = B75)))"),"")</f>
        <v/>
      </c>
      <c r="D75" s="20"/>
      <c r="E75" s="20"/>
      <c r="F75" s="20"/>
      <c r="G75" s="20"/>
      <c r="H75" s="20"/>
      <c r="I75" s="18">
        <f t="shared" si="0"/>
        <v>0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</row>
    <row r="76" spans="1:31">
      <c r="A76" s="19"/>
      <c r="B76" s="20"/>
      <c r="C76" s="18" t="str">
        <f ca="1">IFERROR(__xludf.DUMMYFUNCTION("IF(ISBLANK(B76),,IFERROR(FILTER('Leetcode分类顺序表'!B:D,'Leetcode分类顺序表'!A:A = B76),FILTER(Algoexpert.io!B:D,Algoexpert.io!A:A = B76)))"),"")</f>
        <v/>
      </c>
      <c r="D76" s="20"/>
      <c r="E76" s="20"/>
      <c r="F76" s="20"/>
      <c r="G76" s="20"/>
      <c r="H76" s="20"/>
      <c r="I76" s="18">
        <f t="shared" si="0"/>
        <v>0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</row>
    <row r="77" spans="1:31">
      <c r="A77" s="19"/>
      <c r="B77" s="20"/>
      <c r="C77" s="18" t="str">
        <f ca="1">IFERROR(__xludf.DUMMYFUNCTION("IF(ISBLANK(B77),,IFERROR(FILTER('Leetcode分类顺序表'!B:D,'Leetcode分类顺序表'!A:A = B77),FILTER(Algoexpert.io!B:D,Algoexpert.io!A:A = B77)))"),"")</f>
        <v/>
      </c>
      <c r="D77" s="20"/>
      <c r="E77" s="20"/>
      <c r="F77" s="20"/>
      <c r="G77" s="20"/>
      <c r="H77" s="20"/>
      <c r="I77" s="18">
        <f t="shared" si="0"/>
        <v>0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 spans="1:31">
      <c r="A78" s="19"/>
      <c r="B78" s="20"/>
      <c r="C78" s="18" t="str">
        <f ca="1">IFERROR(__xludf.DUMMYFUNCTION("IF(ISBLANK(B78),,IFERROR(FILTER('Leetcode分类顺序表'!B:D,'Leetcode分类顺序表'!A:A = B78),FILTER(Algoexpert.io!B:D,Algoexpert.io!A:A = B78)))"),"")</f>
        <v/>
      </c>
      <c r="D78" s="20"/>
      <c r="E78" s="20"/>
      <c r="F78" s="20"/>
      <c r="G78" s="20"/>
      <c r="H78" s="20"/>
      <c r="I78" s="18">
        <f t="shared" si="0"/>
        <v>0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 spans="1:31">
      <c r="A79" s="19"/>
      <c r="B79" s="20"/>
      <c r="C79" s="18" t="str">
        <f ca="1">IFERROR(__xludf.DUMMYFUNCTION("IF(ISBLANK(B79),,IFERROR(FILTER('Leetcode分类顺序表'!B:D,'Leetcode分类顺序表'!A:A = B79),FILTER(Algoexpert.io!B:D,Algoexpert.io!A:A = B79)))"),"")</f>
        <v/>
      </c>
      <c r="D79" s="20"/>
      <c r="E79" s="20"/>
      <c r="F79" s="20"/>
      <c r="G79" s="20"/>
      <c r="H79" s="20"/>
      <c r="I79" s="18">
        <f t="shared" si="0"/>
        <v>0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 spans="1:31">
      <c r="A80" s="19"/>
      <c r="B80" s="20"/>
      <c r="C80" s="18" t="str">
        <f ca="1">IFERROR(__xludf.DUMMYFUNCTION("IF(ISBLANK(B80),,IFERROR(FILTER('Leetcode分类顺序表'!B:D,'Leetcode分类顺序表'!A:A = B80),FILTER(Algoexpert.io!B:D,Algoexpert.io!A:A = B80)))"),"")</f>
        <v/>
      </c>
      <c r="D80" s="20"/>
      <c r="E80" s="20"/>
      <c r="F80" s="20"/>
      <c r="G80" s="20"/>
      <c r="H80" s="20"/>
      <c r="I80" s="18">
        <f t="shared" si="0"/>
        <v>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 spans="1:31">
      <c r="A81" s="19"/>
      <c r="B81" s="20"/>
      <c r="C81" s="18" t="str">
        <f ca="1">IFERROR(__xludf.DUMMYFUNCTION("IF(ISBLANK(B81),,IFERROR(FILTER('Leetcode分类顺序表'!B:D,'Leetcode分类顺序表'!A:A = B81),FILTER(Algoexpert.io!B:D,Algoexpert.io!A:A = B81)))"),"")</f>
        <v/>
      </c>
      <c r="D81" s="20"/>
      <c r="E81" s="20"/>
      <c r="F81" s="20"/>
      <c r="G81" s="20"/>
      <c r="H81" s="20"/>
      <c r="I81" s="18">
        <f t="shared" si="0"/>
        <v>0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 spans="1:31">
      <c r="A82" s="19"/>
      <c r="B82" s="20"/>
      <c r="C82" s="18" t="str">
        <f ca="1">IFERROR(__xludf.DUMMYFUNCTION("IF(ISBLANK(B82),,IFERROR(FILTER('Leetcode分类顺序表'!B:D,'Leetcode分类顺序表'!A:A = B82),FILTER(Algoexpert.io!B:D,Algoexpert.io!A:A = B82)))"),"")</f>
        <v/>
      </c>
      <c r="D82" s="20"/>
      <c r="E82" s="20"/>
      <c r="F82" s="20"/>
      <c r="G82" s="20"/>
      <c r="H82" s="20"/>
      <c r="I82" s="18">
        <f t="shared" si="0"/>
        <v>0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 spans="1:31">
      <c r="A83" s="19"/>
      <c r="B83" s="20"/>
      <c r="C83" s="18" t="str">
        <f ca="1">IFERROR(__xludf.DUMMYFUNCTION("IF(ISBLANK(B83),,IFERROR(FILTER('Leetcode分类顺序表'!B:D,'Leetcode分类顺序表'!A:A = B83),FILTER(Algoexpert.io!B:D,Algoexpert.io!A:A = B83)))"),"")</f>
        <v/>
      </c>
      <c r="D83" s="20"/>
      <c r="E83" s="20"/>
      <c r="F83" s="20"/>
      <c r="G83" s="20"/>
      <c r="H83" s="20"/>
      <c r="I83" s="18">
        <f t="shared" si="0"/>
        <v>0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 spans="1:31">
      <c r="A84" s="19"/>
      <c r="B84" s="20"/>
      <c r="C84" s="18" t="str">
        <f ca="1">IFERROR(__xludf.DUMMYFUNCTION("IF(ISBLANK(B84),,IFERROR(FILTER('Leetcode分类顺序表'!B:D,'Leetcode分类顺序表'!A:A = B84),FILTER(Algoexpert.io!B:D,Algoexpert.io!A:A = B84)))"),"")</f>
        <v/>
      </c>
      <c r="D84" s="20"/>
      <c r="E84" s="20"/>
      <c r="F84" s="20"/>
      <c r="G84" s="20"/>
      <c r="H84" s="20"/>
      <c r="I84" s="18">
        <f t="shared" si="0"/>
        <v>0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 spans="1:31">
      <c r="A85" s="19"/>
      <c r="B85" s="20"/>
      <c r="C85" s="18" t="str">
        <f ca="1">IFERROR(__xludf.DUMMYFUNCTION("IF(ISBLANK(B85),,IFERROR(FILTER('Leetcode分类顺序表'!B:D,'Leetcode分类顺序表'!A:A = B85),FILTER(Algoexpert.io!B:D,Algoexpert.io!A:A = B85)))"),"")</f>
        <v/>
      </c>
      <c r="D85" s="20"/>
      <c r="E85" s="20"/>
      <c r="F85" s="20"/>
      <c r="G85" s="20"/>
      <c r="H85" s="20"/>
      <c r="I85" s="18">
        <f t="shared" si="0"/>
        <v>0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 spans="1:31">
      <c r="A86" s="19"/>
      <c r="B86" s="20"/>
      <c r="C86" s="18" t="str">
        <f ca="1">IFERROR(__xludf.DUMMYFUNCTION("IF(ISBLANK(B86),,IFERROR(FILTER('Leetcode分类顺序表'!B:D,'Leetcode分类顺序表'!A:A = B86),FILTER(Algoexpert.io!B:D,Algoexpert.io!A:A = B86)))"),"")</f>
        <v/>
      </c>
      <c r="D86" s="20"/>
      <c r="E86" s="20"/>
      <c r="F86" s="20"/>
      <c r="G86" s="20"/>
      <c r="H86" s="20"/>
      <c r="I86" s="18">
        <f t="shared" si="0"/>
        <v>0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 spans="1:31">
      <c r="A87" s="19"/>
      <c r="B87" s="20"/>
      <c r="C87" s="18" t="str">
        <f ca="1">IFERROR(__xludf.DUMMYFUNCTION("IF(ISBLANK(B87),,IFERROR(FILTER('Leetcode分类顺序表'!B:D,'Leetcode分类顺序表'!A:A = B87),FILTER(Algoexpert.io!B:D,Algoexpert.io!A:A = B87)))"),"")</f>
        <v/>
      </c>
      <c r="D87" s="20"/>
      <c r="E87" s="20"/>
      <c r="F87" s="20"/>
      <c r="G87" s="20"/>
      <c r="H87" s="20"/>
      <c r="I87" s="18">
        <f t="shared" si="0"/>
        <v>0</v>
      </c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 spans="1:31">
      <c r="A88" s="19"/>
      <c r="B88" s="20"/>
      <c r="C88" s="18" t="str">
        <f ca="1">IFERROR(__xludf.DUMMYFUNCTION("IF(ISBLANK(B88),,IFERROR(FILTER('Leetcode分类顺序表'!B:D,'Leetcode分类顺序表'!A:A = B88),FILTER(Algoexpert.io!B:D,Algoexpert.io!A:A = B88)))"),"")</f>
        <v/>
      </c>
      <c r="D88" s="20"/>
      <c r="E88" s="20"/>
      <c r="F88" s="20"/>
      <c r="G88" s="20"/>
      <c r="H88" s="20"/>
      <c r="I88" s="18">
        <f t="shared" si="0"/>
        <v>0</v>
      </c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 spans="1:31">
      <c r="A89" s="19"/>
      <c r="B89" s="20"/>
      <c r="C89" s="18" t="str">
        <f ca="1">IFERROR(__xludf.DUMMYFUNCTION("IF(ISBLANK(B89),,IFERROR(FILTER('Leetcode分类顺序表'!B:D,'Leetcode分类顺序表'!A:A = B89),FILTER(Algoexpert.io!B:D,Algoexpert.io!A:A = B89)))"),"")</f>
        <v/>
      </c>
      <c r="D89" s="20"/>
      <c r="E89" s="20"/>
      <c r="F89" s="20"/>
      <c r="G89" s="20"/>
      <c r="H89" s="20"/>
      <c r="I89" s="18">
        <f t="shared" si="0"/>
        <v>0</v>
      </c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 spans="1:31">
      <c r="A90" s="19"/>
      <c r="B90" s="20"/>
      <c r="C90" s="18" t="str">
        <f ca="1">IFERROR(__xludf.DUMMYFUNCTION("IF(ISBLANK(B90),,IFERROR(FILTER('Leetcode分类顺序表'!B:D,'Leetcode分类顺序表'!A:A = B90),FILTER(Algoexpert.io!B:D,Algoexpert.io!A:A = B90)))"),"")</f>
        <v/>
      </c>
      <c r="D90" s="20"/>
      <c r="E90" s="20"/>
      <c r="F90" s="20"/>
      <c r="G90" s="20"/>
      <c r="H90" s="20"/>
      <c r="I90" s="18">
        <f t="shared" si="0"/>
        <v>0</v>
      </c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 spans="1:31">
      <c r="A91" s="19"/>
      <c r="B91" s="20"/>
      <c r="C91" s="18" t="str">
        <f ca="1">IFERROR(__xludf.DUMMYFUNCTION("IF(ISBLANK(B91),,IFERROR(FILTER('Leetcode分类顺序表'!B:D,'Leetcode分类顺序表'!A:A = B91),FILTER(Algoexpert.io!B:D,Algoexpert.io!A:A = B91)))"),"")</f>
        <v/>
      </c>
      <c r="D91" s="20"/>
      <c r="E91" s="20"/>
      <c r="F91" s="20"/>
      <c r="G91" s="20"/>
      <c r="H91" s="20"/>
      <c r="I91" s="18">
        <f t="shared" si="0"/>
        <v>0</v>
      </c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 spans="1:31">
      <c r="A92" s="19"/>
      <c r="B92" s="20"/>
      <c r="C92" s="18" t="str">
        <f ca="1">IFERROR(__xludf.DUMMYFUNCTION("IF(ISBLANK(B92),,IFERROR(FILTER('Leetcode分类顺序表'!B:D,'Leetcode分类顺序表'!A:A = B92),FILTER(Algoexpert.io!B:D,Algoexpert.io!A:A = B92)))"),"")</f>
        <v/>
      </c>
      <c r="D92" s="20"/>
      <c r="E92" s="20"/>
      <c r="F92" s="20"/>
      <c r="G92" s="20"/>
      <c r="H92" s="20"/>
      <c r="I92" s="18">
        <f t="shared" si="0"/>
        <v>0</v>
      </c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 spans="1:31">
      <c r="A93" s="19"/>
      <c r="B93" s="20"/>
      <c r="C93" s="18" t="str">
        <f ca="1">IFERROR(__xludf.DUMMYFUNCTION("IF(ISBLANK(B93),,IFERROR(FILTER('Leetcode分类顺序表'!B:D,'Leetcode分类顺序表'!A:A = B93),FILTER(Algoexpert.io!B:D,Algoexpert.io!A:A = B93)))"),"")</f>
        <v/>
      </c>
      <c r="D93" s="20"/>
      <c r="E93" s="20"/>
      <c r="F93" s="20"/>
      <c r="G93" s="20"/>
      <c r="H93" s="20"/>
      <c r="I93" s="18">
        <f t="shared" si="0"/>
        <v>0</v>
      </c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 spans="1:31">
      <c r="A94" s="19"/>
      <c r="B94" s="20"/>
      <c r="C94" s="18" t="str">
        <f ca="1">IFERROR(__xludf.DUMMYFUNCTION("IF(ISBLANK(B94),,IFERROR(FILTER('Leetcode分类顺序表'!B:D,'Leetcode分类顺序表'!A:A = B94),FILTER(Algoexpert.io!B:D,Algoexpert.io!A:A = B94)))"),"")</f>
        <v/>
      </c>
      <c r="D94" s="20"/>
      <c r="E94" s="20"/>
      <c r="F94" s="20"/>
      <c r="G94" s="20"/>
      <c r="H94" s="20"/>
      <c r="I94" s="18">
        <f t="shared" si="0"/>
        <v>0</v>
      </c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 spans="1:31">
      <c r="A95" s="19"/>
      <c r="B95" s="20"/>
      <c r="C95" s="18" t="str">
        <f ca="1">IFERROR(__xludf.DUMMYFUNCTION("IF(ISBLANK(B95),,IFERROR(FILTER('Leetcode分类顺序表'!B:D,'Leetcode分类顺序表'!A:A = B95),FILTER(Algoexpert.io!B:D,Algoexpert.io!A:A = B95)))"),"")</f>
        <v/>
      </c>
      <c r="D95" s="20"/>
      <c r="E95" s="20"/>
      <c r="F95" s="20"/>
      <c r="G95" s="20"/>
      <c r="H95" s="20"/>
      <c r="I95" s="18">
        <f t="shared" si="0"/>
        <v>0</v>
      </c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 spans="1:31">
      <c r="A96" s="19"/>
      <c r="B96" s="20"/>
      <c r="C96" s="18" t="str">
        <f ca="1">IFERROR(__xludf.DUMMYFUNCTION("IF(ISBLANK(B96),,IFERROR(FILTER('Leetcode分类顺序表'!B:D,'Leetcode分类顺序表'!A:A = B96),FILTER(Algoexpert.io!B:D,Algoexpert.io!A:A = B96)))"),"")</f>
        <v/>
      </c>
      <c r="D96" s="20"/>
      <c r="E96" s="20"/>
      <c r="F96" s="20"/>
      <c r="G96" s="20"/>
      <c r="H96" s="20"/>
      <c r="I96" s="18">
        <f t="shared" si="0"/>
        <v>0</v>
      </c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 spans="1:31">
      <c r="A97" s="19"/>
      <c r="B97" s="20"/>
      <c r="C97" s="18" t="str">
        <f ca="1">IFERROR(__xludf.DUMMYFUNCTION("IF(ISBLANK(B97),,IFERROR(FILTER('Leetcode分类顺序表'!B:D,'Leetcode分类顺序表'!A:A = B97),FILTER(Algoexpert.io!B:D,Algoexpert.io!A:A = B97)))"),"")</f>
        <v/>
      </c>
      <c r="D97" s="20"/>
      <c r="E97" s="20"/>
      <c r="F97" s="20"/>
      <c r="G97" s="20"/>
      <c r="H97" s="20"/>
      <c r="I97" s="18">
        <f t="shared" si="0"/>
        <v>0</v>
      </c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 spans="1:31">
      <c r="A98" s="19"/>
      <c r="B98" s="20"/>
      <c r="C98" s="18" t="str">
        <f ca="1">IFERROR(__xludf.DUMMYFUNCTION("IF(ISBLANK(B98),,IFERROR(FILTER('Leetcode分类顺序表'!B:D,'Leetcode分类顺序表'!A:A = B98),FILTER(Algoexpert.io!B:D,Algoexpert.io!A:A = B98)))"),"")</f>
        <v/>
      </c>
      <c r="D98" s="20"/>
      <c r="E98" s="20"/>
      <c r="F98" s="20"/>
      <c r="G98" s="20"/>
      <c r="H98" s="20"/>
      <c r="I98" s="18">
        <f t="shared" si="0"/>
        <v>0</v>
      </c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 spans="1:31">
      <c r="A99" s="19"/>
      <c r="B99" s="20"/>
      <c r="C99" s="18" t="str">
        <f ca="1">IFERROR(__xludf.DUMMYFUNCTION("IF(ISBLANK(B99),,IFERROR(FILTER('Leetcode分类顺序表'!B:D,'Leetcode分类顺序表'!A:A = B99),FILTER(Algoexpert.io!B:D,Algoexpert.io!A:A = B99)))"),"")</f>
        <v/>
      </c>
      <c r="D99" s="20"/>
      <c r="E99" s="20"/>
      <c r="F99" s="20"/>
      <c r="G99" s="20"/>
      <c r="H99" s="20"/>
      <c r="I99" s="18">
        <f t="shared" si="0"/>
        <v>0</v>
      </c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 spans="1:31">
      <c r="A100" s="19"/>
      <c r="B100" s="20"/>
      <c r="C100" s="18" t="str">
        <f ca="1">IFERROR(__xludf.DUMMYFUNCTION("IF(ISBLANK(B100),,IFERROR(FILTER('Leetcode分类顺序表'!B:D,'Leetcode分类顺序表'!A:A = B100),FILTER(Algoexpert.io!B:D,Algoexpert.io!A:A = B100)))"),"")</f>
        <v/>
      </c>
      <c r="D100" s="20"/>
      <c r="E100" s="20"/>
      <c r="F100" s="20"/>
      <c r="G100" s="20"/>
      <c r="H100" s="20"/>
      <c r="I100" s="18">
        <f t="shared" si="0"/>
        <v>0</v>
      </c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 spans="1:31">
      <c r="A101" s="19"/>
      <c r="B101" s="20"/>
      <c r="C101" s="18" t="str">
        <f ca="1">IFERROR(__xludf.DUMMYFUNCTION("IF(ISBLANK(B101),,IFERROR(FILTER('Leetcode分类顺序表'!B:D,'Leetcode分类顺序表'!A:A = B101),FILTER(Algoexpert.io!B:D,Algoexpert.io!A:A = B101)))"),"")</f>
        <v/>
      </c>
      <c r="D101" s="20"/>
      <c r="E101" s="20"/>
      <c r="F101" s="20"/>
      <c r="G101" s="20"/>
      <c r="H101" s="20"/>
      <c r="I101" s="18">
        <f t="shared" si="0"/>
        <v>0</v>
      </c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 spans="1:31">
      <c r="A102" s="19"/>
      <c r="B102" s="20"/>
      <c r="C102" s="18" t="str">
        <f ca="1">IFERROR(__xludf.DUMMYFUNCTION("IF(ISBLANK(B102),,IFERROR(FILTER('Leetcode分类顺序表'!B:D,'Leetcode分类顺序表'!A:A = B102),FILTER(Algoexpert.io!B:D,Algoexpert.io!A:A = B102)))"),"")</f>
        <v/>
      </c>
      <c r="D102" s="20"/>
      <c r="E102" s="20"/>
      <c r="F102" s="20"/>
      <c r="G102" s="20"/>
      <c r="H102" s="20"/>
      <c r="I102" s="18">
        <f t="shared" si="0"/>
        <v>0</v>
      </c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 spans="1:31">
      <c r="A103" s="19"/>
      <c r="B103" s="20"/>
      <c r="C103" s="18" t="str">
        <f ca="1">IFERROR(__xludf.DUMMYFUNCTION("IF(ISBLANK(B103),,IFERROR(FILTER('Leetcode分类顺序表'!B:D,'Leetcode分类顺序表'!A:A = B103),FILTER(Algoexpert.io!B:D,Algoexpert.io!A:A = B103)))"),"")</f>
        <v/>
      </c>
      <c r="D103" s="20"/>
      <c r="E103" s="20"/>
      <c r="F103" s="20"/>
      <c r="G103" s="20"/>
      <c r="H103" s="20"/>
      <c r="I103" s="18">
        <f t="shared" si="0"/>
        <v>0</v>
      </c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</row>
    <row r="104" spans="1:31">
      <c r="A104" s="19"/>
      <c r="B104" s="20"/>
      <c r="C104" s="18" t="str">
        <f ca="1">IFERROR(__xludf.DUMMYFUNCTION("IF(ISBLANK(B104),,IFERROR(FILTER('Leetcode分类顺序表'!B:D,'Leetcode分类顺序表'!A:A = B104),FILTER(Algoexpert.io!B:D,Algoexpert.io!A:A = B104)))"),"")</f>
        <v/>
      </c>
      <c r="D104" s="20"/>
      <c r="E104" s="20"/>
      <c r="F104" s="20"/>
      <c r="G104" s="20"/>
      <c r="H104" s="20"/>
      <c r="I104" s="18">
        <f t="shared" si="0"/>
        <v>0</v>
      </c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</row>
    <row r="105" spans="1:31">
      <c r="A105" s="19"/>
      <c r="B105" s="20"/>
      <c r="C105" s="18" t="str">
        <f ca="1">IFERROR(__xludf.DUMMYFUNCTION("IF(ISBLANK(B105),,IFERROR(FILTER('Leetcode分类顺序表'!B:D,'Leetcode分类顺序表'!A:A = B105),FILTER(Algoexpert.io!B:D,Algoexpert.io!A:A = B105)))"),"")</f>
        <v/>
      </c>
      <c r="D105" s="20"/>
      <c r="E105" s="20"/>
      <c r="F105" s="20"/>
      <c r="G105" s="20"/>
      <c r="H105" s="20"/>
      <c r="I105" s="18">
        <f t="shared" si="0"/>
        <v>0</v>
      </c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</row>
    <row r="106" spans="1:31">
      <c r="A106" s="19"/>
      <c r="B106" s="20"/>
      <c r="C106" s="18" t="str">
        <f ca="1">IFERROR(__xludf.DUMMYFUNCTION("IF(ISBLANK(B106),,IFERROR(FILTER('Leetcode分类顺序表'!B:D,'Leetcode分类顺序表'!A:A = B106),FILTER(Algoexpert.io!B:D,Algoexpert.io!A:A = B106)))"),"")</f>
        <v/>
      </c>
      <c r="D106" s="20"/>
      <c r="E106" s="20"/>
      <c r="F106" s="20"/>
      <c r="G106" s="20"/>
      <c r="H106" s="20"/>
      <c r="I106" s="18">
        <f t="shared" si="0"/>
        <v>0</v>
      </c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 spans="1:31">
      <c r="A107" s="19"/>
      <c r="B107" s="20"/>
      <c r="C107" s="18" t="str">
        <f ca="1">IFERROR(__xludf.DUMMYFUNCTION("IF(ISBLANK(B107),,IFERROR(FILTER('Leetcode分类顺序表'!B:D,'Leetcode分类顺序表'!A:A = B107),FILTER(Algoexpert.io!B:D,Algoexpert.io!A:A = B107)))"),"")</f>
        <v/>
      </c>
      <c r="D107" s="20"/>
      <c r="E107" s="20"/>
      <c r="F107" s="20"/>
      <c r="G107" s="20"/>
      <c r="H107" s="20"/>
      <c r="I107" s="18">
        <f t="shared" si="0"/>
        <v>0</v>
      </c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 spans="1:31">
      <c r="A108" s="19"/>
      <c r="B108" s="20"/>
      <c r="C108" s="18" t="str">
        <f ca="1">IFERROR(__xludf.DUMMYFUNCTION("IF(ISBLANK(B108),,IFERROR(FILTER('Leetcode分类顺序表'!B:D,'Leetcode分类顺序表'!A:A = B108),FILTER(Algoexpert.io!B:D,Algoexpert.io!A:A = B108)))"),"")</f>
        <v/>
      </c>
      <c r="D108" s="20"/>
      <c r="E108" s="20"/>
      <c r="F108" s="20"/>
      <c r="G108" s="20"/>
      <c r="H108" s="20"/>
      <c r="I108" s="18">
        <f t="shared" si="0"/>
        <v>0</v>
      </c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spans="1:31">
      <c r="A109" s="19"/>
      <c r="B109" s="20"/>
      <c r="C109" s="18" t="str">
        <f ca="1">IFERROR(__xludf.DUMMYFUNCTION("IF(ISBLANK(B109),,IFERROR(FILTER('Leetcode分类顺序表'!B:D,'Leetcode分类顺序表'!A:A = B109),FILTER(Algoexpert.io!B:D,Algoexpert.io!A:A = B109)))"),"")</f>
        <v/>
      </c>
      <c r="D109" s="20"/>
      <c r="E109" s="20"/>
      <c r="F109" s="20"/>
      <c r="G109" s="20"/>
      <c r="H109" s="20"/>
      <c r="I109" s="18">
        <f t="shared" si="0"/>
        <v>0</v>
      </c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spans="1:31">
      <c r="A110" s="19"/>
      <c r="B110" s="20"/>
      <c r="C110" s="18" t="str">
        <f ca="1">IFERROR(__xludf.DUMMYFUNCTION("IF(ISBLANK(B110),,IFERROR(FILTER('Leetcode分类顺序表'!B:D,'Leetcode分类顺序表'!A:A = B110),FILTER(Algoexpert.io!B:D,Algoexpert.io!A:A = B110)))"),"")</f>
        <v/>
      </c>
      <c r="D110" s="20"/>
      <c r="E110" s="20"/>
      <c r="F110" s="20"/>
      <c r="G110" s="20"/>
      <c r="H110" s="20"/>
      <c r="I110" s="18">
        <f t="shared" si="0"/>
        <v>0</v>
      </c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 spans="1:31">
      <c r="A111" s="19"/>
      <c r="B111" s="20"/>
      <c r="C111" s="18" t="str">
        <f ca="1">IFERROR(__xludf.DUMMYFUNCTION("IF(ISBLANK(B111),,IFERROR(FILTER('Leetcode分类顺序表'!B:D,'Leetcode分类顺序表'!A:A = B111),FILTER(Algoexpert.io!B:D,Algoexpert.io!A:A = B111)))"),"")</f>
        <v/>
      </c>
      <c r="D111" s="20"/>
      <c r="E111" s="20"/>
      <c r="F111" s="20"/>
      <c r="G111" s="20"/>
      <c r="H111" s="20"/>
      <c r="I111" s="18">
        <f t="shared" si="0"/>
        <v>0</v>
      </c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 spans="1:31">
      <c r="A112" s="19"/>
      <c r="B112" s="20"/>
      <c r="C112" s="18" t="str">
        <f ca="1">IFERROR(__xludf.DUMMYFUNCTION("IF(ISBLANK(B112),,IFERROR(FILTER('Leetcode分类顺序表'!B:D,'Leetcode分类顺序表'!A:A = B112),FILTER(Algoexpert.io!B:D,Algoexpert.io!A:A = B112)))"),"")</f>
        <v/>
      </c>
      <c r="D112" s="20"/>
      <c r="E112" s="20"/>
      <c r="F112" s="20"/>
      <c r="G112" s="20"/>
      <c r="H112" s="20"/>
      <c r="I112" s="18">
        <f t="shared" si="0"/>
        <v>0</v>
      </c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 spans="1:31">
      <c r="A113" s="19"/>
      <c r="B113" s="20"/>
      <c r="C113" s="18" t="str">
        <f ca="1">IFERROR(__xludf.DUMMYFUNCTION("IF(ISBLANK(B113),,IFERROR(FILTER('Leetcode分类顺序表'!B:D,'Leetcode分类顺序表'!A:A = B113),FILTER(Algoexpert.io!B:D,Algoexpert.io!A:A = B113)))"),"")</f>
        <v/>
      </c>
      <c r="D113" s="20"/>
      <c r="E113" s="20"/>
      <c r="F113" s="20"/>
      <c r="G113" s="20"/>
      <c r="H113" s="20"/>
      <c r="I113" s="18">
        <f t="shared" si="0"/>
        <v>0</v>
      </c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 spans="1:31">
      <c r="A114" s="19"/>
      <c r="B114" s="20"/>
      <c r="C114" s="18" t="str">
        <f ca="1">IFERROR(__xludf.DUMMYFUNCTION("IF(ISBLANK(B114),,IFERROR(FILTER('Leetcode分类顺序表'!B:D,'Leetcode分类顺序表'!A:A = B114),FILTER(Algoexpert.io!B:D,Algoexpert.io!A:A = B114)))"),"")</f>
        <v/>
      </c>
      <c r="D114" s="20"/>
      <c r="E114" s="20"/>
      <c r="F114" s="20"/>
      <c r="G114" s="20"/>
      <c r="H114" s="20"/>
      <c r="I114" s="18">
        <f t="shared" si="0"/>
        <v>0</v>
      </c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 spans="1:31">
      <c r="A115" s="19"/>
      <c r="B115" s="20"/>
      <c r="C115" s="18" t="str">
        <f ca="1">IFERROR(__xludf.DUMMYFUNCTION("IF(ISBLANK(B115),,IFERROR(FILTER('Leetcode分类顺序表'!B:D,'Leetcode分类顺序表'!A:A = B115),FILTER(Algoexpert.io!B:D,Algoexpert.io!A:A = B115)))"),"")</f>
        <v/>
      </c>
      <c r="D115" s="20"/>
      <c r="E115" s="20"/>
      <c r="F115" s="20"/>
      <c r="G115" s="20"/>
      <c r="H115" s="20"/>
      <c r="I115" s="18">
        <f t="shared" si="0"/>
        <v>0</v>
      </c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 spans="1:31">
      <c r="A116" s="19"/>
      <c r="B116" s="20"/>
      <c r="C116" s="18" t="str">
        <f ca="1">IFERROR(__xludf.DUMMYFUNCTION("IF(ISBLANK(B116),,IFERROR(FILTER('Leetcode分类顺序表'!B:D,'Leetcode分类顺序表'!A:A = B116),FILTER(Algoexpert.io!B:D,Algoexpert.io!A:A = B116)))"),"")</f>
        <v/>
      </c>
      <c r="D116" s="20"/>
      <c r="E116" s="20"/>
      <c r="F116" s="20"/>
      <c r="G116" s="20"/>
      <c r="H116" s="20"/>
      <c r="I116" s="18">
        <f t="shared" si="0"/>
        <v>0</v>
      </c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 spans="1:31">
      <c r="A117" s="19"/>
      <c r="B117" s="20"/>
      <c r="C117" s="18" t="str">
        <f ca="1">IFERROR(__xludf.DUMMYFUNCTION("IF(ISBLANK(B117),,IFERROR(FILTER('Leetcode分类顺序表'!B:D,'Leetcode分类顺序表'!A:A = B117),FILTER(Algoexpert.io!B:D,Algoexpert.io!A:A = B117)))"),"")</f>
        <v/>
      </c>
      <c r="D117" s="20"/>
      <c r="E117" s="20"/>
      <c r="F117" s="20"/>
      <c r="G117" s="20"/>
      <c r="H117" s="20"/>
      <c r="I117" s="18">
        <f t="shared" si="0"/>
        <v>0</v>
      </c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 spans="1:31">
      <c r="A118" s="19"/>
      <c r="B118" s="20"/>
      <c r="C118" s="18" t="str">
        <f ca="1">IFERROR(__xludf.DUMMYFUNCTION("IF(ISBLANK(B118),,IFERROR(FILTER('Leetcode分类顺序表'!B:D,'Leetcode分类顺序表'!A:A = B118),FILTER(Algoexpert.io!B:D,Algoexpert.io!A:A = B118)))"),"")</f>
        <v/>
      </c>
      <c r="D118" s="20"/>
      <c r="E118" s="20"/>
      <c r="F118" s="20"/>
      <c r="G118" s="20"/>
      <c r="H118" s="20"/>
      <c r="I118" s="18">
        <f t="shared" si="0"/>
        <v>0</v>
      </c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 spans="1:31">
      <c r="A119" s="19"/>
      <c r="B119" s="20"/>
      <c r="C119" s="18" t="str">
        <f ca="1">IFERROR(__xludf.DUMMYFUNCTION("IF(ISBLANK(B119),,IFERROR(FILTER('Leetcode分类顺序表'!B:D,'Leetcode分类顺序表'!A:A = B119),FILTER(Algoexpert.io!B:D,Algoexpert.io!A:A = B119)))"),"")</f>
        <v/>
      </c>
      <c r="D119" s="20"/>
      <c r="E119" s="20"/>
      <c r="F119" s="20"/>
      <c r="G119" s="20"/>
      <c r="H119" s="20"/>
      <c r="I119" s="18">
        <f t="shared" si="0"/>
        <v>0</v>
      </c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 spans="1:31">
      <c r="A120" s="19"/>
      <c r="B120" s="20"/>
      <c r="C120" s="18" t="str">
        <f ca="1">IFERROR(__xludf.DUMMYFUNCTION("IF(ISBLANK(B120),,IFERROR(FILTER('Leetcode分类顺序表'!B:D,'Leetcode分类顺序表'!A:A = B120),FILTER(Algoexpert.io!B:D,Algoexpert.io!A:A = B120)))"),"")</f>
        <v/>
      </c>
      <c r="D120" s="20"/>
      <c r="E120" s="20"/>
      <c r="F120" s="20"/>
      <c r="G120" s="20"/>
      <c r="H120" s="20"/>
      <c r="I120" s="18">
        <f t="shared" si="0"/>
        <v>0</v>
      </c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 spans="1:31">
      <c r="A121" s="19"/>
      <c r="B121" s="20"/>
      <c r="C121" s="18" t="str">
        <f ca="1">IFERROR(__xludf.DUMMYFUNCTION("IF(ISBLANK(B121),,IFERROR(FILTER('Leetcode分类顺序表'!B:D,'Leetcode分类顺序表'!A:A = B121),FILTER(Algoexpert.io!B:D,Algoexpert.io!A:A = B121)))"),"")</f>
        <v/>
      </c>
      <c r="D121" s="20"/>
      <c r="E121" s="20"/>
      <c r="F121" s="20"/>
      <c r="G121" s="20"/>
      <c r="H121" s="20"/>
      <c r="I121" s="18">
        <f t="shared" si="0"/>
        <v>0</v>
      </c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 spans="1:31">
      <c r="A122" s="19"/>
      <c r="B122" s="20"/>
      <c r="C122" s="18" t="str">
        <f ca="1">IFERROR(__xludf.DUMMYFUNCTION("IF(ISBLANK(B122),,IFERROR(FILTER('Leetcode分类顺序表'!B:D,'Leetcode分类顺序表'!A:A = B122),FILTER(Algoexpert.io!B:D,Algoexpert.io!A:A = B122)))"),"")</f>
        <v/>
      </c>
      <c r="D122" s="20"/>
      <c r="E122" s="20"/>
      <c r="F122" s="20"/>
      <c r="G122" s="20"/>
      <c r="H122" s="20"/>
      <c r="I122" s="18">
        <f t="shared" si="0"/>
        <v>0</v>
      </c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 spans="1:31">
      <c r="A123" s="19"/>
      <c r="B123" s="20"/>
      <c r="C123" s="18" t="str">
        <f ca="1">IFERROR(__xludf.DUMMYFUNCTION("IF(ISBLANK(B123),,IFERROR(FILTER('Leetcode分类顺序表'!B:D,'Leetcode分类顺序表'!A:A = B123),FILTER(Algoexpert.io!B:D,Algoexpert.io!A:A = B123)))"),"")</f>
        <v/>
      </c>
      <c r="D123" s="20"/>
      <c r="E123" s="20"/>
      <c r="F123" s="20"/>
      <c r="G123" s="20"/>
      <c r="H123" s="20"/>
      <c r="I123" s="18">
        <f t="shared" si="0"/>
        <v>0</v>
      </c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 spans="1:31">
      <c r="A124" s="19"/>
      <c r="B124" s="20"/>
      <c r="C124" s="18" t="str">
        <f ca="1">IFERROR(__xludf.DUMMYFUNCTION("IF(ISBLANK(B124),,IFERROR(FILTER('Leetcode分类顺序表'!B:D,'Leetcode分类顺序表'!A:A = B124),FILTER(Algoexpert.io!B:D,Algoexpert.io!A:A = B124)))"),"")</f>
        <v/>
      </c>
      <c r="D124" s="20"/>
      <c r="E124" s="20"/>
      <c r="F124" s="20"/>
      <c r="G124" s="20"/>
      <c r="H124" s="20"/>
      <c r="I124" s="18">
        <f t="shared" si="0"/>
        <v>0</v>
      </c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 spans="1:31">
      <c r="A125" s="19"/>
      <c r="B125" s="20"/>
      <c r="C125" s="18" t="str">
        <f ca="1">IFERROR(__xludf.DUMMYFUNCTION("IF(ISBLANK(B125),,IFERROR(FILTER('Leetcode分类顺序表'!B:D,'Leetcode分类顺序表'!A:A = B125),FILTER(Algoexpert.io!B:D,Algoexpert.io!A:A = B125)))"),"")</f>
        <v/>
      </c>
      <c r="D125" s="20"/>
      <c r="E125" s="20"/>
      <c r="F125" s="20"/>
      <c r="G125" s="20"/>
      <c r="H125" s="20"/>
      <c r="I125" s="18">
        <f t="shared" si="0"/>
        <v>0</v>
      </c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 spans="1:31">
      <c r="A126" s="19"/>
      <c r="B126" s="20"/>
      <c r="C126" s="18" t="str">
        <f ca="1">IFERROR(__xludf.DUMMYFUNCTION("IF(ISBLANK(B126),,IFERROR(FILTER('Leetcode分类顺序表'!B:D,'Leetcode分类顺序表'!A:A = B126),FILTER(Algoexpert.io!B:D,Algoexpert.io!A:A = B126)))"),"")</f>
        <v/>
      </c>
      <c r="D126" s="20"/>
      <c r="E126" s="20"/>
      <c r="F126" s="20"/>
      <c r="G126" s="20"/>
      <c r="H126" s="20"/>
      <c r="I126" s="18">
        <f t="shared" si="0"/>
        <v>0</v>
      </c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 spans="1:31">
      <c r="A127" s="19"/>
      <c r="B127" s="20"/>
      <c r="C127" s="18" t="str">
        <f ca="1">IFERROR(__xludf.DUMMYFUNCTION("IF(ISBLANK(B127),,IFERROR(FILTER('Leetcode分类顺序表'!B:D,'Leetcode分类顺序表'!A:A = B127),FILTER(Algoexpert.io!B:D,Algoexpert.io!A:A = B127)))"),"")</f>
        <v/>
      </c>
      <c r="D127" s="20"/>
      <c r="E127" s="20"/>
      <c r="F127" s="20"/>
      <c r="G127" s="20"/>
      <c r="H127" s="20"/>
      <c r="I127" s="18">
        <f t="shared" si="0"/>
        <v>0</v>
      </c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 spans="1:31">
      <c r="A128" s="19"/>
      <c r="B128" s="20"/>
      <c r="C128" s="18" t="str">
        <f ca="1">IFERROR(__xludf.DUMMYFUNCTION("IF(ISBLANK(B128),,IFERROR(FILTER('Leetcode分类顺序表'!B:D,'Leetcode分类顺序表'!A:A = B128),FILTER(Algoexpert.io!B:D,Algoexpert.io!A:A = B128)))"),"")</f>
        <v/>
      </c>
      <c r="D128" s="20"/>
      <c r="E128" s="20"/>
      <c r="F128" s="20"/>
      <c r="G128" s="20"/>
      <c r="H128" s="20"/>
      <c r="I128" s="18">
        <f t="shared" si="0"/>
        <v>0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 spans="1:31">
      <c r="A129" s="19"/>
      <c r="B129" s="20"/>
      <c r="C129" s="18" t="str">
        <f ca="1">IFERROR(__xludf.DUMMYFUNCTION("IF(ISBLANK(B129),,IFERROR(FILTER('Leetcode分类顺序表'!B:D,'Leetcode分类顺序表'!A:A = B129),FILTER(Algoexpert.io!B:D,Algoexpert.io!A:A = B129)))"),"")</f>
        <v/>
      </c>
      <c r="D129" s="20"/>
      <c r="E129" s="20"/>
      <c r="F129" s="20"/>
      <c r="G129" s="20"/>
      <c r="H129" s="20"/>
      <c r="I129" s="18">
        <f t="shared" si="0"/>
        <v>0</v>
      </c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 spans="1:31">
      <c r="A130" s="19"/>
      <c r="B130" s="20"/>
      <c r="C130" s="18" t="str">
        <f ca="1">IFERROR(__xludf.DUMMYFUNCTION("IF(ISBLANK(B130),,IFERROR(FILTER('Leetcode分类顺序表'!B:D,'Leetcode分类顺序表'!A:A = B130),FILTER(Algoexpert.io!B:D,Algoexpert.io!A:A = B130)))"),"")</f>
        <v/>
      </c>
      <c r="D130" s="20"/>
      <c r="E130" s="20"/>
      <c r="F130" s="20"/>
      <c r="G130" s="20"/>
      <c r="H130" s="20"/>
      <c r="I130" s="18">
        <f t="shared" si="0"/>
        <v>0</v>
      </c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 spans="1:31">
      <c r="A131" s="19"/>
      <c r="B131" s="20"/>
      <c r="C131" s="18" t="str">
        <f ca="1">IFERROR(__xludf.DUMMYFUNCTION("IF(ISBLANK(B131),,IFERROR(FILTER('Leetcode分类顺序表'!B:D,'Leetcode分类顺序表'!A:A = B131),FILTER(Algoexpert.io!B:D,Algoexpert.io!A:A = B131)))"),"")</f>
        <v/>
      </c>
      <c r="D131" s="20"/>
      <c r="E131" s="20"/>
      <c r="F131" s="20"/>
      <c r="G131" s="20"/>
      <c r="H131" s="20"/>
      <c r="I131" s="18">
        <f t="shared" si="0"/>
        <v>0</v>
      </c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 spans="1:31">
      <c r="A132" s="19"/>
      <c r="B132" s="20"/>
      <c r="C132" s="18" t="str">
        <f ca="1">IFERROR(__xludf.DUMMYFUNCTION("IF(ISBLANK(B132),,IFERROR(FILTER('Leetcode分类顺序表'!B:D,'Leetcode分类顺序表'!A:A = B132),FILTER(Algoexpert.io!B:D,Algoexpert.io!A:A = B132)))"),"")</f>
        <v/>
      </c>
      <c r="D132" s="20"/>
      <c r="E132" s="20"/>
      <c r="F132" s="20"/>
      <c r="G132" s="20"/>
      <c r="H132" s="20"/>
      <c r="I132" s="18">
        <f t="shared" si="0"/>
        <v>0</v>
      </c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 spans="1:31">
      <c r="A133" s="19"/>
      <c r="B133" s="20"/>
      <c r="C133" s="18" t="str">
        <f ca="1">IFERROR(__xludf.DUMMYFUNCTION("IF(ISBLANK(B133),,IFERROR(FILTER('Leetcode分类顺序表'!B:D,'Leetcode分类顺序表'!A:A = B133),FILTER(Algoexpert.io!B:D,Algoexpert.io!A:A = B133)))"),"")</f>
        <v/>
      </c>
      <c r="D133" s="20"/>
      <c r="E133" s="20"/>
      <c r="F133" s="20"/>
      <c r="G133" s="20"/>
      <c r="H133" s="20"/>
      <c r="I133" s="18">
        <f t="shared" si="0"/>
        <v>0</v>
      </c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 spans="1:31">
      <c r="A134" s="19"/>
      <c r="B134" s="20"/>
      <c r="C134" s="18" t="str">
        <f ca="1">IFERROR(__xludf.DUMMYFUNCTION("IF(ISBLANK(B134),,IFERROR(FILTER('Leetcode分类顺序表'!B:D,'Leetcode分类顺序表'!A:A = B134),FILTER(Algoexpert.io!B:D,Algoexpert.io!A:A = B134)))"),"")</f>
        <v/>
      </c>
      <c r="D134" s="20"/>
      <c r="E134" s="20"/>
      <c r="F134" s="20"/>
      <c r="G134" s="20"/>
      <c r="H134" s="20"/>
      <c r="I134" s="18">
        <f t="shared" si="0"/>
        <v>0</v>
      </c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 spans="1:31">
      <c r="A135" s="19"/>
      <c r="B135" s="20"/>
      <c r="C135" s="18" t="str">
        <f ca="1">IFERROR(__xludf.DUMMYFUNCTION("IF(ISBLANK(B135),,IFERROR(FILTER('Leetcode分类顺序表'!B:D,'Leetcode分类顺序表'!A:A = B135),FILTER(Algoexpert.io!B:D,Algoexpert.io!A:A = B135)))"),"")</f>
        <v/>
      </c>
      <c r="D135" s="20"/>
      <c r="E135" s="20"/>
      <c r="F135" s="20"/>
      <c r="G135" s="20"/>
      <c r="H135" s="20"/>
      <c r="I135" s="18">
        <f t="shared" si="0"/>
        <v>0</v>
      </c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 spans="1:31">
      <c r="A136" s="19"/>
      <c r="B136" s="20"/>
      <c r="C136" s="18" t="str">
        <f ca="1">IFERROR(__xludf.DUMMYFUNCTION("IF(ISBLANK(B136),,IFERROR(FILTER('Leetcode分类顺序表'!B:D,'Leetcode分类顺序表'!A:A = B136),FILTER(Algoexpert.io!B:D,Algoexpert.io!A:A = B136)))"),"")</f>
        <v/>
      </c>
      <c r="D136" s="20"/>
      <c r="E136" s="20"/>
      <c r="F136" s="20"/>
      <c r="G136" s="20"/>
      <c r="H136" s="20"/>
      <c r="I136" s="18">
        <f t="shared" si="0"/>
        <v>0</v>
      </c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 spans="1:31">
      <c r="A137" s="19"/>
      <c r="B137" s="20"/>
      <c r="C137" s="18" t="str">
        <f ca="1">IFERROR(__xludf.DUMMYFUNCTION("IF(ISBLANK(B137),,IFERROR(FILTER('Leetcode分类顺序表'!B:D,'Leetcode分类顺序表'!A:A = B137),FILTER(Algoexpert.io!B:D,Algoexpert.io!A:A = B137)))"),"")</f>
        <v/>
      </c>
      <c r="D137" s="20"/>
      <c r="E137" s="20"/>
      <c r="F137" s="20"/>
      <c r="G137" s="20"/>
      <c r="H137" s="20"/>
      <c r="I137" s="18">
        <f t="shared" si="0"/>
        <v>0</v>
      </c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 spans="1:31">
      <c r="A138" s="19"/>
      <c r="B138" s="20"/>
      <c r="C138" s="18" t="str">
        <f ca="1">IFERROR(__xludf.DUMMYFUNCTION("IF(ISBLANK(B138),,IFERROR(FILTER('Leetcode分类顺序表'!B:D,'Leetcode分类顺序表'!A:A = B138),FILTER(Algoexpert.io!B:D,Algoexpert.io!A:A = B138)))"),"")</f>
        <v/>
      </c>
      <c r="D138" s="20"/>
      <c r="E138" s="20"/>
      <c r="F138" s="20"/>
      <c r="G138" s="20"/>
      <c r="H138" s="20"/>
      <c r="I138" s="18">
        <f t="shared" si="0"/>
        <v>0</v>
      </c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 spans="1:31">
      <c r="A139" s="19"/>
      <c r="B139" s="20"/>
      <c r="C139" s="18" t="str">
        <f ca="1">IFERROR(__xludf.DUMMYFUNCTION("IF(ISBLANK(B139),,IFERROR(FILTER('Leetcode分类顺序表'!B:D,'Leetcode分类顺序表'!A:A = B139),FILTER(Algoexpert.io!B:D,Algoexpert.io!A:A = B139)))"),"")</f>
        <v/>
      </c>
      <c r="D139" s="20"/>
      <c r="E139" s="20"/>
      <c r="F139" s="20"/>
      <c r="G139" s="20"/>
      <c r="H139" s="20"/>
      <c r="I139" s="18">
        <f t="shared" si="0"/>
        <v>0</v>
      </c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 spans="1:31">
      <c r="A140" s="19"/>
      <c r="B140" s="20"/>
      <c r="C140" s="18" t="str">
        <f ca="1">IFERROR(__xludf.DUMMYFUNCTION("IF(ISBLANK(B140),,IFERROR(FILTER('Leetcode分类顺序表'!B:D,'Leetcode分类顺序表'!A:A = B140),FILTER(Algoexpert.io!B:D,Algoexpert.io!A:A = B140)))"),"")</f>
        <v/>
      </c>
      <c r="D140" s="20"/>
      <c r="E140" s="20"/>
      <c r="F140" s="20"/>
      <c r="G140" s="20"/>
      <c r="H140" s="20"/>
      <c r="I140" s="18">
        <f t="shared" si="0"/>
        <v>0</v>
      </c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 spans="1:31">
      <c r="A141" s="19"/>
      <c r="B141" s="20"/>
      <c r="C141" s="18" t="str">
        <f ca="1">IFERROR(__xludf.DUMMYFUNCTION("IF(ISBLANK(B141),,IFERROR(FILTER('Leetcode分类顺序表'!B:D,'Leetcode分类顺序表'!A:A = B141),FILTER(Algoexpert.io!B:D,Algoexpert.io!A:A = B141)))"),"")</f>
        <v/>
      </c>
      <c r="D141" s="20"/>
      <c r="E141" s="20"/>
      <c r="F141" s="20"/>
      <c r="G141" s="20"/>
      <c r="H141" s="20"/>
      <c r="I141" s="18">
        <f t="shared" si="0"/>
        <v>0</v>
      </c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 spans="1:31">
      <c r="A142" s="19"/>
      <c r="B142" s="20"/>
      <c r="C142" s="18" t="str">
        <f ca="1">IFERROR(__xludf.DUMMYFUNCTION("IF(ISBLANK(B142),,IFERROR(FILTER('Leetcode分类顺序表'!B:D,'Leetcode分类顺序表'!A:A = B142),FILTER(Algoexpert.io!B:D,Algoexpert.io!A:A = B142)))"),"")</f>
        <v/>
      </c>
      <c r="D142" s="20"/>
      <c r="E142" s="20"/>
      <c r="F142" s="20"/>
      <c r="G142" s="20"/>
      <c r="H142" s="20"/>
      <c r="I142" s="18">
        <f t="shared" si="0"/>
        <v>0</v>
      </c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 spans="1:31">
      <c r="A143" s="19"/>
      <c r="B143" s="20"/>
      <c r="C143" s="18" t="str">
        <f ca="1">IFERROR(__xludf.DUMMYFUNCTION("IF(ISBLANK(B143),,IFERROR(FILTER('Leetcode分类顺序表'!B:D,'Leetcode分类顺序表'!A:A = B143),FILTER(Algoexpert.io!B:D,Algoexpert.io!A:A = B143)))"),"")</f>
        <v/>
      </c>
      <c r="D143" s="20"/>
      <c r="E143" s="20"/>
      <c r="F143" s="20"/>
      <c r="G143" s="20"/>
      <c r="H143" s="20"/>
      <c r="I143" s="18">
        <f t="shared" si="0"/>
        <v>0</v>
      </c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 spans="1:31">
      <c r="A144" s="19"/>
      <c r="B144" s="20"/>
      <c r="C144" s="18" t="str">
        <f ca="1">IFERROR(__xludf.DUMMYFUNCTION("IF(ISBLANK(B144),,IFERROR(FILTER('Leetcode分类顺序表'!B:D,'Leetcode分类顺序表'!A:A = B144),FILTER(Algoexpert.io!B:D,Algoexpert.io!A:A = B144)))"),"")</f>
        <v/>
      </c>
      <c r="D144" s="20"/>
      <c r="E144" s="20"/>
      <c r="F144" s="20"/>
      <c r="G144" s="20"/>
      <c r="H144" s="20"/>
      <c r="I144" s="18">
        <f t="shared" si="0"/>
        <v>0</v>
      </c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 spans="1:31">
      <c r="A145" s="19"/>
      <c r="B145" s="20"/>
      <c r="C145" s="18" t="str">
        <f ca="1">IFERROR(__xludf.DUMMYFUNCTION("IF(ISBLANK(B145),,IFERROR(FILTER('Leetcode分类顺序表'!B:D,'Leetcode分类顺序表'!A:A = B145),FILTER(Algoexpert.io!B:D,Algoexpert.io!A:A = B145)))"),"")</f>
        <v/>
      </c>
      <c r="D145" s="20"/>
      <c r="E145" s="20"/>
      <c r="F145" s="20"/>
      <c r="G145" s="20"/>
      <c r="H145" s="20"/>
      <c r="I145" s="18">
        <f t="shared" si="0"/>
        <v>0</v>
      </c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 spans="1:31">
      <c r="A146" s="19"/>
      <c r="B146" s="20"/>
      <c r="C146" s="18" t="str">
        <f ca="1">IFERROR(__xludf.DUMMYFUNCTION("IF(ISBLANK(B146),,IFERROR(FILTER('Leetcode分类顺序表'!B:D,'Leetcode分类顺序表'!A:A = B146),FILTER(Algoexpert.io!B:D,Algoexpert.io!A:A = B146)))"),"")</f>
        <v/>
      </c>
      <c r="D146" s="20"/>
      <c r="E146" s="20"/>
      <c r="F146" s="20"/>
      <c r="G146" s="20"/>
      <c r="H146" s="20"/>
      <c r="I146" s="18">
        <f t="shared" si="0"/>
        <v>0</v>
      </c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 spans="1:31">
      <c r="A147" s="19"/>
      <c r="B147" s="20"/>
      <c r="C147" s="18" t="str">
        <f ca="1">IFERROR(__xludf.DUMMYFUNCTION("IF(ISBLANK(B147),,IFERROR(FILTER('Leetcode分类顺序表'!B:D,'Leetcode分类顺序表'!A:A = B147),FILTER(Algoexpert.io!B:D,Algoexpert.io!A:A = B147)))"),"")</f>
        <v/>
      </c>
      <c r="D147" s="20"/>
      <c r="E147" s="20"/>
      <c r="F147" s="20"/>
      <c r="G147" s="20"/>
      <c r="H147" s="20"/>
      <c r="I147" s="18">
        <f t="shared" si="0"/>
        <v>0</v>
      </c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 spans="1:31">
      <c r="A148" s="19"/>
      <c r="B148" s="20"/>
      <c r="C148" s="18" t="str">
        <f ca="1">IFERROR(__xludf.DUMMYFUNCTION("IF(ISBLANK(B148),,IFERROR(FILTER('Leetcode分类顺序表'!B:D,'Leetcode分类顺序表'!A:A = B148),FILTER(Algoexpert.io!B:D,Algoexpert.io!A:A = B148)))"),"")</f>
        <v/>
      </c>
      <c r="D148" s="20"/>
      <c r="E148" s="20"/>
      <c r="F148" s="20"/>
      <c r="G148" s="20"/>
      <c r="H148" s="20"/>
      <c r="I148" s="18">
        <f t="shared" si="0"/>
        <v>0</v>
      </c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 spans="1:31">
      <c r="A149" s="19"/>
      <c r="B149" s="20"/>
      <c r="C149" s="18" t="str">
        <f ca="1">IFERROR(__xludf.DUMMYFUNCTION("IF(ISBLANK(B149),,IFERROR(FILTER('Leetcode分类顺序表'!B:D,'Leetcode分类顺序表'!A:A = B149),FILTER(Algoexpert.io!B:D,Algoexpert.io!A:A = B149)))"),"")</f>
        <v/>
      </c>
      <c r="D149" s="20"/>
      <c r="E149" s="20"/>
      <c r="F149" s="20"/>
      <c r="G149" s="20"/>
      <c r="H149" s="20"/>
      <c r="I149" s="18">
        <f t="shared" si="0"/>
        <v>0</v>
      </c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 spans="1:31">
      <c r="A150" s="19"/>
      <c r="B150" s="20"/>
      <c r="C150" s="18" t="str">
        <f ca="1">IFERROR(__xludf.DUMMYFUNCTION("IF(ISBLANK(B150),,IFERROR(FILTER('Leetcode分类顺序表'!B:D,'Leetcode分类顺序表'!A:A = B150),FILTER(Algoexpert.io!B:D,Algoexpert.io!A:A = B150)))"),"")</f>
        <v/>
      </c>
      <c r="D150" s="20"/>
      <c r="E150" s="20"/>
      <c r="F150" s="20"/>
      <c r="G150" s="20"/>
      <c r="H150" s="20"/>
      <c r="I150" s="18">
        <f t="shared" si="0"/>
        <v>0</v>
      </c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 spans="1:31">
      <c r="A151" s="19"/>
      <c r="B151" s="20"/>
      <c r="C151" s="18" t="str">
        <f ca="1">IFERROR(__xludf.DUMMYFUNCTION("IF(ISBLANK(B151),,IFERROR(FILTER('Leetcode分类顺序表'!B:D,'Leetcode分类顺序表'!A:A = B151),FILTER(Algoexpert.io!B:D,Algoexpert.io!A:A = B151)))"),"")</f>
        <v/>
      </c>
      <c r="D151" s="20"/>
      <c r="E151" s="20"/>
      <c r="F151" s="20"/>
      <c r="G151" s="20"/>
      <c r="H151" s="20"/>
      <c r="I151" s="18">
        <f t="shared" si="0"/>
        <v>0</v>
      </c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 spans="1:31">
      <c r="A152" s="19"/>
      <c r="B152" s="20"/>
      <c r="C152" s="18" t="str">
        <f ca="1">IFERROR(__xludf.DUMMYFUNCTION("IF(ISBLANK(B152),,IFERROR(FILTER('Leetcode分类顺序表'!B:D,'Leetcode分类顺序表'!A:A = B152),FILTER(Algoexpert.io!B:D,Algoexpert.io!A:A = B152)))"),"")</f>
        <v/>
      </c>
      <c r="D152" s="20"/>
      <c r="E152" s="20"/>
      <c r="F152" s="20"/>
      <c r="G152" s="20"/>
      <c r="H152" s="20"/>
      <c r="I152" s="18">
        <f t="shared" si="0"/>
        <v>0</v>
      </c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 spans="1:31">
      <c r="A153" s="19"/>
      <c r="B153" s="20"/>
      <c r="C153" s="18" t="str">
        <f ca="1">IFERROR(__xludf.DUMMYFUNCTION("IF(ISBLANK(B153),,IFERROR(FILTER('Leetcode分类顺序表'!B:D,'Leetcode分类顺序表'!A:A = B153),FILTER(Algoexpert.io!B:D,Algoexpert.io!A:A = B153)))"),"")</f>
        <v/>
      </c>
      <c r="D153" s="20"/>
      <c r="E153" s="20"/>
      <c r="F153" s="20"/>
      <c r="G153" s="20"/>
      <c r="H153" s="20"/>
      <c r="I153" s="18">
        <f t="shared" si="0"/>
        <v>0</v>
      </c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 spans="1:31">
      <c r="A154" s="19"/>
      <c r="B154" s="20"/>
      <c r="C154" s="18" t="str">
        <f ca="1">IFERROR(__xludf.DUMMYFUNCTION("IF(ISBLANK(B154),,IFERROR(FILTER('Leetcode分类顺序表'!B:D,'Leetcode分类顺序表'!A:A = B154),FILTER(Algoexpert.io!B:D,Algoexpert.io!A:A = B154)))"),"")</f>
        <v/>
      </c>
      <c r="D154" s="20"/>
      <c r="E154" s="20"/>
      <c r="F154" s="20"/>
      <c r="G154" s="20"/>
      <c r="H154" s="20"/>
      <c r="I154" s="18">
        <f t="shared" si="0"/>
        <v>0</v>
      </c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 spans="1:31">
      <c r="A155" s="19"/>
      <c r="B155" s="20"/>
      <c r="C155" s="18" t="str">
        <f ca="1">IFERROR(__xludf.DUMMYFUNCTION("IF(ISBLANK(B155),,IFERROR(FILTER('Leetcode分类顺序表'!B:D,'Leetcode分类顺序表'!A:A = B155),FILTER(Algoexpert.io!B:D,Algoexpert.io!A:A = B155)))"),"")</f>
        <v/>
      </c>
      <c r="D155" s="20"/>
      <c r="E155" s="20"/>
      <c r="F155" s="20"/>
      <c r="G155" s="20"/>
      <c r="H155" s="20"/>
      <c r="I155" s="18">
        <f t="shared" si="0"/>
        <v>0</v>
      </c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</row>
    <row r="156" spans="1:31">
      <c r="A156" s="19"/>
      <c r="B156" s="20"/>
      <c r="C156" s="18" t="str">
        <f ca="1">IFERROR(__xludf.DUMMYFUNCTION("IF(ISBLANK(B156),,IFERROR(FILTER('Leetcode分类顺序表'!B:D,'Leetcode分类顺序表'!A:A = B156),FILTER(Algoexpert.io!B:D,Algoexpert.io!A:A = B156)))"),"")</f>
        <v/>
      </c>
      <c r="D156" s="20"/>
      <c r="E156" s="20"/>
      <c r="F156" s="20"/>
      <c r="G156" s="20"/>
      <c r="H156" s="20"/>
      <c r="I156" s="18">
        <f t="shared" si="0"/>
        <v>0</v>
      </c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</row>
    <row r="157" spans="1:31">
      <c r="A157" s="19"/>
      <c r="B157" s="20"/>
      <c r="C157" s="18" t="str">
        <f ca="1">IFERROR(__xludf.DUMMYFUNCTION("IF(ISBLANK(B157),,IFERROR(FILTER('Leetcode分类顺序表'!B:D,'Leetcode分类顺序表'!A:A = B157),FILTER(Algoexpert.io!B:D,Algoexpert.io!A:A = B157)))"),"")</f>
        <v/>
      </c>
      <c r="D157" s="20"/>
      <c r="E157" s="20"/>
      <c r="F157" s="20"/>
      <c r="G157" s="20"/>
      <c r="H157" s="20"/>
      <c r="I157" s="18">
        <f t="shared" si="0"/>
        <v>0</v>
      </c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 spans="1:31">
      <c r="A158" s="19"/>
      <c r="B158" s="20"/>
      <c r="C158" s="18" t="str">
        <f ca="1">IFERROR(__xludf.DUMMYFUNCTION("IF(ISBLANK(B158),,IFERROR(FILTER('Leetcode分类顺序表'!B:D,'Leetcode分类顺序表'!A:A = B158),FILTER(Algoexpert.io!B:D,Algoexpert.io!A:A = B158)))"),"")</f>
        <v/>
      </c>
      <c r="D158" s="20"/>
      <c r="E158" s="20"/>
      <c r="F158" s="20"/>
      <c r="G158" s="20"/>
      <c r="H158" s="20"/>
      <c r="I158" s="18">
        <f t="shared" si="0"/>
        <v>0</v>
      </c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 spans="1:31">
      <c r="A159" s="19"/>
      <c r="B159" s="20"/>
      <c r="C159" s="18" t="str">
        <f ca="1">IFERROR(__xludf.DUMMYFUNCTION("IF(ISBLANK(B159),,IFERROR(FILTER('Leetcode分类顺序表'!B:D,'Leetcode分类顺序表'!A:A = B159),FILTER(Algoexpert.io!B:D,Algoexpert.io!A:A = B159)))"),"")</f>
        <v/>
      </c>
      <c r="D159" s="20"/>
      <c r="E159" s="20"/>
      <c r="F159" s="20"/>
      <c r="G159" s="20"/>
      <c r="H159" s="20"/>
      <c r="I159" s="18">
        <f t="shared" si="0"/>
        <v>0</v>
      </c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 spans="1:31">
      <c r="A160" s="19"/>
      <c r="B160" s="20"/>
      <c r="C160" s="18" t="str">
        <f ca="1">IFERROR(__xludf.DUMMYFUNCTION("IF(ISBLANK(B160),,IFERROR(FILTER('Leetcode分类顺序表'!B:D,'Leetcode分类顺序表'!A:A = B160),FILTER(Algoexpert.io!B:D,Algoexpert.io!A:A = B160)))"),"")</f>
        <v/>
      </c>
      <c r="D160" s="20"/>
      <c r="E160" s="20"/>
      <c r="F160" s="20"/>
      <c r="G160" s="20"/>
      <c r="H160" s="20"/>
      <c r="I160" s="18">
        <f t="shared" si="0"/>
        <v>0</v>
      </c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 spans="1:31">
      <c r="A161" s="19"/>
      <c r="B161" s="20"/>
      <c r="C161" s="18" t="str">
        <f ca="1">IFERROR(__xludf.DUMMYFUNCTION("IF(ISBLANK(B161),,IFERROR(FILTER('Leetcode分类顺序表'!B:D,'Leetcode分类顺序表'!A:A = B161),FILTER(Algoexpert.io!B:D,Algoexpert.io!A:A = B161)))"),"")</f>
        <v/>
      </c>
      <c r="D161" s="20"/>
      <c r="E161" s="20"/>
      <c r="F161" s="20"/>
      <c r="G161" s="20"/>
      <c r="H161" s="20"/>
      <c r="I161" s="18">
        <f t="shared" si="0"/>
        <v>0</v>
      </c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 spans="1:31">
      <c r="A162" s="19"/>
      <c r="B162" s="20"/>
      <c r="C162" s="18" t="str">
        <f ca="1">IFERROR(__xludf.DUMMYFUNCTION("IF(ISBLANK(B162),,IFERROR(FILTER('Leetcode分类顺序表'!B:D,'Leetcode分类顺序表'!A:A = B162),FILTER(Algoexpert.io!B:D,Algoexpert.io!A:A = B162)))"),"")</f>
        <v/>
      </c>
      <c r="D162" s="20"/>
      <c r="E162" s="20"/>
      <c r="F162" s="20"/>
      <c r="G162" s="20"/>
      <c r="H162" s="20"/>
      <c r="I162" s="18">
        <f t="shared" si="0"/>
        <v>0</v>
      </c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</row>
    <row r="163" spans="1:31">
      <c r="A163" s="19"/>
      <c r="B163" s="20"/>
      <c r="C163" s="18" t="str">
        <f ca="1">IFERROR(__xludf.DUMMYFUNCTION("IF(ISBLANK(B163),,IFERROR(FILTER('Leetcode分类顺序表'!B:D,'Leetcode分类顺序表'!A:A = B163),FILTER(Algoexpert.io!B:D,Algoexpert.io!A:A = B163)))"),"")</f>
        <v/>
      </c>
      <c r="D163" s="20"/>
      <c r="E163" s="20"/>
      <c r="F163" s="20"/>
      <c r="G163" s="20"/>
      <c r="H163" s="20"/>
      <c r="I163" s="18">
        <f t="shared" si="0"/>
        <v>0</v>
      </c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</row>
    <row r="164" spans="1:31">
      <c r="A164" s="19"/>
      <c r="B164" s="20"/>
      <c r="C164" s="18" t="str">
        <f ca="1">IFERROR(__xludf.DUMMYFUNCTION("IF(ISBLANK(B164),,IFERROR(FILTER('Leetcode分类顺序表'!B:D,'Leetcode分类顺序表'!A:A = B164),FILTER(Algoexpert.io!B:D,Algoexpert.io!A:A = B164)))"),"")</f>
        <v/>
      </c>
      <c r="D164" s="20"/>
      <c r="E164" s="20"/>
      <c r="F164" s="20"/>
      <c r="G164" s="20"/>
      <c r="H164" s="20"/>
      <c r="I164" s="18">
        <f t="shared" si="0"/>
        <v>0</v>
      </c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</row>
    <row r="165" spans="1:31">
      <c r="A165" s="19"/>
      <c r="B165" s="20"/>
      <c r="C165" s="18" t="str">
        <f ca="1">IFERROR(__xludf.DUMMYFUNCTION("IF(ISBLANK(B165),,IFERROR(FILTER('Leetcode分类顺序表'!B:D,'Leetcode分类顺序表'!A:A = B165),FILTER(Algoexpert.io!B:D,Algoexpert.io!A:A = B165)))"),"")</f>
        <v/>
      </c>
      <c r="D165" s="20"/>
      <c r="E165" s="20"/>
      <c r="F165" s="20"/>
      <c r="G165" s="20"/>
      <c r="H165" s="20"/>
      <c r="I165" s="18">
        <f t="shared" si="0"/>
        <v>0</v>
      </c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 spans="1:31">
      <c r="A166" s="19"/>
      <c r="B166" s="20"/>
      <c r="C166" s="18" t="str">
        <f ca="1">IFERROR(__xludf.DUMMYFUNCTION("IF(ISBLANK(B166),,IFERROR(FILTER('Leetcode分类顺序表'!B:D,'Leetcode分类顺序表'!A:A = B166),FILTER(Algoexpert.io!B:D,Algoexpert.io!A:A = B166)))"),"")</f>
        <v/>
      </c>
      <c r="D166" s="20"/>
      <c r="E166" s="20"/>
      <c r="F166" s="20"/>
      <c r="G166" s="20"/>
      <c r="H166" s="20"/>
      <c r="I166" s="18">
        <f t="shared" si="0"/>
        <v>0</v>
      </c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</row>
    <row r="167" spans="1:31">
      <c r="A167" s="19"/>
      <c r="B167" s="20"/>
      <c r="C167" s="18" t="str">
        <f ca="1">IFERROR(__xludf.DUMMYFUNCTION("IF(ISBLANK(B167),,IFERROR(FILTER('Leetcode分类顺序表'!B:D,'Leetcode分类顺序表'!A:A = B167),FILTER(Algoexpert.io!B:D,Algoexpert.io!A:A = B167)))"),"")</f>
        <v/>
      </c>
      <c r="D167" s="20"/>
      <c r="E167" s="20"/>
      <c r="F167" s="20"/>
      <c r="G167" s="20"/>
      <c r="H167" s="20"/>
      <c r="I167" s="18">
        <f t="shared" si="0"/>
        <v>0</v>
      </c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</row>
    <row r="168" spans="1:31">
      <c r="A168" s="19"/>
      <c r="B168" s="20"/>
      <c r="C168" s="18" t="str">
        <f ca="1">IFERROR(__xludf.DUMMYFUNCTION("IF(ISBLANK(B168),,IFERROR(FILTER('Leetcode分类顺序表'!B:D,'Leetcode分类顺序表'!A:A = B168),FILTER(Algoexpert.io!B:D,Algoexpert.io!A:A = B168)))"),"")</f>
        <v/>
      </c>
      <c r="D168" s="20"/>
      <c r="E168" s="20"/>
      <c r="F168" s="20"/>
      <c r="G168" s="20"/>
      <c r="H168" s="20"/>
      <c r="I168" s="18">
        <f t="shared" si="0"/>
        <v>0</v>
      </c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</row>
    <row r="169" spans="1:31">
      <c r="A169" s="19"/>
      <c r="B169" s="20"/>
      <c r="C169" s="18" t="str">
        <f ca="1">IFERROR(__xludf.DUMMYFUNCTION("IF(ISBLANK(B169),,IFERROR(FILTER('Leetcode分类顺序表'!B:D,'Leetcode分类顺序表'!A:A = B169),FILTER(Algoexpert.io!B:D,Algoexpert.io!A:A = B169)))"),"")</f>
        <v/>
      </c>
      <c r="D169" s="20"/>
      <c r="E169" s="20"/>
      <c r="F169" s="20"/>
      <c r="G169" s="20"/>
      <c r="H169" s="20"/>
      <c r="I169" s="18">
        <f t="shared" si="0"/>
        <v>0</v>
      </c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</row>
    <row r="170" spans="1:31">
      <c r="A170" s="19"/>
      <c r="B170" s="20"/>
      <c r="C170" s="18" t="str">
        <f ca="1">IFERROR(__xludf.DUMMYFUNCTION("IF(ISBLANK(B170),,IFERROR(FILTER('Leetcode分类顺序表'!B:D,'Leetcode分类顺序表'!A:A = B170),FILTER(Algoexpert.io!B:D,Algoexpert.io!A:A = B170)))"),"")</f>
        <v/>
      </c>
      <c r="D170" s="20"/>
      <c r="E170" s="20"/>
      <c r="F170" s="20"/>
      <c r="G170" s="20"/>
      <c r="H170" s="20"/>
      <c r="I170" s="18">
        <f t="shared" si="0"/>
        <v>0</v>
      </c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</row>
    <row r="171" spans="1:31">
      <c r="A171" s="19"/>
      <c r="B171" s="20"/>
      <c r="C171" s="18" t="str">
        <f ca="1">IFERROR(__xludf.DUMMYFUNCTION("IF(ISBLANK(B171),,IFERROR(FILTER('Leetcode分类顺序表'!B:D,'Leetcode分类顺序表'!A:A = B171),FILTER(Algoexpert.io!B:D,Algoexpert.io!A:A = B171)))"),"")</f>
        <v/>
      </c>
      <c r="D171" s="20"/>
      <c r="E171" s="20"/>
      <c r="F171" s="20"/>
      <c r="G171" s="20"/>
      <c r="H171" s="20"/>
      <c r="I171" s="18">
        <f t="shared" si="0"/>
        <v>0</v>
      </c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 spans="1:31">
      <c r="A172" s="19"/>
      <c r="B172" s="20"/>
      <c r="C172" s="18" t="str">
        <f ca="1">IFERROR(__xludf.DUMMYFUNCTION("IF(ISBLANK(B172),,IFERROR(FILTER('Leetcode分类顺序表'!B:D,'Leetcode分类顺序表'!A:A = B172),FILTER(Algoexpert.io!B:D,Algoexpert.io!A:A = B172)))"),"")</f>
        <v/>
      </c>
      <c r="D172" s="20"/>
      <c r="E172" s="20"/>
      <c r="F172" s="20"/>
      <c r="G172" s="20"/>
      <c r="H172" s="20"/>
      <c r="I172" s="18">
        <f t="shared" si="0"/>
        <v>0</v>
      </c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</row>
    <row r="173" spans="1:31">
      <c r="A173" s="19"/>
      <c r="B173" s="20"/>
      <c r="C173" s="18" t="str">
        <f ca="1">IFERROR(__xludf.DUMMYFUNCTION("IF(ISBLANK(B173),,IFERROR(FILTER('Leetcode分类顺序表'!B:D,'Leetcode分类顺序表'!A:A = B173),FILTER(Algoexpert.io!B:D,Algoexpert.io!A:A = B173)))"),"")</f>
        <v/>
      </c>
      <c r="D173" s="20"/>
      <c r="E173" s="20"/>
      <c r="F173" s="20"/>
      <c r="G173" s="20"/>
      <c r="H173" s="20"/>
      <c r="I173" s="18">
        <f t="shared" si="0"/>
        <v>0</v>
      </c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</row>
    <row r="174" spans="1:31">
      <c r="A174" s="19"/>
      <c r="B174" s="20"/>
      <c r="C174" s="18" t="str">
        <f ca="1">IFERROR(__xludf.DUMMYFUNCTION("IF(ISBLANK(B174),,IFERROR(FILTER('Leetcode分类顺序表'!B:D,'Leetcode分类顺序表'!A:A = B174),FILTER(Algoexpert.io!B:D,Algoexpert.io!A:A = B174)))"),"")</f>
        <v/>
      </c>
      <c r="D174" s="20"/>
      <c r="E174" s="20"/>
      <c r="F174" s="20"/>
      <c r="G174" s="20"/>
      <c r="H174" s="20"/>
      <c r="I174" s="18">
        <f t="shared" si="0"/>
        <v>0</v>
      </c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</row>
    <row r="175" spans="1:31">
      <c r="A175" s="19"/>
      <c r="B175" s="20"/>
      <c r="C175" s="18" t="str">
        <f ca="1">IFERROR(__xludf.DUMMYFUNCTION("IF(ISBLANK(B175),,IFERROR(FILTER('Leetcode分类顺序表'!B:D,'Leetcode分类顺序表'!A:A = B175),FILTER(Algoexpert.io!B:D,Algoexpert.io!A:A = B175)))"),"")</f>
        <v/>
      </c>
      <c r="D175" s="20"/>
      <c r="E175" s="20"/>
      <c r="F175" s="20"/>
      <c r="G175" s="20"/>
      <c r="H175" s="20"/>
      <c r="I175" s="18">
        <f t="shared" si="0"/>
        <v>0</v>
      </c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</row>
    <row r="176" spans="1:31">
      <c r="A176" s="19"/>
      <c r="B176" s="20"/>
      <c r="C176" s="18" t="str">
        <f ca="1">IFERROR(__xludf.DUMMYFUNCTION("IF(ISBLANK(B176),,IFERROR(FILTER('Leetcode分类顺序表'!B:D,'Leetcode分类顺序表'!A:A = B176),FILTER(Algoexpert.io!B:D,Algoexpert.io!A:A = B176)))"),"")</f>
        <v/>
      </c>
      <c r="D176" s="20"/>
      <c r="E176" s="20"/>
      <c r="F176" s="20"/>
      <c r="G176" s="20"/>
      <c r="H176" s="20"/>
      <c r="I176" s="18">
        <f t="shared" si="0"/>
        <v>0</v>
      </c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</row>
    <row r="177" spans="1:31">
      <c r="A177" s="19"/>
      <c r="B177" s="20"/>
      <c r="C177" s="18" t="str">
        <f ca="1">IFERROR(__xludf.DUMMYFUNCTION("IF(ISBLANK(B177),,IFERROR(FILTER('Leetcode分类顺序表'!B:D,'Leetcode分类顺序表'!A:A = B177),FILTER(Algoexpert.io!B:D,Algoexpert.io!A:A = B177)))"),"")</f>
        <v/>
      </c>
      <c r="D177" s="20"/>
      <c r="E177" s="20"/>
      <c r="F177" s="20"/>
      <c r="G177" s="20"/>
      <c r="H177" s="20"/>
      <c r="I177" s="18">
        <f t="shared" si="0"/>
        <v>0</v>
      </c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</row>
    <row r="178" spans="1:31">
      <c r="A178" s="19"/>
      <c r="B178" s="20"/>
      <c r="C178" s="18" t="str">
        <f ca="1">IFERROR(__xludf.DUMMYFUNCTION("IF(ISBLANK(B178),,IFERROR(FILTER('Leetcode分类顺序表'!B:D,'Leetcode分类顺序表'!A:A = B178),FILTER(Algoexpert.io!B:D,Algoexpert.io!A:A = B178)))"),"")</f>
        <v/>
      </c>
      <c r="D178" s="20"/>
      <c r="E178" s="20"/>
      <c r="F178" s="20"/>
      <c r="G178" s="20"/>
      <c r="H178" s="20"/>
      <c r="I178" s="18">
        <f t="shared" si="0"/>
        <v>0</v>
      </c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 spans="1:31">
      <c r="A179" s="19"/>
      <c r="B179" s="20"/>
      <c r="C179" s="18" t="str">
        <f ca="1">IFERROR(__xludf.DUMMYFUNCTION("IF(ISBLANK(B179),,IFERROR(FILTER('Leetcode分类顺序表'!B:D,'Leetcode分类顺序表'!A:A = B179),FILTER(Algoexpert.io!B:D,Algoexpert.io!A:A = B179)))"),"")</f>
        <v/>
      </c>
      <c r="D179" s="20"/>
      <c r="E179" s="20"/>
      <c r="F179" s="20"/>
      <c r="G179" s="20"/>
      <c r="H179" s="20"/>
      <c r="I179" s="18">
        <f t="shared" si="0"/>
        <v>0</v>
      </c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 spans="1:31">
      <c r="A180" s="19"/>
      <c r="B180" s="20"/>
      <c r="C180" s="18" t="str">
        <f ca="1">IFERROR(__xludf.DUMMYFUNCTION("IF(ISBLANK(B180),,FILTER('Leetcode分类顺序表'!B:D,'Leetcode分类顺序表'!A:A = B180))"),"")</f>
        <v/>
      </c>
      <c r="D180" s="20"/>
      <c r="E180" s="20"/>
      <c r="F180" s="20"/>
      <c r="G180" s="20"/>
      <c r="H180" s="20"/>
      <c r="I180" s="18">
        <f t="shared" si="0"/>
        <v>0</v>
      </c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</row>
    <row r="181" spans="1:31">
      <c r="A181" s="19"/>
      <c r="B181" s="20"/>
      <c r="C181" s="18" t="str">
        <f ca="1">IFERROR(__xludf.DUMMYFUNCTION("IF(ISBLANK(B181),,FILTER('Leetcode分类顺序表'!B:D,'Leetcode分类顺序表'!A:A = B181))"),"")</f>
        <v/>
      </c>
      <c r="D181" s="20"/>
      <c r="E181" s="20"/>
      <c r="F181" s="20"/>
      <c r="G181" s="20"/>
      <c r="H181" s="20"/>
      <c r="I181" s="18">
        <f t="shared" si="0"/>
        <v>0</v>
      </c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</row>
    <row r="182" spans="1:31">
      <c r="A182" s="19"/>
      <c r="B182" s="20"/>
      <c r="C182" s="18" t="str">
        <f ca="1">IFERROR(__xludf.DUMMYFUNCTION("IF(ISBLANK(B182),,FILTER('Leetcode分类顺序表'!B:D,'Leetcode分类顺序表'!A:A = B182))"),"")</f>
        <v/>
      </c>
      <c r="D182" s="20"/>
      <c r="E182" s="20"/>
      <c r="F182" s="20"/>
      <c r="G182" s="20"/>
      <c r="H182" s="20"/>
      <c r="I182" s="18">
        <f t="shared" si="0"/>
        <v>0</v>
      </c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</row>
    <row r="183" spans="1:31">
      <c r="A183" s="19"/>
      <c r="B183" s="20"/>
      <c r="C183" s="18" t="str">
        <f ca="1">IFERROR(__xludf.DUMMYFUNCTION("IF(ISBLANK(B183),,FILTER('Leetcode分类顺序表'!B:D,'Leetcode分类顺序表'!A:A = B183))"),"")</f>
        <v/>
      </c>
      <c r="D183" s="20"/>
      <c r="E183" s="20"/>
      <c r="F183" s="20"/>
      <c r="G183" s="20"/>
      <c r="H183" s="20"/>
      <c r="I183" s="18">
        <f t="shared" si="0"/>
        <v>0</v>
      </c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</row>
    <row r="184" spans="1:31">
      <c r="A184" s="19"/>
      <c r="B184" s="20"/>
      <c r="C184" s="18" t="str">
        <f ca="1">IFERROR(__xludf.DUMMYFUNCTION("IF(ISBLANK(B184),,FILTER('Leetcode分类顺序表'!B:D,'Leetcode分类顺序表'!A:A = B184))"),"")</f>
        <v/>
      </c>
      <c r="D184" s="20"/>
      <c r="E184" s="20"/>
      <c r="F184" s="20"/>
      <c r="G184" s="20"/>
      <c r="H184" s="20"/>
      <c r="I184" s="18">
        <f t="shared" si="0"/>
        <v>0</v>
      </c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</row>
    <row r="185" spans="1:31">
      <c r="A185" s="19"/>
      <c r="B185" s="20"/>
      <c r="C185" s="18" t="str">
        <f ca="1">IFERROR(__xludf.DUMMYFUNCTION("IF(ISBLANK(B185),,FILTER('Leetcode分类顺序表'!B:D,'Leetcode分类顺序表'!A:A = B185))"),"")</f>
        <v/>
      </c>
      <c r="D185" s="20"/>
      <c r="E185" s="20"/>
      <c r="F185" s="20"/>
      <c r="G185" s="20"/>
      <c r="H185" s="20"/>
      <c r="I185" s="18">
        <f t="shared" si="0"/>
        <v>0</v>
      </c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 spans="1:31">
      <c r="A186" s="19"/>
      <c r="B186" s="20"/>
      <c r="C186" s="18" t="str">
        <f ca="1">IFERROR(__xludf.DUMMYFUNCTION("IF(ISBLANK(B186),,FILTER('Leetcode分类顺序表'!B:D,'Leetcode分类顺序表'!A:A = B186))"),"")</f>
        <v/>
      </c>
      <c r="D186" s="20"/>
      <c r="E186" s="20"/>
      <c r="F186" s="20"/>
      <c r="G186" s="20"/>
      <c r="H186" s="20"/>
      <c r="I186" s="18">
        <f t="shared" si="0"/>
        <v>0</v>
      </c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 spans="1:31">
      <c r="A187" s="19"/>
      <c r="B187" s="20"/>
      <c r="C187" s="18" t="str">
        <f ca="1">IFERROR(__xludf.DUMMYFUNCTION("IF(ISBLANK(B187),,FILTER('Leetcode分类顺序表'!B:D,'Leetcode分类顺序表'!A:A = B187))"),"")</f>
        <v/>
      </c>
      <c r="D187" s="20"/>
      <c r="E187" s="20"/>
      <c r="F187" s="20"/>
      <c r="G187" s="20"/>
      <c r="H187" s="20"/>
      <c r="I187" s="18">
        <f t="shared" si="0"/>
        <v>0</v>
      </c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</row>
    <row r="188" spans="1:31">
      <c r="A188" s="19"/>
      <c r="B188" s="20"/>
      <c r="C188" s="18" t="str">
        <f ca="1">IFERROR(__xludf.DUMMYFUNCTION("IF(ISBLANK(B188),,FILTER('Leetcode分类顺序表'!B:D,'Leetcode分类顺序表'!A:A = B188))"),"")</f>
        <v/>
      </c>
      <c r="D188" s="20"/>
      <c r="E188" s="20"/>
      <c r="F188" s="20"/>
      <c r="G188" s="20"/>
      <c r="H188" s="20"/>
      <c r="I188" s="18">
        <f t="shared" si="0"/>
        <v>0</v>
      </c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</row>
    <row r="189" spans="1:31">
      <c r="A189" s="19"/>
      <c r="B189" s="20"/>
      <c r="C189" s="18" t="str">
        <f ca="1">IFERROR(__xludf.DUMMYFUNCTION("IF(ISBLANK(B189),,FILTER('Leetcode分类顺序表'!B:D,'Leetcode分类顺序表'!A:A = B189))"),"")</f>
        <v/>
      </c>
      <c r="D189" s="20"/>
      <c r="E189" s="20"/>
      <c r="F189" s="20"/>
      <c r="G189" s="20"/>
      <c r="H189" s="20"/>
      <c r="I189" s="18">
        <f t="shared" si="0"/>
        <v>0</v>
      </c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</row>
    <row r="190" spans="1:31">
      <c r="A190" s="19"/>
      <c r="B190" s="20"/>
      <c r="C190" s="18" t="str">
        <f ca="1">IFERROR(__xludf.DUMMYFUNCTION("IF(ISBLANK(B190),,FILTER('Leetcode分类顺序表'!B:D,'Leetcode分类顺序表'!A:A = B190))"),"")</f>
        <v/>
      </c>
      <c r="D190" s="20"/>
      <c r="E190" s="20"/>
      <c r="F190" s="20"/>
      <c r="G190" s="20"/>
      <c r="H190" s="20"/>
      <c r="I190" s="18">
        <f t="shared" si="0"/>
        <v>0</v>
      </c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</row>
    <row r="191" spans="1:31">
      <c r="A191" s="19"/>
      <c r="B191" s="20"/>
      <c r="C191" s="18" t="str">
        <f ca="1">IFERROR(__xludf.DUMMYFUNCTION("IF(ISBLANK(B191),,FILTER('Leetcode分类顺序表'!B:D,'Leetcode分类顺序表'!A:A = B191))"),"")</f>
        <v/>
      </c>
      <c r="D191" s="20"/>
      <c r="E191" s="20"/>
      <c r="F191" s="20"/>
      <c r="G191" s="20"/>
      <c r="H191" s="20"/>
      <c r="I191" s="18">
        <f t="shared" si="0"/>
        <v>0</v>
      </c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</row>
    <row r="192" spans="1:31">
      <c r="A192" s="19"/>
      <c r="B192" s="20"/>
      <c r="C192" s="18" t="str">
        <f ca="1">IFERROR(__xludf.DUMMYFUNCTION("IF(ISBLANK(B192),,FILTER('Leetcode分类顺序表'!B:D,'Leetcode分类顺序表'!A:A = B192))"),"")</f>
        <v/>
      </c>
      <c r="D192" s="20"/>
      <c r="E192" s="20"/>
      <c r="F192" s="20"/>
      <c r="G192" s="20"/>
      <c r="H192" s="20"/>
      <c r="I192" s="18">
        <f t="shared" si="0"/>
        <v>0</v>
      </c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</row>
    <row r="193" spans="1:31">
      <c r="A193" s="19"/>
      <c r="B193" s="20"/>
      <c r="C193" s="18" t="str">
        <f ca="1">IFERROR(__xludf.DUMMYFUNCTION("IF(ISBLANK(B193),,FILTER('Leetcode分类顺序表'!B:D,'Leetcode分类顺序表'!A:A = B193))"),"")</f>
        <v/>
      </c>
      <c r="D193" s="20"/>
      <c r="E193" s="20"/>
      <c r="F193" s="20"/>
      <c r="G193" s="20"/>
      <c r="H193" s="20"/>
      <c r="I193" s="18">
        <f t="shared" si="0"/>
        <v>0</v>
      </c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</row>
    <row r="194" spans="1:31">
      <c r="A194" s="19"/>
      <c r="B194" s="20"/>
      <c r="C194" s="18" t="str">
        <f ca="1">IFERROR(__xludf.DUMMYFUNCTION("IF(ISBLANK(B194),,FILTER('Leetcode分类顺序表'!B:D,'Leetcode分类顺序表'!A:A = B194))"),"")</f>
        <v/>
      </c>
      <c r="D194" s="20"/>
      <c r="E194" s="20"/>
      <c r="F194" s="20"/>
      <c r="G194" s="20"/>
      <c r="H194" s="20"/>
      <c r="I194" s="18">
        <f t="shared" si="0"/>
        <v>0</v>
      </c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</row>
    <row r="195" spans="1:31">
      <c r="A195" s="19"/>
      <c r="B195" s="20"/>
      <c r="C195" s="18" t="str">
        <f ca="1">IFERROR(__xludf.DUMMYFUNCTION("IF(ISBLANK(B195),,FILTER('Leetcode分类顺序表'!B:D,'Leetcode分类顺序表'!A:A = B195))"),"")</f>
        <v/>
      </c>
      <c r="D195" s="20"/>
      <c r="E195" s="20"/>
      <c r="F195" s="20"/>
      <c r="G195" s="20"/>
      <c r="H195" s="20"/>
      <c r="I195" s="18">
        <f t="shared" si="0"/>
        <v>0</v>
      </c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</row>
    <row r="196" spans="1:31">
      <c r="A196" s="19"/>
      <c r="B196" s="20"/>
      <c r="C196" s="18" t="str">
        <f ca="1">IFERROR(__xludf.DUMMYFUNCTION("IF(ISBLANK(B196),,FILTER('Leetcode分类顺序表'!B:D,'Leetcode分类顺序表'!A:A = B196))"),"")</f>
        <v/>
      </c>
      <c r="D196" s="20"/>
      <c r="E196" s="20"/>
      <c r="F196" s="20"/>
      <c r="G196" s="20"/>
      <c r="H196" s="20"/>
      <c r="I196" s="18">
        <f t="shared" si="0"/>
        <v>0</v>
      </c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</row>
    <row r="197" spans="1:31">
      <c r="A197" s="19"/>
      <c r="B197" s="20"/>
      <c r="C197" s="18" t="str">
        <f ca="1">IFERROR(__xludf.DUMMYFUNCTION("IF(ISBLANK(B197),,FILTER('Leetcode分类顺序表'!B:D,'Leetcode分类顺序表'!A:A = B197))"),"")</f>
        <v/>
      </c>
      <c r="D197" s="20"/>
      <c r="E197" s="20"/>
      <c r="F197" s="20"/>
      <c r="G197" s="20"/>
      <c r="H197" s="20"/>
      <c r="I197" s="18">
        <f t="shared" si="0"/>
        <v>0</v>
      </c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</row>
    <row r="198" spans="1:31">
      <c r="A198" s="19"/>
      <c r="B198" s="20"/>
      <c r="C198" s="18" t="str">
        <f ca="1">IFERROR(__xludf.DUMMYFUNCTION("IF(ISBLANK(B198),,FILTER('Leetcode分类顺序表'!B:D,'Leetcode分类顺序表'!A:A = B198))"),"")</f>
        <v/>
      </c>
      <c r="D198" s="20"/>
      <c r="E198" s="20"/>
      <c r="F198" s="20"/>
      <c r="G198" s="20"/>
      <c r="H198" s="20"/>
      <c r="I198" s="18">
        <f t="shared" si="0"/>
        <v>0</v>
      </c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</row>
    <row r="199" spans="1:31">
      <c r="A199" s="19"/>
      <c r="B199" s="20"/>
      <c r="C199" s="18" t="str">
        <f ca="1">IFERROR(__xludf.DUMMYFUNCTION("IF(ISBLANK(B199),,FILTER('Leetcode分类顺序表'!B:D,'Leetcode分类顺序表'!A:A = B199))"),"")</f>
        <v/>
      </c>
      <c r="D199" s="20"/>
      <c r="E199" s="20"/>
      <c r="F199" s="20"/>
      <c r="G199" s="20"/>
      <c r="H199" s="20"/>
      <c r="I199" s="18">
        <f t="shared" si="0"/>
        <v>0</v>
      </c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 spans="1:31">
      <c r="A200" s="19"/>
      <c r="B200" s="20"/>
      <c r="C200" s="18" t="str">
        <f ca="1">IFERROR(__xludf.DUMMYFUNCTION("IF(ISBLANK(B200),,FILTER('Leetcode分类顺序表'!B:D,'Leetcode分类顺序表'!A:A = B200))"),"")</f>
        <v/>
      </c>
      <c r="D200" s="20"/>
      <c r="E200" s="20"/>
      <c r="F200" s="20"/>
      <c r="G200" s="20"/>
      <c r="H200" s="20"/>
      <c r="I200" s="18">
        <f t="shared" si="0"/>
        <v>0</v>
      </c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 spans="1:31">
      <c r="A201" s="19"/>
      <c r="B201" s="20"/>
      <c r="C201" s="18" t="str">
        <f ca="1">IFERROR(__xludf.DUMMYFUNCTION("IF(ISBLANK(B201),,FILTER('Leetcode分类顺序表'!B:D,'Leetcode分类顺序表'!A:A = B201))"),"")</f>
        <v/>
      </c>
      <c r="D201" s="20"/>
      <c r="E201" s="20"/>
      <c r="F201" s="20"/>
      <c r="G201" s="20"/>
      <c r="H201" s="20"/>
      <c r="I201" s="18">
        <f t="shared" si="0"/>
        <v>0</v>
      </c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</row>
    <row r="202" spans="1:31">
      <c r="A202" s="19"/>
      <c r="B202" s="20"/>
      <c r="C202" s="18" t="str">
        <f ca="1">IFERROR(__xludf.DUMMYFUNCTION("IF(ISBLANK(B202),,FILTER('Leetcode分类顺序表'!B:D,'Leetcode分类顺序表'!A:A = B202))"),"")</f>
        <v/>
      </c>
      <c r="D202" s="20"/>
      <c r="E202" s="20"/>
      <c r="F202" s="20"/>
      <c r="G202" s="20"/>
      <c r="H202" s="20"/>
      <c r="I202" s="18">
        <f t="shared" si="0"/>
        <v>0</v>
      </c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</row>
    <row r="203" spans="1:31">
      <c r="A203" s="19"/>
      <c r="B203" s="20"/>
      <c r="C203" s="18" t="str">
        <f ca="1">IFERROR(__xludf.DUMMYFUNCTION("IF(ISBLANK(B203),,FILTER('Leetcode分类顺序表'!B:D,'Leetcode分类顺序表'!A:A = B203))"),"")</f>
        <v/>
      </c>
      <c r="D203" s="20"/>
      <c r="E203" s="20"/>
      <c r="F203" s="20"/>
      <c r="G203" s="20"/>
      <c r="H203" s="20"/>
      <c r="I203" s="18">
        <f t="shared" si="0"/>
        <v>0</v>
      </c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</row>
    <row r="204" spans="1:31">
      <c r="A204" s="19"/>
      <c r="B204" s="20"/>
      <c r="C204" s="18" t="str">
        <f ca="1">IFERROR(__xludf.DUMMYFUNCTION("IF(ISBLANK(B204),,FILTER('Leetcode分类顺序表'!B:D,'Leetcode分类顺序表'!A:A = B204))"),"")</f>
        <v/>
      </c>
      <c r="D204" s="20"/>
      <c r="E204" s="20"/>
      <c r="F204" s="20"/>
      <c r="G204" s="20"/>
      <c r="H204" s="20"/>
      <c r="I204" s="18">
        <f t="shared" si="0"/>
        <v>0</v>
      </c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</row>
    <row r="205" spans="1:31">
      <c r="A205" s="19"/>
      <c r="B205" s="20"/>
      <c r="C205" s="18" t="str">
        <f ca="1">IFERROR(__xludf.DUMMYFUNCTION("IF(ISBLANK(B205),,FILTER('Leetcode分类顺序表'!B:D,'Leetcode分类顺序表'!A:A = B205))"),"")</f>
        <v/>
      </c>
      <c r="D205" s="20"/>
      <c r="E205" s="20"/>
      <c r="F205" s="20"/>
      <c r="G205" s="20"/>
      <c r="H205" s="20"/>
      <c r="I205" s="18">
        <f t="shared" si="0"/>
        <v>0</v>
      </c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</row>
    <row r="206" spans="1:31">
      <c r="A206" s="19"/>
      <c r="B206" s="20"/>
      <c r="C206" s="18" t="str">
        <f ca="1">IFERROR(__xludf.DUMMYFUNCTION("IF(ISBLANK(B206),,FILTER('Leetcode分类顺序表'!B:D,'Leetcode分类顺序表'!A:A = B206))"),"")</f>
        <v/>
      </c>
      <c r="D206" s="20"/>
      <c r="E206" s="20"/>
      <c r="F206" s="20"/>
      <c r="G206" s="20"/>
      <c r="H206" s="20"/>
      <c r="I206" s="18">
        <f t="shared" si="0"/>
        <v>0</v>
      </c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</row>
    <row r="207" spans="1:31">
      <c r="A207" s="19"/>
      <c r="B207" s="20"/>
      <c r="C207" s="18" t="str">
        <f ca="1">IFERROR(__xludf.DUMMYFUNCTION("IF(ISBLANK(B207),,FILTER('Leetcode分类顺序表'!B:D,'Leetcode分类顺序表'!A:A = B207))"),"")</f>
        <v/>
      </c>
      <c r="D207" s="20"/>
      <c r="E207" s="20"/>
      <c r="F207" s="20"/>
      <c r="G207" s="20"/>
      <c r="H207" s="20"/>
      <c r="I207" s="18">
        <f t="shared" si="0"/>
        <v>0</v>
      </c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</row>
    <row r="208" spans="1:31">
      <c r="A208" s="19"/>
      <c r="B208" s="20"/>
      <c r="C208" s="18" t="str">
        <f ca="1">IFERROR(__xludf.DUMMYFUNCTION("IF(ISBLANK(B208),,FILTER('Leetcode分类顺序表'!B:D,'Leetcode分类顺序表'!A:A = B208))"),"")</f>
        <v/>
      </c>
      <c r="D208" s="20"/>
      <c r="E208" s="20"/>
      <c r="F208" s="20"/>
      <c r="G208" s="20"/>
      <c r="H208" s="20"/>
      <c r="I208" s="18">
        <f t="shared" si="0"/>
        <v>0</v>
      </c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</row>
    <row r="209" spans="1:31">
      <c r="A209" s="19"/>
      <c r="B209" s="20"/>
      <c r="C209" s="18" t="str">
        <f ca="1">IFERROR(__xludf.DUMMYFUNCTION("IF(ISBLANK(B209),,FILTER('Leetcode分类顺序表'!B:D,'Leetcode分类顺序表'!A:A = B209))"),"")</f>
        <v/>
      </c>
      <c r="D209" s="20"/>
      <c r="E209" s="20"/>
      <c r="F209" s="20"/>
      <c r="G209" s="20"/>
      <c r="H209" s="20"/>
      <c r="I209" s="18">
        <f t="shared" si="0"/>
        <v>0</v>
      </c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</row>
    <row r="210" spans="1:31">
      <c r="A210" s="19"/>
      <c r="B210" s="20"/>
      <c r="C210" s="18" t="str">
        <f ca="1">IFERROR(__xludf.DUMMYFUNCTION("IF(ISBLANK(B210),,FILTER('Leetcode分类顺序表'!B:D,'Leetcode分类顺序表'!A:A = B210))"),"")</f>
        <v/>
      </c>
      <c r="D210" s="20"/>
      <c r="E210" s="20"/>
      <c r="F210" s="20"/>
      <c r="G210" s="20"/>
      <c r="H210" s="20"/>
      <c r="I210" s="18">
        <f t="shared" si="0"/>
        <v>0</v>
      </c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</row>
    <row r="211" spans="1:31">
      <c r="A211" s="19"/>
      <c r="B211" s="20"/>
      <c r="C211" s="18" t="str">
        <f ca="1">IFERROR(__xludf.DUMMYFUNCTION("IF(ISBLANK(B211),,FILTER('Leetcode分类顺序表'!B:D,'Leetcode分类顺序表'!A:A = B211))"),"")</f>
        <v/>
      </c>
      <c r="D211" s="20"/>
      <c r="E211" s="20"/>
      <c r="F211" s="20"/>
      <c r="G211" s="20"/>
      <c r="H211" s="20"/>
      <c r="I211" s="18">
        <f t="shared" si="0"/>
        <v>0</v>
      </c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</row>
    <row r="212" spans="1:31">
      <c r="A212" s="19"/>
      <c r="B212" s="20"/>
      <c r="C212" s="18" t="str">
        <f ca="1">IFERROR(__xludf.DUMMYFUNCTION("IF(ISBLANK(B212),,FILTER('Leetcode分类顺序表'!B:D,'Leetcode分类顺序表'!A:A = B212))"),"")</f>
        <v/>
      </c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</row>
    <row r="213" spans="1:31">
      <c r="A213" s="19"/>
      <c r="B213" s="20"/>
      <c r="C213" s="18" t="str">
        <f ca="1">IFERROR(__xludf.DUMMYFUNCTION("IF(ISBLANK(B213),,FILTER('Leetcode分类顺序表'!B:D,'Leetcode分类顺序表'!A:A = B213))"),"")</f>
        <v/>
      </c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</row>
    <row r="214" spans="1:31">
      <c r="A214" s="19"/>
      <c r="B214" s="20"/>
      <c r="C214" s="18" t="str">
        <f ca="1">IFERROR(__xludf.DUMMYFUNCTION("IF(ISBLANK(B214),,FILTER('Leetcode分类顺序表'!B:D,'Leetcode分类顺序表'!A:A = B214))"),"")</f>
        <v/>
      </c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</row>
    <row r="215" spans="1:31">
      <c r="A215" s="19"/>
      <c r="B215" s="20"/>
      <c r="C215" s="18" t="str">
        <f ca="1">IFERROR(__xludf.DUMMYFUNCTION("IF(ISBLANK(B215),,FILTER('Leetcode分类顺序表'!B:D,'Leetcode分类顺序表'!A:A = B215))"),"")</f>
        <v/>
      </c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</row>
    <row r="216" spans="1:31">
      <c r="A216" s="19"/>
      <c r="B216" s="20"/>
      <c r="C216" s="18" t="str">
        <f ca="1">IFERROR(__xludf.DUMMYFUNCTION("IF(ISBLANK(B216),,FILTER('Leetcode分类顺序表'!B:D,'Leetcode分类顺序表'!A:A = B216))"),"")</f>
        <v/>
      </c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</row>
    <row r="217" spans="1:31">
      <c r="A217" s="19"/>
      <c r="B217" s="20"/>
      <c r="C217" s="18" t="str">
        <f ca="1">IFERROR(__xludf.DUMMYFUNCTION("IF(ISBLANK(B217),,FILTER('Leetcode分类顺序表'!B:D,'Leetcode分类顺序表'!A:A = B217))"),"")</f>
        <v/>
      </c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</row>
    <row r="218" spans="1:31">
      <c r="A218" s="19"/>
      <c r="B218" s="20"/>
      <c r="C218" s="18" t="str">
        <f ca="1">IFERROR(__xludf.DUMMYFUNCTION("IF(ISBLANK(B218),,FILTER('Leetcode分类顺序表'!B:D,'Leetcode分类顺序表'!A:A = B218))"),"")</f>
        <v/>
      </c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</row>
    <row r="219" spans="1:31">
      <c r="A219" s="19"/>
      <c r="B219" s="20"/>
      <c r="C219" s="18" t="str">
        <f ca="1">IFERROR(__xludf.DUMMYFUNCTION("IF(ISBLANK(B219),,FILTER('Leetcode分类顺序表'!B:D,'Leetcode分类顺序表'!A:A = B219))"),"")</f>
        <v/>
      </c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</row>
    <row r="220" spans="1:31">
      <c r="A220" s="19"/>
      <c r="B220" s="20"/>
      <c r="C220" s="18" t="str">
        <f ca="1">IFERROR(__xludf.DUMMYFUNCTION("IF(ISBLANK(B220),,FILTER('Leetcode分类顺序表'!B:D,'Leetcode分类顺序表'!A:A = B220))"),"")</f>
        <v/>
      </c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</row>
    <row r="221" spans="1:31">
      <c r="A221" s="19"/>
      <c r="B221" s="20"/>
      <c r="C221" s="18" t="str">
        <f ca="1">IFERROR(__xludf.DUMMYFUNCTION("IF(ISBLANK(B221),,FILTER('Leetcode分类顺序表'!B:D,'Leetcode分类顺序表'!A:A = B221))"),"")</f>
        <v/>
      </c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</row>
    <row r="222" spans="1:31">
      <c r="A222" s="19"/>
      <c r="B222" s="20"/>
      <c r="C222" s="18" t="str">
        <f ca="1">IFERROR(__xludf.DUMMYFUNCTION("IF(ISBLANK(B222),,FILTER('Leetcode分类顺序表'!B:D,'Leetcode分类顺序表'!A:A = B222))"),"")</f>
        <v/>
      </c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</row>
    <row r="223" spans="1:31">
      <c r="A223" s="19"/>
      <c r="B223" s="20"/>
      <c r="C223" s="18" t="str">
        <f ca="1">IFERROR(__xludf.DUMMYFUNCTION("IF(ISBLANK(B223),,FILTER('Leetcode分类顺序表'!B:D,'Leetcode分类顺序表'!A:A = B223))"),"")</f>
        <v/>
      </c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</row>
    <row r="224" spans="1:31">
      <c r="A224" s="19"/>
      <c r="B224" s="20"/>
      <c r="C224" s="18" t="str">
        <f ca="1">IFERROR(__xludf.DUMMYFUNCTION("IF(ISBLANK(B224),,FILTER('Leetcode分类顺序表'!B:D,'Leetcode分类顺序表'!A:A = B224))"),"")</f>
        <v/>
      </c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</row>
    <row r="225" spans="1:31">
      <c r="A225" s="19"/>
      <c r="B225" s="20"/>
      <c r="C225" s="18" t="str">
        <f ca="1">IFERROR(__xludf.DUMMYFUNCTION("IF(ISBLANK(B225),,FILTER('Leetcode分类顺序表'!B:D,'Leetcode分类顺序表'!A:A = B225))"),"")</f>
        <v/>
      </c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</row>
    <row r="226" spans="1:31">
      <c r="A226" s="19"/>
      <c r="B226" s="20"/>
      <c r="C226" s="18" t="str">
        <f ca="1">IFERROR(__xludf.DUMMYFUNCTION("IF(ISBLANK(B226),,FILTER('Leetcode分类顺序表'!B:D,'Leetcode分类顺序表'!A:A = B226))"),"")</f>
        <v/>
      </c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</row>
    <row r="227" spans="1:31">
      <c r="A227" s="19"/>
      <c r="B227" s="20"/>
      <c r="C227" s="18" t="str">
        <f ca="1">IFERROR(__xludf.DUMMYFUNCTION("IF(ISBLANK(B227),,FILTER('Leetcode分类顺序表'!B:D,'Leetcode分类顺序表'!A:A = B227))"),"")</f>
        <v/>
      </c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</row>
    <row r="228" spans="1:31">
      <c r="A228" s="19"/>
      <c r="B228" s="20"/>
      <c r="C228" s="18" t="str">
        <f ca="1">IFERROR(__xludf.DUMMYFUNCTION("IF(ISBLANK(B228),,FILTER('Leetcode分类顺序表'!B:D,'Leetcode分类顺序表'!A:A = B228))"),"")</f>
        <v/>
      </c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</row>
    <row r="229" spans="1:31">
      <c r="A229" s="19"/>
      <c r="B229" s="20"/>
      <c r="C229" s="18" t="str">
        <f ca="1">IFERROR(__xludf.DUMMYFUNCTION("IF(ISBLANK(B229),,FILTER('Leetcode分类顺序表'!B:D,'Leetcode分类顺序表'!A:A = B229))"),"")</f>
        <v/>
      </c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</row>
    <row r="230" spans="1:31">
      <c r="A230" s="19"/>
      <c r="B230" s="20"/>
      <c r="C230" s="18" t="str">
        <f ca="1">IFERROR(__xludf.DUMMYFUNCTION("IF(ISBLANK(B230),,FILTER('Leetcode分类顺序表'!B:D,'Leetcode分类顺序表'!A:A = B230))"),"")</f>
        <v/>
      </c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</row>
    <row r="231" spans="1:31">
      <c r="A231" s="19"/>
      <c r="B231" s="20"/>
      <c r="C231" s="18" t="str">
        <f ca="1">IFERROR(__xludf.DUMMYFUNCTION("IF(ISBLANK(B231),,FILTER('Leetcode分类顺序表'!B:D,'Leetcode分类顺序表'!A:A = B231))"),"")</f>
        <v/>
      </c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</row>
    <row r="232" spans="1:31">
      <c r="A232" s="19"/>
      <c r="B232" s="20"/>
      <c r="C232" s="18" t="str">
        <f ca="1">IFERROR(__xludf.DUMMYFUNCTION("IF(ISBLANK(B232),,FILTER('Leetcode分类顺序表'!B:D,'Leetcode分类顺序表'!A:A = B232))"),"")</f>
        <v/>
      </c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</row>
    <row r="233" spans="1:31">
      <c r="A233" s="19"/>
      <c r="B233" s="20"/>
      <c r="C233" s="18" t="str">
        <f ca="1">IFERROR(__xludf.DUMMYFUNCTION("IF(ISBLANK(B233),,FILTER('Leetcode分类顺序表'!B:D,'Leetcode分类顺序表'!A:A = B233))"),"")</f>
        <v/>
      </c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</row>
    <row r="234" spans="1:31">
      <c r="A234" s="19"/>
      <c r="B234" s="20"/>
      <c r="C234" s="18" t="str">
        <f ca="1">IFERROR(__xludf.DUMMYFUNCTION("IF(ISBLANK(B234),,FILTER('Leetcode分类顺序表'!B:D,'Leetcode分类顺序表'!A:A = B234))"),"")</f>
        <v/>
      </c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</row>
    <row r="235" spans="1:31">
      <c r="A235" s="19"/>
      <c r="B235" s="20"/>
      <c r="C235" s="18" t="str">
        <f ca="1">IFERROR(__xludf.DUMMYFUNCTION("IF(ISBLANK(B235),,FILTER('Leetcode分类顺序表'!B:D,'Leetcode分类顺序表'!A:A = B235))"),"")</f>
        <v/>
      </c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</row>
    <row r="236" spans="1:31">
      <c r="A236" s="19"/>
      <c r="B236" s="20"/>
      <c r="C236" s="18" t="str">
        <f ca="1">IFERROR(__xludf.DUMMYFUNCTION("IF(ISBLANK(B236),,FILTER('Leetcode分类顺序表'!B:D,'Leetcode分类顺序表'!A:A = B236))"),"")</f>
        <v/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</row>
    <row r="237" spans="1:31">
      <c r="A237" s="19"/>
      <c r="B237" s="20"/>
      <c r="C237" s="18" t="str">
        <f ca="1">IFERROR(__xludf.DUMMYFUNCTION("IF(ISBLANK(B237),,FILTER('Leetcode分类顺序表'!B:D,'Leetcode分类顺序表'!A:A = B237))"),"")</f>
        <v/>
      </c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</row>
    <row r="238" spans="1:31">
      <c r="A238" s="19"/>
      <c r="B238" s="20"/>
      <c r="C238" s="18" t="str">
        <f ca="1">IFERROR(__xludf.DUMMYFUNCTION("IF(ISBLANK(B238),,FILTER('Leetcode分类顺序表'!B:D,'Leetcode分类顺序表'!A:A = B238))"),"")</f>
        <v/>
      </c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</row>
    <row r="239" spans="1:31">
      <c r="A239" s="19"/>
      <c r="B239" s="20"/>
      <c r="C239" s="18" t="str">
        <f ca="1">IFERROR(__xludf.DUMMYFUNCTION("IF(ISBLANK(B239),,FILTER('Leetcode分类顺序表'!B:D,'Leetcode分类顺序表'!A:A = B239))"),"")</f>
        <v/>
      </c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</row>
    <row r="240" spans="1:31">
      <c r="A240" s="19"/>
      <c r="B240" s="20"/>
      <c r="C240" s="18" t="str">
        <f ca="1">IFERROR(__xludf.DUMMYFUNCTION("IF(ISBLANK(B240),,FILTER('Leetcode分类顺序表'!B:D,'Leetcode分类顺序表'!A:A = B240))"),"")</f>
        <v/>
      </c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</row>
    <row r="241" spans="1:31">
      <c r="A241" s="19"/>
      <c r="B241" s="20"/>
      <c r="C241" s="18" t="str">
        <f ca="1">IFERROR(__xludf.DUMMYFUNCTION("IF(ISBLANK(B241),,FILTER('Leetcode分类顺序表'!B:D,'Leetcode分类顺序表'!A:A = B241))"),"")</f>
        <v/>
      </c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</row>
    <row r="242" spans="1:31">
      <c r="A242" s="19"/>
      <c r="B242" s="20"/>
      <c r="C242" s="18" t="str">
        <f ca="1">IFERROR(__xludf.DUMMYFUNCTION("IF(ISBLANK(B242),,FILTER('Leetcode分类顺序表'!B:D,'Leetcode分类顺序表'!A:A = B242))"),"")</f>
        <v/>
      </c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</row>
    <row r="243" spans="1:31">
      <c r="A243" s="19"/>
      <c r="B243" s="20"/>
      <c r="C243" s="18" t="str">
        <f ca="1">IFERROR(__xludf.DUMMYFUNCTION("IF(ISBLANK(B243),,FILTER('Leetcode分类顺序表'!B:D,'Leetcode分类顺序表'!A:A = B243))"),"")</f>
        <v/>
      </c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</row>
    <row r="244" spans="1:31">
      <c r="A244" s="19"/>
      <c r="B244" s="20"/>
      <c r="C244" s="18" t="str">
        <f ca="1">IFERROR(__xludf.DUMMYFUNCTION("IF(ISBLANK(B244),,FILTER('Leetcode分类顺序表'!B:D,'Leetcode分类顺序表'!A:A = B244))"),"")</f>
        <v/>
      </c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</row>
    <row r="245" spans="1:31">
      <c r="A245" s="19"/>
      <c r="B245" s="20"/>
      <c r="C245" s="18" t="str">
        <f ca="1">IFERROR(__xludf.DUMMYFUNCTION("IF(ISBLANK(B245),,FILTER('Leetcode分类顺序表'!B:D,'Leetcode分类顺序表'!A:A = B245))"),"")</f>
        <v/>
      </c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</row>
    <row r="246" spans="1:31">
      <c r="A246" s="19"/>
      <c r="B246" s="20"/>
      <c r="C246" s="18" t="str">
        <f ca="1">IFERROR(__xludf.DUMMYFUNCTION("IF(ISBLANK(B246),,FILTER('Leetcode分类顺序表'!B:D,'Leetcode分类顺序表'!A:A = B246))"),"")</f>
        <v/>
      </c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</row>
    <row r="247" spans="1:31">
      <c r="A247" s="19"/>
      <c r="B247" s="20"/>
      <c r="C247" s="18" t="str">
        <f ca="1">IFERROR(__xludf.DUMMYFUNCTION("IF(ISBLANK(B247),,FILTER('Leetcode分类顺序表'!B:D,'Leetcode分类顺序表'!A:A = B247))"),"")</f>
        <v/>
      </c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</row>
    <row r="248" spans="1:31">
      <c r="A248" s="19"/>
      <c r="B248" s="20"/>
      <c r="C248" s="18" t="str">
        <f ca="1">IFERROR(__xludf.DUMMYFUNCTION("IF(ISBLANK(B248),,FILTER('Leetcode分类顺序表'!B:D,'Leetcode分类顺序表'!A:A = B248))"),"")</f>
        <v/>
      </c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</row>
    <row r="249" spans="1:31">
      <c r="A249" s="19"/>
      <c r="B249" s="20"/>
      <c r="C249" s="18" t="str">
        <f ca="1">IFERROR(__xludf.DUMMYFUNCTION("IF(ISBLANK(B249),,FILTER('Leetcode分类顺序表'!B:D,'Leetcode分类顺序表'!A:A = B249))"),"")</f>
        <v/>
      </c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</row>
    <row r="250" spans="1:31">
      <c r="A250" s="19"/>
      <c r="B250" s="20"/>
      <c r="C250" s="18" t="str">
        <f ca="1">IFERROR(__xludf.DUMMYFUNCTION("IF(ISBLANK(B250),,FILTER('Leetcode分类顺序表'!B:D,'Leetcode分类顺序表'!A:A = B250))"),"")</f>
        <v/>
      </c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</row>
    <row r="251" spans="1:31">
      <c r="A251" s="19"/>
      <c r="B251" s="20"/>
      <c r="C251" s="18" t="str">
        <f ca="1">IFERROR(__xludf.DUMMYFUNCTION("IF(ISBLANK(B251),,FILTER('Leetcode分类顺序表'!B:D,'Leetcode分类顺序表'!A:A = B251))"),"")</f>
        <v/>
      </c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</row>
    <row r="252" spans="1:31">
      <c r="A252" s="19"/>
      <c r="B252" s="20"/>
      <c r="C252" s="18" t="str">
        <f ca="1">IFERROR(__xludf.DUMMYFUNCTION("IF(ISBLANK(B252),,FILTER('Leetcode分类顺序表'!B:D,'Leetcode分类顺序表'!A:A = B252))"),"")</f>
        <v/>
      </c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</row>
    <row r="253" spans="1:31">
      <c r="A253" s="19"/>
      <c r="B253" s="20"/>
      <c r="C253" s="18" t="str">
        <f ca="1">IFERROR(__xludf.DUMMYFUNCTION("IF(ISBLANK(B253),,FILTER('Leetcode分类顺序表'!B:D,'Leetcode分类顺序表'!A:A = B253))"),"")</f>
        <v/>
      </c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</row>
    <row r="254" spans="1:31">
      <c r="A254" s="19"/>
      <c r="B254" s="20"/>
      <c r="C254" s="18" t="str">
        <f ca="1">IFERROR(__xludf.DUMMYFUNCTION("IF(ISBLANK(B254),,FILTER('Leetcode分类顺序表'!B:D,'Leetcode分类顺序表'!A:A = B254))"),"")</f>
        <v/>
      </c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</row>
    <row r="255" spans="1:31">
      <c r="A255" s="19"/>
      <c r="B255" s="20"/>
      <c r="C255" s="18" t="str">
        <f ca="1">IFERROR(__xludf.DUMMYFUNCTION("IF(ISBLANK(B255),,FILTER('Leetcode分类顺序表'!B:D,'Leetcode分类顺序表'!A:A = B255))"),"")</f>
        <v/>
      </c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</row>
    <row r="256" spans="1:31">
      <c r="A256" s="19"/>
      <c r="B256" s="20"/>
      <c r="C256" s="18" t="str">
        <f ca="1">IFERROR(__xludf.DUMMYFUNCTION("IF(ISBLANK(B256),,FILTER('Leetcode分类顺序表'!B:D,'Leetcode分类顺序表'!A:A = B256))"),"")</f>
        <v/>
      </c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</row>
    <row r="257" spans="1:31">
      <c r="A257" s="19"/>
      <c r="B257" s="20"/>
      <c r="C257" s="18" t="str">
        <f ca="1">IFERROR(__xludf.DUMMYFUNCTION("IF(ISBLANK(B257),,FILTER('Leetcode分类顺序表'!B:D,'Leetcode分类顺序表'!A:A = B257))"),"")</f>
        <v/>
      </c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</row>
    <row r="258" spans="1:31">
      <c r="A258" s="19"/>
      <c r="B258" s="20"/>
      <c r="C258" s="18" t="str">
        <f ca="1">IFERROR(__xludf.DUMMYFUNCTION("IF(ISBLANK(B258),,FILTER('Leetcode分类顺序表'!B:D,'Leetcode分类顺序表'!A:A = B258))"),"")</f>
        <v/>
      </c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</row>
    <row r="259" spans="1:31">
      <c r="A259" s="19"/>
      <c r="B259" s="20"/>
      <c r="C259" s="18" t="str">
        <f ca="1">IFERROR(__xludf.DUMMYFUNCTION("IF(ISBLANK(B259),,FILTER('Leetcode分类顺序表'!B:D,'Leetcode分类顺序表'!A:A = B259))"),"")</f>
        <v/>
      </c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</row>
    <row r="260" spans="1:31">
      <c r="A260" s="19"/>
      <c r="B260" s="20"/>
      <c r="C260" s="18" t="str">
        <f ca="1">IFERROR(__xludf.DUMMYFUNCTION("IF(ISBLANK(B260),,FILTER('Leetcode分类顺序表'!B:D,'Leetcode分类顺序表'!A:A = B260))"),"")</f>
        <v/>
      </c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</row>
    <row r="261" spans="1:31">
      <c r="A261" s="19"/>
      <c r="B261" s="20"/>
      <c r="C261" s="18" t="str">
        <f ca="1">IFERROR(__xludf.DUMMYFUNCTION("IF(ISBLANK(B261),,FILTER('Leetcode分类顺序表'!B:D,'Leetcode分类顺序表'!A:A = B261))"),"")</f>
        <v/>
      </c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</row>
    <row r="262" spans="1:31">
      <c r="A262" s="19"/>
      <c r="B262" s="20"/>
      <c r="C262" s="18" t="str">
        <f ca="1">IFERROR(__xludf.DUMMYFUNCTION("IF(ISBLANK(B262),,FILTER('Leetcode分类顺序表'!B:D,'Leetcode分类顺序表'!A:A = B262))"),"")</f>
        <v/>
      </c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</row>
    <row r="263" spans="1:31">
      <c r="A263" s="19"/>
      <c r="B263" s="20"/>
      <c r="C263" s="18" t="str">
        <f ca="1">IFERROR(__xludf.DUMMYFUNCTION("IF(ISBLANK(B263),,FILTER('Leetcode分类顺序表'!B:D,'Leetcode分类顺序表'!A:A = B263))"),"")</f>
        <v/>
      </c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</row>
    <row r="264" spans="1:31">
      <c r="A264" s="19"/>
      <c r="B264" s="20"/>
      <c r="C264" s="18" t="str">
        <f ca="1">IFERROR(__xludf.DUMMYFUNCTION("IF(ISBLANK(B264),,FILTER('Leetcode分类顺序表'!B:D,'Leetcode分类顺序表'!A:A = B264))"),"")</f>
        <v/>
      </c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</row>
    <row r="265" spans="1:31">
      <c r="A265" s="19"/>
      <c r="B265" s="20"/>
      <c r="C265" s="18" t="str">
        <f ca="1">IFERROR(__xludf.DUMMYFUNCTION("IF(ISBLANK(B265),,FILTER('Leetcode分类顺序表'!B:D,'Leetcode分类顺序表'!A:A = B265))"),"")</f>
        <v/>
      </c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</row>
    <row r="266" spans="1:31">
      <c r="A266" s="19"/>
      <c r="B266" s="20"/>
      <c r="C266" s="18" t="str">
        <f ca="1">IFERROR(__xludf.DUMMYFUNCTION("IF(ISBLANK(B266),,FILTER('Leetcode分类顺序表'!B:D,'Leetcode分类顺序表'!A:A = B266))"),"")</f>
        <v/>
      </c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</row>
    <row r="267" spans="1:31">
      <c r="A267" s="19"/>
      <c r="B267" s="20"/>
      <c r="C267" s="18" t="str">
        <f ca="1">IFERROR(__xludf.DUMMYFUNCTION("IF(ISBLANK(B267),,FILTER('Leetcode分类顺序表'!B:D,'Leetcode分类顺序表'!A:A = B267))"),"")</f>
        <v/>
      </c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</row>
    <row r="268" spans="1:31">
      <c r="A268" s="19"/>
      <c r="B268" s="20"/>
      <c r="C268" s="18" t="str">
        <f ca="1">IFERROR(__xludf.DUMMYFUNCTION("IF(ISBLANK(B268),,FILTER('Leetcode分类顺序表'!B:D,'Leetcode分类顺序表'!A:A = B268))"),"")</f>
        <v/>
      </c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</row>
    <row r="269" spans="1:31">
      <c r="A269" s="19"/>
      <c r="B269" s="20"/>
      <c r="C269" s="18" t="str">
        <f ca="1">IFERROR(__xludf.DUMMYFUNCTION("IF(ISBLANK(B269),,FILTER('Leetcode分类顺序表'!B:D,'Leetcode分类顺序表'!A:A = B269))"),"")</f>
        <v/>
      </c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</row>
    <row r="270" spans="1:31">
      <c r="A270" s="19"/>
      <c r="B270" s="20"/>
      <c r="C270" s="18" t="str">
        <f ca="1">IFERROR(__xludf.DUMMYFUNCTION("IF(ISBLANK(B270),,FILTER('Leetcode分类顺序表'!B:D,'Leetcode分类顺序表'!A:A = B270))"),"")</f>
        <v/>
      </c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</row>
    <row r="271" spans="1:31">
      <c r="A271" s="19"/>
      <c r="B271" s="20"/>
      <c r="C271" s="18" t="str">
        <f ca="1">IFERROR(__xludf.DUMMYFUNCTION("IF(ISBLANK(B271),,FILTER('Leetcode分类顺序表'!B:D,'Leetcode分类顺序表'!A:A = B271))"),"")</f>
        <v/>
      </c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</row>
    <row r="272" spans="1:31">
      <c r="A272" s="19"/>
      <c r="B272" s="20"/>
      <c r="C272" s="18" t="str">
        <f ca="1">IFERROR(__xludf.DUMMYFUNCTION("IF(ISBLANK(B272),,FILTER('Leetcode分类顺序表'!B:D,'Leetcode分类顺序表'!A:A = B272))"),"")</f>
        <v/>
      </c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</row>
    <row r="273" spans="1:31">
      <c r="A273" s="19"/>
      <c r="B273" s="20"/>
      <c r="C273" s="18" t="str">
        <f ca="1">IFERROR(__xludf.DUMMYFUNCTION("IF(ISBLANK(B273),,FILTER('Leetcode分类顺序表'!B:D,'Leetcode分类顺序表'!A:A = B273))"),"")</f>
        <v/>
      </c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</row>
    <row r="274" spans="1:31">
      <c r="A274" s="19"/>
      <c r="B274" s="20"/>
      <c r="C274" s="18" t="str">
        <f ca="1">IFERROR(__xludf.DUMMYFUNCTION("IF(ISBLANK(B274),,FILTER('Leetcode分类顺序表'!B:D,'Leetcode分类顺序表'!A:A = B274))"),"")</f>
        <v/>
      </c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</row>
    <row r="275" spans="1:31">
      <c r="A275" s="19"/>
      <c r="B275" s="20"/>
      <c r="C275" s="18" t="str">
        <f ca="1">IFERROR(__xludf.DUMMYFUNCTION("IF(ISBLANK(B275),,FILTER('Leetcode分类顺序表'!B:D,'Leetcode分类顺序表'!A:A = B275))"),"")</f>
        <v/>
      </c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</row>
    <row r="276" spans="1:31">
      <c r="A276" s="19"/>
      <c r="B276" s="20"/>
      <c r="C276" s="18" t="str">
        <f ca="1">IFERROR(__xludf.DUMMYFUNCTION("IF(ISBLANK(B276),,FILTER('Leetcode分类顺序表'!B:D,'Leetcode分类顺序表'!A:A = B276))"),"")</f>
        <v/>
      </c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</row>
    <row r="277" spans="1:31">
      <c r="A277" s="19"/>
      <c r="B277" s="20"/>
      <c r="C277" s="18" t="str">
        <f ca="1">IFERROR(__xludf.DUMMYFUNCTION("IF(ISBLANK(B277),,FILTER('Leetcode分类顺序表'!B:D,'Leetcode分类顺序表'!A:A = B277))"),"")</f>
        <v/>
      </c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</row>
    <row r="278" spans="1:31">
      <c r="A278" s="19"/>
      <c r="B278" s="20"/>
      <c r="C278" s="18" t="str">
        <f ca="1">IFERROR(__xludf.DUMMYFUNCTION("IF(ISBLANK(B278),,FILTER('Leetcode分类顺序表'!B:D,'Leetcode分类顺序表'!A:A = B278))"),"")</f>
        <v/>
      </c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</row>
    <row r="279" spans="1:31">
      <c r="A279" s="19"/>
      <c r="B279" s="20"/>
      <c r="C279" s="18" t="str">
        <f ca="1">IFERROR(__xludf.DUMMYFUNCTION("IF(ISBLANK(B279),,FILTER('Leetcode分类顺序表'!B:D,'Leetcode分类顺序表'!A:A = B279))"),"")</f>
        <v/>
      </c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</row>
    <row r="280" spans="1:31">
      <c r="A280" s="19"/>
      <c r="B280" s="20"/>
      <c r="C280" s="18" t="str">
        <f ca="1">IFERROR(__xludf.DUMMYFUNCTION("IF(ISBLANK(B280),,FILTER('Leetcode分类顺序表'!B:D,'Leetcode分类顺序表'!A:A = B280))"),"")</f>
        <v/>
      </c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</row>
    <row r="281" spans="1:31">
      <c r="A281" s="19"/>
      <c r="B281" s="20"/>
      <c r="C281" s="18" t="str">
        <f ca="1">IFERROR(__xludf.DUMMYFUNCTION("IF(ISBLANK(B281),,FILTER('Leetcode分类顺序表'!B:D,'Leetcode分类顺序表'!A:A = B281))"),"")</f>
        <v/>
      </c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</row>
    <row r="282" spans="1:31">
      <c r="A282" s="19"/>
      <c r="B282" s="20"/>
      <c r="C282" s="18" t="str">
        <f ca="1">IFERROR(__xludf.DUMMYFUNCTION("IF(ISBLANK(B282),,FILTER('Leetcode分类顺序表'!B:D,'Leetcode分类顺序表'!A:A = B282))"),"")</f>
        <v/>
      </c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</row>
    <row r="283" spans="1:31">
      <c r="A283" s="19"/>
      <c r="B283" s="20"/>
      <c r="C283" s="18" t="str">
        <f ca="1">IFERROR(__xludf.DUMMYFUNCTION("IF(ISBLANK(B283),,FILTER('Leetcode分类顺序表'!B:D,'Leetcode分类顺序表'!A:A = B283))"),"")</f>
        <v/>
      </c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</row>
    <row r="284" spans="1:31">
      <c r="A284" s="19"/>
      <c r="B284" s="20"/>
      <c r="C284" s="18" t="str">
        <f ca="1">IFERROR(__xludf.DUMMYFUNCTION("IF(ISBLANK(B284),,FILTER('Leetcode分类顺序表'!B:D,'Leetcode分类顺序表'!A:A = B284))"),"")</f>
        <v/>
      </c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</row>
    <row r="285" spans="1:31">
      <c r="A285" s="19"/>
      <c r="B285" s="20"/>
      <c r="C285" s="18" t="str">
        <f ca="1">IFERROR(__xludf.DUMMYFUNCTION("IF(ISBLANK(B285),,FILTER('Leetcode分类顺序表'!B:D,'Leetcode分类顺序表'!A:A = B285))"),"")</f>
        <v/>
      </c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</row>
    <row r="286" spans="1:31">
      <c r="A286" s="19"/>
      <c r="B286" s="20"/>
      <c r="C286" s="18" t="str">
        <f ca="1">IFERROR(__xludf.DUMMYFUNCTION("IF(ISBLANK(B286),,FILTER('Leetcode分类顺序表'!B:D,'Leetcode分类顺序表'!A:A = B286))"),"")</f>
        <v/>
      </c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</row>
    <row r="287" spans="1:31">
      <c r="A287" s="19"/>
      <c r="B287" s="20"/>
      <c r="C287" s="18" t="str">
        <f ca="1">IFERROR(__xludf.DUMMYFUNCTION("IF(ISBLANK(B287),,FILTER('Leetcode分类顺序表'!B:D,'Leetcode分类顺序表'!A:A = B287))"),"")</f>
        <v/>
      </c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</row>
    <row r="288" spans="1:31">
      <c r="A288" s="19"/>
      <c r="B288" s="20"/>
      <c r="C288" s="18" t="str">
        <f ca="1">IFERROR(__xludf.DUMMYFUNCTION("IF(ISBLANK(B288),,FILTER('Leetcode分类顺序表'!B:D,'Leetcode分类顺序表'!A:A = B288))"),"")</f>
        <v/>
      </c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</row>
    <row r="289" spans="1:31">
      <c r="A289" s="19"/>
      <c r="B289" s="20"/>
      <c r="C289" s="18" t="str">
        <f ca="1">IFERROR(__xludf.DUMMYFUNCTION("IF(ISBLANK(B289),,FILTER('Leetcode分类顺序表'!B:D,'Leetcode分类顺序表'!A:A = B289))"),"")</f>
        <v/>
      </c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</row>
    <row r="290" spans="1:31">
      <c r="A290" s="19"/>
      <c r="B290" s="20"/>
      <c r="C290" s="18" t="str">
        <f ca="1">IFERROR(__xludf.DUMMYFUNCTION("IF(ISBLANK(B290),,FILTER('Leetcode分类顺序表'!B:D,'Leetcode分类顺序表'!A:A = B290))"),"")</f>
        <v/>
      </c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</row>
    <row r="291" spans="1:31">
      <c r="A291" s="19"/>
      <c r="B291" s="20"/>
      <c r="C291" s="18" t="str">
        <f ca="1">IFERROR(__xludf.DUMMYFUNCTION("IF(ISBLANK(B291),,FILTER('Leetcode分类顺序表'!B:D,'Leetcode分类顺序表'!A:A = B291))"),"")</f>
        <v/>
      </c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</row>
    <row r="292" spans="1:31">
      <c r="A292" s="19"/>
      <c r="B292" s="20"/>
      <c r="C292" s="18" t="str">
        <f ca="1">IFERROR(__xludf.DUMMYFUNCTION("IF(ISBLANK(B292),,FILTER('Leetcode分类顺序表'!B:D,'Leetcode分类顺序表'!A:A = B292))"),"")</f>
        <v/>
      </c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</row>
    <row r="293" spans="1:31">
      <c r="A293" s="19"/>
      <c r="B293" s="20"/>
      <c r="C293" s="18" t="str">
        <f ca="1">IFERROR(__xludf.DUMMYFUNCTION("IF(ISBLANK(B293),,FILTER('Leetcode分类顺序表'!B:D,'Leetcode分类顺序表'!A:A = B293))"),"")</f>
        <v/>
      </c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</row>
    <row r="294" spans="1:31">
      <c r="A294" s="19"/>
      <c r="B294" s="20"/>
      <c r="C294" s="18" t="str">
        <f ca="1">IFERROR(__xludf.DUMMYFUNCTION("IF(ISBLANK(B294),,FILTER('Leetcode分类顺序表'!B:D,'Leetcode分类顺序表'!A:A = B294))"),"")</f>
        <v/>
      </c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</row>
    <row r="295" spans="1:31">
      <c r="A295" s="19"/>
      <c r="B295" s="20"/>
      <c r="C295" s="18" t="str">
        <f ca="1">IFERROR(__xludf.DUMMYFUNCTION("IF(ISBLANK(B295),,FILTER('Leetcode分类顺序表'!B:D,'Leetcode分类顺序表'!A:A = B295))"),"")</f>
        <v/>
      </c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</row>
    <row r="296" spans="1:31">
      <c r="A296" s="19"/>
      <c r="B296" s="20"/>
      <c r="C296" s="18" t="str">
        <f ca="1">IFERROR(__xludf.DUMMYFUNCTION("IF(ISBLANK(B296),,FILTER('Leetcode分类顺序表'!B:D,'Leetcode分类顺序表'!A:A = B296))"),"")</f>
        <v/>
      </c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</row>
    <row r="297" spans="1:31">
      <c r="A297" s="19"/>
      <c r="B297" s="20"/>
      <c r="C297" s="18" t="str">
        <f ca="1">IFERROR(__xludf.DUMMYFUNCTION("IF(ISBLANK(B297),,FILTER('Leetcode分类顺序表'!B:D,'Leetcode分类顺序表'!A:A = B297))"),"")</f>
        <v/>
      </c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</row>
    <row r="298" spans="1:31">
      <c r="A298" s="19"/>
      <c r="B298" s="20"/>
      <c r="C298" s="18" t="str">
        <f ca="1">IFERROR(__xludf.DUMMYFUNCTION("IF(ISBLANK(B298),,FILTER('Leetcode分类顺序表'!B:D,'Leetcode分类顺序表'!A:A = B298))"),"")</f>
        <v/>
      </c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</row>
    <row r="299" spans="1:31">
      <c r="A299" s="19"/>
      <c r="B299" s="20"/>
      <c r="C299" s="18" t="str">
        <f ca="1">IFERROR(__xludf.DUMMYFUNCTION("IF(ISBLANK(B299),,FILTER('Leetcode分类顺序表'!B:D,'Leetcode分类顺序表'!A:A = B299))"),"")</f>
        <v/>
      </c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</row>
    <row r="300" spans="1:31">
      <c r="A300" s="19"/>
      <c r="B300" s="20"/>
      <c r="C300" s="18" t="str">
        <f ca="1">IFERROR(__xludf.DUMMYFUNCTION("IF(ISBLANK(B300),,FILTER('Leetcode分类顺序表'!B:D,'Leetcode分类顺序表'!A:A = B300))"),"")</f>
        <v/>
      </c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</row>
    <row r="301" spans="1:31">
      <c r="A301" s="19"/>
      <c r="B301" s="20"/>
      <c r="C301" s="18" t="str">
        <f ca="1">IFERROR(__xludf.DUMMYFUNCTION("IF(ISBLANK(B301),,FILTER('Leetcode分类顺序表'!B:D,'Leetcode分类顺序表'!A:A = B301))"),"")</f>
        <v/>
      </c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</row>
    <row r="302" spans="1:31">
      <c r="A302" s="19"/>
      <c r="B302" s="20"/>
      <c r="C302" s="18" t="str">
        <f ca="1">IFERROR(__xludf.DUMMYFUNCTION("IF(ISBLANK(B302),,FILTER('Leetcode分类顺序表'!B:D,'Leetcode分类顺序表'!A:A = B302))"),"")</f>
        <v/>
      </c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</row>
    <row r="303" spans="1:31">
      <c r="A303" s="19"/>
      <c r="B303" s="20"/>
      <c r="C303" s="18" t="str">
        <f ca="1">IFERROR(__xludf.DUMMYFUNCTION("IF(ISBLANK(B303),,FILTER('Leetcode分类顺序表'!B:D,'Leetcode分类顺序表'!A:A = B303))"),"")</f>
        <v/>
      </c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</row>
    <row r="304" spans="1:31">
      <c r="A304" s="19"/>
      <c r="B304" s="20"/>
      <c r="C304" s="18" t="str">
        <f ca="1">IFERROR(__xludf.DUMMYFUNCTION("IF(ISBLANK(B304),,FILTER('Leetcode分类顺序表'!B:D,'Leetcode分类顺序表'!A:A = B304))"),"")</f>
        <v/>
      </c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</row>
    <row r="305" spans="1:31">
      <c r="A305" s="19"/>
      <c r="B305" s="20"/>
      <c r="C305" s="18" t="str">
        <f ca="1">IFERROR(__xludf.DUMMYFUNCTION("IF(ISBLANK(B305),,FILTER('Leetcode分类顺序表'!B:D,'Leetcode分类顺序表'!A:A = B305))"),"")</f>
        <v/>
      </c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</row>
    <row r="306" spans="1:31">
      <c r="A306" s="19"/>
      <c r="B306" s="20"/>
      <c r="C306" s="18" t="str">
        <f ca="1">IFERROR(__xludf.DUMMYFUNCTION("IF(ISBLANK(B306),,FILTER('Leetcode分类顺序表'!B:D,'Leetcode分类顺序表'!A:A = B306))"),"")</f>
        <v/>
      </c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</row>
    <row r="307" spans="1:31">
      <c r="A307" s="19"/>
      <c r="B307" s="20"/>
      <c r="C307" s="18" t="str">
        <f ca="1">IFERROR(__xludf.DUMMYFUNCTION("IF(ISBLANK(B307),,FILTER('Leetcode分类顺序表'!B:D,'Leetcode分类顺序表'!A:A = B307))"),"")</f>
        <v/>
      </c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</row>
    <row r="308" spans="1:31">
      <c r="A308" s="19"/>
      <c r="B308" s="20"/>
      <c r="C308" s="18" t="str">
        <f ca="1">IFERROR(__xludf.DUMMYFUNCTION("IF(ISBLANK(B308),,FILTER('Leetcode分类顺序表'!B:D,'Leetcode分类顺序表'!A:A = B308))"),"")</f>
        <v/>
      </c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</row>
    <row r="309" spans="1:31">
      <c r="A309" s="19"/>
      <c r="B309" s="20"/>
      <c r="C309" s="18" t="str">
        <f ca="1">IFERROR(__xludf.DUMMYFUNCTION("IF(ISBLANK(B309),,FILTER('Leetcode分类顺序表'!B:D,'Leetcode分类顺序表'!A:A = B309))"),"")</f>
        <v/>
      </c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</row>
    <row r="310" spans="1:31">
      <c r="A310" s="19"/>
      <c r="B310" s="20"/>
      <c r="C310" s="18" t="str">
        <f ca="1">IFERROR(__xludf.DUMMYFUNCTION("IF(ISBLANK(B310),,FILTER('Leetcode分类顺序表'!B:D,'Leetcode分类顺序表'!A:A = B310))"),"")</f>
        <v/>
      </c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</row>
    <row r="311" spans="1:31">
      <c r="A311" s="19"/>
      <c r="B311" s="20"/>
      <c r="C311" s="18" t="str">
        <f ca="1">IFERROR(__xludf.DUMMYFUNCTION("IF(ISBLANK(B311),,FILTER('Leetcode分类顺序表'!B:D,'Leetcode分类顺序表'!A:A = B311))"),"")</f>
        <v/>
      </c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</row>
    <row r="312" spans="1:31">
      <c r="A312" s="19"/>
      <c r="B312" s="20"/>
      <c r="C312" s="18" t="str">
        <f ca="1">IFERROR(__xludf.DUMMYFUNCTION("IF(ISBLANK(B312),,FILTER('Leetcode分类顺序表'!B:D,'Leetcode分类顺序表'!A:A = B312))"),"")</f>
        <v/>
      </c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</row>
    <row r="313" spans="1:31">
      <c r="A313" s="19"/>
      <c r="B313" s="20"/>
      <c r="C313" s="18" t="str">
        <f ca="1">IFERROR(__xludf.DUMMYFUNCTION("IF(ISBLANK(B313),,FILTER('Leetcode分类顺序表'!B:D,'Leetcode分类顺序表'!A:A = B313))"),"")</f>
        <v/>
      </c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</row>
    <row r="314" spans="1:31">
      <c r="A314" s="19"/>
      <c r="B314" s="20"/>
      <c r="C314" s="18" t="str">
        <f ca="1">IFERROR(__xludf.DUMMYFUNCTION("IF(ISBLANK(B314),,FILTER('Leetcode分类顺序表'!B:D,'Leetcode分类顺序表'!A:A = B314))"),"")</f>
        <v/>
      </c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</row>
    <row r="315" spans="1:31">
      <c r="A315" s="19"/>
      <c r="B315" s="20"/>
      <c r="C315" s="18" t="str">
        <f ca="1">IFERROR(__xludf.DUMMYFUNCTION("IF(ISBLANK(B315),,FILTER('Leetcode分类顺序表'!B:D,'Leetcode分类顺序表'!A:A = B315))"),"")</f>
        <v/>
      </c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</row>
    <row r="316" spans="1:31">
      <c r="A316" s="19"/>
      <c r="B316" s="20"/>
      <c r="C316" s="18" t="str">
        <f ca="1">IFERROR(__xludf.DUMMYFUNCTION("IF(ISBLANK(B316),,FILTER('Leetcode分类顺序表'!B:D,'Leetcode分类顺序表'!A:A = B316))"),"")</f>
        <v/>
      </c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</row>
    <row r="317" spans="1:31">
      <c r="A317" s="19"/>
      <c r="B317" s="20"/>
      <c r="C317" s="18" t="str">
        <f ca="1">IFERROR(__xludf.DUMMYFUNCTION("IF(ISBLANK(B317),,FILTER('Leetcode分类顺序表'!B:D,'Leetcode分类顺序表'!A:A = B317))"),"")</f>
        <v/>
      </c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</row>
    <row r="318" spans="1:31">
      <c r="A318" s="19"/>
      <c r="B318" s="20"/>
      <c r="C318" s="18" t="str">
        <f ca="1">IFERROR(__xludf.DUMMYFUNCTION("IF(ISBLANK(B318),,FILTER('Leetcode分类顺序表'!B:D,'Leetcode分类顺序表'!A:A = B318))"),"")</f>
        <v/>
      </c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</row>
    <row r="319" spans="1:31">
      <c r="A319" s="19"/>
      <c r="B319" s="20"/>
      <c r="C319" s="18" t="str">
        <f ca="1">IFERROR(__xludf.DUMMYFUNCTION("IF(ISBLANK(B319),,FILTER('Leetcode分类顺序表'!B:D,'Leetcode分类顺序表'!A:A = B319))"),"")</f>
        <v/>
      </c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</row>
    <row r="320" spans="1:31">
      <c r="A320" s="19"/>
      <c r="B320" s="20"/>
      <c r="C320" s="18" t="str">
        <f ca="1">IFERROR(__xludf.DUMMYFUNCTION("IF(ISBLANK(B320),,FILTER('Leetcode分类顺序表'!B:D,'Leetcode分类顺序表'!A:A = B320))"),"")</f>
        <v/>
      </c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</row>
    <row r="321" spans="1:31">
      <c r="A321" s="19"/>
      <c r="B321" s="20"/>
      <c r="C321" s="18" t="str">
        <f ca="1">IFERROR(__xludf.DUMMYFUNCTION("IF(ISBLANK(B321),,FILTER('Leetcode分类顺序表'!B:D,'Leetcode分类顺序表'!A:A = B321))"),"")</f>
        <v/>
      </c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</row>
    <row r="322" spans="1:31">
      <c r="A322" s="19"/>
      <c r="B322" s="20"/>
      <c r="C322" s="18" t="str">
        <f ca="1">IFERROR(__xludf.DUMMYFUNCTION("IF(ISBLANK(B322),,FILTER('Leetcode分类顺序表'!B:D,'Leetcode分类顺序表'!A:A = B322))"),"")</f>
        <v/>
      </c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</row>
    <row r="323" spans="1:31">
      <c r="A323" s="19"/>
      <c r="B323" s="20"/>
      <c r="C323" s="18" t="str">
        <f ca="1">IFERROR(__xludf.DUMMYFUNCTION("IF(ISBLANK(B323),,FILTER('Leetcode分类顺序表'!B:D,'Leetcode分类顺序表'!A:A = B323))"),"")</f>
        <v/>
      </c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</row>
    <row r="324" spans="1:31">
      <c r="A324" s="19"/>
      <c r="B324" s="20"/>
      <c r="C324" s="18" t="str">
        <f ca="1">IFERROR(__xludf.DUMMYFUNCTION("IF(ISBLANK(B324),,FILTER('Leetcode分类顺序表'!B:D,'Leetcode分类顺序表'!A:A = B324))"),"")</f>
        <v/>
      </c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</row>
    <row r="325" spans="1:31">
      <c r="A325" s="19"/>
      <c r="B325" s="20"/>
      <c r="C325" s="18" t="str">
        <f ca="1">IFERROR(__xludf.DUMMYFUNCTION("IF(ISBLANK(B325),,FILTER('Leetcode分类顺序表'!B:D,'Leetcode分类顺序表'!A:A = B325))"),"")</f>
        <v/>
      </c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</row>
    <row r="326" spans="1:31">
      <c r="A326" s="19"/>
      <c r="B326" s="20"/>
      <c r="C326" s="18" t="str">
        <f ca="1">IFERROR(__xludf.DUMMYFUNCTION("IF(ISBLANK(B326),,FILTER('Leetcode分类顺序表'!B:D,'Leetcode分类顺序表'!A:A = B326))"),"")</f>
        <v/>
      </c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</row>
    <row r="327" spans="1:31">
      <c r="A327" s="19"/>
      <c r="B327" s="20"/>
      <c r="C327" s="18" t="str">
        <f ca="1">IFERROR(__xludf.DUMMYFUNCTION("IF(ISBLANK(B327),,FILTER('Leetcode分类顺序表'!B:D,'Leetcode分类顺序表'!A:A = B327))"),"")</f>
        <v/>
      </c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</row>
    <row r="328" spans="1:31">
      <c r="A328" s="19"/>
      <c r="B328" s="20"/>
      <c r="C328" s="18" t="str">
        <f ca="1">IFERROR(__xludf.DUMMYFUNCTION("IF(ISBLANK(B328),,FILTER('Leetcode分类顺序表'!B:D,'Leetcode分类顺序表'!A:A = B328))"),"")</f>
        <v/>
      </c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</row>
    <row r="329" spans="1:31">
      <c r="A329" s="19"/>
      <c r="B329" s="20"/>
      <c r="C329" s="18" t="str">
        <f ca="1">IFERROR(__xludf.DUMMYFUNCTION("IF(ISBLANK(B329),,FILTER('Leetcode分类顺序表'!B:D,'Leetcode分类顺序表'!A:A = B329))"),"")</f>
        <v/>
      </c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</row>
    <row r="330" spans="1:31">
      <c r="A330" s="19"/>
      <c r="B330" s="20"/>
      <c r="C330" s="18" t="str">
        <f ca="1">IFERROR(__xludf.DUMMYFUNCTION("IF(ISBLANK(B330),,FILTER('Leetcode分类顺序表'!B:D,'Leetcode分类顺序表'!A:A = B330))"),"")</f>
        <v/>
      </c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</row>
    <row r="331" spans="1:31">
      <c r="A331" s="19"/>
      <c r="B331" s="20"/>
      <c r="C331" s="18" t="str">
        <f ca="1">IFERROR(__xludf.DUMMYFUNCTION("IF(ISBLANK(B331),,FILTER('Leetcode分类顺序表'!B:D,'Leetcode分类顺序表'!A:A = B331))"),"")</f>
        <v/>
      </c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</row>
    <row r="332" spans="1:31">
      <c r="A332" s="19"/>
      <c r="B332" s="20"/>
      <c r="C332" s="18" t="str">
        <f ca="1">IFERROR(__xludf.DUMMYFUNCTION("IF(ISBLANK(B332),,FILTER('Leetcode分类顺序表'!B:D,'Leetcode分类顺序表'!A:A = B332))"),"")</f>
        <v/>
      </c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</row>
    <row r="333" spans="1:31">
      <c r="A333" s="19"/>
      <c r="B333" s="20"/>
      <c r="C333" s="18" t="str">
        <f ca="1">IFERROR(__xludf.DUMMYFUNCTION("IF(ISBLANK(B333),,FILTER('Leetcode分类顺序表'!B:D,'Leetcode分类顺序表'!A:A = B333))"),"")</f>
        <v/>
      </c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</row>
    <row r="334" spans="1:31">
      <c r="A334" s="19"/>
      <c r="B334" s="20"/>
      <c r="C334" s="18" t="str">
        <f ca="1">IFERROR(__xludf.DUMMYFUNCTION("IF(ISBLANK(B334),,FILTER('Leetcode分类顺序表'!B:D,'Leetcode分类顺序表'!A:A = B334))"),"")</f>
        <v/>
      </c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</row>
    <row r="335" spans="1:31">
      <c r="A335" s="19"/>
      <c r="B335" s="20"/>
      <c r="C335" s="18" t="str">
        <f ca="1">IFERROR(__xludf.DUMMYFUNCTION("IF(ISBLANK(B335),,FILTER('Leetcode分类顺序表'!B:D,'Leetcode分类顺序表'!A:A = B335))"),"")</f>
        <v/>
      </c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</row>
    <row r="336" spans="1:31">
      <c r="A336" s="19"/>
      <c r="B336" s="20"/>
      <c r="C336" s="18" t="str">
        <f ca="1">IFERROR(__xludf.DUMMYFUNCTION("IF(ISBLANK(B336),,FILTER('Leetcode分类顺序表'!B:D,'Leetcode分类顺序表'!A:A = B336))"),"")</f>
        <v/>
      </c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</row>
    <row r="337" spans="1:31">
      <c r="A337" s="19"/>
      <c r="B337" s="20"/>
      <c r="C337" s="18" t="str">
        <f ca="1">IFERROR(__xludf.DUMMYFUNCTION("IF(ISBLANK(B337),,FILTER('Leetcode分类顺序表'!B:D,'Leetcode分类顺序表'!A:A = B337))"),"")</f>
        <v/>
      </c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</row>
    <row r="338" spans="1:31">
      <c r="A338" s="19"/>
      <c r="B338" s="20"/>
      <c r="C338" s="18" t="str">
        <f ca="1">IFERROR(__xludf.DUMMYFUNCTION("IF(ISBLANK(B338),,FILTER('Leetcode分类顺序表'!B:D,'Leetcode分类顺序表'!A:A = B338))"),"")</f>
        <v/>
      </c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</row>
    <row r="339" spans="1:31">
      <c r="A339" s="19"/>
      <c r="B339" s="20"/>
      <c r="C339" s="18" t="str">
        <f ca="1">IFERROR(__xludf.DUMMYFUNCTION("IF(ISBLANK(B339),,FILTER('Leetcode分类顺序表'!B:D,'Leetcode分类顺序表'!A:A = B339))"),"")</f>
        <v/>
      </c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</row>
    <row r="340" spans="1:31">
      <c r="A340" s="19"/>
      <c r="B340" s="20"/>
      <c r="C340" s="18" t="str">
        <f ca="1">IFERROR(__xludf.DUMMYFUNCTION("IF(ISBLANK(B340),,FILTER('Leetcode分类顺序表'!B:D,'Leetcode分类顺序表'!A:A = B340))"),"")</f>
        <v/>
      </c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</row>
    <row r="341" spans="1:31">
      <c r="A341" s="19"/>
      <c r="B341" s="20"/>
      <c r="C341" s="18" t="str">
        <f ca="1">IFERROR(__xludf.DUMMYFUNCTION("IF(ISBLANK(B341),,FILTER('Leetcode分类顺序表'!B:D,'Leetcode分类顺序表'!A:A = B341))"),"")</f>
        <v/>
      </c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</row>
    <row r="342" spans="1:31">
      <c r="A342" s="19"/>
      <c r="B342" s="20"/>
      <c r="C342" s="18" t="str">
        <f ca="1">IFERROR(__xludf.DUMMYFUNCTION("IF(ISBLANK(B342),,FILTER('Leetcode分类顺序表'!B:D,'Leetcode分类顺序表'!A:A = B342))"),"")</f>
        <v/>
      </c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</row>
    <row r="343" spans="1:31">
      <c r="A343" s="19"/>
      <c r="B343" s="20"/>
      <c r="C343" s="18" t="str">
        <f ca="1">IFERROR(__xludf.DUMMYFUNCTION("IF(ISBLANK(B343),,FILTER('Leetcode分类顺序表'!B:D,'Leetcode分类顺序表'!A:A = B343))"),"")</f>
        <v/>
      </c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</row>
    <row r="344" spans="1:31">
      <c r="A344" s="19"/>
      <c r="B344" s="20"/>
      <c r="C344" s="18" t="str">
        <f ca="1">IFERROR(__xludf.DUMMYFUNCTION("IF(ISBLANK(B344),,FILTER('Leetcode分类顺序表'!B:D,'Leetcode分类顺序表'!A:A = B344))"),"")</f>
        <v/>
      </c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</row>
    <row r="345" spans="1:31">
      <c r="A345" s="19"/>
      <c r="B345" s="20"/>
      <c r="C345" s="18" t="str">
        <f ca="1">IFERROR(__xludf.DUMMYFUNCTION("IF(ISBLANK(B345),,FILTER('Leetcode分类顺序表'!B:D,'Leetcode分类顺序表'!A:A = B345))"),"")</f>
        <v/>
      </c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</row>
    <row r="346" spans="1:31">
      <c r="A346" s="19"/>
      <c r="B346" s="20"/>
      <c r="C346" s="18" t="str">
        <f ca="1">IFERROR(__xludf.DUMMYFUNCTION("IF(ISBLANK(B346),,FILTER('Leetcode分类顺序表'!B:D,'Leetcode分类顺序表'!A:A = B346))"),"")</f>
        <v/>
      </c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</row>
    <row r="347" spans="1:31">
      <c r="A347" s="19"/>
      <c r="B347" s="20"/>
      <c r="C347" s="18" t="str">
        <f ca="1">IFERROR(__xludf.DUMMYFUNCTION("IF(ISBLANK(B347),,FILTER('Leetcode分类顺序表'!B:D,'Leetcode分类顺序表'!A:A = B347))"),"")</f>
        <v/>
      </c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</row>
    <row r="348" spans="1:31">
      <c r="A348" s="19"/>
      <c r="B348" s="20"/>
      <c r="C348" s="18" t="str">
        <f ca="1">IFERROR(__xludf.DUMMYFUNCTION("IF(ISBLANK(B348),,FILTER('Leetcode分类顺序表'!B:D,'Leetcode分类顺序表'!A:A = B348))"),"")</f>
        <v/>
      </c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</row>
    <row r="349" spans="1:31">
      <c r="A349" s="19"/>
      <c r="B349" s="20"/>
      <c r="C349" s="18" t="str">
        <f ca="1">IFERROR(__xludf.DUMMYFUNCTION("IF(ISBLANK(B349),,FILTER('Leetcode分类顺序表'!B:D,'Leetcode分类顺序表'!A:A = B349))"),"")</f>
        <v/>
      </c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</row>
    <row r="350" spans="1:31">
      <c r="A350" s="19"/>
      <c r="B350" s="20"/>
      <c r="C350" s="18" t="str">
        <f ca="1">IFERROR(__xludf.DUMMYFUNCTION("IF(ISBLANK(B350),,FILTER('Leetcode分类顺序表'!B:D,'Leetcode分类顺序表'!A:A = B350))"),"")</f>
        <v/>
      </c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</row>
    <row r="351" spans="1:31">
      <c r="A351" s="19"/>
      <c r="B351" s="20"/>
      <c r="C351" s="18" t="str">
        <f ca="1">IFERROR(__xludf.DUMMYFUNCTION("IF(ISBLANK(B351),,FILTER('Leetcode分类顺序表'!B:D,'Leetcode分类顺序表'!A:A = B351))"),"")</f>
        <v/>
      </c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</row>
    <row r="352" spans="1:31">
      <c r="A352" s="19"/>
      <c r="B352" s="20"/>
      <c r="C352" s="18" t="str">
        <f ca="1">IFERROR(__xludf.DUMMYFUNCTION("IF(ISBLANK(B352),,FILTER('Leetcode分类顺序表'!B:D,'Leetcode分类顺序表'!A:A = B352))"),"")</f>
        <v/>
      </c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</row>
    <row r="353" spans="1:31">
      <c r="A353" s="19"/>
      <c r="B353" s="20"/>
      <c r="C353" s="18" t="str">
        <f ca="1">IFERROR(__xludf.DUMMYFUNCTION("IF(ISBLANK(B353),,FILTER('Leetcode分类顺序表'!B:D,'Leetcode分类顺序表'!A:A = B353))"),"")</f>
        <v/>
      </c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</row>
    <row r="354" spans="1:31">
      <c r="A354" s="19"/>
      <c r="B354" s="20"/>
      <c r="C354" s="18" t="str">
        <f ca="1">IFERROR(__xludf.DUMMYFUNCTION("IF(ISBLANK(B354),,FILTER('Leetcode分类顺序表'!B:D,'Leetcode分类顺序表'!A:A = B354))"),"")</f>
        <v/>
      </c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</row>
    <row r="355" spans="1:31">
      <c r="A355" s="19"/>
      <c r="B355" s="20"/>
      <c r="C355" s="18" t="str">
        <f ca="1">IFERROR(__xludf.DUMMYFUNCTION("IF(ISBLANK(B355),,FILTER('Leetcode分类顺序表'!B:D,'Leetcode分类顺序表'!A:A = B355))"),"")</f>
        <v/>
      </c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</row>
    <row r="356" spans="1:31">
      <c r="A356" s="19"/>
      <c r="B356" s="20"/>
      <c r="C356" s="18" t="str">
        <f ca="1">IFERROR(__xludf.DUMMYFUNCTION("IF(ISBLANK(B356),,FILTER('Leetcode分类顺序表'!B:D,'Leetcode分类顺序表'!A:A = B356))"),"")</f>
        <v/>
      </c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</row>
    <row r="357" spans="1:31">
      <c r="A357" s="19"/>
      <c r="B357" s="20"/>
      <c r="C357" s="18" t="str">
        <f ca="1">IFERROR(__xludf.DUMMYFUNCTION("IF(ISBLANK(B357),,FILTER('Leetcode分类顺序表'!B:D,'Leetcode分类顺序表'!A:A = B357))"),"")</f>
        <v/>
      </c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</row>
    <row r="358" spans="1:31">
      <c r="A358" s="19"/>
      <c r="B358" s="20"/>
      <c r="C358" s="18" t="str">
        <f ca="1">IFERROR(__xludf.DUMMYFUNCTION("IF(ISBLANK(B358),,FILTER('Leetcode分类顺序表'!B:D,'Leetcode分类顺序表'!A:A = B358))"),"")</f>
        <v/>
      </c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</row>
    <row r="359" spans="1:31">
      <c r="A359" s="19"/>
      <c r="B359" s="20"/>
      <c r="C359" s="18" t="str">
        <f ca="1">IFERROR(__xludf.DUMMYFUNCTION("IF(ISBLANK(B359),,FILTER('Leetcode分类顺序表'!B:D,'Leetcode分类顺序表'!A:A = B359))"),"")</f>
        <v/>
      </c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</row>
    <row r="360" spans="1:31">
      <c r="A360" s="19"/>
      <c r="B360" s="20"/>
      <c r="C360" s="18" t="str">
        <f ca="1">IFERROR(__xludf.DUMMYFUNCTION("IF(ISBLANK(B360),,FILTER('Leetcode分类顺序表'!B:D,'Leetcode分类顺序表'!A:A = B360))"),"")</f>
        <v/>
      </c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</row>
    <row r="361" spans="1:31">
      <c r="A361" s="19"/>
      <c r="B361" s="20"/>
      <c r="C361" s="18" t="str">
        <f ca="1">IFERROR(__xludf.DUMMYFUNCTION("IF(ISBLANK(B361),,FILTER('Leetcode分类顺序表'!B:D,'Leetcode分类顺序表'!A:A = B361))"),"")</f>
        <v/>
      </c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</row>
    <row r="362" spans="1:31">
      <c r="A362" s="19"/>
      <c r="B362" s="20"/>
      <c r="C362" s="18" t="str">
        <f ca="1">IFERROR(__xludf.DUMMYFUNCTION("IF(ISBLANK(B362),,FILTER('Leetcode分类顺序表'!B:D,'Leetcode分类顺序表'!A:A = B362))"),"")</f>
        <v/>
      </c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</row>
    <row r="363" spans="1:31">
      <c r="A363" s="19"/>
      <c r="B363" s="20"/>
      <c r="C363" s="18" t="str">
        <f ca="1">IFERROR(__xludf.DUMMYFUNCTION("IF(ISBLANK(B363),,FILTER('Leetcode分类顺序表'!B:D,'Leetcode分类顺序表'!A:A = B363))"),"")</f>
        <v/>
      </c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</row>
    <row r="364" spans="1:31">
      <c r="A364" s="19"/>
      <c r="B364" s="20"/>
      <c r="C364" s="18" t="str">
        <f ca="1">IFERROR(__xludf.DUMMYFUNCTION("IF(ISBLANK(B364),,FILTER('Leetcode分类顺序表'!B:D,'Leetcode分类顺序表'!A:A = B364))"),"")</f>
        <v/>
      </c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</row>
    <row r="365" spans="1:31">
      <c r="A365" s="19"/>
      <c r="B365" s="20"/>
      <c r="C365" s="18" t="str">
        <f ca="1">IFERROR(__xludf.DUMMYFUNCTION("IF(ISBLANK(B365),,FILTER('Leetcode分类顺序表'!B:D,'Leetcode分类顺序表'!A:A = B365))"),"")</f>
        <v/>
      </c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</row>
    <row r="366" spans="1:31">
      <c r="A366" s="19"/>
      <c r="B366" s="20"/>
      <c r="C366" s="18" t="str">
        <f ca="1">IFERROR(__xludf.DUMMYFUNCTION("IF(ISBLANK(B366),,FILTER('Leetcode分类顺序表'!B:D,'Leetcode分类顺序表'!A:A = B366))"),"")</f>
        <v/>
      </c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</row>
    <row r="367" spans="1:31">
      <c r="A367" s="19"/>
      <c r="B367" s="20"/>
      <c r="C367" s="18" t="str">
        <f ca="1">IFERROR(__xludf.DUMMYFUNCTION("IF(ISBLANK(B367),,FILTER('Leetcode分类顺序表'!B:D,'Leetcode分类顺序表'!A:A = B367))"),"")</f>
        <v/>
      </c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</row>
    <row r="368" spans="1:31">
      <c r="A368" s="19"/>
      <c r="B368" s="20"/>
      <c r="C368" s="18" t="str">
        <f ca="1">IFERROR(__xludf.DUMMYFUNCTION("IF(ISBLANK(B368),,FILTER('Leetcode分类顺序表'!B:D,'Leetcode分类顺序表'!A:A = B368))"),"")</f>
        <v/>
      </c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</row>
    <row r="369" spans="1:31">
      <c r="A369" s="19"/>
      <c r="B369" s="20"/>
      <c r="C369" s="18" t="str">
        <f ca="1">IFERROR(__xludf.DUMMYFUNCTION("IF(ISBLANK(B369),,FILTER('Leetcode分类顺序表'!B:D,'Leetcode分类顺序表'!A:A = B369))"),"")</f>
        <v/>
      </c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</row>
    <row r="370" spans="1:31">
      <c r="A370" s="19"/>
      <c r="B370" s="20"/>
      <c r="C370" s="18" t="str">
        <f ca="1">IFERROR(__xludf.DUMMYFUNCTION("IF(ISBLANK(B370),,FILTER('Leetcode分类顺序表'!B:D,'Leetcode分类顺序表'!A:A = B370))"),"")</f>
        <v/>
      </c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</row>
    <row r="371" spans="1:31">
      <c r="A371" s="19"/>
      <c r="B371" s="20"/>
      <c r="C371" s="18" t="str">
        <f ca="1">IFERROR(__xludf.DUMMYFUNCTION("IF(ISBLANK(B371),,FILTER('Leetcode分类顺序表'!B:D,'Leetcode分类顺序表'!A:A = B371))"),"")</f>
        <v/>
      </c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</row>
    <row r="372" spans="1:31">
      <c r="A372" s="19"/>
      <c r="B372" s="20"/>
      <c r="C372" s="18" t="str">
        <f ca="1">IFERROR(__xludf.DUMMYFUNCTION("IF(ISBLANK(B372),,FILTER('Leetcode分类顺序表'!B:D,'Leetcode分类顺序表'!A:A = B372))"),"")</f>
        <v/>
      </c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</row>
    <row r="373" spans="1:31">
      <c r="A373" s="19"/>
      <c r="B373" s="20"/>
      <c r="C373" s="18" t="str">
        <f ca="1">IFERROR(__xludf.DUMMYFUNCTION("IF(ISBLANK(B373),,FILTER('Leetcode分类顺序表'!B:D,'Leetcode分类顺序表'!A:A = B373))"),"")</f>
        <v/>
      </c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</row>
    <row r="374" spans="1:31">
      <c r="A374" s="19"/>
      <c r="B374" s="20"/>
      <c r="C374" s="18" t="str">
        <f ca="1">IFERROR(__xludf.DUMMYFUNCTION("IF(ISBLANK(B374),,FILTER('Leetcode分类顺序表'!B:D,'Leetcode分类顺序表'!A:A = B374))"),"")</f>
        <v/>
      </c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</row>
    <row r="375" spans="1:31">
      <c r="A375" s="19"/>
      <c r="B375" s="20"/>
      <c r="C375" s="18" t="str">
        <f ca="1">IFERROR(__xludf.DUMMYFUNCTION("IF(ISBLANK(B375),,FILTER('Leetcode分类顺序表'!B:D,'Leetcode分类顺序表'!A:A = B375))"),"")</f>
        <v/>
      </c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</row>
    <row r="376" spans="1:31">
      <c r="A376" s="19"/>
      <c r="B376" s="20"/>
      <c r="C376" s="18" t="str">
        <f ca="1">IFERROR(__xludf.DUMMYFUNCTION("IF(ISBLANK(B376),,FILTER('Leetcode分类顺序表'!B:D,'Leetcode分类顺序表'!A:A = B376))"),"")</f>
        <v/>
      </c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</row>
    <row r="377" spans="1:31">
      <c r="A377" s="19"/>
      <c r="B377" s="20"/>
      <c r="C377" s="18" t="str">
        <f ca="1">IFERROR(__xludf.DUMMYFUNCTION("IF(ISBLANK(B377),,FILTER('Leetcode分类顺序表'!B:D,'Leetcode分类顺序表'!A:A = B377))"),"")</f>
        <v/>
      </c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</row>
    <row r="378" spans="1:31">
      <c r="A378" s="19"/>
      <c r="B378" s="20"/>
      <c r="C378" s="18" t="str">
        <f ca="1">IFERROR(__xludf.DUMMYFUNCTION("IF(ISBLANK(B378),,FILTER('Leetcode分类顺序表'!B:D,'Leetcode分类顺序表'!A:A = B378))"),"")</f>
        <v/>
      </c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</row>
    <row r="379" spans="1:31">
      <c r="A379" s="19"/>
      <c r="B379" s="20"/>
      <c r="C379" s="18" t="str">
        <f ca="1">IFERROR(__xludf.DUMMYFUNCTION("IF(ISBLANK(B379),,FILTER('Leetcode分类顺序表'!B:D,'Leetcode分类顺序表'!A:A = B379))"),"")</f>
        <v/>
      </c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</row>
    <row r="380" spans="1:31">
      <c r="A380" s="19"/>
      <c r="B380" s="20"/>
      <c r="C380" s="18" t="str">
        <f ca="1">IFERROR(__xludf.DUMMYFUNCTION("IF(ISBLANK(B380),,FILTER('Leetcode分类顺序表'!B:D,'Leetcode分类顺序表'!A:A = B380))"),"")</f>
        <v/>
      </c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</row>
    <row r="381" spans="1:31">
      <c r="A381" s="19"/>
      <c r="B381" s="20"/>
      <c r="C381" s="18" t="str">
        <f ca="1">IFERROR(__xludf.DUMMYFUNCTION("IF(ISBLANK(B381),,FILTER('Leetcode分类顺序表'!B:D,'Leetcode分类顺序表'!A:A = B381))"),"")</f>
        <v/>
      </c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</row>
    <row r="382" spans="1:31">
      <c r="A382" s="19"/>
      <c r="B382" s="20"/>
      <c r="C382" s="18" t="str">
        <f ca="1">IFERROR(__xludf.DUMMYFUNCTION("IF(ISBLANK(B382),,FILTER('Leetcode分类顺序表'!B:D,'Leetcode分类顺序表'!A:A = B382))"),"")</f>
        <v/>
      </c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</row>
    <row r="383" spans="1:31">
      <c r="A383" s="19"/>
      <c r="B383" s="20"/>
      <c r="C383" s="18" t="str">
        <f ca="1">IFERROR(__xludf.DUMMYFUNCTION("IF(ISBLANK(B383),,FILTER('Leetcode分类顺序表'!B:D,'Leetcode分类顺序表'!A:A = B383))"),"")</f>
        <v/>
      </c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</row>
    <row r="384" spans="1:31">
      <c r="A384" s="19"/>
      <c r="B384" s="20"/>
      <c r="C384" s="18" t="str">
        <f ca="1">IFERROR(__xludf.DUMMYFUNCTION("IF(ISBLANK(B384),,FILTER('Leetcode分类顺序表'!B:D,'Leetcode分类顺序表'!A:A = B384))"),"")</f>
        <v/>
      </c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</row>
    <row r="385" spans="1:31">
      <c r="A385" s="19"/>
      <c r="B385" s="20"/>
      <c r="C385" s="18" t="str">
        <f ca="1">IFERROR(__xludf.DUMMYFUNCTION("IF(ISBLANK(B385),,FILTER('Leetcode分类顺序表'!B:D,'Leetcode分类顺序表'!A:A = B385))"),"")</f>
        <v/>
      </c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</row>
    <row r="386" spans="1:31">
      <c r="A386" s="19"/>
      <c r="B386" s="20"/>
      <c r="C386" s="18" t="str">
        <f ca="1">IFERROR(__xludf.DUMMYFUNCTION("IF(ISBLANK(B386),,FILTER('Leetcode分类顺序表'!B:D,'Leetcode分类顺序表'!A:A = B386))"),"")</f>
        <v/>
      </c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</row>
    <row r="387" spans="1:31">
      <c r="A387" s="19"/>
      <c r="B387" s="20"/>
      <c r="C387" s="18" t="str">
        <f ca="1">IFERROR(__xludf.DUMMYFUNCTION("IF(ISBLANK(B387),,FILTER('Leetcode分类顺序表'!B:D,'Leetcode分类顺序表'!A:A = B387))"),"")</f>
        <v/>
      </c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</row>
    <row r="388" spans="1:31">
      <c r="A388" s="19"/>
      <c r="B388" s="20"/>
      <c r="C388" s="18" t="str">
        <f ca="1">IFERROR(__xludf.DUMMYFUNCTION("IF(ISBLANK(B388),,FILTER('Leetcode分类顺序表'!B:D,'Leetcode分类顺序表'!A:A = B388))"),"")</f>
        <v/>
      </c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</row>
    <row r="389" spans="1:31">
      <c r="A389" s="19"/>
      <c r="B389" s="20"/>
      <c r="C389" s="18" t="str">
        <f ca="1">IFERROR(__xludf.DUMMYFUNCTION("IF(ISBLANK(B389),,FILTER('Leetcode分类顺序表'!B:D,'Leetcode分类顺序表'!A:A = B389))"),"")</f>
        <v/>
      </c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</row>
    <row r="390" spans="1:31">
      <c r="A390" s="19"/>
      <c r="B390" s="20"/>
      <c r="C390" s="18" t="str">
        <f ca="1">IFERROR(__xludf.DUMMYFUNCTION("IF(ISBLANK(B390),,FILTER('Leetcode分类顺序表'!B:D,'Leetcode分类顺序表'!A:A = B390))"),"")</f>
        <v/>
      </c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</row>
    <row r="391" spans="1:31">
      <c r="A391" s="19"/>
      <c r="B391" s="20"/>
      <c r="C391" s="18" t="str">
        <f ca="1">IFERROR(__xludf.DUMMYFUNCTION("IF(ISBLANK(B391),,FILTER('Leetcode分类顺序表'!B:D,'Leetcode分类顺序表'!A:A = B391))"),"")</f>
        <v/>
      </c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</row>
    <row r="392" spans="1:31">
      <c r="A392" s="19"/>
      <c r="B392" s="20"/>
      <c r="C392" s="18" t="str">
        <f ca="1">IFERROR(__xludf.DUMMYFUNCTION("IF(ISBLANK(B392),,FILTER('Leetcode分类顺序表'!B:D,'Leetcode分类顺序表'!A:A = B392))"),"")</f>
        <v/>
      </c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</row>
    <row r="393" spans="1:31">
      <c r="A393" s="19"/>
      <c r="B393" s="20"/>
      <c r="C393" s="18" t="str">
        <f ca="1">IFERROR(__xludf.DUMMYFUNCTION("IF(ISBLANK(B393),,FILTER('Leetcode分类顺序表'!B:D,'Leetcode分类顺序表'!A:A = B393))"),"")</f>
        <v/>
      </c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</row>
    <row r="394" spans="1:31">
      <c r="A394" s="19"/>
      <c r="B394" s="20"/>
      <c r="C394" s="18" t="str">
        <f ca="1">IFERROR(__xludf.DUMMYFUNCTION("IF(ISBLANK(B394),,FILTER('Leetcode分类顺序表'!B:D,'Leetcode分类顺序表'!A:A = B394))"),"")</f>
        <v/>
      </c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</row>
    <row r="395" spans="1:31">
      <c r="A395" s="19"/>
      <c r="B395" s="20"/>
      <c r="C395" s="18" t="str">
        <f ca="1">IFERROR(__xludf.DUMMYFUNCTION("IF(ISBLANK(B395),,FILTER('Leetcode分类顺序表'!B:D,'Leetcode分类顺序表'!A:A = B395))"),"")</f>
        <v/>
      </c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</row>
    <row r="396" spans="1:31">
      <c r="A396" s="19"/>
      <c r="B396" s="20"/>
      <c r="C396" s="18" t="str">
        <f ca="1">IFERROR(__xludf.DUMMYFUNCTION("IF(ISBLANK(B396),,FILTER('Leetcode分类顺序表'!B:D,'Leetcode分类顺序表'!A:A = B396))"),"")</f>
        <v/>
      </c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</row>
    <row r="397" spans="1:31">
      <c r="A397" s="19"/>
      <c r="B397" s="20"/>
      <c r="C397" s="18" t="str">
        <f ca="1">IFERROR(__xludf.DUMMYFUNCTION("IF(ISBLANK(B397),,FILTER('Leetcode分类顺序表'!B:D,'Leetcode分类顺序表'!A:A = B397))"),"")</f>
        <v/>
      </c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</row>
    <row r="398" spans="1:31">
      <c r="A398" s="19"/>
      <c r="B398" s="20"/>
      <c r="C398" s="18" t="str">
        <f ca="1">IFERROR(__xludf.DUMMYFUNCTION("IF(ISBLANK(B398),,FILTER('Leetcode分类顺序表'!B:D,'Leetcode分类顺序表'!A:A = B398))"),"")</f>
        <v/>
      </c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</row>
    <row r="399" spans="1:31">
      <c r="A399" s="19"/>
      <c r="B399" s="20"/>
      <c r="C399" s="18" t="str">
        <f ca="1">IFERROR(__xludf.DUMMYFUNCTION("IF(ISBLANK(B399),,FILTER('Leetcode分类顺序表'!B:D,'Leetcode分类顺序表'!A:A = B399))"),"")</f>
        <v/>
      </c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</row>
    <row r="400" spans="1:31">
      <c r="A400" s="19"/>
      <c r="B400" s="20"/>
      <c r="C400" s="18" t="str">
        <f ca="1">IFERROR(__xludf.DUMMYFUNCTION("IF(ISBLANK(B400),,FILTER('Leetcode分类顺序表'!B:D,'Leetcode分类顺序表'!A:A = B400))"),"")</f>
        <v/>
      </c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</row>
    <row r="401" spans="1:31">
      <c r="A401" s="19"/>
      <c r="B401" s="20"/>
      <c r="C401" s="18" t="str">
        <f ca="1">IFERROR(__xludf.DUMMYFUNCTION("IF(ISBLANK(B401),,FILTER('Leetcode分类顺序表'!B:D,'Leetcode分类顺序表'!A:A = B401))"),"")</f>
        <v/>
      </c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</row>
    <row r="402" spans="1:31">
      <c r="A402" s="19"/>
      <c r="B402" s="20"/>
      <c r="C402" s="18" t="str">
        <f ca="1">IFERROR(__xludf.DUMMYFUNCTION("IF(ISBLANK(B402),,FILTER('Leetcode分类顺序表'!B:D,'Leetcode分类顺序表'!A:A = B402))"),"")</f>
        <v/>
      </c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</row>
    <row r="403" spans="1:31">
      <c r="A403" s="19"/>
      <c r="B403" s="20"/>
      <c r="C403" s="18" t="str">
        <f ca="1">IFERROR(__xludf.DUMMYFUNCTION("IF(ISBLANK(B403),,FILTER('Leetcode分类顺序表'!B:D,'Leetcode分类顺序表'!A:A = B403))"),"")</f>
        <v/>
      </c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</row>
    <row r="404" spans="1:31">
      <c r="A404" s="19"/>
      <c r="B404" s="20"/>
      <c r="C404" s="18" t="str">
        <f ca="1">IFERROR(__xludf.DUMMYFUNCTION("IF(ISBLANK(B404),,FILTER('Leetcode分类顺序表'!B:D,'Leetcode分类顺序表'!A:A = B404))"),"")</f>
        <v/>
      </c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</row>
    <row r="405" spans="1:31">
      <c r="A405" s="19"/>
      <c r="B405" s="20"/>
      <c r="C405" s="18" t="str">
        <f ca="1">IFERROR(__xludf.DUMMYFUNCTION("IF(ISBLANK(B405),,FILTER('Leetcode分类顺序表'!B:D,'Leetcode分类顺序表'!A:A = B405))"),"")</f>
        <v/>
      </c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</row>
    <row r="406" spans="1:31">
      <c r="A406" s="19"/>
      <c r="B406" s="20"/>
      <c r="C406" s="18" t="str">
        <f ca="1">IFERROR(__xludf.DUMMYFUNCTION("IF(ISBLANK(B406),,FILTER('Leetcode分类顺序表'!B:D,'Leetcode分类顺序表'!A:A = B406))"),"")</f>
        <v/>
      </c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</row>
    <row r="407" spans="1:31">
      <c r="A407" s="19"/>
      <c r="B407" s="20"/>
      <c r="C407" s="18" t="str">
        <f ca="1">IFERROR(__xludf.DUMMYFUNCTION("IF(ISBLANK(B407),,FILTER('Leetcode分类顺序表'!B:D,'Leetcode分类顺序表'!A:A = B407))"),"")</f>
        <v/>
      </c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</row>
    <row r="408" spans="1:31">
      <c r="A408" s="19"/>
      <c r="B408" s="20"/>
      <c r="C408" s="18" t="str">
        <f ca="1">IFERROR(__xludf.DUMMYFUNCTION("IF(ISBLANK(B408),,FILTER('Leetcode分类顺序表'!B:D,'Leetcode分类顺序表'!A:A = B408))"),"")</f>
        <v/>
      </c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</row>
    <row r="409" spans="1:31">
      <c r="A409" s="19"/>
      <c r="B409" s="20"/>
      <c r="C409" s="18" t="str">
        <f ca="1">IFERROR(__xludf.DUMMYFUNCTION("IF(ISBLANK(B409),,FILTER('Leetcode分类顺序表'!B:D,'Leetcode分类顺序表'!A:A = B409))"),"")</f>
        <v/>
      </c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</row>
    <row r="410" spans="1:31">
      <c r="A410" s="19"/>
      <c r="B410" s="20"/>
      <c r="C410" s="18" t="str">
        <f ca="1">IFERROR(__xludf.DUMMYFUNCTION("IF(ISBLANK(B410),,FILTER('Leetcode分类顺序表'!B:D,'Leetcode分类顺序表'!A:A = B410))"),"")</f>
        <v/>
      </c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</row>
    <row r="411" spans="1:31">
      <c r="A411" s="19"/>
      <c r="B411" s="20"/>
      <c r="C411" s="18" t="str">
        <f ca="1">IFERROR(__xludf.DUMMYFUNCTION("IF(ISBLANK(B411),,FILTER('Leetcode分类顺序表'!B:D,'Leetcode分类顺序表'!A:A = B411))"),"")</f>
        <v/>
      </c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</row>
    <row r="412" spans="1:31">
      <c r="A412" s="19"/>
      <c r="B412" s="20"/>
      <c r="C412" s="18" t="str">
        <f ca="1">IFERROR(__xludf.DUMMYFUNCTION("IF(ISBLANK(B412),,FILTER('Leetcode分类顺序表'!B:D,'Leetcode分类顺序表'!A:A = B412))"),"")</f>
        <v/>
      </c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</row>
    <row r="413" spans="1:31">
      <c r="A413" s="19"/>
      <c r="B413" s="20"/>
      <c r="C413" s="18" t="str">
        <f ca="1">IFERROR(__xludf.DUMMYFUNCTION("IF(ISBLANK(B413),,FILTER('Leetcode分类顺序表'!B:D,'Leetcode分类顺序表'!A:A = B413))"),"")</f>
        <v/>
      </c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</row>
    <row r="414" spans="1:31">
      <c r="A414" s="19"/>
      <c r="B414" s="20"/>
      <c r="C414" s="18" t="str">
        <f ca="1">IFERROR(__xludf.DUMMYFUNCTION("IF(ISBLANK(B414),,FILTER('Leetcode分类顺序表'!B:D,'Leetcode分类顺序表'!A:A = B414))"),"")</f>
        <v/>
      </c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</row>
    <row r="415" spans="1:31">
      <c r="A415" s="19"/>
      <c r="B415" s="20"/>
      <c r="C415" s="18" t="str">
        <f ca="1">IFERROR(__xludf.DUMMYFUNCTION("IF(ISBLANK(B415),,FILTER('Leetcode分类顺序表'!B:D,'Leetcode分类顺序表'!A:A = B415))"),"")</f>
        <v/>
      </c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</row>
    <row r="416" spans="1:31">
      <c r="A416" s="19"/>
      <c r="B416" s="20"/>
      <c r="C416" s="18" t="str">
        <f ca="1">IFERROR(__xludf.DUMMYFUNCTION("IF(ISBLANK(B416),,FILTER('Leetcode分类顺序表'!B:D,'Leetcode分类顺序表'!A:A = B416))"),"")</f>
        <v/>
      </c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</row>
    <row r="417" spans="1:31">
      <c r="A417" s="19"/>
      <c r="B417" s="20"/>
      <c r="C417" s="18" t="str">
        <f ca="1">IFERROR(__xludf.DUMMYFUNCTION("IF(ISBLANK(B417),,FILTER('Leetcode分类顺序表'!B:D,'Leetcode分类顺序表'!A:A = B417))"),"")</f>
        <v/>
      </c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</row>
    <row r="418" spans="1:31">
      <c r="A418" s="19"/>
      <c r="B418" s="20"/>
      <c r="C418" s="18" t="str">
        <f ca="1">IFERROR(__xludf.DUMMYFUNCTION("IF(ISBLANK(B418),,FILTER('Leetcode分类顺序表'!B:D,'Leetcode分类顺序表'!A:A = B418))"),"")</f>
        <v/>
      </c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</row>
    <row r="419" spans="1:31">
      <c r="A419" s="19"/>
      <c r="B419" s="20"/>
      <c r="C419" s="18" t="str">
        <f ca="1">IFERROR(__xludf.DUMMYFUNCTION("IF(ISBLANK(B419),,FILTER('Leetcode分类顺序表'!B:D,'Leetcode分类顺序表'!A:A = B419))"),"")</f>
        <v/>
      </c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</row>
    <row r="420" spans="1:31">
      <c r="A420" s="19"/>
      <c r="B420" s="20"/>
      <c r="C420" s="18" t="str">
        <f ca="1">IFERROR(__xludf.DUMMYFUNCTION("IF(ISBLANK(B420),,FILTER('Leetcode分类顺序表'!B:D,'Leetcode分类顺序表'!A:A = B420))"),"")</f>
        <v/>
      </c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</row>
    <row r="421" spans="1:31">
      <c r="A421" s="19"/>
      <c r="B421" s="20"/>
      <c r="C421" s="18" t="str">
        <f ca="1">IFERROR(__xludf.DUMMYFUNCTION("IF(ISBLANK(B421),,FILTER('Leetcode分类顺序表'!B:D,'Leetcode分类顺序表'!A:A = B421))"),"")</f>
        <v/>
      </c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</row>
    <row r="422" spans="1:31">
      <c r="A422" s="19"/>
      <c r="B422" s="20"/>
      <c r="C422" s="18" t="str">
        <f ca="1">IFERROR(__xludf.DUMMYFUNCTION("IF(ISBLANK(B422),,FILTER('Leetcode分类顺序表'!B:D,'Leetcode分类顺序表'!A:A = B422))"),"")</f>
        <v/>
      </c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</row>
    <row r="423" spans="1:31">
      <c r="A423" s="19"/>
      <c r="B423" s="20"/>
      <c r="C423" s="18" t="str">
        <f ca="1">IFERROR(__xludf.DUMMYFUNCTION("IF(ISBLANK(B423),,FILTER('Leetcode分类顺序表'!B:D,'Leetcode分类顺序表'!A:A = B423))"),"")</f>
        <v/>
      </c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</row>
    <row r="424" spans="1:31">
      <c r="A424" s="19"/>
      <c r="B424" s="20"/>
      <c r="C424" s="18" t="str">
        <f ca="1">IFERROR(__xludf.DUMMYFUNCTION("IF(ISBLANK(B424),,FILTER('Leetcode分类顺序表'!B:D,'Leetcode分类顺序表'!A:A = B424))"),"")</f>
        <v/>
      </c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</row>
    <row r="425" spans="1:31">
      <c r="A425" s="19"/>
      <c r="B425" s="20"/>
      <c r="C425" s="18" t="str">
        <f ca="1">IFERROR(__xludf.DUMMYFUNCTION("IF(ISBLANK(B425),,FILTER('Leetcode分类顺序表'!B:D,'Leetcode分类顺序表'!A:A = B425))"),"")</f>
        <v/>
      </c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</row>
    <row r="426" spans="1:31">
      <c r="A426" s="19"/>
      <c r="B426" s="20"/>
      <c r="C426" s="18" t="str">
        <f ca="1">IFERROR(__xludf.DUMMYFUNCTION("IF(ISBLANK(B426),,FILTER('Leetcode分类顺序表'!B:D,'Leetcode分类顺序表'!A:A = B426))"),"")</f>
        <v/>
      </c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</row>
    <row r="427" spans="1:31">
      <c r="A427" s="19"/>
      <c r="B427" s="20"/>
      <c r="C427" s="18" t="str">
        <f ca="1">IFERROR(__xludf.DUMMYFUNCTION("IF(ISBLANK(B427),,FILTER('Leetcode分类顺序表'!B:D,'Leetcode分类顺序表'!A:A = B427))"),"")</f>
        <v/>
      </c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</row>
    <row r="428" spans="1:31">
      <c r="A428" s="19"/>
      <c r="B428" s="20"/>
      <c r="C428" s="18" t="str">
        <f ca="1">IFERROR(__xludf.DUMMYFUNCTION("IF(ISBLANK(B428),,FILTER('Leetcode分类顺序表'!B:D,'Leetcode分类顺序表'!A:A = B428))"),"")</f>
        <v/>
      </c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</row>
    <row r="429" spans="1:31">
      <c r="A429" s="19"/>
      <c r="B429" s="20"/>
      <c r="C429" s="18" t="str">
        <f ca="1">IFERROR(__xludf.DUMMYFUNCTION("IF(ISBLANK(B429),,FILTER('Leetcode分类顺序表'!B:D,'Leetcode分类顺序表'!A:A = B429))"),"")</f>
        <v/>
      </c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</row>
    <row r="430" spans="1:31">
      <c r="A430" s="19"/>
      <c r="B430" s="20"/>
      <c r="C430" s="18" t="str">
        <f ca="1">IFERROR(__xludf.DUMMYFUNCTION("IF(ISBLANK(B430),,FILTER('Leetcode分类顺序表'!B:D,'Leetcode分类顺序表'!A:A = B430))"),"")</f>
        <v/>
      </c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</row>
    <row r="431" spans="1:31">
      <c r="A431" s="19"/>
      <c r="B431" s="20"/>
      <c r="C431" s="18" t="str">
        <f ca="1">IFERROR(__xludf.DUMMYFUNCTION("IF(ISBLANK(B431),,FILTER('Leetcode分类顺序表'!B:D,'Leetcode分类顺序表'!A:A = B431))"),"")</f>
        <v/>
      </c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</row>
    <row r="432" spans="1:31">
      <c r="A432" s="19"/>
      <c r="B432" s="20"/>
      <c r="C432" s="18" t="str">
        <f ca="1">IFERROR(__xludf.DUMMYFUNCTION("IF(ISBLANK(B432),,FILTER('Leetcode分类顺序表'!B:D,'Leetcode分类顺序表'!A:A = B432))"),"")</f>
        <v/>
      </c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</row>
    <row r="433" spans="1:31">
      <c r="A433" s="19"/>
      <c r="B433" s="20"/>
      <c r="C433" s="18" t="str">
        <f ca="1">IFERROR(__xludf.DUMMYFUNCTION("IF(ISBLANK(B433),,FILTER('Leetcode分类顺序表'!B:D,'Leetcode分类顺序表'!A:A = B433))"),"")</f>
        <v/>
      </c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</row>
    <row r="434" spans="1:31">
      <c r="A434" s="19"/>
      <c r="B434" s="20"/>
      <c r="C434" s="18" t="str">
        <f ca="1">IFERROR(__xludf.DUMMYFUNCTION("IF(ISBLANK(B434),,FILTER('Leetcode分类顺序表'!B:D,'Leetcode分类顺序表'!A:A = B434))"),"")</f>
        <v/>
      </c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</row>
    <row r="435" spans="1:31">
      <c r="A435" s="19"/>
      <c r="B435" s="20"/>
      <c r="C435" s="18" t="str">
        <f ca="1">IFERROR(__xludf.DUMMYFUNCTION("IF(ISBLANK(B435),,FILTER('Leetcode分类顺序表'!B:D,'Leetcode分类顺序表'!A:A = B435))"),"")</f>
        <v/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</row>
    <row r="436" spans="1:31">
      <c r="A436" s="19"/>
      <c r="B436" s="20"/>
      <c r="C436" s="18" t="str">
        <f ca="1">IFERROR(__xludf.DUMMYFUNCTION("IF(ISBLANK(B436),,FILTER('Leetcode分类顺序表'!B:D,'Leetcode分类顺序表'!A:A = B436))"),"")</f>
        <v/>
      </c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</row>
    <row r="437" spans="1:31">
      <c r="A437" s="19"/>
      <c r="B437" s="20"/>
      <c r="C437" s="18" t="str">
        <f ca="1">IFERROR(__xludf.DUMMYFUNCTION("IF(ISBLANK(B437),,FILTER('Leetcode分类顺序表'!B:D,'Leetcode分类顺序表'!A:A = B437))"),"")</f>
        <v/>
      </c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</row>
    <row r="438" spans="1:31">
      <c r="A438" s="19"/>
      <c r="B438" s="20"/>
      <c r="C438" s="18" t="str">
        <f ca="1">IFERROR(__xludf.DUMMYFUNCTION("IF(ISBLANK(B438),,FILTER('Leetcode分类顺序表'!B:D,'Leetcode分类顺序表'!A:A = B438))"),"")</f>
        <v/>
      </c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</row>
    <row r="439" spans="1:31">
      <c r="A439" s="19"/>
      <c r="B439" s="20"/>
      <c r="C439" s="18" t="str">
        <f ca="1">IFERROR(__xludf.DUMMYFUNCTION("IF(ISBLANK(B439),,FILTER('Leetcode分类顺序表'!B:D,'Leetcode分类顺序表'!A:A = B439))"),"")</f>
        <v/>
      </c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</row>
    <row r="440" spans="1:31">
      <c r="A440" s="19"/>
      <c r="B440" s="20"/>
      <c r="C440" s="18" t="str">
        <f ca="1">IFERROR(__xludf.DUMMYFUNCTION("IF(ISBLANK(B440),,FILTER('Leetcode分类顺序表'!B:D,'Leetcode分类顺序表'!A:A = B440))"),"")</f>
        <v/>
      </c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</row>
    <row r="441" spans="1:31">
      <c r="A441" s="19"/>
      <c r="B441" s="20"/>
      <c r="C441" s="18" t="str">
        <f ca="1">IFERROR(__xludf.DUMMYFUNCTION("IF(ISBLANK(B441),,FILTER('Leetcode分类顺序表'!B:D,'Leetcode分类顺序表'!A:A = B441))"),"")</f>
        <v/>
      </c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</row>
    <row r="442" spans="1:31">
      <c r="A442" s="19"/>
      <c r="B442" s="20"/>
      <c r="C442" s="18" t="str">
        <f ca="1">IFERROR(__xludf.DUMMYFUNCTION("IF(ISBLANK(B442),,FILTER('Leetcode分类顺序表'!B:D,'Leetcode分类顺序表'!A:A = B442))"),"")</f>
        <v/>
      </c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</row>
    <row r="443" spans="1:31">
      <c r="A443" s="19"/>
      <c r="B443" s="20"/>
      <c r="C443" s="18" t="str">
        <f ca="1">IFERROR(__xludf.DUMMYFUNCTION("IF(ISBLANK(B443),,FILTER('Leetcode分类顺序表'!B:D,'Leetcode分类顺序表'!A:A = B443))"),"")</f>
        <v/>
      </c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</row>
    <row r="444" spans="1:31">
      <c r="A444" s="19"/>
      <c r="B444" s="20"/>
      <c r="C444" s="18" t="str">
        <f ca="1">IFERROR(__xludf.DUMMYFUNCTION("IF(ISBLANK(B444),,FILTER('Leetcode分类顺序表'!B:D,'Leetcode分类顺序表'!A:A = B444))"),"")</f>
        <v/>
      </c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</row>
    <row r="445" spans="1:31">
      <c r="A445" s="19"/>
      <c r="B445" s="20"/>
      <c r="C445" s="18" t="str">
        <f ca="1">IFERROR(__xludf.DUMMYFUNCTION("IF(ISBLANK(B445),,FILTER('Leetcode分类顺序表'!B:D,'Leetcode分类顺序表'!A:A = B445))"),"")</f>
        <v/>
      </c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</row>
    <row r="446" spans="1:31">
      <c r="A446" s="19"/>
      <c r="B446" s="20"/>
      <c r="C446" s="18" t="str">
        <f ca="1">IFERROR(__xludf.DUMMYFUNCTION("IF(ISBLANK(B446),,FILTER('Leetcode分类顺序表'!B:D,'Leetcode分类顺序表'!A:A = B446))"),"")</f>
        <v/>
      </c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</row>
    <row r="447" spans="1:31">
      <c r="A447" s="19"/>
      <c r="B447" s="20"/>
      <c r="C447" s="18" t="str">
        <f ca="1">IFERROR(__xludf.DUMMYFUNCTION("IF(ISBLANK(B447),,FILTER('Leetcode分类顺序表'!B:D,'Leetcode分类顺序表'!A:A = B447))"),"")</f>
        <v/>
      </c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</row>
    <row r="448" spans="1:31">
      <c r="A448" s="19"/>
      <c r="B448" s="20"/>
      <c r="C448" s="18" t="str">
        <f ca="1">IFERROR(__xludf.DUMMYFUNCTION("IF(ISBLANK(B448),,FILTER('Leetcode分类顺序表'!B:D,'Leetcode分类顺序表'!A:A = B448))"),"")</f>
        <v/>
      </c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</row>
    <row r="449" spans="1:31">
      <c r="A449" s="19"/>
      <c r="B449" s="20"/>
      <c r="C449" s="18" t="str">
        <f ca="1">IFERROR(__xludf.DUMMYFUNCTION("IF(ISBLANK(B449),,FILTER('Leetcode分类顺序表'!B:D,'Leetcode分类顺序表'!A:A = B449))"),"")</f>
        <v/>
      </c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</row>
    <row r="450" spans="1:31">
      <c r="A450" s="19"/>
      <c r="B450" s="20"/>
      <c r="C450" s="18" t="str">
        <f ca="1">IFERROR(__xludf.DUMMYFUNCTION("IF(ISBLANK(B450),,FILTER('Leetcode分类顺序表'!B:D,'Leetcode分类顺序表'!A:A = B450))"),"")</f>
        <v/>
      </c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</row>
    <row r="451" spans="1:31">
      <c r="A451" s="19"/>
      <c r="B451" s="20"/>
      <c r="C451" s="18" t="str">
        <f ca="1">IFERROR(__xludf.DUMMYFUNCTION("IF(ISBLANK(B451),,FILTER('Leetcode分类顺序表'!B:D,'Leetcode分类顺序表'!A:A = B451))"),"")</f>
        <v/>
      </c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</row>
    <row r="452" spans="1:31">
      <c r="A452" s="19"/>
      <c r="B452" s="20"/>
      <c r="C452" s="18" t="str">
        <f ca="1">IFERROR(__xludf.DUMMYFUNCTION("IF(ISBLANK(B452),,FILTER('Leetcode分类顺序表'!B:D,'Leetcode分类顺序表'!A:A = B452))"),"")</f>
        <v/>
      </c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</row>
    <row r="453" spans="1:31">
      <c r="A453" s="19"/>
      <c r="B453" s="20"/>
      <c r="C453" s="18" t="str">
        <f ca="1">IFERROR(__xludf.DUMMYFUNCTION("IF(ISBLANK(B453),,FILTER('Leetcode分类顺序表'!B:D,'Leetcode分类顺序表'!A:A = B453))"),"")</f>
        <v/>
      </c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</row>
    <row r="454" spans="1:31">
      <c r="A454" s="19"/>
      <c r="B454" s="20"/>
      <c r="C454" s="18" t="str">
        <f ca="1">IFERROR(__xludf.DUMMYFUNCTION("IF(ISBLANK(B454),,FILTER('Leetcode分类顺序表'!B:D,'Leetcode分类顺序表'!A:A = B454))"),"")</f>
        <v/>
      </c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</row>
    <row r="455" spans="1:31">
      <c r="A455" s="19"/>
      <c r="B455" s="20"/>
      <c r="C455" s="18" t="str">
        <f ca="1">IFERROR(__xludf.DUMMYFUNCTION("IF(ISBLANK(B455),,FILTER('Leetcode分类顺序表'!B:D,'Leetcode分类顺序表'!A:A = B455))"),"")</f>
        <v/>
      </c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</row>
    <row r="456" spans="1:31">
      <c r="A456" s="19"/>
      <c r="B456" s="20"/>
      <c r="C456" s="18" t="str">
        <f ca="1">IFERROR(__xludf.DUMMYFUNCTION("IF(ISBLANK(B456),,FILTER('Leetcode分类顺序表'!B:D,'Leetcode分类顺序表'!A:A = B456))"),"")</f>
        <v/>
      </c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</row>
    <row r="457" spans="1:31">
      <c r="A457" s="19"/>
      <c r="B457" s="20"/>
      <c r="C457" s="18" t="str">
        <f ca="1">IFERROR(__xludf.DUMMYFUNCTION("IF(ISBLANK(B457),,FILTER('Leetcode分类顺序表'!B:D,'Leetcode分类顺序表'!A:A = B457))"),"")</f>
        <v/>
      </c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</row>
    <row r="458" spans="1:31">
      <c r="A458" s="19"/>
      <c r="B458" s="20"/>
      <c r="C458" s="18" t="str">
        <f ca="1">IFERROR(__xludf.DUMMYFUNCTION("IF(ISBLANK(B458),,FILTER('Leetcode分类顺序表'!B:D,'Leetcode分类顺序表'!A:A = B458))"),"")</f>
        <v/>
      </c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59" spans="1:31">
      <c r="A459" s="19"/>
      <c r="B459" s="20"/>
      <c r="C459" s="18" t="str">
        <f ca="1">IFERROR(__xludf.DUMMYFUNCTION("IF(ISBLANK(B459),,FILTER('Leetcode分类顺序表'!B:D,'Leetcode分类顺序表'!A:A = B459))"),"")</f>
        <v/>
      </c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</row>
    <row r="460" spans="1:31">
      <c r="A460" s="19"/>
      <c r="B460" s="20"/>
      <c r="C460" s="18" t="str">
        <f ca="1">IFERROR(__xludf.DUMMYFUNCTION("IF(ISBLANK(B460),,FILTER('Leetcode分类顺序表'!B:D,'Leetcode分类顺序表'!A:A = B460))"),"")</f>
        <v/>
      </c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</row>
    <row r="461" spans="1:31">
      <c r="A461" s="19"/>
      <c r="B461" s="20"/>
      <c r="C461" s="18" t="str">
        <f ca="1">IFERROR(__xludf.DUMMYFUNCTION("IF(ISBLANK(B461),,FILTER('Leetcode分类顺序表'!B:D,'Leetcode分类顺序表'!A:A = B461))"),"")</f>
        <v/>
      </c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</row>
    <row r="462" spans="1:31">
      <c r="A462" s="19"/>
      <c r="B462" s="20"/>
      <c r="C462" s="18" t="str">
        <f ca="1">IFERROR(__xludf.DUMMYFUNCTION("IF(ISBLANK(B462),,FILTER('Leetcode分类顺序表'!B:D,'Leetcode分类顺序表'!A:A = B462))"),"")</f>
        <v/>
      </c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</row>
    <row r="463" spans="1:31">
      <c r="A463" s="19"/>
      <c r="B463" s="20"/>
      <c r="C463" s="18" t="str">
        <f ca="1">IFERROR(__xludf.DUMMYFUNCTION("IF(ISBLANK(B463),,FILTER('Leetcode分类顺序表'!B:D,'Leetcode分类顺序表'!A:A = B463))"),"")</f>
        <v/>
      </c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</row>
    <row r="464" spans="1:31">
      <c r="A464" s="19"/>
      <c r="B464" s="20"/>
      <c r="C464" s="18" t="str">
        <f ca="1">IFERROR(__xludf.DUMMYFUNCTION("IF(ISBLANK(B464),,FILTER('Leetcode分类顺序表'!B:D,'Leetcode分类顺序表'!A:A = B464))"),"")</f>
        <v/>
      </c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</row>
    <row r="465" spans="1:31">
      <c r="A465" s="19"/>
      <c r="B465" s="20"/>
      <c r="C465" s="18" t="str">
        <f ca="1">IFERROR(__xludf.DUMMYFUNCTION("IF(ISBLANK(B465),,FILTER('Leetcode分类顺序表'!B:D,'Leetcode分类顺序表'!A:A = B465))"),"")</f>
        <v/>
      </c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</row>
    <row r="466" spans="1:31">
      <c r="A466" s="19"/>
      <c r="B466" s="20"/>
      <c r="C466" s="18" t="str">
        <f ca="1">IFERROR(__xludf.DUMMYFUNCTION("IF(ISBLANK(B466),,FILTER('Leetcode分类顺序表'!B:D,'Leetcode分类顺序表'!A:A = B466))"),"")</f>
        <v/>
      </c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</row>
    <row r="467" spans="1:31">
      <c r="A467" s="19"/>
      <c r="B467" s="20"/>
      <c r="C467" s="18" t="str">
        <f ca="1">IFERROR(__xludf.DUMMYFUNCTION("IF(ISBLANK(B467),,FILTER('Leetcode分类顺序表'!B:D,'Leetcode分类顺序表'!A:A = B467))"),"")</f>
        <v/>
      </c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</row>
    <row r="468" spans="1:31">
      <c r="A468" s="19"/>
      <c r="B468" s="20"/>
      <c r="C468" s="18" t="str">
        <f ca="1">IFERROR(__xludf.DUMMYFUNCTION("IF(ISBLANK(B468),,FILTER('Leetcode分类顺序表'!B:D,'Leetcode分类顺序表'!A:A = B468))"),"")</f>
        <v/>
      </c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</row>
    <row r="469" spans="1:31">
      <c r="A469" s="19"/>
      <c r="B469" s="20"/>
      <c r="C469" s="18" t="str">
        <f ca="1">IFERROR(__xludf.DUMMYFUNCTION("IF(ISBLANK(B469),,FILTER('Leetcode分类顺序表'!B:D,'Leetcode分类顺序表'!A:A = B469))"),"")</f>
        <v/>
      </c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</row>
    <row r="470" spans="1:31">
      <c r="A470" s="19"/>
      <c r="B470" s="20"/>
      <c r="C470" s="18" t="str">
        <f ca="1">IFERROR(__xludf.DUMMYFUNCTION("IF(ISBLANK(B470),,FILTER('Leetcode分类顺序表'!B:D,'Leetcode分类顺序表'!A:A = B470))"),"")</f>
        <v/>
      </c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</row>
    <row r="471" spans="1:31">
      <c r="A471" s="19"/>
      <c r="B471" s="20"/>
      <c r="C471" s="18" t="str">
        <f ca="1">IFERROR(__xludf.DUMMYFUNCTION("IF(ISBLANK(B471),,FILTER('Leetcode分类顺序表'!B:D,'Leetcode分类顺序表'!A:A = B471))"),"")</f>
        <v/>
      </c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</row>
    <row r="472" spans="1:31">
      <c r="A472" s="19"/>
      <c r="B472" s="20"/>
      <c r="C472" s="18" t="str">
        <f ca="1">IFERROR(__xludf.DUMMYFUNCTION("IF(ISBLANK(B472),,FILTER('Leetcode分类顺序表'!B:D,'Leetcode分类顺序表'!A:A = B472))"),"")</f>
        <v/>
      </c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</row>
    <row r="473" spans="1:31">
      <c r="A473" s="19"/>
      <c r="B473" s="20"/>
      <c r="C473" s="18" t="str">
        <f ca="1">IFERROR(__xludf.DUMMYFUNCTION("IF(ISBLANK(B473),,FILTER('Leetcode分类顺序表'!B:D,'Leetcode分类顺序表'!A:A = B473))"),"")</f>
        <v/>
      </c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</row>
    <row r="474" spans="1:31">
      <c r="A474" s="19"/>
      <c r="B474" s="20"/>
      <c r="C474" s="18" t="str">
        <f ca="1">IFERROR(__xludf.DUMMYFUNCTION("IF(ISBLANK(B474),,FILTER('Leetcode分类顺序表'!B:D,'Leetcode分类顺序表'!A:A = B474))"),"")</f>
        <v/>
      </c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</row>
    <row r="475" spans="1:31">
      <c r="A475" s="19"/>
      <c r="B475" s="20"/>
      <c r="C475" s="18" t="str">
        <f ca="1">IFERROR(__xludf.DUMMYFUNCTION("IF(ISBLANK(B475),,FILTER('Leetcode分类顺序表'!B:D,'Leetcode分类顺序表'!A:A = B475))"),"")</f>
        <v/>
      </c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</row>
    <row r="476" spans="1:31">
      <c r="A476" s="19"/>
      <c r="B476" s="20"/>
      <c r="C476" s="18" t="str">
        <f ca="1">IFERROR(__xludf.DUMMYFUNCTION("IF(ISBLANK(B476),,FILTER('Leetcode分类顺序表'!B:D,'Leetcode分类顺序表'!A:A = B476))"),"")</f>
        <v/>
      </c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</row>
    <row r="477" spans="1:31">
      <c r="A477" s="19"/>
      <c r="B477" s="20"/>
      <c r="C477" s="18" t="str">
        <f ca="1">IFERROR(__xludf.DUMMYFUNCTION("IF(ISBLANK(B477),,FILTER('Leetcode分类顺序表'!B:D,'Leetcode分类顺序表'!A:A = B477))"),"")</f>
        <v/>
      </c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</row>
    <row r="478" spans="1:31">
      <c r="A478" s="19"/>
      <c r="B478" s="20"/>
      <c r="C478" s="18" t="str">
        <f ca="1">IFERROR(__xludf.DUMMYFUNCTION("IF(ISBLANK(B478),,FILTER('Leetcode分类顺序表'!B:D,'Leetcode分类顺序表'!A:A = B478))"),"")</f>
        <v/>
      </c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</row>
    <row r="479" spans="1:31">
      <c r="A479" s="19"/>
      <c r="B479" s="20"/>
      <c r="C479" s="18" t="str">
        <f ca="1">IFERROR(__xludf.DUMMYFUNCTION("IF(ISBLANK(B479),,FILTER('Leetcode分类顺序表'!B:D,'Leetcode分类顺序表'!A:A = B479))"),"")</f>
        <v/>
      </c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</row>
    <row r="480" spans="1:31">
      <c r="A480" s="19"/>
      <c r="B480" s="20"/>
      <c r="C480" s="18" t="str">
        <f ca="1">IFERROR(__xludf.DUMMYFUNCTION("IF(ISBLANK(B480),,FILTER('Leetcode分类顺序表'!B:D,'Leetcode分类顺序表'!A:A = B480))"),"")</f>
        <v/>
      </c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</row>
    <row r="481" spans="1:31">
      <c r="A481" s="19"/>
      <c r="B481" s="20"/>
      <c r="C481" s="18" t="str">
        <f ca="1">IFERROR(__xludf.DUMMYFUNCTION("IF(ISBLANK(B481),,FILTER('Leetcode分类顺序表'!B:D,'Leetcode分类顺序表'!A:A = B481))"),"")</f>
        <v/>
      </c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</row>
    <row r="482" spans="1:31">
      <c r="A482" s="19"/>
      <c r="B482" s="20"/>
      <c r="C482" s="18" t="str">
        <f ca="1">IFERROR(__xludf.DUMMYFUNCTION("IF(ISBLANK(B482),,FILTER('Leetcode分类顺序表'!B:D,'Leetcode分类顺序表'!A:A = B482))"),"")</f>
        <v/>
      </c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</row>
    <row r="483" spans="1:31">
      <c r="A483" s="19"/>
      <c r="B483" s="20"/>
      <c r="C483" s="18" t="str">
        <f ca="1">IFERROR(__xludf.DUMMYFUNCTION("IF(ISBLANK(B483),,FILTER('Leetcode分类顺序表'!B:D,'Leetcode分类顺序表'!A:A = B483))"),"")</f>
        <v/>
      </c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</row>
    <row r="484" spans="1:31">
      <c r="A484" s="19"/>
      <c r="B484" s="20"/>
      <c r="C484" s="18" t="str">
        <f ca="1">IFERROR(__xludf.DUMMYFUNCTION("IF(ISBLANK(B484),,FILTER('Leetcode分类顺序表'!B:D,'Leetcode分类顺序表'!A:A = B484))"),"")</f>
        <v/>
      </c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</row>
    <row r="485" spans="1:31">
      <c r="A485" s="19"/>
      <c r="B485" s="20"/>
      <c r="C485" s="18" t="str">
        <f ca="1">IFERROR(__xludf.DUMMYFUNCTION("IF(ISBLANK(B485),,FILTER('Leetcode分类顺序表'!B:D,'Leetcode分类顺序表'!A:A = B485))"),"")</f>
        <v/>
      </c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</row>
    <row r="486" spans="1:31">
      <c r="A486" s="19"/>
      <c r="B486" s="20"/>
      <c r="C486" s="18" t="str">
        <f ca="1">IFERROR(__xludf.DUMMYFUNCTION("IF(ISBLANK(B486),,FILTER('Leetcode分类顺序表'!B:D,'Leetcode分类顺序表'!A:A = B486))"),"")</f>
        <v/>
      </c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</row>
    <row r="487" spans="1:31">
      <c r="A487" s="19"/>
      <c r="B487" s="20"/>
      <c r="C487" s="18" t="str">
        <f ca="1">IFERROR(__xludf.DUMMYFUNCTION("IF(ISBLANK(B487),,FILTER('Leetcode分类顺序表'!B:D,'Leetcode分类顺序表'!A:A = B487))"),"")</f>
        <v/>
      </c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</row>
    <row r="488" spans="1:31">
      <c r="A488" s="19"/>
      <c r="B488" s="20"/>
      <c r="C488" s="18" t="str">
        <f ca="1">IFERROR(__xludf.DUMMYFUNCTION("IF(ISBLANK(B488),,FILTER('Leetcode分类顺序表'!B:D,'Leetcode分类顺序表'!A:A = B488))"),"")</f>
        <v/>
      </c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</row>
    <row r="489" spans="1:31">
      <c r="A489" s="19"/>
      <c r="B489" s="20"/>
      <c r="C489" s="18" t="str">
        <f ca="1">IFERROR(__xludf.DUMMYFUNCTION("IF(ISBLANK(B489),,FILTER('Leetcode分类顺序表'!B:D,'Leetcode分类顺序表'!A:A = B489))"),"")</f>
        <v/>
      </c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</row>
    <row r="490" spans="1:31">
      <c r="A490" s="19"/>
      <c r="B490" s="20"/>
      <c r="C490" s="18" t="str">
        <f ca="1">IFERROR(__xludf.DUMMYFUNCTION("IF(ISBLANK(B490),,FILTER('Leetcode分类顺序表'!B:D,'Leetcode分类顺序表'!A:A = B490))"),"")</f>
        <v/>
      </c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</row>
    <row r="491" spans="1:31">
      <c r="A491" s="19"/>
      <c r="B491" s="20"/>
      <c r="C491" s="18" t="str">
        <f ca="1">IFERROR(__xludf.DUMMYFUNCTION("IF(ISBLANK(B491),,FILTER('Leetcode分类顺序表'!B:D,'Leetcode分类顺序表'!A:A = B491))"),"")</f>
        <v/>
      </c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</row>
    <row r="492" spans="1:31">
      <c r="A492" s="19"/>
      <c r="B492" s="20"/>
      <c r="C492" s="18" t="str">
        <f ca="1">IFERROR(__xludf.DUMMYFUNCTION("IF(ISBLANK(B492),,FILTER('Leetcode分类顺序表'!B:D,'Leetcode分类顺序表'!A:A = B492))"),"")</f>
        <v/>
      </c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</row>
    <row r="493" spans="1:31">
      <c r="A493" s="19"/>
      <c r="B493" s="20"/>
      <c r="C493" s="18" t="str">
        <f ca="1">IFERROR(__xludf.DUMMYFUNCTION("IF(ISBLANK(B493),,FILTER('Leetcode分类顺序表'!B:D,'Leetcode分类顺序表'!A:A = B493))"),"")</f>
        <v/>
      </c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</row>
    <row r="494" spans="1:31">
      <c r="A494" s="19"/>
      <c r="B494" s="20"/>
      <c r="C494" s="18" t="str">
        <f ca="1">IFERROR(__xludf.DUMMYFUNCTION("IF(ISBLANK(B494),,FILTER('Leetcode分类顺序表'!B:D,'Leetcode分类顺序表'!A:A = B494))"),"")</f>
        <v/>
      </c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</row>
    <row r="495" spans="1:31">
      <c r="A495" s="19"/>
      <c r="B495" s="20"/>
      <c r="C495" s="18" t="str">
        <f ca="1">IFERROR(__xludf.DUMMYFUNCTION("IF(ISBLANK(B495),,FILTER('Leetcode分类顺序表'!B:D,'Leetcode分类顺序表'!A:A = B495))"),"")</f>
        <v/>
      </c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</row>
    <row r="496" spans="1:31">
      <c r="A496" s="19"/>
      <c r="B496" s="20"/>
      <c r="C496" s="18" t="str">
        <f ca="1">IFERROR(__xludf.DUMMYFUNCTION("IF(ISBLANK(B496),,FILTER('Leetcode分类顺序表'!B:D,'Leetcode分类顺序表'!A:A = B496))"),"")</f>
        <v/>
      </c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</row>
    <row r="497" spans="1:31">
      <c r="A497" s="19"/>
      <c r="B497" s="20"/>
      <c r="C497" s="18" t="str">
        <f ca="1">IFERROR(__xludf.DUMMYFUNCTION("IF(ISBLANK(B497),,FILTER('Leetcode分类顺序表'!B:D,'Leetcode分类顺序表'!A:A = B497))"),"")</f>
        <v/>
      </c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</row>
    <row r="498" spans="1:31">
      <c r="A498" s="19"/>
      <c r="B498" s="20"/>
      <c r="C498" s="18" t="str">
        <f ca="1">IFERROR(__xludf.DUMMYFUNCTION("IF(ISBLANK(B498),,FILTER('Leetcode分类顺序表'!B:D,'Leetcode分类顺序表'!A:A = B498))"),"")</f>
        <v/>
      </c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</row>
    <row r="499" spans="1:31">
      <c r="A499" s="19"/>
      <c r="B499" s="20"/>
      <c r="C499" s="18" t="str">
        <f ca="1">IFERROR(__xludf.DUMMYFUNCTION("IF(ISBLANK(B499),,FILTER('Leetcode分类顺序表'!B:D,'Leetcode分类顺序表'!A:A = B499))"),"")</f>
        <v/>
      </c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</row>
    <row r="500" spans="1:31">
      <c r="A500" s="19"/>
      <c r="B500" s="20"/>
      <c r="C500" s="18" t="str">
        <f ca="1">IFERROR(__xludf.DUMMYFUNCTION("IF(ISBLANK(B500),,FILTER('Leetcode分类顺序表'!B:D,'Leetcode分类顺序表'!A:A = B500))"),"")</f>
        <v/>
      </c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</row>
    <row r="501" spans="1:31">
      <c r="A501" s="19"/>
      <c r="B501" s="20"/>
      <c r="C501" s="18" t="str">
        <f ca="1">IFERROR(__xludf.DUMMYFUNCTION("IF(ISBLANK(B501),,FILTER('Leetcode分类顺序表'!B:D,'Leetcode分类顺序表'!A:A = B501))"),"")</f>
        <v/>
      </c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</row>
    <row r="502" spans="1:31">
      <c r="A502" s="19"/>
      <c r="B502" s="20"/>
      <c r="C502" s="18" t="str">
        <f ca="1">IFERROR(__xludf.DUMMYFUNCTION("IF(ISBLANK(B502),,FILTER('Leetcode分类顺序表'!B:D,'Leetcode分类顺序表'!A:A = B502))"),"")</f>
        <v/>
      </c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</row>
    <row r="503" spans="1:31">
      <c r="A503" s="19"/>
      <c r="B503" s="20"/>
      <c r="C503" s="18" t="str">
        <f ca="1">IFERROR(__xludf.DUMMYFUNCTION("IF(ISBLANK(B503),,FILTER('Leetcode分类顺序表'!B:D,'Leetcode分类顺序表'!A:A = B503))"),"")</f>
        <v/>
      </c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</row>
    <row r="504" spans="1:31">
      <c r="A504" s="19"/>
      <c r="B504" s="20"/>
      <c r="C504" s="18" t="str">
        <f ca="1">IFERROR(__xludf.DUMMYFUNCTION("IF(ISBLANK(B504),,FILTER('Leetcode分类顺序表'!B:D,'Leetcode分类顺序表'!A:A = B504))"),"")</f>
        <v/>
      </c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</row>
    <row r="505" spans="1:31">
      <c r="A505" s="19"/>
      <c r="B505" s="20"/>
      <c r="C505" s="18" t="str">
        <f ca="1">IFERROR(__xludf.DUMMYFUNCTION("IF(ISBLANK(B505),,FILTER('Leetcode分类顺序表'!B:D,'Leetcode分类顺序表'!A:A = B505))"),"")</f>
        <v/>
      </c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</row>
    <row r="506" spans="1:31">
      <c r="A506" s="19"/>
      <c r="B506" s="20"/>
      <c r="C506" s="18" t="str">
        <f ca="1">IFERROR(__xludf.DUMMYFUNCTION("IF(ISBLANK(B506),,FILTER('Leetcode分类顺序表'!B:D,'Leetcode分类顺序表'!A:A = B506))"),"")</f>
        <v/>
      </c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</row>
    <row r="507" spans="1:31">
      <c r="A507" s="19"/>
      <c r="B507" s="20"/>
      <c r="C507" s="18" t="str">
        <f ca="1">IFERROR(__xludf.DUMMYFUNCTION("IF(ISBLANK(B507),,FILTER('Leetcode分类顺序表'!B:D,'Leetcode分类顺序表'!A:A = B507))"),"")</f>
        <v/>
      </c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</row>
    <row r="508" spans="1:31">
      <c r="A508" s="19"/>
      <c r="B508" s="20"/>
      <c r="C508" s="18" t="str">
        <f ca="1">IFERROR(__xludf.DUMMYFUNCTION("IF(ISBLANK(B508),,FILTER('Leetcode分类顺序表'!B:D,'Leetcode分类顺序表'!A:A = B508))"),"")</f>
        <v/>
      </c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</row>
    <row r="509" spans="1:31">
      <c r="A509" s="19"/>
      <c r="B509" s="20"/>
      <c r="C509" s="18" t="str">
        <f ca="1">IFERROR(__xludf.DUMMYFUNCTION("IF(ISBLANK(B509),,FILTER('Leetcode分类顺序表'!B:D,'Leetcode分类顺序表'!A:A = B509))"),"")</f>
        <v/>
      </c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</row>
    <row r="510" spans="1:31">
      <c r="A510" s="19"/>
      <c r="B510" s="20"/>
      <c r="C510" s="18" t="str">
        <f ca="1">IFERROR(__xludf.DUMMYFUNCTION("IF(ISBLANK(B510),,FILTER('Leetcode分类顺序表'!B:D,'Leetcode分类顺序表'!A:A = B510))"),"")</f>
        <v/>
      </c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</row>
    <row r="511" spans="1:31">
      <c r="A511" s="19"/>
      <c r="B511" s="20"/>
      <c r="C511" s="18" t="str">
        <f ca="1">IFERROR(__xludf.DUMMYFUNCTION("IF(ISBLANK(B511),,FILTER('Leetcode分类顺序表'!B:D,'Leetcode分类顺序表'!A:A = B511))"),"")</f>
        <v/>
      </c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</row>
    <row r="512" spans="1:31">
      <c r="A512" s="19"/>
      <c r="B512" s="20"/>
      <c r="C512" s="18" t="str">
        <f ca="1">IFERROR(__xludf.DUMMYFUNCTION("IF(ISBLANK(B512),,FILTER('Leetcode分类顺序表'!B:D,'Leetcode分类顺序表'!A:A = B512))"),"")</f>
        <v/>
      </c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</row>
    <row r="513" spans="1:31">
      <c r="A513" s="19"/>
      <c r="B513" s="20"/>
      <c r="C513" s="18" t="str">
        <f ca="1">IFERROR(__xludf.DUMMYFUNCTION("IF(ISBLANK(B513),,FILTER('Leetcode分类顺序表'!B:D,'Leetcode分类顺序表'!A:A = B513))"),"")</f>
        <v/>
      </c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</row>
    <row r="514" spans="1:31">
      <c r="A514" s="19"/>
      <c r="B514" s="20"/>
      <c r="C514" s="18" t="str">
        <f ca="1">IFERROR(__xludf.DUMMYFUNCTION("IF(ISBLANK(B514),,FILTER('Leetcode分类顺序表'!B:D,'Leetcode分类顺序表'!A:A = B514))"),"")</f>
        <v/>
      </c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</row>
    <row r="515" spans="1:31">
      <c r="A515" s="19"/>
      <c r="B515" s="20"/>
      <c r="C515" s="18" t="str">
        <f ca="1">IFERROR(__xludf.DUMMYFUNCTION("IF(ISBLANK(B515),,FILTER('Leetcode分类顺序表'!B:D,'Leetcode分类顺序表'!A:A = B515))"),"")</f>
        <v/>
      </c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</row>
    <row r="516" spans="1:31">
      <c r="A516" s="19"/>
      <c r="B516" s="20"/>
      <c r="C516" s="18" t="str">
        <f ca="1">IFERROR(__xludf.DUMMYFUNCTION("IF(ISBLANK(B516),,FILTER('Leetcode分类顺序表'!B:D,'Leetcode分类顺序表'!A:A = B516))"),"")</f>
        <v/>
      </c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</row>
    <row r="517" spans="1:31">
      <c r="A517" s="19"/>
      <c r="B517" s="20"/>
      <c r="C517" s="18" t="str">
        <f ca="1">IFERROR(__xludf.DUMMYFUNCTION("IF(ISBLANK(B517),,FILTER('Leetcode分类顺序表'!B:D,'Leetcode分类顺序表'!A:A = B517))"),"")</f>
        <v/>
      </c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</row>
    <row r="518" spans="1:31">
      <c r="A518" s="19"/>
      <c r="B518" s="20"/>
      <c r="C518" s="18" t="str">
        <f ca="1">IFERROR(__xludf.DUMMYFUNCTION("IF(ISBLANK(B518),,FILTER('Leetcode分类顺序表'!B:D,'Leetcode分类顺序表'!A:A = B518))"),"")</f>
        <v/>
      </c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</row>
    <row r="519" spans="1:31">
      <c r="A519" s="19"/>
      <c r="B519" s="20"/>
      <c r="C519" s="18" t="str">
        <f ca="1">IFERROR(__xludf.DUMMYFUNCTION("IF(ISBLANK(B519),,FILTER('Leetcode分类顺序表'!B:D,'Leetcode分类顺序表'!A:A = B519))"),"")</f>
        <v/>
      </c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</row>
    <row r="520" spans="1:31">
      <c r="A520" s="19"/>
      <c r="B520" s="20"/>
      <c r="C520" s="18" t="str">
        <f ca="1">IFERROR(__xludf.DUMMYFUNCTION("IF(ISBLANK(B520),,FILTER('Leetcode分类顺序表'!B:D,'Leetcode分类顺序表'!A:A = B520))"),"")</f>
        <v/>
      </c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</row>
    <row r="521" spans="1:31">
      <c r="A521" s="19"/>
      <c r="B521" s="20"/>
      <c r="C521" s="18" t="str">
        <f ca="1">IFERROR(__xludf.DUMMYFUNCTION("IF(ISBLANK(B521),,FILTER('Leetcode分类顺序表'!B:D,'Leetcode分类顺序表'!A:A = B521))"),"")</f>
        <v/>
      </c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</row>
    <row r="522" spans="1:31">
      <c r="A522" s="19"/>
      <c r="B522" s="20"/>
      <c r="C522" s="18" t="str">
        <f ca="1">IFERROR(__xludf.DUMMYFUNCTION("IF(ISBLANK(B522),,FILTER('Leetcode分类顺序表'!B:D,'Leetcode分类顺序表'!A:A = B522))"),"")</f>
        <v/>
      </c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</row>
    <row r="523" spans="1:31">
      <c r="A523" s="19"/>
      <c r="B523" s="20"/>
      <c r="C523" s="18" t="str">
        <f ca="1">IFERROR(__xludf.DUMMYFUNCTION("IF(ISBLANK(B523),,FILTER('Leetcode分类顺序表'!B:D,'Leetcode分类顺序表'!A:A = B523))"),"")</f>
        <v/>
      </c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</row>
    <row r="524" spans="1:31">
      <c r="A524" s="19"/>
      <c r="B524" s="20"/>
      <c r="C524" s="18" t="str">
        <f ca="1">IFERROR(__xludf.DUMMYFUNCTION("IF(ISBLANK(B524),,FILTER('Leetcode分类顺序表'!B:D,'Leetcode分类顺序表'!A:A = B524))"),"")</f>
        <v/>
      </c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</row>
    <row r="525" spans="1:31">
      <c r="A525" s="19"/>
      <c r="B525" s="20"/>
      <c r="C525" s="18" t="str">
        <f ca="1">IFERROR(__xludf.DUMMYFUNCTION("IF(ISBLANK(B525),,FILTER('Leetcode分类顺序表'!B:D,'Leetcode分类顺序表'!A:A = B525))"),"")</f>
        <v/>
      </c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</row>
    <row r="526" spans="1:31">
      <c r="A526" s="19"/>
      <c r="B526" s="20"/>
      <c r="C526" s="18" t="str">
        <f ca="1">IFERROR(__xludf.DUMMYFUNCTION("IF(ISBLANK(B526),,FILTER('Leetcode分类顺序表'!B:D,'Leetcode分类顺序表'!A:A = B526))"),"")</f>
        <v/>
      </c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</row>
    <row r="527" spans="1:31">
      <c r="A527" s="19"/>
      <c r="B527" s="20"/>
      <c r="C527" s="18" t="str">
        <f ca="1">IFERROR(__xludf.DUMMYFUNCTION("IF(ISBLANK(B527),,FILTER('Leetcode分类顺序表'!B:D,'Leetcode分类顺序表'!A:A = B527))"),"")</f>
        <v/>
      </c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</row>
    <row r="528" spans="1:31">
      <c r="A528" s="19"/>
      <c r="B528" s="20"/>
      <c r="C528" s="18" t="str">
        <f ca="1">IFERROR(__xludf.DUMMYFUNCTION("IF(ISBLANK(B528),,FILTER('Leetcode分类顺序表'!B:D,'Leetcode分类顺序表'!A:A = B528))"),"")</f>
        <v/>
      </c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</row>
    <row r="529" spans="1:31">
      <c r="A529" s="19"/>
      <c r="B529" s="20"/>
      <c r="C529" s="18" t="str">
        <f ca="1">IFERROR(__xludf.DUMMYFUNCTION("IF(ISBLANK(B529),,FILTER('Leetcode分类顺序表'!B:D,'Leetcode分类顺序表'!A:A = B529))"),"")</f>
        <v/>
      </c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</row>
    <row r="530" spans="1:31">
      <c r="A530" s="19"/>
      <c r="B530" s="20"/>
      <c r="C530" s="18" t="str">
        <f ca="1">IFERROR(__xludf.DUMMYFUNCTION("IF(ISBLANK(B530),,FILTER('Leetcode分类顺序表'!B:D,'Leetcode分类顺序表'!A:A = B530))"),"")</f>
        <v/>
      </c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</row>
    <row r="531" spans="1:31">
      <c r="A531" s="19"/>
      <c r="B531" s="20"/>
      <c r="C531" s="18" t="str">
        <f ca="1">IFERROR(__xludf.DUMMYFUNCTION("IF(ISBLANK(B531),,FILTER('Leetcode分类顺序表'!B:D,'Leetcode分类顺序表'!A:A = B531))"),"")</f>
        <v/>
      </c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</row>
    <row r="532" spans="1:31">
      <c r="A532" s="19"/>
      <c r="B532" s="20"/>
      <c r="C532" s="18" t="str">
        <f ca="1">IFERROR(__xludf.DUMMYFUNCTION("IF(ISBLANK(B532),,FILTER('Leetcode分类顺序表'!B:D,'Leetcode分类顺序表'!A:A = B532))"),"")</f>
        <v/>
      </c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</row>
    <row r="533" spans="1:31">
      <c r="A533" s="19"/>
      <c r="B533" s="20"/>
      <c r="C533" s="18" t="str">
        <f ca="1">IFERROR(__xludf.DUMMYFUNCTION("IF(ISBLANK(B533),,FILTER('Leetcode分类顺序表'!B:D,'Leetcode分类顺序表'!A:A = B533))"),"")</f>
        <v/>
      </c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</row>
    <row r="534" spans="1:31">
      <c r="A534" s="19"/>
      <c r="B534" s="20"/>
      <c r="C534" s="18" t="str">
        <f ca="1">IFERROR(__xludf.DUMMYFUNCTION("IF(ISBLANK(B534),,FILTER('Leetcode分类顺序表'!B:D,'Leetcode分类顺序表'!A:A = B534))"),"")</f>
        <v/>
      </c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</row>
    <row r="535" spans="1:31">
      <c r="A535" s="19"/>
      <c r="B535" s="20"/>
      <c r="C535" s="18" t="str">
        <f ca="1">IFERROR(__xludf.DUMMYFUNCTION("IF(ISBLANK(B535),,FILTER('Leetcode分类顺序表'!B:D,'Leetcode分类顺序表'!A:A = B535))"),"")</f>
        <v/>
      </c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</row>
    <row r="536" spans="1:31">
      <c r="A536" s="19"/>
      <c r="B536" s="20"/>
      <c r="C536" s="18" t="str">
        <f ca="1">IFERROR(__xludf.DUMMYFUNCTION("IF(ISBLANK(B536),,FILTER('Leetcode分类顺序表'!B:D,'Leetcode分类顺序表'!A:A = B536))"),"")</f>
        <v/>
      </c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</row>
    <row r="537" spans="1:31">
      <c r="A537" s="19"/>
      <c r="B537" s="20"/>
      <c r="C537" s="18" t="str">
        <f ca="1">IFERROR(__xludf.DUMMYFUNCTION("IF(ISBLANK(B537),,FILTER('Leetcode分类顺序表'!B:D,'Leetcode分类顺序表'!A:A = B537))"),"")</f>
        <v/>
      </c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</row>
    <row r="538" spans="1:31">
      <c r="A538" s="19"/>
      <c r="B538" s="20"/>
      <c r="C538" s="18" t="str">
        <f ca="1">IFERROR(__xludf.DUMMYFUNCTION("IF(ISBLANK(B538),,FILTER('Leetcode分类顺序表'!B:D,'Leetcode分类顺序表'!A:A = B538))"),"")</f>
        <v/>
      </c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</row>
    <row r="539" spans="1:31">
      <c r="A539" s="19"/>
      <c r="B539" s="20"/>
      <c r="C539" s="18" t="str">
        <f ca="1">IFERROR(__xludf.DUMMYFUNCTION("IF(ISBLANK(B539),,FILTER('Leetcode分类顺序表'!B:D,'Leetcode分类顺序表'!A:A = B539))"),"")</f>
        <v/>
      </c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</row>
    <row r="540" spans="1:31">
      <c r="A540" s="19"/>
      <c r="B540" s="20"/>
      <c r="C540" s="18" t="str">
        <f ca="1">IFERROR(__xludf.DUMMYFUNCTION("IF(ISBLANK(B540),,FILTER('Leetcode分类顺序表'!B:D,'Leetcode分类顺序表'!A:A = B540))"),"")</f>
        <v/>
      </c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</row>
    <row r="541" spans="1:31">
      <c r="A541" s="19"/>
      <c r="B541" s="20"/>
      <c r="C541" s="18" t="str">
        <f ca="1">IFERROR(__xludf.DUMMYFUNCTION("IF(ISBLANK(B541),,FILTER('Leetcode分类顺序表'!B:D,'Leetcode分类顺序表'!A:A = B541))"),"")</f>
        <v/>
      </c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</row>
    <row r="542" spans="1:31">
      <c r="A542" s="19"/>
      <c r="B542" s="20"/>
      <c r="C542" s="18" t="str">
        <f ca="1">IFERROR(__xludf.DUMMYFUNCTION("IF(ISBLANK(B542),,FILTER('Leetcode分类顺序表'!B:D,'Leetcode分类顺序表'!A:A = B542))"),"")</f>
        <v/>
      </c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</row>
    <row r="543" spans="1:31">
      <c r="A543" s="19"/>
      <c r="B543" s="20"/>
      <c r="C543" s="18" t="str">
        <f ca="1">IFERROR(__xludf.DUMMYFUNCTION("IF(ISBLANK(B543),,FILTER('Leetcode分类顺序表'!B:D,'Leetcode分类顺序表'!A:A = B543))"),"")</f>
        <v/>
      </c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</row>
    <row r="544" spans="1:31">
      <c r="A544" s="19"/>
      <c r="B544" s="20"/>
      <c r="C544" s="18" t="str">
        <f ca="1">IFERROR(__xludf.DUMMYFUNCTION("IF(ISBLANK(B544),,FILTER('Leetcode分类顺序表'!B:D,'Leetcode分类顺序表'!A:A = B544))"),"")</f>
        <v/>
      </c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</row>
    <row r="545" spans="1:31">
      <c r="A545" s="19"/>
      <c r="B545" s="20"/>
      <c r="C545" s="18" t="str">
        <f ca="1">IFERROR(__xludf.DUMMYFUNCTION("IF(ISBLANK(B545),,FILTER('Leetcode分类顺序表'!B:D,'Leetcode分类顺序表'!A:A = B545))"),"")</f>
        <v/>
      </c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</row>
    <row r="546" spans="1:31">
      <c r="A546" s="19"/>
      <c r="B546" s="20"/>
      <c r="C546" s="18" t="str">
        <f ca="1">IFERROR(__xludf.DUMMYFUNCTION("IF(ISBLANK(B546),,FILTER('Leetcode分类顺序表'!B:D,'Leetcode分类顺序表'!A:A = B546))"),"")</f>
        <v/>
      </c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</row>
    <row r="547" spans="1:31">
      <c r="A547" s="19"/>
      <c r="B547" s="20"/>
      <c r="C547" s="18" t="str">
        <f ca="1">IFERROR(__xludf.DUMMYFUNCTION("IF(ISBLANK(B547),,FILTER('Leetcode分类顺序表'!B:D,'Leetcode分类顺序表'!A:A = B547))"),"")</f>
        <v/>
      </c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</row>
    <row r="548" spans="1:31">
      <c r="A548" s="19"/>
      <c r="B548" s="20"/>
      <c r="C548" s="18" t="str">
        <f ca="1">IFERROR(__xludf.DUMMYFUNCTION("IF(ISBLANK(B548),,FILTER('Leetcode分类顺序表'!B:D,'Leetcode分类顺序表'!A:A = B548))"),"")</f>
        <v/>
      </c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</row>
    <row r="549" spans="1:31">
      <c r="A549" s="19"/>
      <c r="B549" s="20"/>
      <c r="C549" s="18" t="str">
        <f ca="1">IFERROR(__xludf.DUMMYFUNCTION("IF(ISBLANK(B549),,FILTER('Leetcode分类顺序表'!B:D,'Leetcode分类顺序表'!A:A = B549))"),"")</f>
        <v/>
      </c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</row>
    <row r="550" spans="1:31">
      <c r="A550" s="19"/>
      <c r="B550" s="20"/>
      <c r="C550" s="18" t="str">
        <f ca="1">IFERROR(__xludf.DUMMYFUNCTION("IF(ISBLANK(B550),,FILTER('Leetcode分类顺序表'!B:D,'Leetcode分类顺序表'!A:A = B550))"),"")</f>
        <v/>
      </c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</row>
    <row r="551" spans="1:31">
      <c r="A551" s="19"/>
      <c r="B551" s="20"/>
      <c r="C551" s="18" t="str">
        <f ca="1">IFERROR(__xludf.DUMMYFUNCTION("IF(ISBLANK(B551),,FILTER('Leetcode分类顺序表'!B:D,'Leetcode分类顺序表'!A:A = B551))"),"")</f>
        <v/>
      </c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</row>
    <row r="552" spans="1:31">
      <c r="A552" s="19"/>
      <c r="B552" s="20"/>
      <c r="C552" s="18" t="str">
        <f ca="1">IFERROR(__xludf.DUMMYFUNCTION("IF(ISBLANK(B552),,FILTER('Leetcode分类顺序表'!B:D,'Leetcode分类顺序表'!A:A = B552))"),"")</f>
        <v/>
      </c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</row>
    <row r="553" spans="1:31">
      <c r="A553" s="19"/>
      <c r="B553" s="20"/>
      <c r="C553" s="18" t="str">
        <f ca="1">IFERROR(__xludf.DUMMYFUNCTION("IF(ISBLANK(B553),,FILTER('Leetcode分类顺序表'!B:D,'Leetcode分类顺序表'!A:A = B553))"),"")</f>
        <v/>
      </c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</row>
    <row r="554" spans="1:31">
      <c r="A554" s="19"/>
      <c r="B554" s="20"/>
      <c r="C554" s="18" t="str">
        <f ca="1">IFERROR(__xludf.DUMMYFUNCTION("IF(ISBLANK(B554),,FILTER('Leetcode分类顺序表'!B:D,'Leetcode分类顺序表'!A:A = B554))"),"")</f>
        <v/>
      </c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</row>
    <row r="555" spans="1:31">
      <c r="A555" s="19"/>
      <c r="B555" s="20"/>
      <c r="C555" s="18" t="str">
        <f ca="1">IFERROR(__xludf.DUMMYFUNCTION("IF(ISBLANK(B555),,FILTER('Leetcode分类顺序表'!B:D,'Leetcode分类顺序表'!A:A = B555))"),"")</f>
        <v/>
      </c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</row>
    <row r="556" spans="1:31">
      <c r="A556" s="19"/>
      <c r="B556" s="20"/>
      <c r="C556" s="18" t="str">
        <f ca="1">IFERROR(__xludf.DUMMYFUNCTION("IF(ISBLANK(B556),,FILTER('Leetcode分类顺序表'!B:D,'Leetcode分类顺序表'!A:A = B556))"),"")</f>
        <v/>
      </c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</row>
    <row r="557" spans="1:31">
      <c r="A557" s="19"/>
      <c r="B557" s="20"/>
      <c r="C557" s="18" t="str">
        <f ca="1">IFERROR(__xludf.DUMMYFUNCTION("IF(ISBLANK(B557),,FILTER('Leetcode分类顺序表'!B:D,'Leetcode分类顺序表'!A:A = B557))"),"")</f>
        <v/>
      </c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</row>
    <row r="558" spans="1:31">
      <c r="A558" s="19"/>
      <c r="B558" s="20"/>
      <c r="C558" s="18" t="str">
        <f ca="1">IFERROR(__xludf.DUMMYFUNCTION("IF(ISBLANK(B558),,FILTER('Leetcode分类顺序表'!B:D,'Leetcode分类顺序表'!A:A = B558))"),"")</f>
        <v/>
      </c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</row>
    <row r="559" spans="1:31">
      <c r="A559" s="19"/>
      <c r="B559" s="20"/>
      <c r="C559" s="18" t="str">
        <f ca="1">IFERROR(__xludf.DUMMYFUNCTION("IF(ISBLANK(B559),,FILTER('Leetcode分类顺序表'!B:D,'Leetcode分类顺序表'!A:A = B559))"),"")</f>
        <v/>
      </c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</row>
    <row r="560" spans="1:31">
      <c r="A560" s="19"/>
      <c r="B560" s="20"/>
      <c r="C560" s="18" t="str">
        <f ca="1">IFERROR(__xludf.DUMMYFUNCTION("IF(ISBLANK(B560),,FILTER('Leetcode分类顺序表'!B:D,'Leetcode分类顺序表'!A:A = B560))"),"")</f>
        <v/>
      </c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</row>
    <row r="561" spans="1:31">
      <c r="A561" s="19"/>
      <c r="B561" s="20"/>
      <c r="C561" s="18" t="str">
        <f ca="1">IFERROR(__xludf.DUMMYFUNCTION("IF(ISBLANK(B561),,FILTER('Leetcode分类顺序表'!B:D,'Leetcode分类顺序表'!A:A = B561))"),"")</f>
        <v/>
      </c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</row>
    <row r="562" spans="1:31">
      <c r="A562" s="19"/>
      <c r="B562" s="20"/>
      <c r="C562" s="18" t="str">
        <f ca="1">IFERROR(__xludf.DUMMYFUNCTION("IF(ISBLANK(B562),,FILTER('Leetcode分类顺序表'!B:D,'Leetcode分类顺序表'!A:A = B562))"),"")</f>
        <v/>
      </c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</row>
    <row r="563" spans="1:31">
      <c r="A563" s="19"/>
      <c r="B563" s="20"/>
      <c r="C563" s="18" t="str">
        <f ca="1">IFERROR(__xludf.DUMMYFUNCTION("IF(ISBLANK(B563),,FILTER('Leetcode分类顺序表'!B:D,'Leetcode分类顺序表'!A:A = B563))"),"")</f>
        <v/>
      </c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</row>
    <row r="564" spans="1:31">
      <c r="A564" s="19"/>
      <c r="B564" s="20"/>
      <c r="C564" s="18" t="str">
        <f ca="1">IFERROR(__xludf.DUMMYFUNCTION("IF(ISBLANK(B564),,FILTER('Leetcode分类顺序表'!B:D,'Leetcode分类顺序表'!A:A = B564))"),"")</f>
        <v/>
      </c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</row>
    <row r="565" spans="1:31">
      <c r="A565" s="19"/>
      <c r="B565" s="20"/>
      <c r="C565" s="18" t="str">
        <f ca="1">IFERROR(__xludf.DUMMYFUNCTION("IF(ISBLANK(B565),,FILTER('Leetcode分类顺序表'!B:D,'Leetcode分类顺序表'!A:A = B565))"),"")</f>
        <v/>
      </c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</row>
    <row r="566" spans="1:31">
      <c r="A566" s="19"/>
      <c r="B566" s="20"/>
      <c r="C566" s="18" t="str">
        <f ca="1">IFERROR(__xludf.DUMMYFUNCTION("IF(ISBLANK(B566),,FILTER('Leetcode分类顺序表'!B:D,'Leetcode分类顺序表'!A:A = B566))"),"")</f>
        <v/>
      </c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</row>
    <row r="567" spans="1:31">
      <c r="A567" s="19"/>
      <c r="B567" s="20"/>
      <c r="C567" s="18" t="str">
        <f ca="1">IFERROR(__xludf.DUMMYFUNCTION("IF(ISBLANK(B567),,FILTER('Leetcode分类顺序表'!B:D,'Leetcode分类顺序表'!A:A = B567))"),"")</f>
        <v/>
      </c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</row>
    <row r="568" spans="1:31">
      <c r="A568" s="19"/>
      <c r="B568" s="20"/>
      <c r="C568" s="18" t="str">
        <f ca="1">IFERROR(__xludf.DUMMYFUNCTION("IF(ISBLANK(B568),,FILTER('Leetcode分类顺序表'!B:D,'Leetcode分类顺序表'!A:A = B568))"),"")</f>
        <v/>
      </c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</row>
    <row r="569" spans="1:31">
      <c r="A569" s="19"/>
      <c r="B569" s="20"/>
      <c r="C569" s="18" t="str">
        <f ca="1">IFERROR(__xludf.DUMMYFUNCTION("IF(ISBLANK(B569),,FILTER('Leetcode分类顺序表'!B:D,'Leetcode分类顺序表'!A:A = B569))"),"")</f>
        <v/>
      </c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</row>
    <row r="570" spans="1:31">
      <c r="A570" s="19"/>
      <c r="B570" s="20"/>
      <c r="C570" s="18" t="str">
        <f ca="1">IFERROR(__xludf.DUMMYFUNCTION("IF(ISBLANK(B570),,FILTER('Leetcode分类顺序表'!B:D,'Leetcode分类顺序表'!A:A = B570))"),"")</f>
        <v/>
      </c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</row>
    <row r="571" spans="1:31">
      <c r="A571" s="19"/>
      <c r="B571" s="20"/>
      <c r="C571" s="18" t="str">
        <f ca="1">IFERROR(__xludf.DUMMYFUNCTION("IF(ISBLANK(B571),,FILTER('Leetcode分类顺序表'!B:D,'Leetcode分类顺序表'!A:A = B571))"),"")</f>
        <v/>
      </c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</row>
    <row r="572" spans="1:31">
      <c r="A572" s="19"/>
      <c r="B572" s="20"/>
      <c r="C572" s="18" t="str">
        <f ca="1">IFERROR(__xludf.DUMMYFUNCTION("IF(ISBLANK(B572),,FILTER('Leetcode分类顺序表'!B:D,'Leetcode分类顺序表'!A:A = B572))"),"")</f>
        <v/>
      </c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</row>
    <row r="573" spans="1:31">
      <c r="A573" s="19"/>
      <c r="B573" s="20"/>
      <c r="C573" s="18" t="str">
        <f ca="1">IFERROR(__xludf.DUMMYFUNCTION("IF(ISBLANK(B573),,FILTER('Leetcode分类顺序表'!B:D,'Leetcode分类顺序表'!A:A = B573))"),"")</f>
        <v/>
      </c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</row>
    <row r="574" spans="1:31">
      <c r="A574" s="19"/>
      <c r="B574" s="20"/>
      <c r="C574" s="18" t="str">
        <f ca="1">IFERROR(__xludf.DUMMYFUNCTION("IF(ISBLANK(B574),,FILTER('Leetcode分类顺序表'!B:D,'Leetcode分类顺序表'!A:A = B574))"),"")</f>
        <v/>
      </c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</row>
    <row r="575" spans="1:31">
      <c r="A575" s="19"/>
      <c r="B575" s="20"/>
      <c r="C575" s="18" t="str">
        <f ca="1">IFERROR(__xludf.DUMMYFUNCTION("IF(ISBLANK(B575),,FILTER('Leetcode分类顺序表'!B:D,'Leetcode分类顺序表'!A:A = B575))"),"")</f>
        <v/>
      </c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</row>
    <row r="576" spans="1:31">
      <c r="A576" s="19"/>
      <c r="B576" s="20"/>
      <c r="C576" s="18" t="str">
        <f ca="1">IFERROR(__xludf.DUMMYFUNCTION("IF(ISBLANK(B576),,FILTER('Leetcode分类顺序表'!B:D,'Leetcode分类顺序表'!A:A = B576))"),"")</f>
        <v/>
      </c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</row>
    <row r="577" spans="1:31">
      <c r="A577" s="19"/>
      <c r="B577" s="20"/>
      <c r="C577" s="18" t="str">
        <f ca="1">IFERROR(__xludf.DUMMYFUNCTION("IF(ISBLANK(B577),,FILTER('Leetcode分类顺序表'!B:D,'Leetcode分类顺序表'!A:A = B577))"),"")</f>
        <v/>
      </c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</row>
    <row r="578" spans="1:31">
      <c r="A578" s="19"/>
      <c r="B578" s="20"/>
      <c r="C578" s="18" t="str">
        <f ca="1">IFERROR(__xludf.DUMMYFUNCTION("IF(ISBLANK(B578),,FILTER('Leetcode分类顺序表'!B:D,'Leetcode分类顺序表'!A:A = B578))"),"")</f>
        <v/>
      </c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</row>
    <row r="579" spans="1:31">
      <c r="A579" s="19"/>
      <c r="B579" s="20"/>
      <c r="C579" s="18" t="str">
        <f ca="1">IFERROR(__xludf.DUMMYFUNCTION("IF(ISBLANK(B579),,FILTER('Leetcode分类顺序表'!B:D,'Leetcode分类顺序表'!A:A = B579))"),"")</f>
        <v/>
      </c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</row>
    <row r="580" spans="1:31">
      <c r="A580" s="19"/>
      <c r="B580" s="20"/>
      <c r="C580" s="18" t="str">
        <f ca="1">IFERROR(__xludf.DUMMYFUNCTION("IF(ISBLANK(B580),,FILTER('Leetcode分类顺序表'!B:D,'Leetcode分类顺序表'!A:A = B580))"),"")</f>
        <v/>
      </c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</row>
    <row r="581" spans="1:31">
      <c r="A581" s="19"/>
      <c r="B581" s="20"/>
      <c r="C581" s="18" t="str">
        <f ca="1">IFERROR(__xludf.DUMMYFUNCTION("IF(ISBLANK(B581),,FILTER('Leetcode分类顺序表'!B:D,'Leetcode分类顺序表'!A:A = B581))"),"")</f>
        <v/>
      </c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</row>
    <row r="582" spans="1:31">
      <c r="A582" s="19"/>
      <c r="B582" s="20"/>
      <c r="C582" s="18" t="str">
        <f ca="1">IFERROR(__xludf.DUMMYFUNCTION("IF(ISBLANK(B582),,FILTER('Leetcode分类顺序表'!B:D,'Leetcode分类顺序表'!A:A = B582))"),"")</f>
        <v/>
      </c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</row>
    <row r="583" spans="1:31">
      <c r="A583" s="19"/>
      <c r="B583" s="20"/>
      <c r="C583" s="18" t="str">
        <f ca="1">IFERROR(__xludf.DUMMYFUNCTION("IF(ISBLANK(B583),,FILTER('Leetcode分类顺序表'!B:D,'Leetcode分类顺序表'!A:A = B583))"),"")</f>
        <v/>
      </c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</row>
    <row r="584" spans="1:31">
      <c r="A584" s="19"/>
      <c r="B584" s="20"/>
      <c r="C584" s="18" t="str">
        <f ca="1">IFERROR(__xludf.DUMMYFUNCTION("IF(ISBLANK(B584),,FILTER('Leetcode分类顺序表'!B:D,'Leetcode分类顺序表'!A:A = B584))"),"")</f>
        <v/>
      </c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</row>
    <row r="585" spans="1:31">
      <c r="A585" s="19"/>
      <c r="B585" s="20"/>
      <c r="C585" s="18" t="str">
        <f ca="1">IFERROR(__xludf.DUMMYFUNCTION("IF(ISBLANK(B585),,FILTER('Leetcode分类顺序表'!B:D,'Leetcode分类顺序表'!A:A = B585))"),"")</f>
        <v/>
      </c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</row>
    <row r="586" spans="1:31">
      <c r="A586" s="19"/>
      <c r="B586" s="20"/>
      <c r="C586" s="18" t="str">
        <f ca="1">IFERROR(__xludf.DUMMYFUNCTION("IF(ISBLANK(B586),,FILTER('Leetcode分类顺序表'!B:D,'Leetcode分类顺序表'!A:A = B586))"),"")</f>
        <v/>
      </c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</row>
    <row r="587" spans="1:31">
      <c r="A587" s="19"/>
      <c r="B587" s="20"/>
      <c r="C587" s="18" t="str">
        <f ca="1">IFERROR(__xludf.DUMMYFUNCTION("IF(ISBLANK(B587),,FILTER('Leetcode分类顺序表'!B:D,'Leetcode分类顺序表'!A:A = B587))"),"")</f>
        <v/>
      </c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</row>
    <row r="588" spans="1:31">
      <c r="A588" s="19"/>
      <c r="B588" s="20"/>
      <c r="C588" s="18" t="str">
        <f ca="1">IFERROR(__xludf.DUMMYFUNCTION("IF(ISBLANK(B588),,FILTER('Leetcode分类顺序表'!B:D,'Leetcode分类顺序表'!A:A = B588))"),"")</f>
        <v/>
      </c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</row>
    <row r="589" spans="1:31">
      <c r="A589" s="19"/>
      <c r="B589" s="20"/>
      <c r="C589" s="18" t="str">
        <f ca="1">IFERROR(__xludf.DUMMYFUNCTION("IF(ISBLANK(B589),,FILTER('Leetcode分类顺序表'!B:D,'Leetcode分类顺序表'!A:A = B589))"),"")</f>
        <v/>
      </c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</row>
    <row r="590" spans="1:31">
      <c r="A590" s="19"/>
      <c r="B590" s="20"/>
      <c r="C590" s="18" t="str">
        <f ca="1">IFERROR(__xludf.DUMMYFUNCTION("IF(ISBLANK(B590),,FILTER('Leetcode分类顺序表'!B:D,'Leetcode分类顺序表'!A:A = B590))"),"")</f>
        <v/>
      </c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</row>
    <row r="591" spans="1:31">
      <c r="A591" s="19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</row>
    <row r="592" spans="1:31">
      <c r="A592" s="19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</row>
    <row r="593" spans="1:31">
      <c r="A593" s="19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</row>
    <row r="594" spans="1:31">
      <c r="A594" s="19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</row>
    <row r="595" spans="1:31">
      <c r="A595" s="19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</row>
    <row r="596" spans="1:31">
      <c r="A596" s="19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</row>
    <row r="597" spans="1:31">
      <c r="A597" s="19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</row>
    <row r="598" spans="1:31">
      <c r="A598" s="19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</row>
    <row r="599" spans="1:31">
      <c r="A599" s="19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</row>
    <row r="600" spans="1:31">
      <c r="A600" s="19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</row>
    <row r="601" spans="1:31">
      <c r="A601" s="19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</row>
    <row r="602" spans="1:31">
      <c r="A602" s="19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</row>
    <row r="603" spans="1:31">
      <c r="A603" s="19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</row>
    <row r="604" spans="1:31">
      <c r="A604" s="19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</row>
    <row r="605" spans="1:31">
      <c r="A605" s="19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</row>
    <row r="606" spans="1:31">
      <c r="A606" s="19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</row>
    <row r="607" spans="1:31">
      <c r="A607" s="19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</row>
    <row r="608" spans="1:31">
      <c r="A608" s="19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</row>
    <row r="609" spans="1:31">
      <c r="A609" s="19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</row>
    <row r="610" spans="1:31">
      <c r="A610" s="19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</row>
    <row r="611" spans="1:31">
      <c r="A611" s="19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</row>
    <row r="612" spans="1:31">
      <c r="A612" s="19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</row>
    <row r="613" spans="1:31">
      <c r="A613" s="19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</row>
    <row r="614" spans="1:31">
      <c r="A614" s="19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</row>
    <row r="615" spans="1:31">
      <c r="A615" s="19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</row>
    <row r="616" spans="1:31">
      <c r="A616" s="19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</row>
    <row r="617" spans="1:31">
      <c r="A617" s="19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</row>
    <row r="618" spans="1:31">
      <c r="A618" s="19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</row>
    <row r="619" spans="1:31">
      <c r="A619" s="19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</row>
    <row r="620" spans="1:31">
      <c r="A620" s="19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</row>
    <row r="621" spans="1:31">
      <c r="A621" s="19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</row>
    <row r="622" spans="1:31">
      <c r="A622" s="19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</row>
    <row r="623" spans="1:31">
      <c r="A623" s="19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</row>
    <row r="624" spans="1:31">
      <c r="A624" s="19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</row>
    <row r="625" spans="1:31">
      <c r="A625" s="19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</row>
    <row r="626" spans="1:31">
      <c r="A626" s="19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</row>
    <row r="627" spans="1:31">
      <c r="A627" s="19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</row>
    <row r="628" spans="1:31">
      <c r="A628" s="19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</row>
    <row r="629" spans="1:31">
      <c r="A629" s="19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</row>
    <row r="630" spans="1:31">
      <c r="A630" s="19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</row>
    <row r="631" spans="1:31">
      <c r="A631" s="19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</row>
    <row r="632" spans="1:31">
      <c r="A632" s="19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</row>
    <row r="633" spans="1:31">
      <c r="A633" s="19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</row>
    <row r="634" spans="1:31">
      <c r="A634" s="19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</row>
    <row r="635" spans="1:31">
      <c r="A635" s="19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</row>
    <row r="636" spans="1:31">
      <c r="A636" s="19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</row>
    <row r="637" spans="1:31">
      <c r="A637" s="19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</row>
    <row r="638" spans="1:31">
      <c r="A638" s="19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</row>
    <row r="639" spans="1:31">
      <c r="A639" s="19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</row>
    <row r="640" spans="1:31">
      <c r="A640" s="19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</row>
    <row r="641" spans="1:31">
      <c r="A641" s="19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</row>
    <row r="642" spans="1:31">
      <c r="A642" s="19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</row>
    <row r="643" spans="1:31">
      <c r="A643" s="19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</row>
    <row r="644" spans="1:31">
      <c r="A644" s="19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</row>
    <row r="645" spans="1:31">
      <c r="A645" s="19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</row>
    <row r="646" spans="1:31">
      <c r="A646" s="19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</row>
    <row r="647" spans="1:31">
      <c r="A647" s="19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</row>
    <row r="648" spans="1:31">
      <c r="A648" s="19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</row>
    <row r="649" spans="1:31">
      <c r="A649" s="19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</row>
    <row r="650" spans="1:31">
      <c r="A650" s="19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</row>
    <row r="651" spans="1:31">
      <c r="A651" s="19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</row>
    <row r="652" spans="1:31">
      <c r="A652" s="19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</row>
    <row r="653" spans="1:31">
      <c r="A653" s="19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</row>
    <row r="654" spans="1:31">
      <c r="A654" s="19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</row>
    <row r="655" spans="1:31">
      <c r="A655" s="19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</row>
    <row r="656" spans="1:31">
      <c r="A656" s="19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</row>
    <row r="657" spans="1:31">
      <c r="A657" s="19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</row>
    <row r="658" spans="1:31">
      <c r="A658" s="19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</row>
    <row r="659" spans="1:31">
      <c r="A659" s="19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</row>
    <row r="660" spans="1:31">
      <c r="A660" s="19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</row>
    <row r="661" spans="1:31">
      <c r="A661" s="19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</row>
    <row r="662" spans="1:31">
      <c r="A662" s="19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</row>
    <row r="663" spans="1:31">
      <c r="A663" s="19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</row>
    <row r="664" spans="1:31">
      <c r="A664" s="19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</row>
    <row r="665" spans="1:31">
      <c r="A665" s="19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</row>
    <row r="666" spans="1:31">
      <c r="A666" s="19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</row>
    <row r="667" spans="1:31">
      <c r="A667" s="19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</row>
    <row r="668" spans="1:31">
      <c r="A668" s="19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</row>
    <row r="669" spans="1:31">
      <c r="A669" s="19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</row>
    <row r="670" spans="1:31">
      <c r="A670" s="19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</row>
    <row r="671" spans="1:31">
      <c r="A671" s="19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</row>
    <row r="672" spans="1:31">
      <c r="A672" s="19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</row>
    <row r="673" spans="1:31">
      <c r="A673" s="19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</row>
    <row r="674" spans="1:31">
      <c r="A674" s="19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</row>
    <row r="675" spans="1:31">
      <c r="A675" s="19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</row>
    <row r="676" spans="1:31">
      <c r="A676" s="19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</row>
    <row r="677" spans="1:31">
      <c r="A677" s="19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</row>
    <row r="678" spans="1:31">
      <c r="A678" s="19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</row>
    <row r="679" spans="1:31">
      <c r="A679" s="19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</row>
    <row r="680" spans="1:31">
      <c r="A680" s="19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</row>
    <row r="681" spans="1:31">
      <c r="A681" s="19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</row>
    <row r="682" spans="1:31">
      <c r="A682" s="19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</row>
    <row r="683" spans="1:31">
      <c r="A683" s="19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</row>
    <row r="684" spans="1:31">
      <c r="A684" s="19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</row>
    <row r="685" spans="1:31">
      <c r="A685" s="19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</row>
    <row r="686" spans="1:31">
      <c r="A686" s="19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</row>
    <row r="687" spans="1:31">
      <c r="A687" s="19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</row>
    <row r="688" spans="1:31">
      <c r="A688" s="19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</row>
    <row r="689" spans="1:31">
      <c r="A689" s="19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</row>
    <row r="690" spans="1:31">
      <c r="A690" s="19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</row>
    <row r="691" spans="1:31">
      <c r="A691" s="19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</row>
    <row r="692" spans="1:31">
      <c r="A692" s="19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</row>
    <row r="693" spans="1:31">
      <c r="A693" s="19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</row>
    <row r="694" spans="1:31">
      <c r="A694" s="19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</row>
    <row r="695" spans="1:31">
      <c r="A695" s="19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</row>
    <row r="696" spans="1:31">
      <c r="A696" s="19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</row>
    <row r="697" spans="1:31">
      <c r="A697" s="19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</row>
    <row r="698" spans="1:31">
      <c r="A698" s="19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</row>
    <row r="699" spans="1:31">
      <c r="A699" s="19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</row>
    <row r="700" spans="1:31">
      <c r="A700" s="19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</row>
    <row r="701" spans="1:31">
      <c r="A701" s="19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</row>
    <row r="702" spans="1:31">
      <c r="A702" s="19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</row>
    <row r="703" spans="1:31">
      <c r="A703" s="19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</row>
    <row r="704" spans="1:31">
      <c r="A704" s="19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</row>
    <row r="705" spans="1:31">
      <c r="A705" s="19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</row>
    <row r="706" spans="1:31">
      <c r="A706" s="19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</row>
    <row r="707" spans="1:31">
      <c r="A707" s="19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</row>
    <row r="708" spans="1:31">
      <c r="A708" s="19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</row>
    <row r="709" spans="1:31">
      <c r="A709" s="19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</row>
    <row r="710" spans="1:31">
      <c r="A710" s="19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</row>
    <row r="711" spans="1:31">
      <c r="A711" s="19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</row>
    <row r="712" spans="1:31">
      <c r="A712" s="19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</row>
    <row r="713" spans="1:31">
      <c r="A713" s="19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</row>
    <row r="714" spans="1:31">
      <c r="A714" s="19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</row>
    <row r="715" spans="1:31">
      <c r="A715" s="19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</row>
    <row r="716" spans="1:31">
      <c r="A716" s="19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</row>
    <row r="717" spans="1:31">
      <c r="A717" s="19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</row>
    <row r="718" spans="1:31">
      <c r="A718" s="19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</row>
    <row r="719" spans="1:31">
      <c r="A719" s="19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</row>
    <row r="720" spans="1:31">
      <c r="A720" s="19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</row>
    <row r="721" spans="1:31">
      <c r="A721" s="19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</row>
    <row r="722" spans="1:31">
      <c r="A722" s="19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</row>
    <row r="723" spans="1:31">
      <c r="A723" s="19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</row>
    <row r="724" spans="1:31">
      <c r="A724" s="19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</row>
    <row r="725" spans="1:31">
      <c r="A725" s="19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</row>
    <row r="726" spans="1:31">
      <c r="A726" s="19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</row>
    <row r="727" spans="1:31">
      <c r="A727" s="19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</row>
    <row r="728" spans="1:31">
      <c r="A728" s="19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</row>
    <row r="729" spans="1:31">
      <c r="A729" s="19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</row>
    <row r="730" spans="1:31">
      <c r="A730" s="19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</row>
    <row r="731" spans="1:31">
      <c r="A731" s="19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</row>
    <row r="732" spans="1:31">
      <c r="A732" s="19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</row>
    <row r="733" spans="1:31">
      <c r="A733" s="19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</row>
    <row r="734" spans="1:31">
      <c r="A734" s="19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</row>
    <row r="735" spans="1:31">
      <c r="A735" s="19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</row>
    <row r="736" spans="1:31">
      <c r="A736" s="19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</row>
    <row r="737" spans="1:31">
      <c r="A737" s="19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</row>
    <row r="738" spans="1:31">
      <c r="A738" s="19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</row>
    <row r="739" spans="1:31">
      <c r="A739" s="19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</row>
    <row r="740" spans="1:31">
      <c r="A740" s="19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</row>
    <row r="741" spans="1:31">
      <c r="A741" s="19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</row>
    <row r="742" spans="1:31">
      <c r="A742" s="19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</row>
    <row r="743" spans="1:31">
      <c r="A743" s="19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</row>
    <row r="744" spans="1:31">
      <c r="A744" s="19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</row>
    <row r="745" spans="1:31">
      <c r="A745" s="19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</row>
    <row r="746" spans="1:31">
      <c r="A746" s="19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</row>
    <row r="747" spans="1:31">
      <c r="A747" s="19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</row>
    <row r="748" spans="1:31">
      <c r="A748" s="19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</row>
    <row r="749" spans="1:31">
      <c r="A749" s="19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</row>
    <row r="750" spans="1:31">
      <c r="A750" s="19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</row>
    <row r="751" spans="1:31">
      <c r="A751" s="19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</row>
    <row r="752" spans="1:31">
      <c r="A752" s="19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</row>
    <row r="753" spans="1:31">
      <c r="A753" s="19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</row>
    <row r="754" spans="1:31">
      <c r="A754" s="19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</row>
    <row r="755" spans="1:31">
      <c r="A755" s="19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</row>
    <row r="756" spans="1:31">
      <c r="A756" s="19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</row>
    <row r="757" spans="1:31">
      <c r="A757" s="19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</row>
    <row r="758" spans="1:31">
      <c r="A758" s="19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</row>
    <row r="759" spans="1:31">
      <c r="A759" s="19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</row>
    <row r="760" spans="1:31">
      <c r="A760" s="19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</row>
    <row r="761" spans="1:31">
      <c r="A761" s="19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</row>
    <row r="762" spans="1:31">
      <c r="A762" s="19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</row>
    <row r="763" spans="1:31">
      <c r="A763" s="19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</row>
    <row r="764" spans="1:31">
      <c r="A764" s="19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</row>
    <row r="765" spans="1:31">
      <c r="A765" s="19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</row>
    <row r="766" spans="1:31">
      <c r="A766" s="19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</row>
    <row r="767" spans="1:31">
      <c r="A767" s="19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</row>
    <row r="768" spans="1:31">
      <c r="A768" s="19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</row>
    <row r="769" spans="1:31">
      <c r="A769" s="19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</row>
    <row r="770" spans="1:31">
      <c r="A770" s="19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</row>
    <row r="771" spans="1:31">
      <c r="A771" s="19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</row>
    <row r="772" spans="1:31">
      <c r="A772" s="19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</row>
    <row r="773" spans="1:31">
      <c r="A773" s="19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</row>
    <row r="774" spans="1:31">
      <c r="A774" s="19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</row>
    <row r="775" spans="1:31">
      <c r="A775" s="19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</row>
    <row r="776" spans="1:31">
      <c r="A776" s="19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</row>
    <row r="777" spans="1:31">
      <c r="A777" s="19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</row>
    <row r="778" spans="1:31">
      <c r="A778" s="19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</row>
    <row r="779" spans="1:31">
      <c r="A779" s="19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</row>
    <row r="780" spans="1:31">
      <c r="A780" s="19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</row>
    <row r="781" spans="1:31">
      <c r="A781" s="19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</row>
    <row r="782" spans="1:31">
      <c r="A782" s="19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</row>
    <row r="783" spans="1:31">
      <c r="A783" s="19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</row>
    <row r="784" spans="1:31">
      <c r="A784" s="19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</row>
    <row r="785" spans="1:31">
      <c r="A785" s="19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</row>
    <row r="786" spans="1:31">
      <c r="A786" s="19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</row>
    <row r="787" spans="1:31">
      <c r="A787" s="19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</row>
    <row r="788" spans="1:31">
      <c r="A788" s="19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</row>
    <row r="789" spans="1:31">
      <c r="A789" s="19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</row>
    <row r="790" spans="1:31">
      <c r="A790" s="19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</row>
    <row r="791" spans="1:31">
      <c r="A791" s="19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</row>
    <row r="792" spans="1:31">
      <c r="A792" s="19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</row>
    <row r="793" spans="1:31">
      <c r="A793" s="19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</row>
    <row r="794" spans="1:31">
      <c r="A794" s="19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</row>
    <row r="795" spans="1:31">
      <c r="A795" s="19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</row>
    <row r="796" spans="1:31">
      <c r="A796" s="19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</row>
    <row r="797" spans="1:31">
      <c r="A797" s="19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</row>
    <row r="798" spans="1:31">
      <c r="A798" s="19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</row>
    <row r="799" spans="1:31">
      <c r="A799" s="19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</row>
    <row r="800" spans="1:31">
      <c r="A800" s="19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</row>
    <row r="801" spans="1:31">
      <c r="A801" s="19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</row>
    <row r="802" spans="1:31">
      <c r="A802" s="19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</row>
    <row r="803" spans="1:31">
      <c r="A803" s="19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</row>
    <row r="804" spans="1:31">
      <c r="A804" s="19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</row>
    <row r="805" spans="1:31">
      <c r="A805" s="19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</row>
    <row r="806" spans="1:31">
      <c r="A806" s="19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</row>
    <row r="807" spans="1:31">
      <c r="A807" s="19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</row>
    <row r="808" spans="1:31">
      <c r="A808" s="19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</row>
    <row r="809" spans="1:31">
      <c r="A809" s="19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</row>
    <row r="810" spans="1:31">
      <c r="A810" s="19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</row>
    <row r="811" spans="1:31">
      <c r="A811" s="19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</row>
    <row r="812" spans="1:31">
      <c r="A812" s="19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</row>
    <row r="813" spans="1:31">
      <c r="A813" s="19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</row>
    <row r="814" spans="1:31">
      <c r="A814" s="19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</row>
    <row r="815" spans="1:31">
      <c r="A815" s="19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</row>
    <row r="816" spans="1:31">
      <c r="A816" s="19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</row>
    <row r="817" spans="1:31">
      <c r="A817" s="19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</row>
    <row r="818" spans="1:31">
      <c r="A818" s="19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</row>
    <row r="819" spans="1:31">
      <c r="A819" s="19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</row>
    <row r="820" spans="1:31">
      <c r="A820" s="19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</row>
    <row r="821" spans="1:31">
      <c r="A821" s="19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</row>
    <row r="822" spans="1:31">
      <c r="A822" s="19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</row>
    <row r="823" spans="1:31">
      <c r="A823" s="19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</row>
    <row r="824" spans="1:31">
      <c r="A824" s="19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</row>
    <row r="825" spans="1:31">
      <c r="A825" s="19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</row>
    <row r="826" spans="1:31">
      <c r="A826" s="19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</row>
    <row r="827" spans="1:31">
      <c r="A827" s="19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</row>
    <row r="828" spans="1:31">
      <c r="A828" s="19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</row>
    <row r="829" spans="1:31">
      <c r="A829" s="19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</row>
    <row r="830" spans="1:31">
      <c r="A830" s="19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</row>
    <row r="831" spans="1:31">
      <c r="A831" s="19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</row>
    <row r="832" spans="1:31">
      <c r="A832" s="19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</row>
    <row r="833" spans="1:31">
      <c r="A833" s="19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</row>
    <row r="834" spans="1:31">
      <c r="A834" s="19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</row>
    <row r="835" spans="1:31">
      <c r="A835" s="19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</row>
    <row r="836" spans="1:31">
      <c r="A836" s="19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</row>
    <row r="837" spans="1:31">
      <c r="A837" s="19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</row>
    <row r="838" spans="1:31">
      <c r="A838" s="19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</row>
    <row r="839" spans="1:31">
      <c r="A839" s="19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</row>
    <row r="840" spans="1:31">
      <c r="A840" s="19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</row>
    <row r="841" spans="1:31">
      <c r="A841" s="19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</row>
    <row r="842" spans="1:31">
      <c r="A842" s="19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</row>
    <row r="843" spans="1:31">
      <c r="A843" s="19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</row>
    <row r="844" spans="1:31">
      <c r="A844" s="19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</row>
    <row r="845" spans="1:31">
      <c r="A845" s="19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</row>
    <row r="846" spans="1:31">
      <c r="A846" s="19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</row>
    <row r="847" spans="1:31">
      <c r="A847" s="19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</row>
    <row r="848" spans="1:31">
      <c r="A848" s="19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</row>
    <row r="849" spans="1:31">
      <c r="A849" s="19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</row>
    <row r="850" spans="1:31">
      <c r="A850" s="19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</row>
    <row r="851" spans="1:31">
      <c r="A851" s="19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</row>
    <row r="852" spans="1:31">
      <c r="A852" s="19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</row>
    <row r="853" spans="1:31">
      <c r="A853" s="19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</row>
    <row r="854" spans="1:31">
      <c r="A854" s="19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</row>
    <row r="855" spans="1:31">
      <c r="A855" s="19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</row>
    <row r="856" spans="1:31">
      <c r="A856" s="19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</row>
    <row r="857" spans="1:31">
      <c r="A857" s="19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</row>
    <row r="858" spans="1:31">
      <c r="A858" s="19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</row>
    <row r="859" spans="1:31">
      <c r="A859" s="19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</row>
    <row r="860" spans="1:31">
      <c r="A860" s="19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</row>
    <row r="861" spans="1:31">
      <c r="A861" s="19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</row>
    <row r="862" spans="1:31">
      <c r="A862" s="19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</row>
    <row r="863" spans="1:31">
      <c r="A863" s="19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</row>
    <row r="864" spans="1:31">
      <c r="A864" s="19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</row>
    <row r="865" spans="1:31">
      <c r="A865" s="19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</row>
    <row r="866" spans="1:31">
      <c r="A866" s="19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</row>
    <row r="867" spans="1:31">
      <c r="A867" s="19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</row>
    <row r="868" spans="1:31">
      <c r="A868" s="19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</row>
    <row r="869" spans="1:31">
      <c r="A869" s="19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</row>
    <row r="870" spans="1:31">
      <c r="A870" s="19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</row>
    <row r="871" spans="1:31">
      <c r="A871" s="19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</row>
    <row r="872" spans="1:31">
      <c r="A872" s="19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</row>
    <row r="873" spans="1:31">
      <c r="A873" s="19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</row>
    <row r="874" spans="1:31">
      <c r="A874" s="19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</row>
    <row r="875" spans="1:31">
      <c r="A875" s="19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</row>
    <row r="876" spans="1:31">
      <c r="A876" s="19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</row>
    <row r="877" spans="1:31">
      <c r="A877" s="19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</row>
    <row r="878" spans="1:31">
      <c r="A878" s="19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</row>
    <row r="879" spans="1:31">
      <c r="A879" s="19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</row>
    <row r="880" spans="1:31">
      <c r="A880" s="19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</row>
    <row r="881" spans="1:31">
      <c r="A881" s="19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</row>
    <row r="882" spans="1:31">
      <c r="A882" s="19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</row>
    <row r="883" spans="1:31">
      <c r="A883" s="19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</row>
    <row r="884" spans="1:31">
      <c r="A884" s="19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</row>
    <row r="885" spans="1:31">
      <c r="A885" s="19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</row>
    <row r="886" spans="1:31">
      <c r="A886" s="19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</row>
    <row r="887" spans="1:31">
      <c r="A887" s="19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</row>
    <row r="888" spans="1:31">
      <c r="A888" s="19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</row>
    <row r="889" spans="1:31">
      <c r="A889" s="19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</row>
    <row r="890" spans="1:31">
      <c r="A890" s="19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</row>
    <row r="891" spans="1:31">
      <c r="A891" s="19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</row>
    <row r="892" spans="1:31">
      <c r="A892" s="19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</row>
    <row r="893" spans="1:31">
      <c r="A893" s="19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</row>
    <row r="894" spans="1:31">
      <c r="A894" s="19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</row>
    <row r="895" spans="1:31">
      <c r="A895" s="19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</row>
    <row r="896" spans="1:31">
      <c r="A896" s="19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</row>
    <row r="897" spans="1:31">
      <c r="A897" s="19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</row>
    <row r="898" spans="1:31">
      <c r="A898" s="19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</row>
    <row r="899" spans="1:31">
      <c r="A899" s="19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</row>
    <row r="900" spans="1:31">
      <c r="A900" s="19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</row>
    <row r="901" spans="1:31">
      <c r="A901" s="19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</row>
    <row r="902" spans="1:31">
      <c r="A902" s="19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</row>
    <row r="903" spans="1:31">
      <c r="A903" s="19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</row>
    <row r="904" spans="1:31">
      <c r="A904" s="19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</row>
    <row r="905" spans="1:31">
      <c r="A905" s="19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</row>
    <row r="906" spans="1:31">
      <c r="A906" s="19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</row>
    <row r="907" spans="1:31">
      <c r="A907" s="19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</row>
    <row r="908" spans="1:31">
      <c r="A908" s="19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</row>
    <row r="909" spans="1:31">
      <c r="A909" s="19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</row>
    <row r="910" spans="1:31">
      <c r="A910" s="19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</row>
    <row r="911" spans="1:31">
      <c r="A911" s="19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</row>
    <row r="912" spans="1:31">
      <c r="A912" s="19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</row>
    <row r="913" spans="1:31">
      <c r="A913" s="19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</row>
    <row r="914" spans="1:31">
      <c r="A914" s="19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</row>
    <row r="915" spans="1:31">
      <c r="A915" s="19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</row>
    <row r="916" spans="1:31">
      <c r="A916" s="19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</row>
    <row r="917" spans="1:31">
      <c r="A917" s="19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</row>
    <row r="918" spans="1:31">
      <c r="A918" s="19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</row>
    <row r="919" spans="1:31">
      <c r="A919" s="19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</row>
    <row r="920" spans="1:31">
      <c r="A920" s="19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</row>
    <row r="921" spans="1:31">
      <c r="A921" s="19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</row>
    <row r="922" spans="1:31">
      <c r="A922" s="19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</row>
    <row r="923" spans="1:31">
      <c r="A923" s="19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</row>
    <row r="924" spans="1:31">
      <c r="A924" s="19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</row>
    <row r="925" spans="1:31">
      <c r="A925" s="19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</row>
    <row r="926" spans="1:31">
      <c r="A926" s="19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</row>
    <row r="927" spans="1:31">
      <c r="A927" s="19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</row>
    <row r="928" spans="1:31">
      <c r="A928" s="19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</row>
    <row r="929" spans="1:31">
      <c r="A929" s="19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</row>
    <row r="930" spans="1:31">
      <c r="A930" s="19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</row>
    <row r="931" spans="1:31">
      <c r="A931" s="19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</row>
    <row r="932" spans="1:31">
      <c r="A932" s="19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</row>
    <row r="933" spans="1:31">
      <c r="A933" s="19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</row>
    <row r="934" spans="1:31">
      <c r="A934" s="19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</row>
    <row r="935" spans="1:31">
      <c r="A935" s="19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</row>
    <row r="936" spans="1:31">
      <c r="A936" s="19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</row>
    <row r="937" spans="1:31">
      <c r="A937" s="19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</row>
    <row r="938" spans="1:31">
      <c r="A938" s="19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</row>
    <row r="939" spans="1:31">
      <c r="A939" s="19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</row>
    <row r="940" spans="1:31">
      <c r="A940" s="19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</row>
    <row r="941" spans="1:31">
      <c r="A941" s="19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</row>
    <row r="942" spans="1:31">
      <c r="A942" s="19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</row>
    <row r="943" spans="1:31">
      <c r="A943" s="19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</row>
    <row r="944" spans="1:31">
      <c r="A944" s="19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</row>
    <row r="945" spans="1:31">
      <c r="A945" s="19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</row>
    <row r="946" spans="1:31">
      <c r="A946" s="19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</row>
    <row r="947" spans="1:31">
      <c r="A947" s="19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</row>
    <row r="948" spans="1:31">
      <c r="A948" s="19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</row>
    <row r="949" spans="1:31">
      <c r="A949" s="19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</row>
    <row r="950" spans="1:31">
      <c r="A950" s="19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</row>
    <row r="951" spans="1:31">
      <c r="A951" s="19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</row>
    <row r="952" spans="1:31">
      <c r="A952" s="19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</row>
    <row r="953" spans="1:31">
      <c r="A953" s="19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</row>
    <row r="954" spans="1:31">
      <c r="A954" s="19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</row>
    <row r="955" spans="1:31">
      <c r="A955" s="19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</row>
    <row r="956" spans="1:31">
      <c r="A956" s="19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</row>
    <row r="957" spans="1:31">
      <c r="A957" s="19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</row>
    <row r="958" spans="1:31">
      <c r="A958" s="19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</row>
    <row r="959" spans="1:31">
      <c r="A959" s="19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</row>
    <row r="960" spans="1:31">
      <c r="A960" s="19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</row>
    <row r="961" spans="1:31">
      <c r="A961" s="19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</row>
    <row r="962" spans="1:31">
      <c r="A962" s="19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</row>
    <row r="963" spans="1:31">
      <c r="A963" s="19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</row>
    <row r="964" spans="1:31">
      <c r="A964" s="19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</row>
    <row r="965" spans="1:31">
      <c r="A965" s="19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</row>
    <row r="966" spans="1:31">
      <c r="A966" s="19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</row>
    <row r="967" spans="1:31">
      <c r="A967" s="19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</row>
    <row r="968" spans="1:31">
      <c r="A968" s="19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</row>
    <row r="969" spans="1:31">
      <c r="A969" s="19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</row>
    <row r="970" spans="1:31">
      <c r="A970" s="19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</row>
    <row r="971" spans="1:31">
      <c r="A971" s="19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</row>
    <row r="972" spans="1:31">
      <c r="A972" s="19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</row>
    <row r="973" spans="1:31">
      <c r="A973" s="19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</row>
    <row r="974" spans="1:31">
      <c r="A974" s="19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</row>
    <row r="975" spans="1:31">
      <c r="A975" s="19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</row>
    <row r="976" spans="1:31">
      <c r="A976" s="19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</row>
    <row r="977" spans="1:31">
      <c r="A977" s="19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</row>
    <row r="978" spans="1:31">
      <c r="A978" s="19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</row>
    <row r="979" spans="1:31">
      <c r="A979" s="19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</row>
    <row r="980" spans="1:31">
      <c r="A980" s="19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</row>
    <row r="981" spans="1:31">
      <c r="A981" s="19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</row>
    <row r="982" spans="1:31">
      <c r="A982" s="19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</row>
    <row r="983" spans="1:31">
      <c r="A983" s="19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</row>
    <row r="984" spans="1:31">
      <c r="A984" s="19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</row>
    <row r="985" spans="1:31">
      <c r="A985" s="19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</row>
    <row r="986" spans="1:31">
      <c r="A986" s="19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</row>
    <row r="987" spans="1:31">
      <c r="A987" s="19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</row>
    <row r="988" spans="1:31">
      <c r="A988" s="19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</row>
    <row r="989" spans="1:31">
      <c r="A989" s="19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</row>
    <row r="990" spans="1:31">
      <c r="A990" s="19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</row>
    <row r="991" spans="1:31">
      <c r="A991" s="19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</row>
    <row r="992" spans="1:31">
      <c r="A992" s="19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</row>
    <row r="993" spans="1:31">
      <c r="A993" s="19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</row>
    <row r="994" spans="1:31">
      <c r="A994" s="19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</row>
    <row r="995" spans="1:31">
      <c r="A995" s="19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</row>
    <row r="996" spans="1:31">
      <c r="A996" s="19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</row>
    <row r="997" spans="1:31">
      <c r="A997" s="19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</row>
    <row r="998" spans="1:31">
      <c r="A998" s="19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</row>
    <row r="999" spans="1:31">
      <c r="A999" s="19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</row>
    <row r="1000" spans="1:31">
      <c r="A1000" s="19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</row>
  </sheetData>
  <phoneticPr fontId="18" type="noConversion"/>
  <conditionalFormatting sqref="C1:D1">
    <cfRule type="expression" dxfId="11" priority="1">
      <formula>AND(ISNUMBER($I2),$I2=0)</formula>
    </cfRule>
  </conditionalFormatting>
  <conditionalFormatting sqref="C1:D1">
    <cfRule type="expression" dxfId="10" priority="2">
      <formula>AND(ISNUMBER($I2),$I2&gt;0)</formula>
    </cfRule>
  </conditionalFormatting>
  <conditionalFormatting sqref="C1:D1">
    <cfRule type="expression" dxfId="9" priority="3">
      <formula>AND(ISNUMBER($I2),$I2&gt;3)</formula>
    </cfRule>
  </conditionalFormatting>
  <conditionalFormatting sqref="C31">
    <cfRule type="expression" dxfId="8" priority="4">
      <formula>AND(ISNUMBER($I29),$I29&gt;3)</formula>
    </cfRule>
  </conditionalFormatting>
  <conditionalFormatting sqref="C31">
    <cfRule type="expression" dxfId="7" priority="5">
      <formula>AND(ISNUMBER($I29),$I29&gt;0)</formula>
    </cfRule>
  </conditionalFormatting>
  <conditionalFormatting sqref="C31">
    <cfRule type="expression" dxfId="6" priority="6">
      <formula>AND(ISNUMBER($I29),$I29=0)</formula>
    </cfRule>
  </conditionalFormatting>
  <conditionalFormatting sqref="A1:C1000 E1:AE1000 D3:D1000">
    <cfRule type="expression" dxfId="5" priority="7">
      <formula>AND(ISNUMBER($I1),$I1&gt;3)</formula>
    </cfRule>
  </conditionalFormatting>
  <conditionalFormatting sqref="A1:C1000 E1:AE1000 D3:D1000">
    <cfRule type="expression" dxfId="4" priority="8">
      <formula>AND(ISNUMBER($I1),$I1&gt;0)</formula>
    </cfRule>
  </conditionalFormatting>
  <conditionalFormatting sqref="A1:C1000 E1:AE1000 D3:D1000">
    <cfRule type="expression" dxfId="3" priority="9">
      <formula>AND(ISNUMBER($I1),$I1=0)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62"/>
  <sheetViews>
    <sheetView workbookViewId="0">
      <pane ySplit="11" topLeftCell="A60" activePane="bottomLeft" state="frozen"/>
      <selection pane="bottomLeft" activeCell="G3" sqref="G3"/>
    </sheetView>
  </sheetViews>
  <sheetFormatPr defaultColWidth="14.42578125" defaultRowHeight="15.75" customHeight="1"/>
  <cols>
    <col min="5" max="5" width="15.140625" customWidth="1"/>
  </cols>
  <sheetData>
    <row r="1" spans="1:8" ht="15">
      <c r="A1" s="80" t="s">
        <v>17</v>
      </c>
      <c r="B1" s="81"/>
      <c r="C1" s="81"/>
      <c r="D1" s="81"/>
      <c r="E1" s="81"/>
      <c r="F1" s="81"/>
      <c r="G1" s="82"/>
      <c r="H1" s="21"/>
    </row>
    <row r="2" spans="1:8" ht="15">
      <c r="A2" s="83"/>
      <c r="B2" s="84"/>
      <c r="C2" s="84"/>
      <c r="D2" s="84"/>
      <c r="E2" s="84"/>
      <c r="F2" s="84"/>
      <c r="G2" s="85"/>
      <c r="H2" s="21"/>
    </row>
    <row r="3" spans="1:8" ht="12.75">
      <c r="A3" s="22" t="s">
        <v>18</v>
      </c>
      <c r="B3" s="23" t="s">
        <v>19</v>
      </c>
      <c r="C3" s="24" t="s">
        <v>20</v>
      </c>
      <c r="D3" s="25" t="s">
        <v>21</v>
      </c>
      <c r="E3" s="24" t="s">
        <v>22</v>
      </c>
      <c r="F3" s="25" t="s">
        <v>23</v>
      </c>
      <c r="G3" s="26" t="s">
        <v>24</v>
      </c>
    </row>
    <row r="4" spans="1:8" ht="12.75">
      <c r="A4" s="27"/>
      <c r="B4" s="28" t="s">
        <v>25</v>
      </c>
      <c r="C4" s="29"/>
      <c r="D4" s="30" t="s">
        <v>26</v>
      </c>
      <c r="E4" s="29"/>
      <c r="F4" s="30" t="s">
        <v>27</v>
      </c>
      <c r="G4" s="31"/>
    </row>
    <row r="5" spans="1:8" ht="12.75">
      <c r="A5" s="32"/>
      <c r="B5" s="33" t="s">
        <v>28</v>
      </c>
      <c r="C5" s="34" t="s">
        <v>29</v>
      </c>
      <c r="D5" s="33" t="s">
        <v>30</v>
      </c>
      <c r="E5" s="35" t="s">
        <v>6</v>
      </c>
      <c r="F5" s="35" t="s">
        <v>31</v>
      </c>
      <c r="G5" s="36"/>
    </row>
    <row r="6" spans="1:8" ht="12.75">
      <c r="A6" s="3"/>
      <c r="B6" s="11"/>
    </row>
    <row r="7" spans="1:8" ht="12.75">
      <c r="D7" s="22" t="s">
        <v>32</v>
      </c>
      <c r="E7" s="37">
        <f ca="1">IFERROR(__xludf.DUMMYFUNCTION("COUNTUNIQUE(A:A)-4"),52)</f>
        <v>52</v>
      </c>
    </row>
    <row r="8" spans="1:8" ht="14.25" hidden="1">
      <c r="A8" s="38" t="s">
        <v>29</v>
      </c>
      <c r="B8" s="38" t="s">
        <v>33</v>
      </c>
      <c r="C8" s="39"/>
      <c r="D8" s="40"/>
      <c r="E8" s="41"/>
      <c r="F8" s="42"/>
      <c r="G8" s="43"/>
    </row>
    <row r="9" spans="1:8" ht="14.25" hidden="1">
      <c r="A9" s="41" t="s">
        <v>31</v>
      </c>
      <c r="B9" s="41" t="s">
        <v>34</v>
      </c>
      <c r="C9" s="44"/>
      <c r="D9" s="43"/>
      <c r="E9" s="45"/>
      <c r="F9" s="45"/>
      <c r="G9" s="45"/>
    </row>
    <row r="10" spans="1:8" ht="14.25">
      <c r="A10" s="40"/>
      <c r="B10" s="40"/>
      <c r="C10" s="44"/>
      <c r="D10" s="43"/>
      <c r="E10" s="43"/>
      <c r="F10" s="45"/>
      <c r="G10" s="45"/>
    </row>
    <row r="11" spans="1:8" ht="14.25">
      <c r="A11" s="41" t="s">
        <v>6</v>
      </c>
      <c r="B11" s="41" t="s">
        <v>35</v>
      </c>
      <c r="C11" s="42" t="s">
        <v>8</v>
      </c>
      <c r="D11" s="43" t="s">
        <v>36</v>
      </c>
      <c r="E11" s="43" t="s">
        <v>37</v>
      </c>
      <c r="F11" s="45" t="s">
        <v>38</v>
      </c>
      <c r="G11" s="45" t="s">
        <v>12</v>
      </c>
    </row>
    <row r="12" spans="1:8" ht="12.75">
      <c r="A12" s="4">
        <f ca="1">IFERROR(__xludf.DUMMYFUNCTION("SORT(IF(LEN(TEXTJOIN(""|"",TRUE,C3,E3,G3,C4,E4,G4))=0,,IF(C5=""And"",FILTER('Leetcode List'!A:G,REGEXMATCH('Leetcode List'!E:E,""(?i)""&amp;C3),REGEXMATCH('Leetcode List'!E:E,""(?i)""&amp;E3),REGEXMATCH('Leetcode List'!E:E,""(?i)""&amp;G3),REGEXMATCH('Leetcode List'!"&amp;"E:E,""(?i)""&amp;C4),REGEXMATCH('Leetcode List'!E:E,""(?i)""&amp;E4),REGEXMATCH('Leetcode List'!E:E,""(?i)""&amp;G4)),FILTER('Leetcode List'!A:G,REGEXMATCH('Leetcode List'!E:E,""(?i)""&amp;TEXTJOIN(""|"",TRUE,C3,E3,G3,C4,E4,G4))))),Switch(E5,A11,1,B11,2,C11,3,D11,4,E11,5"&amp;",F11,6,G11,7),Switch(F5,A9,TRUE,B9,FALSE))"),1)</f>
        <v>1</v>
      </c>
      <c r="B12" s="46" t="str">
        <f ca="1">IFERROR(__xludf.DUMMYFUNCTION("""COMPUTED_VALUE"""),"Two Sum")</f>
        <v>Two Sum</v>
      </c>
      <c r="C12" s="4" t="str">
        <f ca="1">IFERROR(__xludf.DUMMYFUNCTION("""COMPUTED_VALUE"""),"Easy")</f>
        <v>Easy</v>
      </c>
      <c r="D12" s="4" t="str">
        <f ca="1">IFERROR(__xludf.DUMMYFUNCTION("""COMPUTED_VALUE"""),"Hash Table,Array")</f>
        <v>Hash Table,Array</v>
      </c>
      <c r="E12" s="4" t="str">
        <f ca="1">IFERROR(__xludf.DUMMYFUNCTION("""COMPUTED_VALUE"""),"Roblox,Audible,Splunk,ByteDance,FactSet,Twilio,Qualcomm,GE Digital,Capital One,EMC,Deutsche Bank,Tableau,Salesforce,Groupon,Zynga,Intel,Booking.com,Drawbridge,Visa,VMware,Box,Citadel,Quora,Affirm,Walmart Labs,Dropbox,GoDaddy,Snapchat,MAQ Software,Indeed,R"&amp;"adius,Works Applications,JPMorgan,Zillow,Paypal,Twitter,ServiceNow,Expedia,Wish,Yelp,Nvidia,Zoho,Oracle,NetEase,Spotify,Intuit,IBM,Lyft,Cisco,Mathworks,DiDi,Yandex,Huawei,EBay,BlackRock,Baidu,Valve,Apple,Airbnb,Uber,Yahoo,Samsung,Tencent,SAP,Morgan Stanle"&amp;"y,Aetion,Bloomberg,Adobe,Facebook,Amazon,LinkedIn,Microsoft,Alibaba,Goldman Sachs,Google")</f>
        <v>Roblox,Audible,Splunk,ByteDance,FactSet,Twilio,Qualcomm,GE Digital,Capital One,EMC,Deutsche Bank,Tableau,Salesforce,Groupon,Zynga,Intel,Booking.com,Drawbridge,Visa,VMware,Box,Citadel,Quora,Affirm,Walmart Labs,Dropbox,GoDaddy,Snapchat,MAQ Software,Indeed,Radius,Works Applications,JPMorgan,Zillow,Paypal,Twitter,ServiceNow,Expedia,Wish,Yelp,Nvidia,Zoho,Oracle,NetEase,Spotify,Intuit,IBM,Lyft,Cisco,Mathworks,DiDi,Yandex,Huawei,EBay,BlackRock,Baidu,Valve,Apple,Airbnb,Uber,Yahoo,Samsung,Tencent,SAP,Morgan Stanley,Aetion,Bloomberg,Adobe,Facebook,Amazon,LinkedIn,Microsoft,Alibaba,Goldman Sachs,Google</v>
      </c>
      <c r="F12" s="4">
        <f ca="1">IFERROR(__xludf.DUMMYFUNCTION("""COMPUTED_VALUE"""),45.47)</f>
        <v>45.47</v>
      </c>
      <c r="G12" s="4" t="str">
        <f ca="1">IFERROR(__xludf.DUMMYFUNCTION("""COMPUTED_VALUE"""),"算法")</f>
        <v>算法</v>
      </c>
    </row>
    <row r="13" spans="1:8" ht="12.75">
      <c r="A13" s="4">
        <f ca="1">IFERROR(__xludf.DUMMYFUNCTION("""COMPUTED_VALUE"""),2)</f>
        <v>2</v>
      </c>
      <c r="B13" s="46" t="str">
        <f ca="1">IFERROR(__xludf.DUMMYFUNCTION("""COMPUTED_VALUE"""),"Add Two Numbers")</f>
        <v>Add Two Numbers</v>
      </c>
      <c r="C13" s="4" t="str">
        <f ca="1">IFERROR(__xludf.DUMMYFUNCTION("""COMPUTED_VALUE"""),"Medium")</f>
        <v>Medium</v>
      </c>
      <c r="D13" s="4" t="str">
        <f ca="1">IFERROR(__xludf.DUMMYFUNCTION("""COMPUTED_VALUE"""),"Math,Linked List")</f>
        <v>Math,Linked List</v>
      </c>
      <c r="E13" s="4" t="str">
        <f ca="1">IFERROR(__xludf.DUMMYFUNCTION("""COMPUTED_VALUE"""),"Dell,Redfin,Flipkart,Grab,ByteDance,Qualcomm,Capital One,Salesforce,Intel,VMware,GoDaddy,Paypal,ServiceNow,Wish,Nvidia,Zoho,Oracle,IBM,Lyft,Cisco,Mathworks,Yandex,Huawei,EBay,Baidu,Apple,Airbnb,Uber,Yahoo,SAP,Aetion,Bloomberg,Adobe,Facebook,Amazon,Microso"&amp;"ft,Alibaba,Google")</f>
        <v>Dell,Redfin,Flipkart,Grab,ByteDance,Qualcomm,Capital One,Salesforce,Intel,VMware,GoDaddy,Paypal,ServiceNow,Wish,Nvidia,Zoho,Oracle,IBM,Lyft,Cisco,Mathworks,Yandex,Huawei,EBay,Baidu,Apple,Airbnb,Uber,Yahoo,SAP,Aetion,Bloomberg,Adobe,Facebook,Amazon,Microsoft,Alibaba,Google</v>
      </c>
      <c r="F13" s="4">
        <f ca="1">IFERROR(__xludf.DUMMYFUNCTION("""COMPUTED_VALUE"""),33.51)</f>
        <v>33.51</v>
      </c>
      <c r="G13" s="4" t="str">
        <f ca="1">IFERROR(__xludf.DUMMYFUNCTION("""COMPUTED_VALUE"""),"算法")</f>
        <v>算法</v>
      </c>
    </row>
    <row r="14" spans="1:8" ht="12.75">
      <c r="A14" s="4">
        <f ca="1">IFERROR(__xludf.DUMMYFUNCTION("""COMPUTED_VALUE"""),7)</f>
        <v>7</v>
      </c>
      <c r="B14" s="46" t="str">
        <f ca="1">IFERROR(__xludf.DUMMYFUNCTION("""COMPUTED_VALUE"""),"Reverse Integer")</f>
        <v>Reverse Integer</v>
      </c>
      <c r="C14" s="4" t="str">
        <f ca="1">IFERROR(__xludf.DUMMYFUNCTION("""COMPUTED_VALUE"""),"Easy")</f>
        <v>Easy</v>
      </c>
      <c r="D14" s="4" t="str">
        <f ca="1">IFERROR(__xludf.DUMMYFUNCTION("""COMPUTED_VALUE"""),"Math")</f>
        <v>Math</v>
      </c>
      <c r="E14" s="4" t="str">
        <f ca="1">IFERROR(__xludf.DUMMYFUNCTION("""COMPUTED_VALUE"""),"Barclays,JPMorgan,Oracle,NetEase,Lyft,Cisco,Apple,Uber,Yahoo,Bloomberg,Adobe,Facebook,Amazon,Microsoft,Google")</f>
        <v>Barclays,JPMorgan,Oracle,NetEase,Lyft,Cisco,Apple,Uber,Yahoo,Bloomberg,Adobe,Facebook,Amazon,Microsoft,Google</v>
      </c>
      <c r="F14" s="4">
        <f ca="1">IFERROR(__xludf.DUMMYFUNCTION("""COMPUTED_VALUE"""),25.74)</f>
        <v>25.74</v>
      </c>
      <c r="G14" s="4" t="str">
        <f ca="1">IFERROR(__xludf.DUMMYFUNCTION("""COMPUTED_VALUE"""),"算法")</f>
        <v>算法</v>
      </c>
    </row>
    <row r="15" spans="1:8" ht="12.75">
      <c r="A15" s="4">
        <f ca="1">IFERROR(__xludf.DUMMYFUNCTION("""COMPUTED_VALUE"""),10)</f>
        <v>10</v>
      </c>
      <c r="B15" s="46" t="str">
        <f ca="1">IFERROR(__xludf.DUMMYFUNCTION("""COMPUTED_VALUE"""),"Regular Expression Matching")</f>
        <v>Regular Expression Matching</v>
      </c>
      <c r="C15" s="4" t="str">
        <f ca="1">IFERROR(__xludf.DUMMYFUNCTION("""COMPUTED_VALUE"""),"Hard")</f>
        <v>Hard</v>
      </c>
      <c r="D15" s="4" t="str">
        <f ca="1">IFERROR(__xludf.DUMMYFUNCTION("""COMPUTED_VALUE"""),"Backtracking,Dynamic Programming,String")</f>
        <v>Backtracking,Dynamic Programming,String</v>
      </c>
      <c r="E15" s="4" t="str">
        <f ca="1">IFERROR(__xludf.DUMMYFUNCTION("""COMPUTED_VALUE"""),"Databricks,Pocket Gems,Palantir Technologies,Coursera,Cruise Automation,Zulily,Houzz,Flipkart,ByteDance,Twitter,Oracle,Lyft,EBay,Apple,Airbnb,Uber,Bloomberg,Adobe,Facebook,Amazon,Microsoft,Alibaba,Google")</f>
        <v>Databricks,Pocket Gems,Palantir Technologies,Coursera,Cruise Automation,Zulily,Houzz,Flipkart,ByteDance,Twitter,Oracle,Lyft,EBay,Apple,Airbnb,Uber,Bloomberg,Adobe,Facebook,Amazon,Microsoft,Alibaba,Google</v>
      </c>
      <c r="F15" s="4">
        <f ca="1">IFERROR(__xludf.DUMMYFUNCTION("""COMPUTED_VALUE"""),26.6)</f>
        <v>26.6</v>
      </c>
      <c r="G15" s="4" t="str">
        <f ca="1">IFERROR(__xludf.DUMMYFUNCTION("""COMPUTED_VALUE"""),"算法")</f>
        <v>算法</v>
      </c>
    </row>
    <row r="16" spans="1:8" ht="12.75">
      <c r="A16" s="4">
        <f ca="1">IFERROR(__xludf.DUMMYFUNCTION("""COMPUTED_VALUE"""),11)</f>
        <v>11</v>
      </c>
      <c r="B16" s="46" t="str">
        <f ca="1">IFERROR(__xludf.DUMMYFUNCTION("""COMPUTED_VALUE"""),"Container With Most Water")</f>
        <v>Container With Most Water</v>
      </c>
      <c r="C16" s="4" t="str">
        <f ca="1">IFERROR(__xludf.DUMMYFUNCTION("""COMPUTED_VALUE"""),"Medium")</f>
        <v>Medium</v>
      </c>
      <c r="D16" s="4" t="str">
        <f ca="1">IFERROR(__xludf.DUMMYFUNCTION("""COMPUTED_VALUE"""),"Two Pointers,Array")</f>
        <v>Two Pointers,Array</v>
      </c>
      <c r="E16" s="4" t="str">
        <f ca="1">IFERROR(__xludf.DUMMYFUNCTION("""COMPUTED_VALUE"""),"ByteDance,VMware,Oracle,Lyft,Apple,Airbnb,Uber,Yahoo,Bloomberg,Adobe,Facebook,Amazon,Microsoft,Goldman Sachs,Google")</f>
        <v>ByteDance,VMware,Oracle,Lyft,Apple,Airbnb,Uber,Yahoo,Bloomberg,Adobe,Facebook,Amazon,Microsoft,Goldman Sachs,Google</v>
      </c>
      <c r="F16" s="4">
        <f ca="1">IFERROR(__xludf.DUMMYFUNCTION("""COMPUTED_VALUE"""),50.24)</f>
        <v>50.24</v>
      </c>
      <c r="G16" s="4" t="str">
        <f ca="1">IFERROR(__xludf.DUMMYFUNCTION("""COMPUTED_VALUE"""),"算法")</f>
        <v>算法</v>
      </c>
    </row>
    <row r="17" spans="1:7" ht="12.75">
      <c r="A17" s="4">
        <f ca="1">IFERROR(__xludf.DUMMYFUNCTION("""COMPUTED_VALUE"""),17)</f>
        <v>17</v>
      </c>
      <c r="B17" s="46" t="str">
        <f ca="1">IFERROR(__xludf.DUMMYFUNCTION("""COMPUTED_VALUE"""),"Letter Combinations of a Phone Number")</f>
        <v>Letter Combinations of a Phone Number</v>
      </c>
      <c r="C17" s="4" t="str">
        <f ca="1">IFERROR(__xludf.DUMMYFUNCTION("""COMPUTED_VALUE"""),"Medium")</f>
        <v>Medium</v>
      </c>
      <c r="D17" s="4" t="str">
        <f ca="1">IFERROR(__xludf.DUMMYFUNCTION("""COMPUTED_VALUE"""),"Backtracking,String")</f>
        <v>Backtracking,String</v>
      </c>
      <c r="E17" s="4" t="str">
        <f ca="1">IFERROR(__xludf.DUMMYFUNCTION("""COMPUTED_VALUE"""),"Nutanix,Quip (Salesforce),Square,Pinterest,Atlassian,Roblox,Salesforce,VMware,Walmart Labs,Dropbox,JPMorgan,ServiceNow,Oracle,Lyft,Cisco,EBay,Apple,Airbnb,Uber,Yahoo,Morgan Stanley,Bloomberg,Facebook,Amazon,Microsoft,Goldman Sachs,Google")</f>
        <v>Nutanix,Quip (Salesforce),Square,Pinterest,Atlassian,Roblox,Salesforce,VMware,Walmart Labs,Dropbox,JPMorgan,ServiceNow,Oracle,Lyft,Cisco,EBay,Apple,Airbnb,Uber,Yahoo,Morgan Stanley,Bloomberg,Facebook,Amazon,Microsoft,Goldman Sachs,Google</v>
      </c>
      <c r="F17" s="4">
        <f ca="1">IFERROR(__xludf.DUMMYFUNCTION("""COMPUTED_VALUE"""),46.18)</f>
        <v>46.18</v>
      </c>
      <c r="G17" s="4" t="str">
        <f ca="1">IFERROR(__xludf.DUMMYFUNCTION("""COMPUTED_VALUE"""),"算法")</f>
        <v>算法</v>
      </c>
    </row>
    <row r="18" spans="1:7" ht="12.75">
      <c r="A18" s="4">
        <f ca="1">IFERROR(__xludf.DUMMYFUNCTION("""COMPUTED_VALUE"""),20)</f>
        <v>20</v>
      </c>
      <c r="B18" s="46" t="str">
        <f ca="1">IFERROR(__xludf.DUMMYFUNCTION("""COMPUTED_VALUE"""),"Valid Parentheses")</f>
        <v>Valid Parentheses</v>
      </c>
      <c r="C18" s="4" t="str">
        <f ca="1">IFERROR(__xludf.DUMMYFUNCTION("""COMPUTED_VALUE"""),"Easy")</f>
        <v>Easy</v>
      </c>
      <c r="D18" s="4" t="str">
        <f ca="1">IFERROR(__xludf.DUMMYFUNCTION("""COMPUTED_VALUE"""),"Stack,String")</f>
        <v>Stack,String</v>
      </c>
      <c r="E18" s="4" t="str">
        <f ca="1">IFERROR(__xludf.DUMMYFUNCTION("""COMPUTED_VALUE"""),"LiveRamp,Netflix,Epic Systems,Riot Games,Tesla,Blizzard,DoorDash,Postmates,Akuna Capital,Barclays,Zenefits,Atlassian,Audible,Twilio,Salesforce,Intel,Visa,VMware,Citadel,Walmart Labs,GoDaddy,JPMorgan,Zillow,Paypal,Twitter,ServiceNow,Expedia,Oracle,Spotify,"&amp;"Intuit,IBM,Lyft,Cisco,Mathworks,Yandex,EBay,Apple,Airbnb,Uber,Yahoo,Samsung,Tencent,SAP,Morgan Stanley,Bloomberg,Adobe,Facebook,Amazon,LinkedIn,Microsoft,Goldman Sachs,Google")</f>
        <v>LiveRamp,Netflix,Epic Systems,Riot Games,Tesla,Blizzard,DoorDash,Postmates,Akuna Capital,Barclays,Zenefits,Atlassian,Audible,Twilio,Salesforce,Intel,Visa,VMware,Citadel,Walmart Labs,GoDaddy,JPMorgan,Zillow,Paypal,Twitter,ServiceNow,Expedia,Oracle,Spotify,Intuit,IBM,Lyft,Cisco,Mathworks,Yandex,EBay,Apple,Airbnb,Uber,Yahoo,Samsung,Tencent,SAP,Morgan Stanley,Bloomberg,Adobe,Facebook,Amazon,LinkedIn,Microsoft,Goldman Sachs,Google</v>
      </c>
      <c r="F18" s="4">
        <f ca="1">IFERROR(__xludf.DUMMYFUNCTION("""COMPUTED_VALUE"""),38.68)</f>
        <v>38.68</v>
      </c>
      <c r="G18" s="4" t="str">
        <f ca="1">IFERROR(__xludf.DUMMYFUNCTION("""COMPUTED_VALUE"""),"算法")</f>
        <v>算法</v>
      </c>
    </row>
    <row r="19" spans="1:7" ht="12.75">
      <c r="A19" s="4">
        <f ca="1">IFERROR(__xludf.DUMMYFUNCTION("""COMPUTED_VALUE"""),21)</f>
        <v>21</v>
      </c>
      <c r="B19" s="46" t="str">
        <f ca="1">IFERROR(__xludf.DUMMYFUNCTION("""COMPUTED_VALUE"""),"Merge Two Sorted Lists")</f>
        <v>Merge Two Sorted Lists</v>
      </c>
      <c r="C19" s="4" t="str">
        <f ca="1">IFERROR(__xludf.DUMMYFUNCTION("""COMPUTED_VALUE"""),"Easy")</f>
        <v>Easy</v>
      </c>
      <c r="D19" s="4" t="str">
        <f ca="1">IFERROR(__xludf.DUMMYFUNCTION("""COMPUTED_VALUE"""),"Linked List")</f>
        <v>Linked List</v>
      </c>
      <c r="E19" s="4" t="str">
        <f ca="1">IFERROR(__xludf.DUMMYFUNCTION("""COMPUTED_VALUE"""),"Arista Networks,Atlassian,ByteDance,Capital One,Intel,Visa,VMware,Walmart Labs,Indeed,Paypal,Oracle,Lyft,Cisco,Yandex,Huawei,EBay,Apple,Airbnb,Uber,Yahoo,Samsung,Tencent,Bloomberg,Adobe,Facebook,Amazon,LinkedIn,Microsoft,Alibaba,Google")</f>
        <v>Arista Networks,Atlassian,ByteDance,Capital One,Intel,Visa,VMware,Walmart Labs,Indeed,Paypal,Oracle,Lyft,Cisco,Yandex,Huawei,EBay,Apple,Airbnb,Uber,Yahoo,Samsung,Tencent,Bloomberg,Adobe,Facebook,Amazon,LinkedIn,Microsoft,Alibaba,Google</v>
      </c>
      <c r="F19" s="4">
        <f ca="1">IFERROR(__xludf.DUMMYFUNCTION("""COMPUTED_VALUE"""),52.85)</f>
        <v>52.85</v>
      </c>
      <c r="G19" s="4" t="str">
        <f ca="1">IFERROR(__xludf.DUMMYFUNCTION("""COMPUTED_VALUE"""),"算法")</f>
        <v>算法</v>
      </c>
    </row>
    <row r="20" spans="1:7" ht="12.75">
      <c r="A20" s="4">
        <f ca="1">IFERROR(__xludf.DUMMYFUNCTION("""COMPUTED_VALUE"""),22)</f>
        <v>22</v>
      </c>
      <c r="B20" s="46" t="str">
        <f ca="1">IFERROR(__xludf.DUMMYFUNCTION("""COMPUTED_VALUE"""),"Generate Parentheses")</f>
        <v>Generate Parentheses</v>
      </c>
      <c r="C20" s="4" t="str">
        <f ca="1">IFERROR(__xludf.DUMMYFUNCTION("""COMPUTED_VALUE"""),"Medium")</f>
        <v>Medium</v>
      </c>
      <c r="D20" s="4" t="str">
        <f ca="1">IFERROR(__xludf.DUMMYFUNCTION("""COMPUTED_VALUE"""),"Backtracking,String")</f>
        <v>Backtracking,String</v>
      </c>
      <c r="E20" s="4" t="str">
        <f ca="1">IFERROR(__xludf.DUMMYFUNCTION("""COMPUTED_VALUE"""),"Nutanix,Zenefits,Atlassian,ByteDance,Salesforce,Walmart Labs,Snapchat,Yelp,Nvidia,Spotify,Lyft,Cisco,Yandex,Apple,Uber,Yahoo,Samsung,SAP,Bloomberg,Adobe,Facebook,Amazon,Microsoft,Alibaba,Google")</f>
        <v>Nutanix,Zenefits,Atlassian,ByteDance,Salesforce,Walmart Labs,Snapchat,Yelp,Nvidia,Spotify,Lyft,Cisco,Yandex,Apple,Uber,Yahoo,Samsung,SAP,Bloomberg,Adobe,Facebook,Amazon,Microsoft,Alibaba,Google</v>
      </c>
      <c r="F20" s="4">
        <f ca="1">IFERROR(__xludf.DUMMYFUNCTION("""COMPUTED_VALUE"""),61.77)</f>
        <v>61.77</v>
      </c>
      <c r="G20" s="4" t="str">
        <f ca="1">IFERROR(__xludf.DUMMYFUNCTION("""COMPUTED_VALUE"""),"算法")</f>
        <v>算法</v>
      </c>
    </row>
    <row r="21" spans="1:7" ht="12.75">
      <c r="A21" s="4">
        <f ca="1">IFERROR(__xludf.DUMMYFUNCTION("""COMPUTED_VALUE"""),23)</f>
        <v>23</v>
      </c>
      <c r="B21" s="46" t="str">
        <f ca="1">IFERROR(__xludf.DUMMYFUNCTION("""COMPUTED_VALUE"""),"Merge k Sorted Lists")</f>
        <v>Merge k Sorted Lists</v>
      </c>
      <c r="C21" s="4" t="str">
        <f ca="1">IFERROR(__xludf.DUMMYFUNCTION("""COMPUTED_VALUE"""),"Hard")</f>
        <v>Hard</v>
      </c>
      <c r="D21" s="4" t="str">
        <f ca="1">IFERROR(__xludf.DUMMYFUNCTION("""COMPUTED_VALUE"""),"Heap,Divide and Conquer,Linked List")</f>
        <v>Heap,Divide and Conquer,Linked List</v>
      </c>
      <c r="E21" s="4" t="str">
        <f ca="1">IFERROR(__xludf.DUMMYFUNCTION("""COMPUTED_VALUE"""),"Cohesity,IXL,Cruise Automation,Atlassian,Audible,ByteDance,Tableau,Salesforce,VMware,Box,Walmart Labs,Indeed,Zillow,Twitter,Wish,Oracle,Lyft,Cisco,Mathworks,Yandex,EBay,Apple,Airbnb,Uber,Yahoo,Tencent,SAP,Bloomberg,Adobe,Facebook,Amazon,LinkedIn,Microsoft"&amp;",Alibaba,Google")</f>
        <v>Cohesity,IXL,Cruise Automation,Atlassian,Audible,ByteDance,Tableau,Salesforce,VMware,Box,Walmart Labs,Indeed,Zillow,Twitter,Wish,Oracle,Lyft,Cisco,Mathworks,Yandex,EBay,Apple,Airbnb,Uber,Yahoo,Tencent,SAP,Bloomberg,Adobe,Facebook,Amazon,LinkedIn,Microsoft,Alibaba,Google</v>
      </c>
      <c r="F21" s="4">
        <f ca="1">IFERROR(__xludf.DUMMYFUNCTION("""COMPUTED_VALUE"""),39.64)</f>
        <v>39.64</v>
      </c>
      <c r="G21" s="4" t="str">
        <f ca="1">IFERROR(__xludf.DUMMYFUNCTION("""COMPUTED_VALUE"""),"算法")</f>
        <v>算法</v>
      </c>
    </row>
    <row r="22" spans="1:7" ht="12.75">
      <c r="A22" s="4">
        <f ca="1">IFERROR(__xludf.DUMMYFUNCTION("""COMPUTED_VALUE"""),24)</f>
        <v>24</v>
      </c>
      <c r="B22" s="46" t="str">
        <f ca="1">IFERROR(__xludf.DUMMYFUNCTION("""COMPUTED_VALUE"""),"Swap Nodes in Pairs")</f>
        <v>Swap Nodes in Pairs</v>
      </c>
      <c r="C22" s="4" t="str">
        <f ca="1">IFERROR(__xludf.DUMMYFUNCTION("""COMPUTED_VALUE"""),"Medium")</f>
        <v>Medium</v>
      </c>
      <c r="D22" s="4" t="str">
        <f ca="1">IFERROR(__xludf.DUMMYFUNCTION("""COMPUTED_VALUE"""),"Linked List")</f>
        <v>Linked List</v>
      </c>
      <c r="E22" s="4" t="str">
        <f ca="1">IFERROR(__xludf.DUMMYFUNCTION("""COMPUTED_VALUE"""),"Oracle,Lyft,EBay,Apple,Uber,SAP,Bloomberg,Adobe,Facebook,Amazon,Microsoft,Google")</f>
        <v>Oracle,Lyft,EBay,Apple,Uber,SAP,Bloomberg,Adobe,Facebook,Amazon,Microsoft,Google</v>
      </c>
      <c r="F22" s="4">
        <f ca="1">IFERROR(__xludf.DUMMYFUNCTION("""COMPUTED_VALUE"""),49.74)</f>
        <v>49.74</v>
      </c>
      <c r="G22" s="4" t="str">
        <f ca="1">IFERROR(__xludf.DUMMYFUNCTION("""COMPUTED_VALUE"""),"算法")</f>
        <v>算法</v>
      </c>
    </row>
    <row r="23" spans="1:7" ht="12.75">
      <c r="A23" s="4">
        <f ca="1">IFERROR(__xludf.DUMMYFUNCTION("""COMPUTED_VALUE"""),42)</f>
        <v>42</v>
      </c>
      <c r="B23" s="46" t="str">
        <f ca="1">IFERROR(__xludf.DUMMYFUNCTION("""COMPUTED_VALUE"""),"Trapping Rain Water")</f>
        <v>Trapping Rain Water</v>
      </c>
      <c r="C23" s="4" t="str">
        <f ca="1">IFERROR(__xludf.DUMMYFUNCTION("""COMPUTED_VALUE"""),"Hard")</f>
        <v>Hard</v>
      </c>
      <c r="D23" s="4" t="str">
        <f ca="1">IFERROR(__xludf.DUMMYFUNCTION("""COMPUTED_VALUE"""),"Stack,Two Pointers,Array")</f>
        <v>Stack,Two Pointers,Array</v>
      </c>
      <c r="E23" s="4" t="str">
        <f ca="1">IFERROR(__xludf.DUMMYFUNCTION("""COMPUTED_VALUE"""),"Electronic Arts,Dataminr,Qualtrics,Databricks,Palantir Technologies,Zenefits,Atlassian,Flipkart,Grab,ByteDance,Tableau,Salesforce,Visa,Citadel,Affirm,Walmart Labs,Snapchat,Twitter,Wish,Nvidia,Oracle,Lyft,Yandex,Huawei,EBay,Apple,Airbnb,Uber,Yahoo,Bloomber"&amp;"g,Adobe,Facebook,Amazon,Microsoft,Goldman Sachs,Google")</f>
        <v>Electronic Arts,Dataminr,Qualtrics,Databricks,Palantir Technologies,Zenefits,Atlassian,Flipkart,Grab,ByteDance,Tableau,Salesforce,Visa,Citadel,Affirm,Walmart Labs,Snapchat,Twitter,Wish,Nvidia,Oracle,Lyft,Yandex,Huawei,EBay,Apple,Airbnb,Uber,Yahoo,Bloomberg,Adobe,Facebook,Amazon,Microsoft,Goldman Sachs,Google</v>
      </c>
      <c r="F23" s="4">
        <f ca="1">IFERROR(__xludf.DUMMYFUNCTION("""COMPUTED_VALUE"""),48.21)</f>
        <v>48.21</v>
      </c>
      <c r="G23" s="4" t="str">
        <f ca="1">IFERROR(__xludf.DUMMYFUNCTION("""COMPUTED_VALUE"""),"算法")</f>
        <v>算法</v>
      </c>
    </row>
    <row r="24" spans="1:7" ht="12.75">
      <c r="A24" s="4">
        <f ca="1">IFERROR(__xludf.DUMMYFUNCTION("""COMPUTED_VALUE"""),48)</f>
        <v>48</v>
      </c>
      <c r="B24" s="46" t="str">
        <f ca="1">IFERROR(__xludf.DUMMYFUNCTION("""COMPUTED_VALUE"""),"Rotate Image")</f>
        <v>Rotate Image</v>
      </c>
      <c r="C24" s="4" t="str">
        <f ca="1">IFERROR(__xludf.DUMMYFUNCTION("""COMPUTED_VALUE"""),"Medium")</f>
        <v>Medium</v>
      </c>
      <c r="D24" s="4" t="str">
        <f ca="1">IFERROR(__xludf.DUMMYFUNCTION("""COMPUTED_VALUE"""),"Array")</f>
        <v>Array</v>
      </c>
      <c r="E24" s="4" t="str">
        <f ca="1">IFERROR(__xludf.DUMMYFUNCTION("""COMPUTED_VALUE"""),"Akuna Capital,Palantir Technologies,Houzz,Salesforce,Groupon,Quora,Wish,Nvidia,Lyft,Cisco,Yandex,Apple,Samsung,Bloomberg,Adobe,Facebook,Amazon,Microsoft,Google")</f>
        <v>Akuna Capital,Palantir Technologies,Houzz,Salesforce,Groupon,Quora,Wish,Nvidia,Lyft,Cisco,Yandex,Apple,Samsung,Bloomberg,Adobe,Facebook,Amazon,Microsoft,Google</v>
      </c>
      <c r="F24" s="4">
        <f ca="1">IFERROR(__xludf.DUMMYFUNCTION("""COMPUTED_VALUE"""),55.66)</f>
        <v>55.66</v>
      </c>
      <c r="G24" s="4" t="str">
        <f ca="1">IFERROR(__xludf.DUMMYFUNCTION("""COMPUTED_VALUE"""),"算法")</f>
        <v>算法</v>
      </c>
    </row>
    <row r="25" spans="1:7" ht="12.75">
      <c r="A25" s="4">
        <f ca="1">IFERROR(__xludf.DUMMYFUNCTION("""COMPUTED_VALUE"""),68)</f>
        <v>68</v>
      </c>
      <c r="B25" s="46" t="str">
        <f ca="1">IFERROR(__xludf.DUMMYFUNCTION("""COMPUTED_VALUE"""),"Text Justification")</f>
        <v>Text Justification</v>
      </c>
      <c r="C25" s="4" t="str">
        <f ca="1">IFERROR(__xludf.DUMMYFUNCTION("""COMPUTED_VALUE"""),"Hard")</f>
        <v>Hard</v>
      </c>
      <c r="D25" s="4" t="str">
        <f ca="1">IFERROR(__xludf.DUMMYFUNCTION("""COMPUTED_VALUE"""),"String")</f>
        <v>String</v>
      </c>
      <c r="E25" s="4" t="str">
        <f ca="1">IFERROR(__xludf.DUMMYFUNCTION("""COMPUTED_VALUE"""),"Robinhood,Pinterest,Coursera,Twilio,Box,Snapchat,Indeed,Twitter,Intuit,Lyft,Apple,Airbnb,Uber,Facebook,Amazon,LinkedIn,Microsoft,Google")</f>
        <v>Robinhood,Pinterest,Coursera,Twilio,Box,Snapchat,Indeed,Twitter,Intuit,Lyft,Apple,Airbnb,Uber,Facebook,Amazon,LinkedIn,Microsoft,Google</v>
      </c>
      <c r="F25" s="4">
        <f ca="1">IFERROR(__xludf.DUMMYFUNCTION("""COMPUTED_VALUE"""),27.25)</f>
        <v>27.25</v>
      </c>
      <c r="G25" s="4" t="str">
        <f ca="1">IFERROR(__xludf.DUMMYFUNCTION("""COMPUTED_VALUE"""),"算法")</f>
        <v>算法</v>
      </c>
    </row>
    <row r="26" spans="1:7" ht="12.75">
      <c r="A26" s="4">
        <f ca="1">IFERROR(__xludf.DUMMYFUNCTION("""COMPUTED_VALUE"""),69)</f>
        <v>69</v>
      </c>
      <c r="B26" s="46" t="str">
        <f ca="1">IFERROR(__xludf.DUMMYFUNCTION("""COMPUTED_VALUE"""),"Sqrt(x)")</f>
        <v>Sqrt(x)</v>
      </c>
      <c r="C26" s="4" t="str">
        <f ca="1">IFERROR(__xludf.DUMMYFUNCTION("""COMPUTED_VALUE"""),"Easy")</f>
        <v>Easy</v>
      </c>
      <c r="D26" s="4" t="str">
        <f ca="1">IFERROR(__xludf.DUMMYFUNCTION("""COMPUTED_VALUE"""),"Binary Search,Math")</f>
        <v>Binary Search,Math</v>
      </c>
      <c r="E26" s="4" t="str">
        <f ca="1">IFERROR(__xludf.DUMMYFUNCTION("""COMPUTED_VALUE"""),"Qualtrics,Wayfair,Lyft,Huawei,Apple,Uber,Bloomberg,Facebook,Amazon,LinkedIn,Microsoft,Google")</f>
        <v>Qualtrics,Wayfair,Lyft,Huawei,Apple,Uber,Bloomberg,Facebook,Amazon,LinkedIn,Microsoft,Google</v>
      </c>
      <c r="F26" s="4">
        <f ca="1">IFERROR(__xludf.DUMMYFUNCTION("""COMPUTED_VALUE"""),33.61)</f>
        <v>33.61</v>
      </c>
      <c r="G26" s="4" t="str">
        <f ca="1">IFERROR(__xludf.DUMMYFUNCTION("""COMPUTED_VALUE"""),"算法")</f>
        <v>算法</v>
      </c>
    </row>
    <row r="27" spans="1:7" ht="12.75">
      <c r="A27" s="4">
        <f ca="1">IFERROR(__xludf.DUMMYFUNCTION("""COMPUTED_VALUE"""),76)</f>
        <v>76</v>
      </c>
      <c r="B27" s="46" t="str">
        <f ca="1">IFERROR(__xludf.DUMMYFUNCTION("""COMPUTED_VALUE"""),"Minimum Window Substring")</f>
        <v>Minimum Window Substring</v>
      </c>
      <c r="C27" s="4" t="str">
        <f ca="1">IFERROR(__xludf.DUMMYFUNCTION("""COMPUTED_VALUE"""),"Hard")</f>
        <v>Hard</v>
      </c>
      <c r="D27" s="4" t="str">
        <f ca="1">IFERROR(__xludf.DUMMYFUNCTION("""COMPUTED_VALUE"""),"Sliding Window,String,Two Pointers,Hash Table")</f>
        <v>Sliding Window,String,Two Pointers,Hash Table</v>
      </c>
      <c r="E27" s="4" t="str">
        <f ca="1">IFERROR(__xludf.DUMMYFUNCTION("""COMPUTED_VALUE"""),"Cohesity,Nutanix,ByteDance,Deutsche Bank,Salesforce,Visa,VMware,Walmart Labs,GoDaddy,Snapchat,Twitter,Oracle,Lyft,EBay,Apple,Airbnb,Uber,Yahoo,Tencent,Bloomberg,Adobe,Facebook,Amazon,LinkedIn,Microsoft,Goldman Sachs,Google")</f>
        <v>Cohesity,Nutanix,ByteDance,Deutsche Bank,Salesforce,Visa,VMware,Walmart Labs,GoDaddy,Snapchat,Twitter,Oracle,Lyft,EBay,Apple,Airbnb,Uber,Yahoo,Tencent,Bloomberg,Adobe,Facebook,Amazon,LinkedIn,Microsoft,Goldman Sachs,Google</v>
      </c>
      <c r="F27" s="4">
        <f ca="1">IFERROR(__xludf.DUMMYFUNCTION("""COMPUTED_VALUE"""),34.27)</f>
        <v>34.270000000000003</v>
      </c>
      <c r="G27" s="4" t="str">
        <f ca="1">IFERROR(__xludf.DUMMYFUNCTION("""COMPUTED_VALUE"""),"算法")</f>
        <v>算法</v>
      </c>
    </row>
    <row r="28" spans="1:7" ht="12.75">
      <c r="A28" s="4">
        <f ca="1">IFERROR(__xludf.DUMMYFUNCTION("""COMPUTED_VALUE"""),78)</f>
        <v>78</v>
      </c>
      <c r="B28" s="46" t="str">
        <f ca="1">IFERROR(__xludf.DUMMYFUNCTION("""COMPUTED_VALUE"""),"Subsets")</f>
        <v>Subsets</v>
      </c>
      <c r="C28" s="4" t="str">
        <f ca="1">IFERROR(__xludf.DUMMYFUNCTION("""COMPUTED_VALUE"""),"Medium")</f>
        <v>Medium</v>
      </c>
      <c r="D28" s="4" t="str">
        <f ca="1">IFERROR(__xludf.DUMMYFUNCTION("""COMPUTED_VALUE"""),"Bit Manipulation,Backtracking,Array")</f>
        <v>Bit Manipulation,Backtracking,Array</v>
      </c>
      <c r="E28" s="4" t="str">
        <f ca="1">IFERROR(__xludf.DUMMYFUNCTION("""COMPUTED_VALUE"""),"Coupang,Atlassian,ByteDance,Walmart Labs,Oracle,Lyft,EBay,Apple,Uber,Yahoo,Bloomberg,Adobe,Facebook,Amazon,Microsoft,Goldman Sachs,Google")</f>
        <v>Coupang,Atlassian,ByteDance,Walmart Labs,Oracle,Lyft,EBay,Apple,Uber,Yahoo,Bloomberg,Adobe,Facebook,Amazon,Microsoft,Goldman Sachs,Google</v>
      </c>
      <c r="F28" s="4">
        <f ca="1">IFERROR(__xludf.DUMMYFUNCTION("""COMPUTED_VALUE"""),60.11)</f>
        <v>60.11</v>
      </c>
      <c r="G28" s="4" t="str">
        <f ca="1">IFERROR(__xludf.DUMMYFUNCTION("""COMPUTED_VALUE"""),"算法")</f>
        <v>算法</v>
      </c>
    </row>
    <row r="29" spans="1:7" ht="12.75">
      <c r="A29" s="4">
        <f ca="1">IFERROR(__xludf.DUMMYFUNCTION("""COMPUTED_VALUE"""),79)</f>
        <v>79</v>
      </c>
      <c r="B29" s="46" t="str">
        <f ca="1">IFERROR(__xludf.DUMMYFUNCTION("""COMPUTED_VALUE"""),"Word Search")</f>
        <v>Word Search</v>
      </c>
      <c r="C29" s="4" t="str">
        <f ca="1">IFERROR(__xludf.DUMMYFUNCTION("""COMPUTED_VALUE"""),"Medium")</f>
        <v>Medium</v>
      </c>
      <c r="D29" s="4" t="str">
        <f ca="1">IFERROR(__xludf.DUMMYFUNCTION("""COMPUTED_VALUE"""),"Backtracking,Array")</f>
        <v>Backtracking,Array</v>
      </c>
      <c r="E29" s="4" t="str">
        <f ca="1">IFERROR(__xludf.DUMMYFUNCTION("""COMPUTED_VALUE"""),"Quantcast,Docusign,Pinterest,Cruise Automation,Coupang,ByteDance,VMware,Snapchat,JPMorgan,Zillow,Oracle,Intuit,Lyft,Apple,Uber,Yahoo,Aetion,Bloomberg,Adobe,Facebook,Amazon,LinkedIn,Microsoft,Google")</f>
        <v>Quantcast,Docusign,Pinterest,Cruise Automation,Coupang,ByteDance,VMware,Snapchat,JPMorgan,Zillow,Oracle,Intuit,Lyft,Apple,Uber,Yahoo,Aetion,Bloomberg,Adobe,Facebook,Amazon,LinkedIn,Microsoft,Google</v>
      </c>
      <c r="F29" s="4">
        <f ca="1">IFERROR(__xludf.DUMMYFUNCTION("""COMPUTED_VALUE"""),34.6)</f>
        <v>34.6</v>
      </c>
      <c r="G29" s="4" t="str">
        <f ca="1">IFERROR(__xludf.DUMMYFUNCTION("""COMPUTED_VALUE"""),"算法")</f>
        <v>算法</v>
      </c>
    </row>
    <row r="30" spans="1:7" ht="12.75">
      <c r="A30" s="4">
        <f ca="1">IFERROR(__xludf.DUMMYFUNCTION("""COMPUTED_VALUE"""),88)</f>
        <v>88</v>
      </c>
      <c r="B30" s="46" t="str">
        <f ca="1">IFERROR(__xludf.DUMMYFUNCTION("""COMPUTED_VALUE"""),"Merge Sorted Array")</f>
        <v>Merge Sorted Array</v>
      </c>
      <c r="C30" s="4" t="str">
        <f ca="1">IFERROR(__xludf.DUMMYFUNCTION("""COMPUTED_VALUE"""),"Easy")</f>
        <v>Easy</v>
      </c>
      <c r="D30" s="4" t="str">
        <f ca="1">IFERROR(__xludf.DUMMYFUNCTION("""COMPUTED_VALUE"""),"Two Pointers,Array")</f>
        <v>Two Pointers,Array</v>
      </c>
      <c r="E30" s="4" t="str">
        <f ca="1">IFERROR(__xludf.DUMMYFUNCTION("""COMPUTED_VALUE"""),"Netflix,Quip (Salesforce),ByteDance,Tableau,Intel,VMware,Indeed,Expedia,Oracle,IBM,Lyft,Cisco,Yandex,EBay,Baidu,Apple,Uber,Yahoo,Bloomberg,Adobe,Facebook,Amazon,LinkedIn,Microsoft,Goldman Sachs,Google")</f>
        <v>Netflix,Quip (Salesforce),ByteDance,Tableau,Intel,VMware,Indeed,Expedia,Oracle,IBM,Lyft,Cisco,Yandex,EBay,Baidu,Apple,Uber,Yahoo,Bloomberg,Adobe,Facebook,Amazon,LinkedIn,Microsoft,Goldman Sachs,Google</v>
      </c>
      <c r="F30" s="4">
        <f ca="1">IFERROR(__xludf.DUMMYFUNCTION("""COMPUTED_VALUE"""),39.06)</f>
        <v>39.06</v>
      </c>
      <c r="G30" s="4" t="str">
        <f ca="1">IFERROR(__xludf.DUMMYFUNCTION("""COMPUTED_VALUE"""),"算法")</f>
        <v>算法</v>
      </c>
    </row>
    <row r="31" spans="1:7" ht="12.75">
      <c r="A31" s="4">
        <f ca="1">IFERROR(__xludf.DUMMYFUNCTION("""COMPUTED_VALUE"""),91)</f>
        <v>91</v>
      </c>
      <c r="B31" s="46" t="str">
        <f ca="1">IFERROR(__xludf.DUMMYFUNCTION("""COMPUTED_VALUE"""),"Decode Ways")</f>
        <v>Decode Ways</v>
      </c>
      <c r="C31" s="4" t="str">
        <f ca="1">IFERROR(__xludf.DUMMYFUNCTION("""COMPUTED_VALUE"""),"Medium")</f>
        <v>Medium</v>
      </c>
      <c r="D31" s="4" t="str">
        <f ca="1">IFERROR(__xludf.DUMMYFUNCTION("""COMPUTED_VALUE"""),"Dynamic Programming,String")</f>
        <v>Dynamic Programming,String</v>
      </c>
      <c r="E31" s="4" t="str">
        <f ca="1">IFERROR(__xludf.DUMMYFUNCTION("""COMPUTED_VALUE"""),"Square,Pinterest,Databricks,Barclays,Snapchat,Twitter,Expedia,Lyft,Cisco,Huawei,Baidu,Apple,Uber,Bloomberg,Adobe,Facebook,Amazon,Microsoft,Goldman Sachs,Google")</f>
        <v>Square,Pinterest,Databricks,Barclays,Snapchat,Twitter,Expedia,Lyft,Cisco,Huawei,Baidu,Apple,Uber,Bloomberg,Adobe,Facebook,Amazon,Microsoft,Goldman Sachs,Google</v>
      </c>
      <c r="F31" s="4">
        <f ca="1">IFERROR(__xludf.DUMMYFUNCTION("""COMPUTED_VALUE"""),24.3)</f>
        <v>24.3</v>
      </c>
      <c r="G31" s="4" t="str">
        <f ca="1">IFERROR(__xludf.DUMMYFUNCTION("""COMPUTED_VALUE"""),"算法")</f>
        <v>算法</v>
      </c>
    </row>
    <row r="32" spans="1:7" ht="12.75">
      <c r="A32" s="4">
        <f ca="1">IFERROR(__xludf.DUMMYFUNCTION("""COMPUTED_VALUE"""),109)</f>
        <v>109</v>
      </c>
      <c r="B32" s="46" t="str">
        <f ca="1">IFERROR(__xludf.DUMMYFUNCTION("""COMPUTED_VALUE"""),"Convert Sorted List to Binary Search Tree")</f>
        <v>Convert Sorted List to Binary Search Tree</v>
      </c>
      <c r="C32" s="4" t="str">
        <f ca="1">IFERROR(__xludf.DUMMYFUNCTION("""COMPUTED_VALUE"""),"Medium")</f>
        <v>Medium</v>
      </c>
      <c r="D32" s="4" t="str">
        <f ca="1">IFERROR(__xludf.DUMMYFUNCTION("""COMPUTED_VALUE"""),"Depth First Search,Linked List")</f>
        <v>Depth First Search,Linked List</v>
      </c>
      <c r="E32" s="4" t="str">
        <f ca="1">IFERROR(__xludf.DUMMYFUNCTION("""COMPUTED_VALUE"""),"Zenefits,VMware,Oracle,Lyft,Bloomberg,Facebook,Amazon,Microsoft,Google")</f>
        <v>Zenefits,VMware,Oracle,Lyft,Bloomberg,Facebook,Amazon,Microsoft,Google</v>
      </c>
      <c r="F32" s="4">
        <f ca="1">IFERROR(__xludf.DUMMYFUNCTION("""COMPUTED_VALUE"""),46.79)</f>
        <v>46.79</v>
      </c>
      <c r="G32" s="4" t="str">
        <f ca="1">IFERROR(__xludf.DUMMYFUNCTION("""COMPUTED_VALUE"""),"算法")</f>
        <v>算法</v>
      </c>
    </row>
    <row r="33" spans="1:7" ht="12.75">
      <c r="A33" s="4">
        <f ca="1">IFERROR(__xludf.DUMMYFUNCTION("""COMPUTED_VALUE"""),121)</f>
        <v>121</v>
      </c>
      <c r="B33" s="46" t="str">
        <f ca="1">IFERROR(__xludf.DUMMYFUNCTION("""COMPUTED_VALUE"""),"Best Time to Buy and Sell Stock")</f>
        <v>Best Time to Buy and Sell Stock</v>
      </c>
      <c r="C33" s="4" t="str">
        <f ca="1">IFERROR(__xludf.DUMMYFUNCTION("""COMPUTED_VALUE"""),"Easy")</f>
        <v>Easy</v>
      </c>
      <c r="D33" s="4" t="str">
        <f ca="1">IFERROR(__xludf.DUMMYFUNCTION("""COMPUTED_VALUE"""),"Dynamic Programming,Array")</f>
        <v>Dynamic Programming,Array</v>
      </c>
      <c r="E33" s="4" t="str">
        <f ca="1">IFERROR(__xludf.DUMMYFUNCTION("""COMPUTED_VALUE"""),"DoorDash,Akuna Capital,Atlassian,Redfin,Grab,Audible,ByteDance,Deutsche Bank,Tableau,Groupon,Intel,Visa,Citadel,Walmart Labs,Snapchat,JPMorgan,Zillow,Paypal,Expedia,Oracle,Lyft,Cisco,BlackRock,Apple,Uber,Yahoo,Tencent,SAP,Morgan Stanley,Bloomberg,Adobe,Fa"&amp;"cebook,Amazon,LinkedIn,Microsoft,Alibaba,Goldman Sachs,Google")</f>
        <v>DoorDash,Akuna Capital,Atlassian,Redfin,Grab,Audible,ByteDance,Deutsche Bank,Tableau,Groupon,Intel,Visa,Citadel,Walmart Labs,Snapchat,JPMorgan,Zillow,Paypal,Expedia,Oracle,Lyft,Cisco,BlackRock,Apple,Uber,Yahoo,Tencent,SAP,Morgan Stanley,Bloomberg,Adobe,Facebook,Amazon,LinkedIn,Microsoft,Alibaba,Goldman Sachs,Google</v>
      </c>
      <c r="F33" s="4">
        <f ca="1">IFERROR(__xludf.DUMMYFUNCTION("""COMPUTED_VALUE"""),50.17)</f>
        <v>50.17</v>
      </c>
      <c r="G33" s="4" t="str">
        <f ca="1">IFERROR(__xludf.DUMMYFUNCTION("""COMPUTED_VALUE"""),"算法")</f>
        <v>算法</v>
      </c>
    </row>
    <row r="34" spans="1:7" ht="12.75">
      <c r="A34" s="4">
        <f ca="1">IFERROR(__xludf.DUMMYFUNCTION("""COMPUTED_VALUE"""),126)</f>
        <v>126</v>
      </c>
      <c r="B34" s="46" t="str">
        <f ca="1">IFERROR(__xludf.DUMMYFUNCTION("""COMPUTED_VALUE"""),"Word Ladder II")</f>
        <v>Word Ladder II</v>
      </c>
      <c r="C34" s="4" t="str">
        <f ca="1">IFERROR(__xludf.DUMMYFUNCTION("""COMPUTED_VALUE"""),"Hard")</f>
        <v>Hard</v>
      </c>
      <c r="D34" s="4" t="str">
        <f ca="1">IFERROR(__xludf.DUMMYFUNCTION("""COMPUTED_VALUE"""),"Breadth First Search,Backtracking,String,Array")</f>
        <v>Breadth First Search,Backtracking,String,Array</v>
      </c>
      <c r="E34" s="4" t="str">
        <f ca="1">IFERROR(__xludf.DUMMYFUNCTION("""COMPUTED_VALUE"""),"Pinterest,Box,Yelp,Oracle,Lyft,Apple,Uber,Yahoo,Facebook,Amazon,LinkedIn,Microsoft,Google")</f>
        <v>Pinterest,Box,Yelp,Oracle,Lyft,Apple,Uber,Yahoo,Facebook,Amazon,LinkedIn,Microsoft,Google</v>
      </c>
      <c r="F34" s="4">
        <f ca="1">IFERROR(__xludf.DUMMYFUNCTION("""COMPUTED_VALUE"""),21.67)</f>
        <v>21.67</v>
      </c>
      <c r="G34" s="4" t="str">
        <f ca="1">IFERROR(__xludf.DUMMYFUNCTION("""COMPUTED_VALUE"""),"算法")</f>
        <v>算法</v>
      </c>
    </row>
    <row r="35" spans="1:7" ht="12.75">
      <c r="A35" s="4">
        <f ca="1">IFERROR(__xludf.DUMMYFUNCTION("""COMPUTED_VALUE"""),127)</f>
        <v>127</v>
      </c>
      <c r="B35" s="46" t="str">
        <f ca="1">IFERROR(__xludf.DUMMYFUNCTION("""COMPUTED_VALUE"""),"Word Ladder")</f>
        <v>Word Ladder</v>
      </c>
      <c r="C35" s="4" t="str">
        <f ca="1">IFERROR(__xludf.DUMMYFUNCTION("""COMPUTED_VALUE"""),"Medium")</f>
        <v>Medium</v>
      </c>
      <c r="D35" s="4" t="str">
        <f ca="1">IFERROR(__xludf.DUMMYFUNCTION("""COMPUTED_VALUE"""),"Breadth First Search")</f>
        <v>Breadth First Search</v>
      </c>
      <c r="E35" s="4" t="str">
        <f ca="1">IFERROR(__xludf.DUMMYFUNCTION("""COMPUTED_VALUE"""),"Cohesity,Tesla,Square,Pinterest,Qualtrics,Audible,Salesforce,VMware,Affirm,Walmart Labs,Snapchat,Zillow,ServiceNow,Expedia,Yelp,Oracle,Spotify,Lyft,Apple,Airbnb,Uber,Samsung,Bloomberg,Facebook,Amazon,LinkedIn,Microsoft,Google")</f>
        <v>Cohesity,Tesla,Square,Pinterest,Qualtrics,Audible,Salesforce,VMware,Affirm,Walmart Labs,Snapchat,Zillow,ServiceNow,Expedia,Yelp,Oracle,Spotify,Lyft,Apple,Airbnb,Uber,Samsung,Bloomberg,Facebook,Amazon,LinkedIn,Microsoft,Google</v>
      </c>
      <c r="F35" s="4">
        <f ca="1">IFERROR(__xludf.DUMMYFUNCTION("""COMPUTED_VALUE"""),28.93)</f>
        <v>28.93</v>
      </c>
      <c r="G35" s="4" t="str">
        <f ca="1">IFERROR(__xludf.DUMMYFUNCTION("""COMPUTED_VALUE"""),"算法")</f>
        <v>算法</v>
      </c>
    </row>
    <row r="36" spans="1:7" ht="12.75">
      <c r="A36" s="4">
        <f ca="1">IFERROR(__xludf.DUMMYFUNCTION("""COMPUTED_VALUE"""),146)</f>
        <v>146</v>
      </c>
      <c r="B36" s="46" t="str">
        <f ca="1">IFERROR(__xludf.DUMMYFUNCTION("""COMPUTED_VALUE"""),"LRU Cache")</f>
        <v>LRU Cache</v>
      </c>
      <c r="C36" s="4" t="str">
        <f ca="1">IFERROR(__xludf.DUMMYFUNCTION("""COMPUTED_VALUE"""),"Medium")</f>
        <v>Medium</v>
      </c>
      <c r="D36" s="4" t="str">
        <f ca="1">IFERROR(__xludf.DUMMYFUNCTION("""COMPUTED_VALUE"""),"Design")</f>
        <v>Design</v>
      </c>
      <c r="E36" s="4" t="str">
        <f ca="1">IFERROR(__xludf.DUMMYFUNCTION("""COMPUTED_VALUE"""),"Cloudera,HBO,Asana,Docusign,TripAdvisor,Tesla,Nutanix,DoorDash,Pinterest,Palantir Technologies,Cruise Automation,Two Sigma,Zenefits,Twitch,Roblox,Splunk,ByteDance,Twilio,Salesforce,Groupon,Zynga,Visa,VMware,Citadel,Walmart Labs,Dropbox,GoDaddy,Snapchat,JP"&amp;"Morgan,Zillow,Paypal,Twitter,Expedia,Wish,Nvidia,Oracle,Spotify,Intuit,Lyft,Cisco,Yandex,EBay,Baidu,Apple,Uber,Yahoo,SAP,Morgan Stanley,Bloomberg,Adobe,Facebook,Amazon,LinkedIn,Microsoft,Alibaba,Goldman Sachs,Google")</f>
        <v>Cloudera,HBO,Asana,Docusign,TripAdvisor,Tesla,Nutanix,DoorDash,Pinterest,Palantir Technologies,Cruise Automation,Two Sigma,Zenefits,Twitch,Roblox,Splunk,ByteDance,Twilio,Salesforce,Groupon,Zynga,Visa,VMware,Citadel,Walmart Labs,Dropbox,GoDaddy,Snapchat,JPMorgan,Zillow,Paypal,Twitter,Expedia,Wish,Nvidia,Oracle,Spotify,Intuit,Lyft,Cisco,Yandex,EBay,Baidu,Apple,Uber,Yahoo,SAP,Morgan Stanley,Bloomberg,Adobe,Facebook,Amazon,LinkedIn,Microsoft,Alibaba,Goldman Sachs,Google</v>
      </c>
      <c r="F36" s="4">
        <f ca="1">IFERROR(__xludf.DUMMYFUNCTION("""COMPUTED_VALUE"""),32.44)</f>
        <v>32.44</v>
      </c>
      <c r="G36" s="4" t="str">
        <f ca="1">IFERROR(__xludf.DUMMYFUNCTION("""COMPUTED_VALUE"""),"算法")</f>
        <v>算法</v>
      </c>
    </row>
    <row r="37" spans="1:7" ht="12.75">
      <c r="A37" s="4">
        <f ca="1">IFERROR(__xludf.DUMMYFUNCTION("""COMPUTED_VALUE"""),155)</f>
        <v>155</v>
      </c>
      <c r="B37" s="46" t="str">
        <f ca="1">IFERROR(__xludf.DUMMYFUNCTION("""COMPUTED_VALUE"""),"Min Stack")</f>
        <v>Min Stack</v>
      </c>
      <c r="C37" s="4" t="str">
        <f ca="1">IFERROR(__xludf.DUMMYFUNCTION("""COMPUTED_VALUE"""),"Easy")</f>
        <v>Easy</v>
      </c>
      <c r="D37" s="4" t="str">
        <f ca="1">IFERROR(__xludf.DUMMYFUNCTION("""COMPUTED_VALUE"""),"Design,Stack")</f>
        <v>Design,Stack</v>
      </c>
      <c r="E37" s="4" t="str">
        <f ca="1">IFERROR(__xludf.DUMMYFUNCTION("""COMPUTED_VALUE"""),"Netflix,Pure Storage,Zenefits,Flipkart,Visa,Walmart Labs,Snapchat,ServiceNow,Wish,Oracle,Intuit,Lyft,EBay,Apple,Uber,Bloomberg,Adobe,Facebook,Amazon,LinkedIn,Microsoft,Goldman Sachs,Google")</f>
        <v>Netflix,Pure Storage,Zenefits,Flipkart,Visa,Walmart Labs,Snapchat,ServiceNow,Wish,Oracle,Intuit,Lyft,EBay,Apple,Uber,Bloomberg,Adobe,Facebook,Amazon,LinkedIn,Microsoft,Goldman Sachs,Google</v>
      </c>
      <c r="F37" s="4">
        <f ca="1">IFERROR(__xludf.DUMMYFUNCTION("""COMPUTED_VALUE"""),43.9)</f>
        <v>43.9</v>
      </c>
      <c r="G37" s="4" t="str">
        <f ca="1">IFERROR(__xludf.DUMMYFUNCTION("""COMPUTED_VALUE"""),"算法")</f>
        <v>算法</v>
      </c>
    </row>
    <row r="38" spans="1:7" ht="12.75">
      <c r="A38" s="4">
        <f ca="1">IFERROR(__xludf.DUMMYFUNCTION("""COMPUTED_VALUE"""),158)</f>
        <v>158</v>
      </c>
      <c r="B38" s="46" t="str">
        <f ca="1">IFERROR(__xludf.DUMMYFUNCTION("""COMPUTED_VALUE"""),"Read N Characters Given Read4 II - Call multiple times")</f>
        <v>Read N Characters Given Read4 II - Call multiple times</v>
      </c>
      <c r="C38" s="4" t="str">
        <f ca="1">IFERROR(__xludf.DUMMYFUNCTION("""COMPUTED_VALUE"""),"Hard")</f>
        <v>Hard</v>
      </c>
      <c r="D38" s="4" t="str">
        <f ca="1">IFERROR(__xludf.DUMMYFUNCTION("""COMPUTED_VALUE"""),"String")</f>
        <v>String</v>
      </c>
      <c r="E38" s="4" t="str">
        <f ca="1">IFERROR(__xludf.DUMMYFUNCTION("""COMPUTED_VALUE"""),"Pinterest,Lyft,Uber,Bloomberg,Facebook,Amazon,Microsoft,Google")</f>
        <v>Pinterest,Lyft,Uber,Bloomberg,Facebook,Amazon,Microsoft,Google</v>
      </c>
      <c r="F38" s="4">
        <f ca="1">IFERROR(__xludf.DUMMYFUNCTION("""COMPUTED_VALUE"""),32.82)</f>
        <v>32.82</v>
      </c>
      <c r="G38" s="4" t="str">
        <f ca="1">IFERROR(__xludf.DUMMYFUNCTION("""COMPUTED_VALUE"""),"算法")</f>
        <v>算法</v>
      </c>
    </row>
    <row r="39" spans="1:7" ht="12.75">
      <c r="A39" s="4">
        <f ca="1">IFERROR(__xludf.DUMMYFUNCTION("""COMPUTED_VALUE"""),162)</f>
        <v>162</v>
      </c>
      <c r="B39" s="46" t="str">
        <f ca="1">IFERROR(__xludf.DUMMYFUNCTION("""COMPUTED_VALUE"""),"Find Peak Element")</f>
        <v>Find Peak Element</v>
      </c>
      <c r="C39" s="4" t="str">
        <f ca="1">IFERROR(__xludf.DUMMYFUNCTION("""COMPUTED_VALUE"""),"Medium")</f>
        <v>Medium</v>
      </c>
      <c r="D39" s="4" t="str">
        <f ca="1">IFERROR(__xludf.DUMMYFUNCTION("""COMPUTED_VALUE"""),"Binary Search,Array")</f>
        <v>Binary Search,Array</v>
      </c>
      <c r="E39" s="4" t="str">
        <f ca="1">IFERROR(__xludf.DUMMYFUNCTION("""COMPUTED_VALUE"""),"IXL,VMware,Quora,Walmart Labs,Lyft,Apple,Uber,Yahoo,Bloomberg,Facebook,Amazon,Microsoft,Google")</f>
        <v>IXL,VMware,Quora,Walmart Labs,Lyft,Apple,Uber,Yahoo,Bloomberg,Facebook,Amazon,Microsoft,Google</v>
      </c>
      <c r="F39" s="4">
        <f ca="1">IFERROR(__xludf.DUMMYFUNCTION("""COMPUTED_VALUE"""),43.08)</f>
        <v>43.08</v>
      </c>
      <c r="G39" s="4" t="str">
        <f ca="1">IFERROR(__xludf.DUMMYFUNCTION("""COMPUTED_VALUE"""),"算法")</f>
        <v>算法</v>
      </c>
    </row>
    <row r="40" spans="1:7" ht="12.75">
      <c r="A40" s="4">
        <f ca="1">IFERROR(__xludf.DUMMYFUNCTION("""COMPUTED_VALUE"""),200)</f>
        <v>200</v>
      </c>
      <c r="B40" s="46" t="str">
        <f ca="1">IFERROR(__xludf.DUMMYFUNCTION("""COMPUTED_VALUE"""),"Number of Islands")</f>
        <v>Number of Islands</v>
      </c>
      <c r="C40" s="4" t="str">
        <f ca="1">IFERROR(__xludf.DUMMYFUNCTION("""COMPUTED_VALUE"""),"Medium")</f>
        <v>Medium</v>
      </c>
      <c r="D40" s="4" t="str">
        <f ca="1">IFERROR(__xludf.DUMMYFUNCTION("""COMPUTED_VALUE"""),"Union Find,Breadth First Search,Depth First Search")</f>
        <v>Union Find,Breadth First Search,Depth First Search</v>
      </c>
      <c r="E40" s="4" t="str">
        <f ca="1">IFERROR(__xludf.DUMMYFUNCTION("""COMPUTED_VALUE"""),"AppDynamics,Electronic Arts,Sumologic,Hulu,Cohesity,Arista Networks,LiveRamp,Nutanix,DoorDash,Square,Qualtrics,Evernote,Palantir Technologies,Cruise Automation,Citrix,Zulily,Houzz,Zenefits,Atlassian,Twitch,Roblox,Audible,Splunk,Tableau,Salesforce,Visa,VMw"&amp;"are,Citadel,Affirm,Walmart Labs,Snapchat,JPMorgan,Paypal,Twitter,Expedia,Wish,Nvidia,Oracle,Spotify,Lyft,Cisco,Mathworks,EBay,BlackRock,Apple,Uber,Yahoo,SAP,Bloomberg,Adobe,Facebook,Amazon,LinkedIn,Microsoft,Alibaba,Goldman Sachs,Google")</f>
        <v>AppDynamics,Electronic Arts,Sumologic,Hulu,Cohesity,Arista Networks,LiveRamp,Nutanix,DoorDash,Square,Qualtrics,Evernote,Palantir Technologies,Cruise Automation,Citrix,Zulily,Houzz,Zenefits,Atlassian,Twitch,Roblox,Audible,Splunk,Tableau,Salesforce,Visa,VMware,Citadel,Affirm,Walmart Labs,Snapchat,JPMorgan,Paypal,Twitter,Expedia,Wish,Nvidia,Oracle,Spotify,Lyft,Cisco,Mathworks,EBay,BlackRock,Apple,Uber,Yahoo,SAP,Bloomberg,Adobe,Facebook,Amazon,LinkedIn,Microsoft,Alibaba,Goldman Sachs,Google</v>
      </c>
      <c r="F40" s="4">
        <f ca="1">IFERROR(__xludf.DUMMYFUNCTION("""COMPUTED_VALUE"""),46.28)</f>
        <v>46.28</v>
      </c>
      <c r="G40" s="4" t="str">
        <f ca="1">IFERROR(__xludf.DUMMYFUNCTION("""COMPUTED_VALUE"""),"算法")</f>
        <v>算法</v>
      </c>
    </row>
    <row r="41" spans="1:7" ht="12.75">
      <c r="A41" s="4">
        <f ca="1">IFERROR(__xludf.DUMMYFUNCTION("""COMPUTED_VALUE"""),238)</f>
        <v>238</v>
      </c>
      <c r="B41" s="46" t="str">
        <f ca="1">IFERROR(__xludf.DUMMYFUNCTION("""COMPUTED_VALUE"""),"Product of Array Except Self")</f>
        <v>Product of Array Except Self</v>
      </c>
      <c r="C41" s="4" t="str">
        <f ca="1">IFERROR(__xludf.DUMMYFUNCTION("""COMPUTED_VALUE"""),"Medium")</f>
        <v>Medium</v>
      </c>
      <c r="D41" s="4" t="str">
        <f ca="1">IFERROR(__xludf.DUMMYFUNCTION("""COMPUTED_VALUE"""),"Array")</f>
        <v>Array</v>
      </c>
      <c r="E41" s="4" t="str">
        <f ca="1">IFERROR(__xludf.DUMMYFUNCTION("""COMPUTED_VALUE"""),"Asana,Nutanix,Qualtrics,Evernote,Zenefits,Grab,Splunk,ByteDance,Tableau,Salesforce,Groupon,Intel,Visa,VMware,Walmart Labs,Snapchat,Paypal,Yelp,Oracle,Lyft,EBay,BlackRock,Apple,Uber,Yahoo,SAP,Bloomberg,Adobe,Facebook,Amazon,LinkedIn,Microsoft,Goldman Sachs"&amp;",Google")</f>
        <v>Asana,Nutanix,Qualtrics,Evernote,Zenefits,Grab,Splunk,ByteDance,Tableau,Salesforce,Groupon,Intel,Visa,VMware,Walmart Labs,Snapchat,Paypal,Yelp,Oracle,Lyft,EBay,BlackRock,Apple,Uber,Yahoo,SAP,Bloomberg,Adobe,Facebook,Amazon,LinkedIn,Microsoft,Goldman Sachs,Google</v>
      </c>
      <c r="F41" s="4">
        <f ca="1">IFERROR(__xludf.DUMMYFUNCTION("""COMPUTED_VALUE"""),59.65)</f>
        <v>59.65</v>
      </c>
      <c r="G41" s="4" t="str">
        <f ca="1">IFERROR(__xludf.DUMMYFUNCTION("""COMPUTED_VALUE"""),"算法")</f>
        <v>算法</v>
      </c>
    </row>
    <row r="42" spans="1:7" ht="12.75">
      <c r="A42" s="4">
        <f ca="1">IFERROR(__xludf.DUMMYFUNCTION("""COMPUTED_VALUE"""),239)</f>
        <v>239</v>
      </c>
      <c r="B42" s="46" t="str">
        <f ca="1">IFERROR(__xludf.DUMMYFUNCTION("""COMPUTED_VALUE"""),"Sliding Window Maximum")</f>
        <v>Sliding Window Maximum</v>
      </c>
      <c r="C42" s="4" t="str">
        <f ca="1">IFERROR(__xludf.DUMMYFUNCTION("""COMPUTED_VALUE"""),"Hard")</f>
        <v>Hard</v>
      </c>
      <c r="D42" s="4" t="str">
        <f ca="1">IFERROR(__xludf.DUMMYFUNCTION("""COMPUTED_VALUE"""),"Sliding Window,Heap")</f>
        <v>Sliding Window,Heap</v>
      </c>
      <c r="E42" s="4" t="str">
        <f ca="1">IFERROR(__xludf.DUMMYFUNCTION("""COMPUTED_VALUE"""),"Nutanix,Pinterest,Databricks,Coursera,Zenefits,Roblox,ByteDance,VMware,Citadel,Twitter,Wish,Yelp,Oracle,Lyft,Apple,Uber,Bloomberg,Adobe,Facebook,Amazon,Microsoft,Alibaba,Google")</f>
        <v>Nutanix,Pinterest,Databricks,Coursera,Zenefits,Roblox,ByteDance,VMware,Citadel,Twitter,Wish,Yelp,Oracle,Lyft,Apple,Uber,Bloomberg,Adobe,Facebook,Amazon,Microsoft,Alibaba,Google</v>
      </c>
      <c r="F42" s="4">
        <f ca="1">IFERROR(__xludf.DUMMYFUNCTION("""COMPUTED_VALUE"""),42.44)</f>
        <v>42.44</v>
      </c>
      <c r="G42" s="4" t="str">
        <f ca="1">IFERROR(__xludf.DUMMYFUNCTION("""COMPUTED_VALUE"""),"算法")</f>
        <v>算法</v>
      </c>
    </row>
    <row r="43" spans="1:7" ht="12.75">
      <c r="A43" s="4">
        <f ca="1">IFERROR(__xludf.DUMMYFUNCTION("""COMPUTED_VALUE"""),253)</f>
        <v>253</v>
      </c>
      <c r="B43" s="46" t="str">
        <f ca="1">IFERROR(__xludf.DUMMYFUNCTION("""COMPUTED_VALUE"""),"Meeting Rooms II")</f>
        <v>Meeting Rooms II</v>
      </c>
      <c r="C43" s="4" t="str">
        <f ca="1">IFERROR(__xludf.DUMMYFUNCTION("""COMPUTED_VALUE"""),"Medium")</f>
        <v>Medium</v>
      </c>
      <c r="D43" s="4" t="str">
        <f ca="1">IFERROR(__xludf.DUMMYFUNCTION("""COMPUTED_VALUE"""),"Sort,Greedy,Heap")</f>
        <v>Sort,Greedy,Heap</v>
      </c>
      <c r="E43" s="4" t="str">
        <f ca="1">IFERROR(__xludf.DUMMYFUNCTION("""COMPUTED_VALUE"""),"Nutanix,Postmates,Citrix,Atlassian,Booking.com,Drawbridge,Visa,Quora,Walmart Labs,GoDaddy,Snapchat,Paypal,Expedia,Yelp,Oracle,Lyft,Cisco,EBay,Baidu,Apple,Uber,Bloomberg,Facebook,Amazon,Microsoft,Goldman Sachs,Google")</f>
        <v>Nutanix,Postmates,Citrix,Atlassian,Booking.com,Drawbridge,Visa,Quora,Walmart Labs,GoDaddy,Snapchat,Paypal,Expedia,Yelp,Oracle,Lyft,Cisco,EBay,Baidu,Apple,Uber,Bloomberg,Facebook,Amazon,Microsoft,Goldman Sachs,Google</v>
      </c>
      <c r="F43" s="4">
        <f ca="1">IFERROR(__xludf.DUMMYFUNCTION("""COMPUTED_VALUE"""),45.4)</f>
        <v>45.4</v>
      </c>
      <c r="G43" s="4" t="str">
        <f ca="1">IFERROR(__xludf.DUMMYFUNCTION("""COMPUTED_VALUE"""),"算法")</f>
        <v>算法</v>
      </c>
    </row>
    <row r="44" spans="1:7" ht="12.75">
      <c r="A44" s="4">
        <f ca="1">IFERROR(__xludf.DUMMYFUNCTION("""COMPUTED_VALUE"""),279)</f>
        <v>279</v>
      </c>
      <c r="B44" s="46" t="str">
        <f ca="1">IFERROR(__xludf.DUMMYFUNCTION("""COMPUTED_VALUE"""),"Perfect Squares")</f>
        <v>Perfect Squares</v>
      </c>
      <c r="C44" s="4" t="str">
        <f ca="1">IFERROR(__xludf.DUMMYFUNCTION("""COMPUTED_VALUE"""),"Medium")</f>
        <v>Medium</v>
      </c>
      <c r="D44" s="4" t="str">
        <f ca="1">IFERROR(__xludf.DUMMYFUNCTION("""COMPUTED_VALUE"""),"Breadth First Search,Dynamic Programming,Math")</f>
        <v>Breadth First Search,Dynamic Programming,Math</v>
      </c>
      <c r="E44" s="4" t="str">
        <f ca="1">IFERROR(__xludf.DUMMYFUNCTION("""COMPUTED_VALUE"""),"GoDaddy,Lyft,Cisco,Yandex,EBay,Apple,Uber,Adobe,Facebook,Amazon,LinkedIn,Microsoft,Google")</f>
        <v>GoDaddy,Lyft,Cisco,Yandex,EBay,Apple,Uber,Adobe,Facebook,Amazon,LinkedIn,Microsoft,Google</v>
      </c>
      <c r="F44" s="4">
        <f ca="1">IFERROR(__xludf.DUMMYFUNCTION("""COMPUTED_VALUE"""),45.84)</f>
        <v>45.84</v>
      </c>
      <c r="G44" s="4" t="str">
        <f ca="1">IFERROR(__xludf.DUMMYFUNCTION("""COMPUTED_VALUE"""),"算法")</f>
        <v>算法</v>
      </c>
    </row>
    <row r="45" spans="1:7" ht="12.75">
      <c r="A45" s="4">
        <f ca="1">IFERROR(__xludf.DUMMYFUNCTION("""COMPUTED_VALUE"""),283)</f>
        <v>283</v>
      </c>
      <c r="B45" s="46" t="str">
        <f ca="1">IFERROR(__xludf.DUMMYFUNCTION("""COMPUTED_VALUE"""),"Move Zeroes")</f>
        <v>Move Zeroes</v>
      </c>
      <c r="C45" s="4" t="str">
        <f ca="1">IFERROR(__xludf.DUMMYFUNCTION("""COMPUTED_VALUE"""),"Easy")</f>
        <v>Easy</v>
      </c>
      <c r="D45" s="4" t="str">
        <f ca="1">IFERROR(__xludf.DUMMYFUNCTION("""COMPUTED_VALUE"""),"Two Pointers,Array")</f>
        <v>Two Pointers,Array</v>
      </c>
      <c r="E45" s="4" t="str">
        <f ca="1">IFERROR(__xludf.DUMMYFUNCTION("""COMPUTED_VALUE"""),"Cohesity,Nutanix,Dell,Qualcomm,Walmart Labs,Zillow,Paypal,Oracle,Lyft,Yandex,EBay,Apple,Uber,Yahoo,SAP,Bloomberg,Adobe,Facebook,Amazon,Microsoft,Goldman Sachs,Google")</f>
        <v>Cohesity,Nutanix,Dell,Qualcomm,Walmart Labs,Zillow,Paypal,Oracle,Lyft,Yandex,EBay,Apple,Uber,Yahoo,SAP,Bloomberg,Adobe,Facebook,Amazon,Microsoft,Goldman Sachs,Google</v>
      </c>
      <c r="F45" s="4">
        <f ca="1">IFERROR(__xludf.DUMMYFUNCTION("""COMPUTED_VALUE"""),57.53)</f>
        <v>57.53</v>
      </c>
      <c r="G45" s="4" t="str">
        <f ca="1">IFERROR(__xludf.DUMMYFUNCTION("""COMPUTED_VALUE"""),"算法")</f>
        <v>算法</v>
      </c>
    </row>
    <row r="46" spans="1:7" ht="12.75">
      <c r="A46" s="4">
        <f ca="1">IFERROR(__xludf.DUMMYFUNCTION("""COMPUTED_VALUE"""),304)</f>
        <v>304</v>
      </c>
      <c r="B46" s="46" t="str">
        <f ca="1">IFERROR(__xludf.DUMMYFUNCTION("""COMPUTED_VALUE"""),"Range Sum Query 2D - Immutable")</f>
        <v>Range Sum Query 2D - Immutable</v>
      </c>
      <c r="C46" s="4" t="str">
        <f ca="1">IFERROR(__xludf.DUMMYFUNCTION("""COMPUTED_VALUE"""),"Medium")</f>
        <v>Medium</v>
      </c>
      <c r="D46" s="4" t="str">
        <f ca="1">IFERROR(__xludf.DUMMYFUNCTION("""COMPUTED_VALUE"""),"Dynamic Programming")</f>
        <v>Dynamic Programming</v>
      </c>
      <c r="E46" s="4" t="str">
        <f ca="1">IFERROR(__xludf.DUMMYFUNCTION("""COMPUTED_VALUE"""),"Houzz,VMware,Lyft,Apple,Facebook,Amazon,Microsoft,Google")</f>
        <v>Houzz,VMware,Lyft,Apple,Facebook,Amazon,Microsoft,Google</v>
      </c>
      <c r="F46" s="4">
        <f ca="1">IFERROR(__xludf.DUMMYFUNCTION("""COMPUTED_VALUE"""),37.78)</f>
        <v>37.78</v>
      </c>
      <c r="G46" s="4" t="str">
        <f ca="1">IFERROR(__xludf.DUMMYFUNCTION("""COMPUTED_VALUE"""),"算法")</f>
        <v>算法</v>
      </c>
    </row>
    <row r="47" spans="1:7" ht="12.75">
      <c r="A47" s="4">
        <f ca="1">IFERROR(__xludf.DUMMYFUNCTION("""COMPUTED_VALUE"""),333)</f>
        <v>333</v>
      </c>
      <c r="B47" s="46" t="str">
        <f ca="1">IFERROR(__xludf.DUMMYFUNCTION("""COMPUTED_VALUE"""),"Largest BST Subtree")</f>
        <v>Largest BST Subtree</v>
      </c>
      <c r="C47" s="4" t="str">
        <f ca="1">IFERROR(__xludf.DUMMYFUNCTION("""COMPUTED_VALUE"""),"Medium")</f>
        <v>Medium</v>
      </c>
      <c r="D47" s="4" t="str">
        <f ca="1">IFERROR(__xludf.DUMMYFUNCTION("""COMPUTED_VALUE"""),"Tree")</f>
        <v>Tree</v>
      </c>
      <c r="E47" s="4" t="str">
        <f ca="1">IFERROR(__xludf.DUMMYFUNCTION("""COMPUTED_VALUE"""),"Lyft,Apple,Facebook,Amazon,Microsoft,Google")</f>
        <v>Lyft,Apple,Facebook,Amazon,Microsoft,Google</v>
      </c>
      <c r="F47" s="4">
        <f ca="1">IFERROR(__xludf.DUMMYFUNCTION("""COMPUTED_VALUE"""),35.42)</f>
        <v>35.42</v>
      </c>
      <c r="G47" s="4" t="str">
        <f ca="1">IFERROR(__xludf.DUMMYFUNCTION("""COMPUTED_VALUE"""),"算法")</f>
        <v>算法</v>
      </c>
    </row>
    <row r="48" spans="1:7" ht="12.75">
      <c r="A48" s="4">
        <f ca="1">IFERROR(__xludf.DUMMYFUNCTION("""COMPUTED_VALUE"""),341)</f>
        <v>341</v>
      </c>
      <c r="B48" s="46" t="str">
        <f ca="1">IFERROR(__xludf.DUMMYFUNCTION("""COMPUTED_VALUE"""),"Flatten Nested List Iterator")</f>
        <v>Flatten Nested List Iterator</v>
      </c>
      <c r="C48" s="4" t="str">
        <f ca="1">IFERROR(__xludf.DUMMYFUNCTION("""COMPUTED_VALUE"""),"Medium")</f>
        <v>Medium</v>
      </c>
      <c r="D48" s="4" t="str">
        <f ca="1">IFERROR(__xludf.DUMMYFUNCTION("""COMPUTED_VALUE"""),"Design,Stack")</f>
        <v>Design,Stack</v>
      </c>
      <c r="E48" s="4" t="str">
        <f ca="1">IFERROR(__xludf.DUMMYFUNCTION("""COMPUTED_VALUE"""),"Pinterest,Atlassian,Splunk,VMware,Snapchat,Twitter,Oracle,Lyft,Apple,Airbnb,Uber,Bloomberg,Facebook,Amazon,LinkedIn,Microsoft,Google")</f>
        <v>Pinterest,Atlassian,Splunk,VMware,Snapchat,Twitter,Oracle,Lyft,Apple,Airbnb,Uber,Bloomberg,Facebook,Amazon,LinkedIn,Microsoft,Google</v>
      </c>
      <c r="F48" s="4">
        <f ca="1">IFERROR(__xludf.DUMMYFUNCTION("""COMPUTED_VALUE"""),52.38)</f>
        <v>52.38</v>
      </c>
      <c r="G48" s="4" t="str">
        <f ca="1">IFERROR(__xludf.DUMMYFUNCTION("""COMPUTED_VALUE"""),"算法")</f>
        <v>算法</v>
      </c>
    </row>
    <row r="49" spans="1:7" ht="12.75">
      <c r="A49" s="4">
        <f ca="1">IFERROR(__xludf.DUMMYFUNCTION("""COMPUTED_VALUE"""),349)</f>
        <v>349</v>
      </c>
      <c r="B49" s="46" t="str">
        <f ca="1">IFERROR(__xludf.DUMMYFUNCTION("""COMPUTED_VALUE"""),"Intersection of Two Arrays")</f>
        <v>Intersection of Two Arrays</v>
      </c>
      <c r="C49" s="4" t="str">
        <f ca="1">IFERROR(__xludf.DUMMYFUNCTION("""COMPUTED_VALUE"""),"Easy")</f>
        <v>Easy</v>
      </c>
      <c r="D49" s="4" t="str">
        <f ca="1">IFERROR(__xludf.DUMMYFUNCTION("""COMPUTED_VALUE"""),"Sort,Binary Search,Two Pointers,Hash Table")</f>
        <v>Sort,Binary Search,Two Pointers,Hash Table</v>
      </c>
      <c r="E49" s="4" t="str">
        <f ca="1">IFERROR(__xludf.DUMMYFUNCTION("""COMPUTED_VALUE"""),"Two Sigma,ByteDance,Indeed,JPMorgan,Yelp,Oracle,Lyft,Apple,Uber,Facebook,Amazon,LinkedIn,Microsoft,Google")</f>
        <v>Two Sigma,ByteDance,Indeed,JPMorgan,Yelp,Oracle,Lyft,Apple,Uber,Facebook,Amazon,LinkedIn,Microsoft,Google</v>
      </c>
      <c r="F49" s="4">
        <f ca="1">IFERROR(__xludf.DUMMYFUNCTION("""COMPUTED_VALUE"""),61.66)</f>
        <v>61.66</v>
      </c>
      <c r="G49" s="4" t="str">
        <f ca="1">IFERROR(__xludf.DUMMYFUNCTION("""COMPUTED_VALUE"""),"算法")</f>
        <v>算法</v>
      </c>
    </row>
    <row r="50" spans="1:7" ht="12.75">
      <c r="A50" s="4">
        <f ca="1">IFERROR(__xludf.DUMMYFUNCTION("""COMPUTED_VALUE"""),365)</f>
        <v>365</v>
      </c>
      <c r="B50" s="46" t="str">
        <f ca="1">IFERROR(__xludf.DUMMYFUNCTION("""COMPUTED_VALUE"""),"Water and Jug Problem")</f>
        <v>Water and Jug Problem</v>
      </c>
      <c r="C50" s="4" t="str">
        <f ca="1">IFERROR(__xludf.DUMMYFUNCTION("""COMPUTED_VALUE"""),"Medium")</f>
        <v>Medium</v>
      </c>
      <c r="D50" s="4" t="str">
        <f ca="1">IFERROR(__xludf.DUMMYFUNCTION("""COMPUTED_VALUE"""),"Math")</f>
        <v>Math</v>
      </c>
      <c r="E50" s="4" t="str">
        <f ca="1">IFERROR(__xludf.DUMMYFUNCTION("""COMPUTED_VALUE"""),"Lyft,Uber,Amazon,Microsoft,Google")</f>
        <v>Lyft,Uber,Amazon,Microsoft,Google</v>
      </c>
      <c r="F50" s="4">
        <f ca="1">IFERROR(__xludf.DUMMYFUNCTION("""COMPUTED_VALUE"""),30.42)</f>
        <v>30.42</v>
      </c>
      <c r="G50" s="4" t="str">
        <f ca="1">IFERROR(__xludf.DUMMYFUNCTION("""COMPUTED_VALUE"""),"算法")</f>
        <v>算法</v>
      </c>
    </row>
    <row r="51" spans="1:7" ht="12.75">
      <c r="A51" s="4">
        <f ca="1">IFERROR(__xludf.DUMMYFUNCTION("""COMPUTED_VALUE"""),426)</f>
        <v>426</v>
      </c>
      <c r="B51" s="46" t="str">
        <f ca="1">IFERROR(__xludf.DUMMYFUNCTION("""COMPUTED_VALUE"""),"Convert Binary Search Tree to Sorted Doubly Linked List")</f>
        <v>Convert Binary Search Tree to Sorted Doubly Linked List</v>
      </c>
      <c r="C51" s="4" t="str">
        <f ca="1">IFERROR(__xludf.DUMMYFUNCTION("""COMPUTED_VALUE"""),"Medium")</f>
        <v>Medium</v>
      </c>
      <c r="D51" s="4" t="str">
        <f ca="1">IFERROR(__xludf.DUMMYFUNCTION("""COMPUTED_VALUE"""),"Tree,Divide and Conquer,Linked List")</f>
        <v>Tree,Divide and Conquer,Linked List</v>
      </c>
      <c r="E51" s="4" t="str">
        <f ca="1">IFERROR(__xludf.DUMMYFUNCTION("""COMPUTED_VALUE"""),"Databricks,VMware,Oracle,Lyft,Uber,Bloomberg,Facebook,Amazon,Microsoft,Google")</f>
        <v>Databricks,VMware,Oracle,Lyft,Uber,Bloomberg,Facebook,Amazon,Microsoft,Google</v>
      </c>
      <c r="F51" s="4">
        <f ca="1">IFERROR(__xludf.DUMMYFUNCTION("""COMPUTED_VALUE"""),58.57)</f>
        <v>58.57</v>
      </c>
      <c r="G51" s="4" t="str">
        <f ca="1">IFERROR(__xludf.DUMMYFUNCTION("""COMPUTED_VALUE"""),"算法")</f>
        <v>算法</v>
      </c>
    </row>
    <row r="52" spans="1:7" ht="12.75">
      <c r="A52" s="4">
        <f ca="1">IFERROR(__xludf.DUMMYFUNCTION("""COMPUTED_VALUE"""),442)</f>
        <v>442</v>
      </c>
      <c r="B52" s="46" t="str">
        <f ca="1">IFERROR(__xludf.DUMMYFUNCTION("""COMPUTED_VALUE"""),"Find All Duplicates in an Array")</f>
        <v>Find All Duplicates in an Array</v>
      </c>
      <c r="C52" s="4" t="str">
        <f ca="1">IFERROR(__xludf.DUMMYFUNCTION("""COMPUTED_VALUE"""),"Medium")</f>
        <v>Medium</v>
      </c>
      <c r="D52" s="4" t="str">
        <f ca="1">IFERROR(__xludf.DUMMYFUNCTION("""COMPUTED_VALUE"""),"Array")</f>
        <v>Array</v>
      </c>
      <c r="E52" s="4" t="str">
        <f ca="1">IFERROR(__xludf.DUMMYFUNCTION("""COMPUTED_VALUE"""),"Pocket Gems,Lyft,Apple,Bloomberg,Facebook,Amazon,Microsoft,Google")</f>
        <v>Pocket Gems,Lyft,Apple,Bloomberg,Facebook,Amazon,Microsoft,Google</v>
      </c>
      <c r="F52" s="4">
        <f ca="1">IFERROR(__xludf.DUMMYFUNCTION("""COMPUTED_VALUE"""),65.44)</f>
        <v>65.44</v>
      </c>
      <c r="G52" s="4" t="str">
        <f ca="1">IFERROR(__xludf.DUMMYFUNCTION("""COMPUTED_VALUE"""),"算法")</f>
        <v>算法</v>
      </c>
    </row>
    <row r="53" spans="1:7" ht="12.75">
      <c r="A53" s="4">
        <f ca="1">IFERROR(__xludf.DUMMYFUNCTION("""COMPUTED_VALUE"""),443)</f>
        <v>443</v>
      </c>
      <c r="B53" s="46" t="str">
        <f ca="1">IFERROR(__xludf.DUMMYFUNCTION("""COMPUTED_VALUE"""),"String Compression")</f>
        <v>String Compression</v>
      </c>
      <c r="C53" s="4" t="str">
        <f ca="1">IFERROR(__xludf.DUMMYFUNCTION("""COMPUTED_VALUE"""),"Easy")</f>
        <v>Easy</v>
      </c>
      <c r="D53" s="4" t="str">
        <f ca="1">IFERROR(__xludf.DUMMYFUNCTION("""COMPUTED_VALUE"""),"String")</f>
        <v>String</v>
      </c>
      <c r="E53" s="4" t="str">
        <f ca="1">IFERROR(__xludf.DUMMYFUNCTION("""COMPUTED_VALUE"""),"Akuna Capital,Wayfair,Redfin,Walmart Labs,GoDaddy,Snapchat,Zillow,Expedia,Yelp,Lyft,Yandex,EBay,Apple,Bloomberg,Facebook,Amazon,Microsoft,Goldman Sachs,Google")</f>
        <v>Akuna Capital,Wayfair,Redfin,Walmart Labs,GoDaddy,Snapchat,Zillow,Expedia,Yelp,Lyft,Yandex,EBay,Apple,Bloomberg,Facebook,Amazon,Microsoft,Goldman Sachs,Google</v>
      </c>
      <c r="F53" s="4">
        <f ca="1">IFERROR(__xludf.DUMMYFUNCTION("""COMPUTED_VALUE"""),40.78)</f>
        <v>40.78</v>
      </c>
      <c r="G53" s="4" t="str">
        <f ca="1">IFERROR(__xludf.DUMMYFUNCTION("""COMPUTED_VALUE"""),"算法")</f>
        <v>算法</v>
      </c>
    </row>
    <row r="54" spans="1:7" ht="12.75">
      <c r="A54" s="4">
        <f ca="1">IFERROR(__xludf.DUMMYFUNCTION("""COMPUTED_VALUE"""),567)</f>
        <v>567</v>
      </c>
      <c r="B54" s="46" t="str">
        <f ca="1">IFERROR(__xludf.DUMMYFUNCTION("""COMPUTED_VALUE"""),"Permutation in String")</f>
        <v>Permutation in String</v>
      </c>
      <c r="C54" s="4" t="str">
        <f ca="1">IFERROR(__xludf.DUMMYFUNCTION("""COMPUTED_VALUE"""),"Medium")</f>
        <v>Medium</v>
      </c>
      <c r="D54" s="4" t="str">
        <f ca="1">IFERROR(__xludf.DUMMYFUNCTION("""COMPUTED_VALUE"""),"Sliding Window,Two Pointers")</f>
        <v>Sliding Window,Two Pointers</v>
      </c>
      <c r="E54" s="4" t="str">
        <f ca="1">IFERROR(__xludf.DUMMYFUNCTION("""COMPUTED_VALUE"""),"Lyft,Yandex,Uber,Yahoo,Bloomberg,Facebook,Amazon,Microsoft,Google")</f>
        <v>Lyft,Yandex,Uber,Yahoo,Bloomberg,Facebook,Amazon,Microsoft,Google</v>
      </c>
      <c r="F54" s="4">
        <f ca="1">IFERROR(__xludf.DUMMYFUNCTION("""COMPUTED_VALUE"""),44.37)</f>
        <v>44.37</v>
      </c>
      <c r="G54" s="4" t="str">
        <f ca="1">IFERROR(__xludf.DUMMYFUNCTION("""COMPUTED_VALUE"""),"算法")</f>
        <v>算法</v>
      </c>
    </row>
    <row r="55" spans="1:7" ht="12.75">
      <c r="A55" s="4">
        <f ca="1">IFERROR(__xludf.DUMMYFUNCTION("""COMPUTED_VALUE"""),632)</f>
        <v>632</v>
      </c>
      <c r="B55" s="46" t="str">
        <f ca="1">IFERROR(__xludf.DUMMYFUNCTION("""COMPUTED_VALUE"""),"Smallest Range Covering Elements from K Lists")</f>
        <v>Smallest Range Covering Elements from K Lists</v>
      </c>
      <c r="C55" s="4" t="str">
        <f ca="1">IFERROR(__xludf.DUMMYFUNCTION("""COMPUTED_VALUE"""),"Hard")</f>
        <v>Hard</v>
      </c>
      <c r="D55" s="4" t="str">
        <f ca="1">IFERROR(__xludf.DUMMYFUNCTION("""COMPUTED_VALUE"""),"String,Two Pointers,Hash Table")</f>
        <v>String,Two Pointers,Hash Table</v>
      </c>
      <c r="E55" s="4" t="str">
        <f ca="1">IFERROR(__xludf.DUMMYFUNCTION("""COMPUTED_VALUE"""),"Pinterest,Snapchat,Lyft,Facebook,Amazon,Microsoft,Google")</f>
        <v>Pinterest,Snapchat,Lyft,Facebook,Amazon,Microsoft,Google</v>
      </c>
      <c r="F55" s="4">
        <f ca="1">IFERROR(__xludf.DUMMYFUNCTION("""COMPUTED_VALUE"""),51.89)</f>
        <v>51.89</v>
      </c>
      <c r="G55" s="4" t="str">
        <f ca="1">IFERROR(__xludf.DUMMYFUNCTION("""COMPUTED_VALUE"""),"算法")</f>
        <v>算法</v>
      </c>
    </row>
    <row r="56" spans="1:7" ht="12.75">
      <c r="A56" s="4">
        <f ca="1">IFERROR(__xludf.DUMMYFUNCTION("""COMPUTED_VALUE"""),642)</f>
        <v>642</v>
      </c>
      <c r="B56" s="46" t="str">
        <f ca="1">IFERROR(__xludf.DUMMYFUNCTION("""COMPUTED_VALUE"""),"Design Search Autocomplete System")</f>
        <v>Design Search Autocomplete System</v>
      </c>
      <c r="C56" s="4" t="str">
        <f ca="1">IFERROR(__xludf.DUMMYFUNCTION("""COMPUTED_VALUE"""),"Hard")</f>
        <v>Hard</v>
      </c>
      <c r="D56" s="4" t="str">
        <f ca="1">IFERROR(__xludf.DUMMYFUNCTION("""COMPUTED_VALUE"""),"Trie,Design")</f>
        <v>Trie,Design</v>
      </c>
      <c r="E56" s="4" t="str">
        <f ca="1">IFERROR(__xludf.DUMMYFUNCTION("""COMPUTED_VALUE"""),"Salesforce,Dropbox,Snapchat,Lyft,Apple,Uber,Bloomberg,Facebook,Amazon,Microsoft,Google")</f>
        <v>Salesforce,Dropbox,Snapchat,Lyft,Apple,Uber,Bloomberg,Facebook,Amazon,Microsoft,Google</v>
      </c>
      <c r="F56" s="4">
        <f ca="1">IFERROR(__xludf.DUMMYFUNCTION("""COMPUTED_VALUE"""),44.18)</f>
        <v>44.18</v>
      </c>
      <c r="G56" s="4" t="str">
        <f ca="1">IFERROR(__xludf.DUMMYFUNCTION("""COMPUTED_VALUE"""),"算法")</f>
        <v>算法</v>
      </c>
    </row>
    <row r="57" spans="1:7" ht="12.75">
      <c r="A57" s="4">
        <f ca="1">IFERROR(__xludf.DUMMYFUNCTION("""COMPUTED_VALUE"""),652)</f>
        <v>652</v>
      </c>
      <c r="B57" s="46" t="str">
        <f ca="1">IFERROR(__xludf.DUMMYFUNCTION("""COMPUTED_VALUE"""),"Find Duplicate Subtrees")</f>
        <v>Find Duplicate Subtrees</v>
      </c>
      <c r="C57" s="4" t="str">
        <f ca="1">IFERROR(__xludf.DUMMYFUNCTION("""COMPUTED_VALUE"""),"Medium")</f>
        <v>Medium</v>
      </c>
      <c r="D57" s="4" t="str">
        <f ca="1">IFERROR(__xludf.DUMMYFUNCTION("""COMPUTED_VALUE"""),"Tree")</f>
        <v>Tree</v>
      </c>
      <c r="E57" s="4" t="str">
        <f ca="1">IFERROR(__xludf.DUMMYFUNCTION("""COMPUTED_VALUE"""),"Oracle,Lyft,Uber,Bloomberg,Facebook,Amazon,Microsoft,Google")</f>
        <v>Oracle,Lyft,Uber,Bloomberg,Facebook,Amazon,Microsoft,Google</v>
      </c>
      <c r="F57" s="4">
        <f ca="1">IFERROR(__xludf.DUMMYFUNCTION("""COMPUTED_VALUE"""),49.78)</f>
        <v>49.78</v>
      </c>
      <c r="G57" s="4" t="str">
        <f ca="1">IFERROR(__xludf.DUMMYFUNCTION("""COMPUTED_VALUE"""),"算法")</f>
        <v>算法</v>
      </c>
    </row>
    <row r="58" spans="1:7" ht="12.75">
      <c r="A58" s="4">
        <f ca="1">IFERROR(__xludf.DUMMYFUNCTION("""COMPUTED_VALUE"""),694)</f>
        <v>694</v>
      </c>
      <c r="B58" s="46" t="str">
        <f ca="1">IFERROR(__xludf.DUMMYFUNCTION("""COMPUTED_VALUE"""),"Number of Distinct Islands")</f>
        <v>Number of Distinct Islands</v>
      </c>
      <c r="C58" s="4" t="str">
        <f ca="1">IFERROR(__xludf.DUMMYFUNCTION("""COMPUTED_VALUE"""),"Medium")</f>
        <v>Medium</v>
      </c>
      <c r="D58" s="4" t="str">
        <f ca="1">IFERROR(__xludf.DUMMYFUNCTION("""COMPUTED_VALUE"""),"Depth First Search,Hash Table")</f>
        <v>Depth First Search,Hash Table</v>
      </c>
      <c r="E58" s="4" t="str">
        <f ca="1">IFERROR(__xludf.DUMMYFUNCTION("""COMPUTED_VALUE"""),"Oracle,Lyft,Apple,Uber,Bloomberg,Facebook,Amazon,Microsoft,Google")</f>
        <v>Oracle,Lyft,Apple,Uber,Bloomberg,Facebook,Amazon,Microsoft,Google</v>
      </c>
      <c r="F58" s="4">
        <f ca="1">IFERROR(__xludf.DUMMYFUNCTION("""COMPUTED_VALUE"""),55.43)</f>
        <v>55.43</v>
      </c>
      <c r="G58" s="4" t="str">
        <f ca="1">IFERROR(__xludf.DUMMYFUNCTION("""COMPUTED_VALUE"""),"算法")</f>
        <v>算法</v>
      </c>
    </row>
    <row r="59" spans="1:7" ht="12.75">
      <c r="A59" s="4">
        <f ca="1">IFERROR(__xludf.DUMMYFUNCTION("""COMPUTED_VALUE"""),716)</f>
        <v>716</v>
      </c>
      <c r="B59" s="46" t="str">
        <f ca="1">IFERROR(__xludf.DUMMYFUNCTION("""COMPUTED_VALUE"""),"Max Stack")</f>
        <v>Max Stack</v>
      </c>
      <c r="C59" s="4" t="str">
        <f ca="1">IFERROR(__xludf.DUMMYFUNCTION("""COMPUTED_VALUE"""),"Easy")</f>
        <v>Easy</v>
      </c>
      <c r="D59" s="4" t="str">
        <f ca="1">IFERROR(__xludf.DUMMYFUNCTION("""COMPUTED_VALUE"""),"Design")</f>
        <v>Design</v>
      </c>
      <c r="E59" s="4" t="str">
        <f ca="1">IFERROR(__xludf.DUMMYFUNCTION("""COMPUTED_VALUE"""),"Pure Storage,Snapchat,Twitter,Lyft,Bloomberg,Facebook,Amazon,LinkedIn,Microsoft,Google")</f>
        <v>Pure Storage,Snapchat,Twitter,Lyft,Bloomberg,Facebook,Amazon,LinkedIn,Microsoft,Google</v>
      </c>
      <c r="F59" s="4">
        <f ca="1">IFERROR(__xludf.DUMMYFUNCTION("""COMPUTED_VALUE"""),42.4)</f>
        <v>42.4</v>
      </c>
      <c r="G59" s="4" t="str">
        <f ca="1">IFERROR(__xludf.DUMMYFUNCTION("""COMPUTED_VALUE"""),"算法")</f>
        <v>算法</v>
      </c>
    </row>
    <row r="60" spans="1:7" ht="12.75">
      <c r="A60" s="4">
        <f ca="1">IFERROR(__xludf.DUMMYFUNCTION("""COMPUTED_VALUE"""),735)</f>
        <v>735</v>
      </c>
      <c r="B60" s="46" t="str">
        <f ca="1">IFERROR(__xludf.DUMMYFUNCTION("""COMPUTED_VALUE"""),"Asteroid Collision")</f>
        <v>Asteroid Collision</v>
      </c>
      <c r="C60" s="4" t="str">
        <f ca="1">IFERROR(__xludf.DUMMYFUNCTION("""COMPUTED_VALUE"""),"Medium")</f>
        <v>Medium</v>
      </c>
      <c r="D60" s="4" t="str">
        <f ca="1">IFERROR(__xludf.DUMMYFUNCTION("""COMPUTED_VALUE"""),"Stack")</f>
        <v>Stack</v>
      </c>
      <c r="E60" s="4" t="str">
        <f ca="1">IFERROR(__xludf.DUMMYFUNCTION("""COMPUTED_VALUE"""),"Visa,Paypal,Lyft,EBay,Uber,Amazon,Microsoft,Google")</f>
        <v>Visa,Paypal,Lyft,EBay,Uber,Amazon,Microsoft,Google</v>
      </c>
      <c r="F60" s="4">
        <f ca="1">IFERROR(__xludf.DUMMYFUNCTION("""COMPUTED_VALUE"""),40.63)</f>
        <v>40.630000000000003</v>
      </c>
      <c r="G60" s="4" t="str">
        <f ca="1">IFERROR(__xludf.DUMMYFUNCTION("""COMPUTED_VALUE"""),"算法")</f>
        <v>算法</v>
      </c>
    </row>
    <row r="61" spans="1:7" ht="12.75">
      <c r="A61" s="4">
        <f ca="1">IFERROR(__xludf.DUMMYFUNCTION("""COMPUTED_VALUE"""),981)</f>
        <v>981</v>
      </c>
      <c r="B61" s="46" t="str">
        <f ca="1">IFERROR(__xludf.DUMMYFUNCTION("""COMPUTED_VALUE"""),"Time Based Key-Value Store")</f>
        <v>Time Based Key-Value Store</v>
      </c>
      <c r="C61" s="4" t="str">
        <f ca="1">IFERROR(__xludf.DUMMYFUNCTION("""COMPUTED_VALUE"""),"Medium")</f>
        <v>Medium</v>
      </c>
      <c r="D61" s="4" t="str">
        <f ca="1">IFERROR(__xludf.DUMMYFUNCTION("""COMPUTED_VALUE"""),"Binary Search,Hash Table")</f>
        <v>Binary Search,Hash Table</v>
      </c>
      <c r="E61" s="4" t="str">
        <f ca="1">IFERROR(__xludf.DUMMYFUNCTION("""COMPUTED_VALUE"""),"Flexport,Sumologic,Netflix,Square,Databricks,Atlassian,VMware,Zillow,Twitter,Lyft,Apple,Uber,Facebook,Amazon,LinkedIn,Microsoft,Google")</f>
        <v>Flexport,Sumologic,Netflix,Square,Databricks,Atlassian,VMware,Zillow,Twitter,Lyft,Apple,Uber,Facebook,Amazon,LinkedIn,Microsoft,Google</v>
      </c>
      <c r="F61" s="4">
        <f ca="1">IFERROR(__xludf.DUMMYFUNCTION("""COMPUTED_VALUE"""),52.77)</f>
        <v>52.77</v>
      </c>
      <c r="G61" s="4" t="str">
        <f ca="1">IFERROR(__xludf.DUMMYFUNCTION("""COMPUTED_VALUE"""),"算法")</f>
        <v>算法</v>
      </c>
    </row>
    <row r="62" spans="1:7" ht="12.75">
      <c r="A62" s="4">
        <f ca="1">IFERROR(__xludf.DUMMYFUNCTION("""COMPUTED_VALUE"""),1060)</f>
        <v>1060</v>
      </c>
      <c r="B62" s="46" t="str">
        <f ca="1">IFERROR(__xludf.DUMMYFUNCTION("""COMPUTED_VALUE"""),"Missing Element in Sorted Array")</f>
        <v>Missing Element in Sorted Array</v>
      </c>
      <c r="C62" s="4" t="str">
        <f ca="1">IFERROR(__xludf.DUMMYFUNCTION("""COMPUTED_VALUE"""),"Medium")</f>
        <v>Medium</v>
      </c>
      <c r="D62" s="4" t="str">
        <f ca="1">IFERROR(__xludf.DUMMYFUNCTION("""COMPUTED_VALUE"""),"Binary Search")</f>
        <v>Binary Search</v>
      </c>
      <c r="E62" s="4" t="str">
        <f ca="1">IFERROR(__xludf.DUMMYFUNCTION("""COMPUTED_VALUE"""),"Lyft,Apple,Bloomberg,Facebook,Amazon,Google")</f>
        <v>Lyft,Apple,Bloomberg,Facebook,Amazon,Google</v>
      </c>
      <c r="F62" s="4">
        <f ca="1">IFERROR(__xludf.DUMMYFUNCTION("""COMPUTED_VALUE"""),54.52)</f>
        <v>54.52</v>
      </c>
      <c r="G62" s="4" t="str">
        <f ca="1">IFERROR(__xludf.DUMMYFUNCTION("""COMPUTED_VALUE"""),"算法")</f>
        <v>算法</v>
      </c>
    </row>
  </sheetData>
  <mergeCells count="1">
    <mergeCell ref="A1:G2"/>
  </mergeCells>
  <phoneticPr fontId="18" type="noConversion"/>
  <conditionalFormatting sqref="C5 B6 E7">
    <cfRule type="expression" dxfId="2" priority="1">
      <formula>AND(ISNUMBER($I5),$I5&gt;3)</formula>
    </cfRule>
  </conditionalFormatting>
  <conditionalFormatting sqref="C5 B6 E7">
    <cfRule type="expression" dxfId="1" priority="2">
      <formula>AND(ISNUMBER($I5),$I5&gt;0)</formula>
    </cfRule>
  </conditionalFormatting>
  <conditionalFormatting sqref="C5 B6 E7">
    <cfRule type="expression" dxfId="0" priority="3">
      <formula>AND(ISNUMBER($I5),$I5=0)</formula>
    </cfRule>
  </conditionalFormatting>
  <dataValidations count="3">
    <dataValidation type="list" allowBlank="1" showErrorMessage="1" sqref="F5" xr:uid="{00000000-0002-0000-0500-000000000000}">
      <formula1>$A$9:$B$9</formula1>
    </dataValidation>
    <dataValidation type="list" allowBlank="1" showErrorMessage="1" sqref="C5" xr:uid="{00000000-0002-0000-0500-000001000000}">
      <formula1>$A$8:$B$8</formula1>
    </dataValidation>
    <dataValidation type="list" allowBlank="1" showErrorMessage="1" sqref="E5" xr:uid="{00000000-0002-0000-0500-000002000000}">
      <formula1>$A$11:$G$11</formula1>
    </dataValidation>
  </dataValidations>
  <hyperlinks>
    <hyperlink ref="B12" r:id="rId1" display="https://leetcode.com/problems/two-sum/description/" xr:uid="{00000000-0004-0000-0500-000000000000}"/>
    <hyperlink ref="B13" r:id="rId2" display="https://leetcode.com/problems/add-two-numbers/description/" xr:uid="{00000000-0004-0000-0500-000001000000}"/>
    <hyperlink ref="B14" r:id="rId3" display="https://leetcode.com/problems/reverse-integer/description/" xr:uid="{00000000-0004-0000-0500-000002000000}"/>
    <hyperlink ref="B15" r:id="rId4" display="https://leetcode.com/problems/regular-expression-matching/description/" xr:uid="{00000000-0004-0000-0500-000003000000}"/>
    <hyperlink ref="B16" r:id="rId5" display="https://leetcode.com/problems/container-with-most-water/description/" xr:uid="{00000000-0004-0000-0500-000004000000}"/>
    <hyperlink ref="B17" r:id="rId6" display="https://leetcode.com/problems/letter-combinations-of-a-phone-number/description/" xr:uid="{00000000-0004-0000-0500-000005000000}"/>
    <hyperlink ref="B18" r:id="rId7" display="https://leetcode.com/problems/valid-parentheses/description/" xr:uid="{00000000-0004-0000-0500-000006000000}"/>
    <hyperlink ref="B19" r:id="rId8" display="https://leetcode.com/problems/merge-two-sorted-lists/description/" xr:uid="{00000000-0004-0000-0500-000007000000}"/>
    <hyperlink ref="B20" r:id="rId9" display="https://leetcode.com/problems/generate-parentheses/description/" xr:uid="{00000000-0004-0000-0500-000008000000}"/>
    <hyperlink ref="B21" r:id="rId10" display="https://leetcode.com/problems/merge-k-sorted-lists/description/" xr:uid="{00000000-0004-0000-0500-000009000000}"/>
    <hyperlink ref="B22" r:id="rId11" display="https://leetcode.com/problems/swap-nodes-in-pairs/description/" xr:uid="{00000000-0004-0000-0500-00000A000000}"/>
    <hyperlink ref="B23" r:id="rId12" display="https://leetcode.com/problems/trapping-rain-water/description/" xr:uid="{00000000-0004-0000-0500-00000B000000}"/>
    <hyperlink ref="B24" r:id="rId13" display="https://leetcode.com/problems/rotate-image/description/" xr:uid="{00000000-0004-0000-0500-00000C000000}"/>
    <hyperlink ref="B25" r:id="rId14" display="https://leetcode.com/problems/text-justification/description/" xr:uid="{00000000-0004-0000-0500-00000D000000}"/>
    <hyperlink ref="B26" r:id="rId15" display="https://leetcode.com/problems/sqrtx/description/" xr:uid="{00000000-0004-0000-0500-00000E000000}"/>
    <hyperlink ref="B27" r:id="rId16" display="https://leetcode.com/problems/minimum-window-substring/description/" xr:uid="{00000000-0004-0000-0500-00000F000000}"/>
    <hyperlink ref="B28" r:id="rId17" display="https://leetcode.com/problems/subsets/description/" xr:uid="{00000000-0004-0000-0500-000010000000}"/>
    <hyperlink ref="B29" r:id="rId18" display="https://leetcode.com/problems/word-search/description/" xr:uid="{00000000-0004-0000-0500-000011000000}"/>
    <hyperlink ref="B30" r:id="rId19" display="https://leetcode.com/problems/merge-sorted-array/description/" xr:uid="{00000000-0004-0000-0500-000012000000}"/>
    <hyperlink ref="B31" r:id="rId20" display="https://leetcode.com/problems/decode-ways/description/" xr:uid="{00000000-0004-0000-0500-000013000000}"/>
    <hyperlink ref="B32" r:id="rId21" display="https://leetcode.com/problems/convert-sorted-list-to-binary-search-tree/description/" xr:uid="{00000000-0004-0000-0500-000014000000}"/>
    <hyperlink ref="B33" r:id="rId22" display="https://leetcode.com/problems/best-time-to-buy-and-sell-stock/description/" xr:uid="{00000000-0004-0000-0500-000015000000}"/>
    <hyperlink ref="B34" r:id="rId23" display="https://leetcode.com/problems/word-ladder-ii/description/" xr:uid="{00000000-0004-0000-0500-000016000000}"/>
    <hyperlink ref="B35" r:id="rId24" display="https://leetcode.com/problems/word-ladder/description/" xr:uid="{00000000-0004-0000-0500-000017000000}"/>
    <hyperlink ref="B36" r:id="rId25" display="https://leetcode.com/problems/lru-cache/description/" xr:uid="{00000000-0004-0000-0500-000018000000}"/>
    <hyperlink ref="B37" r:id="rId26" display="https://leetcode.com/problems/min-stack/description/" xr:uid="{00000000-0004-0000-0500-000019000000}"/>
    <hyperlink ref="B38" r:id="rId27" display="https://leetcode.com/problems/read-n-characters-given-read4-ii-call-multiple-times/description/" xr:uid="{00000000-0004-0000-0500-00001A000000}"/>
    <hyperlink ref="B39" r:id="rId28" display="https://leetcode.com/problems/find-peak-element/description/" xr:uid="{00000000-0004-0000-0500-00001B000000}"/>
    <hyperlink ref="B40" r:id="rId29" display="https://leetcode.com/problems/number-of-islands/description/" xr:uid="{00000000-0004-0000-0500-00001C000000}"/>
    <hyperlink ref="B41" r:id="rId30" display="https://leetcode.com/problems/product-of-array-except-self/description/" xr:uid="{00000000-0004-0000-0500-00001D000000}"/>
    <hyperlink ref="B42" r:id="rId31" display="https://leetcode.com/problems/sliding-window-maximum/description/" xr:uid="{00000000-0004-0000-0500-00001E000000}"/>
    <hyperlink ref="B43" r:id="rId32" display="https://leetcode.com/problems/meeting-rooms-ii/description/" xr:uid="{00000000-0004-0000-0500-00001F000000}"/>
    <hyperlink ref="B44" r:id="rId33" display="https://leetcode.com/problems/perfect-squares/description/" xr:uid="{00000000-0004-0000-0500-000020000000}"/>
    <hyperlink ref="B45" r:id="rId34" display="https://leetcode.com/problems/move-zeroes/description/" xr:uid="{00000000-0004-0000-0500-000021000000}"/>
    <hyperlink ref="B46" r:id="rId35" display="https://leetcode.com/problems/range-sum-query-2d-immutable/description/" xr:uid="{00000000-0004-0000-0500-000022000000}"/>
    <hyperlink ref="B47" r:id="rId36" display="https://leetcode.com/problems/largest-bst-subtree/description/" xr:uid="{00000000-0004-0000-0500-000023000000}"/>
    <hyperlink ref="B48" r:id="rId37" display="https://leetcode.com/problems/flatten-nested-list-iterator/description/" xr:uid="{00000000-0004-0000-0500-000024000000}"/>
    <hyperlink ref="B49" r:id="rId38" display="https://leetcode.com/problems/intersection-of-two-arrays/description/" xr:uid="{00000000-0004-0000-0500-000025000000}"/>
    <hyperlink ref="B50" r:id="rId39" display="https://leetcode.com/problems/water-and-jug-problem/description/" xr:uid="{00000000-0004-0000-0500-000026000000}"/>
    <hyperlink ref="B51" r:id="rId40" display="https://leetcode.com/problems/convert-binary-search-tree-to-sorted-doubly-linked-list/description/" xr:uid="{00000000-0004-0000-0500-000027000000}"/>
    <hyperlink ref="B52" r:id="rId41" display="https://leetcode.com/problems/find-all-duplicates-in-an-array/description/" xr:uid="{00000000-0004-0000-0500-000028000000}"/>
    <hyperlink ref="B53" r:id="rId42" display="https://leetcode.com/problems/string-compression/description/" xr:uid="{00000000-0004-0000-0500-000029000000}"/>
    <hyperlink ref="B54" r:id="rId43" display="https://leetcode.com/problems/permutation-in-string/description/" xr:uid="{00000000-0004-0000-0500-00002A000000}"/>
    <hyperlink ref="B55" r:id="rId44" display="https://leetcode.com/problems/smallest-range-covering-elements-from-k-lists/description/" xr:uid="{00000000-0004-0000-0500-00002B000000}"/>
    <hyperlink ref="B56" r:id="rId45" display="https://leetcode.com/problems/design-search-autocomplete-system/description/" xr:uid="{00000000-0004-0000-0500-00002C000000}"/>
    <hyperlink ref="B57" r:id="rId46" display="https://leetcode.com/problems/find-duplicate-subtrees/description/" xr:uid="{00000000-0004-0000-0500-00002D000000}"/>
    <hyperlink ref="B58" r:id="rId47" display="https://leetcode.com/problems/number-of-distinct-islands/description/" xr:uid="{00000000-0004-0000-0500-00002E000000}"/>
    <hyperlink ref="B59" r:id="rId48" display="https://leetcode.com/problems/max-stack/description/" xr:uid="{00000000-0004-0000-0500-00002F000000}"/>
    <hyperlink ref="B60" r:id="rId49" display="https://leetcode.com/problems/asteroid-collision/description/" xr:uid="{00000000-0004-0000-0500-000030000000}"/>
    <hyperlink ref="B61" r:id="rId50" display="https://leetcode.com/problems/time-based-key-value-store/description/" xr:uid="{00000000-0004-0000-0500-000031000000}"/>
    <hyperlink ref="B62" r:id="rId51" display="https://leetcode.com/problems/missing-element-in-sorted-array/description/" xr:uid="{00000000-0004-0000-0500-000032000000}"/>
  </hyperlinks>
  <pageMargins left="0.7" right="0.7" top="0.75" bottom="0.75" header="0.3" footer="0.3"/>
  <pageSetup paperSize="9" orientation="portrait" horizontalDpi="300" verticalDpi="300" r:id="rId5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477"/>
  <sheetViews>
    <sheetView tabSelected="1" workbookViewId="0">
      <selection activeCell="E8" sqref="E8"/>
    </sheetView>
  </sheetViews>
  <sheetFormatPr defaultColWidth="14.42578125" defaultRowHeight="15.75" customHeight="1"/>
  <cols>
    <col min="2" max="2" width="53.140625" customWidth="1"/>
    <col min="3" max="3" width="10.140625" customWidth="1"/>
    <col min="4" max="4" width="26.85546875" style="69" customWidth="1"/>
    <col min="5" max="5" width="80" style="69" customWidth="1"/>
  </cols>
  <sheetData>
    <row r="1" spans="1:26">
      <c r="A1" s="47" t="s">
        <v>6</v>
      </c>
      <c r="B1" s="38" t="s">
        <v>35</v>
      </c>
      <c r="C1" s="39" t="s">
        <v>8</v>
      </c>
      <c r="D1" s="48" t="s">
        <v>9</v>
      </c>
      <c r="E1" s="48" t="s">
        <v>10</v>
      </c>
      <c r="F1" s="49" t="s">
        <v>38</v>
      </c>
      <c r="G1" s="49" t="s">
        <v>12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>
      <c r="A2" s="49">
        <v>1</v>
      </c>
      <c r="B2" s="51" t="s">
        <v>39</v>
      </c>
      <c r="C2" s="52" t="s">
        <v>40</v>
      </c>
      <c r="D2" s="74" t="s">
        <v>41</v>
      </c>
      <c r="E2" s="74" t="s">
        <v>42</v>
      </c>
      <c r="F2" s="49">
        <v>45.47</v>
      </c>
      <c r="G2" s="49" t="s">
        <v>43</v>
      </c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>
      <c r="A3" s="49">
        <v>2</v>
      </c>
      <c r="B3" s="51" t="s">
        <v>44</v>
      </c>
      <c r="C3" s="52" t="s">
        <v>45</v>
      </c>
      <c r="D3" s="74" t="s">
        <v>46</v>
      </c>
      <c r="E3" s="74" t="s">
        <v>47</v>
      </c>
      <c r="F3" s="49">
        <v>33.51</v>
      </c>
      <c r="G3" s="49" t="s">
        <v>43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>
      <c r="A4" s="49">
        <v>3</v>
      </c>
      <c r="B4" s="51" t="s">
        <v>48</v>
      </c>
      <c r="C4" s="52" t="s">
        <v>45</v>
      </c>
      <c r="D4" s="74" t="s">
        <v>49</v>
      </c>
      <c r="E4" s="74" t="s">
        <v>50</v>
      </c>
      <c r="F4" s="49">
        <v>30.15</v>
      </c>
      <c r="G4" s="49" t="s">
        <v>43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>
      <c r="A5" s="49">
        <v>4</v>
      </c>
      <c r="B5" s="51" t="s">
        <v>51</v>
      </c>
      <c r="C5" s="52" t="s">
        <v>52</v>
      </c>
      <c r="D5" s="74" t="s">
        <v>53</v>
      </c>
      <c r="E5" s="74" t="s">
        <v>54</v>
      </c>
      <c r="F5" s="49">
        <v>29.21</v>
      </c>
      <c r="G5" s="49" t="s">
        <v>43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>
      <c r="A6" s="49">
        <v>5</v>
      </c>
      <c r="B6" s="51" t="s">
        <v>55</v>
      </c>
      <c r="C6" s="52" t="s">
        <v>45</v>
      </c>
      <c r="D6" s="74" t="s">
        <v>56</v>
      </c>
      <c r="E6" s="74" t="s">
        <v>57</v>
      </c>
      <c r="F6" s="49">
        <v>29.25</v>
      </c>
      <c r="G6" s="49" t="s">
        <v>43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>
      <c r="A7" s="49">
        <v>6</v>
      </c>
      <c r="B7" s="51" t="s">
        <v>58</v>
      </c>
      <c r="C7" s="52" t="s">
        <v>45</v>
      </c>
      <c r="D7" s="74" t="s">
        <v>59</v>
      </c>
      <c r="E7" s="74" t="s">
        <v>60</v>
      </c>
      <c r="F7" s="49">
        <v>35.79</v>
      </c>
      <c r="G7" s="49" t="s">
        <v>43</v>
      </c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>
      <c r="A8" s="49">
        <v>7</v>
      </c>
      <c r="B8" s="51" t="s">
        <v>61</v>
      </c>
      <c r="C8" s="52" t="s">
        <v>40</v>
      </c>
      <c r="D8" s="74" t="s">
        <v>62</v>
      </c>
      <c r="E8" s="74" t="s">
        <v>63</v>
      </c>
      <c r="F8" s="49">
        <v>25.74</v>
      </c>
      <c r="G8" s="49" t="s">
        <v>43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>
      <c r="A9" s="49">
        <v>8</v>
      </c>
      <c r="B9" s="51" t="s">
        <v>64</v>
      </c>
      <c r="C9" s="52" t="s">
        <v>45</v>
      </c>
      <c r="D9" s="74" t="s">
        <v>65</v>
      </c>
      <c r="E9" s="74" t="s">
        <v>66</v>
      </c>
      <c r="F9" s="49">
        <v>15.27</v>
      </c>
      <c r="G9" s="49" t="s">
        <v>43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>
      <c r="A10" s="49">
        <v>9</v>
      </c>
      <c r="B10" s="51" t="s">
        <v>67</v>
      </c>
      <c r="C10" s="52" t="s">
        <v>40</v>
      </c>
      <c r="D10" s="74" t="s">
        <v>62</v>
      </c>
      <c r="E10" s="74" t="s">
        <v>68</v>
      </c>
      <c r="F10" s="49">
        <v>47.86</v>
      </c>
      <c r="G10" s="49" t="s">
        <v>43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>
      <c r="A11" s="49">
        <v>10</v>
      </c>
      <c r="B11" s="51" t="s">
        <v>69</v>
      </c>
      <c r="C11" s="52" t="s">
        <v>52</v>
      </c>
      <c r="D11" s="74" t="s">
        <v>70</v>
      </c>
      <c r="E11" s="74" t="s">
        <v>71</v>
      </c>
      <c r="F11" s="49">
        <v>26.6</v>
      </c>
      <c r="G11" s="49" t="s">
        <v>43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>
      <c r="A12" s="49">
        <v>11</v>
      </c>
      <c r="B12" s="51" t="s">
        <v>72</v>
      </c>
      <c r="C12" s="52" t="s">
        <v>45</v>
      </c>
      <c r="D12" s="74" t="s">
        <v>73</v>
      </c>
      <c r="E12" s="74" t="s">
        <v>74</v>
      </c>
      <c r="F12" s="49">
        <v>50.24</v>
      </c>
      <c r="G12" s="49" t="s">
        <v>43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>
      <c r="A13" s="49">
        <v>12</v>
      </c>
      <c r="B13" s="51" t="s">
        <v>75</v>
      </c>
      <c r="C13" s="52" t="s">
        <v>45</v>
      </c>
      <c r="D13" s="74" t="s">
        <v>65</v>
      </c>
      <c r="E13" s="74" t="s">
        <v>76</v>
      </c>
      <c r="F13" s="49">
        <v>54.6</v>
      </c>
      <c r="G13" s="49" t="s">
        <v>43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>
      <c r="A14" s="49">
        <v>13</v>
      </c>
      <c r="B14" s="51" t="s">
        <v>77</v>
      </c>
      <c r="C14" s="52" t="s">
        <v>40</v>
      </c>
      <c r="D14" s="74" t="s">
        <v>65</v>
      </c>
      <c r="E14" s="74" t="s">
        <v>78</v>
      </c>
      <c r="F14" s="49">
        <v>55.37</v>
      </c>
      <c r="G14" s="49" t="s">
        <v>43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>
      <c r="A15" s="49">
        <v>14</v>
      </c>
      <c r="B15" s="51" t="s">
        <v>79</v>
      </c>
      <c r="C15" s="52" t="s">
        <v>40</v>
      </c>
      <c r="D15" s="74" t="s">
        <v>59</v>
      </c>
      <c r="E15" s="74" t="s">
        <v>80</v>
      </c>
      <c r="F15" s="49">
        <v>35.21</v>
      </c>
      <c r="G15" s="49" t="s">
        <v>43</v>
      </c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>
      <c r="A16" s="49">
        <v>15</v>
      </c>
      <c r="B16" s="51" t="s">
        <v>81</v>
      </c>
      <c r="C16" s="52" t="s">
        <v>45</v>
      </c>
      <c r="D16" s="74" t="s">
        <v>73</v>
      </c>
      <c r="E16" s="74" t="s">
        <v>82</v>
      </c>
      <c r="F16" s="49">
        <v>26.31</v>
      </c>
      <c r="G16" s="49" t="s">
        <v>43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>
      <c r="A17" s="49">
        <v>16</v>
      </c>
      <c r="B17" s="51" t="s">
        <v>83</v>
      </c>
      <c r="C17" s="52" t="s">
        <v>45</v>
      </c>
      <c r="D17" s="74" t="s">
        <v>73</v>
      </c>
      <c r="E17" s="74" t="s">
        <v>84</v>
      </c>
      <c r="F17" s="49">
        <v>45.87</v>
      </c>
      <c r="G17" s="49" t="s">
        <v>43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>
      <c r="A18" s="49">
        <v>17</v>
      </c>
      <c r="B18" s="51" t="s">
        <v>85</v>
      </c>
      <c r="C18" s="52" t="s">
        <v>45</v>
      </c>
      <c r="D18" s="74" t="s">
        <v>86</v>
      </c>
      <c r="E18" s="74" t="s">
        <v>87</v>
      </c>
      <c r="F18" s="49">
        <v>46.18</v>
      </c>
      <c r="G18" s="49" t="s">
        <v>43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>
      <c r="A19" s="49">
        <v>18</v>
      </c>
      <c r="B19" s="51" t="s">
        <v>88</v>
      </c>
      <c r="C19" s="52" t="s">
        <v>45</v>
      </c>
      <c r="D19" s="74" t="s">
        <v>89</v>
      </c>
      <c r="E19" s="74" t="s">
        <v>90</v>
      </c>
      <c r="F19" s="49">
        <v>33.28</v>
      </c>
      <c r="G19" s="49" t="s">
        <v>43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>
      <c r="A20" s="49">
        <v>19</v>
      </c>
      <c r="B20" s="51" t="s">
        <v>91</v>
      </c>
      <c r="C20" s="52" t="s">
        <v>45</v>
      </c>
      <c r="D20" s="74" t="s">
        <v>92</v>
      </c>
      <c r="E20" s="74" t="s">
        <v>93</v>
      </c>
      <c r="F20" s="49">
        <v>35.06</v>
      </c>
      <c r="G20" s="49" t="s">
        <v>43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>
      <c r="A21" s="49">
        <v>20</v>
      </c>
      <c r="B21" s="51" t="s">
        <v>94</v>
      </c>
      <c r="C21" s="52" t="s">
        <v>40</v>
      </c>
      <c r="D21" s="74" t="s">
        <v>95</v>
      </c>
      <c r="E21" s="74" t="s">
        <v>96</v>
      </c>
      <c r="F21" s="49">
        <v>38.68</v>
      </c>
      <c r="G21" s="49" t="s">
        <v>43</v>
      </c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>
      <c r="A22" s="49">
        <v>21</v>
      </c>
      <c r="B22" s="51" t="s">
        <v>97</v>
      </c>
      <c r="C22" s="52" t="s">
        <v>40</v>
      </c>
      <c r="D22" s="74" t="s">
        <v>98</v>
      </c>
      <c r="E22" s="74" t="s">
        <v>99</v>
      </c>
      <c r="F22" s="49">
        <v>52.85</v>
      </c>
      <c r="G22" s="49" t="s">
        <v>43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>
      <c r="A23" s="49">
        <v>22</v>
      </c>
      <c r="B23" s="51" t="s">
        <v>100</v>
      </c>
      <c r="C23" s="52" t="s">
        <v>45</v>
      </c>
      <c r="D23" s="74" t="s">
        <v>86</v>
      </c>
      <c r="E23" s="74" t="s">
        <v>101</v>
      </c>
      <c r="F23" s="49">
        <v>61.77</v>
      </c>
      <c r="G23" s="49" t="s">
        <v>43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>
      <c r="A24" s="49">
        <v>23</v>
      </c>
      <c r="B24" s="51" t="s">
        <v>102</v>
      </c>
      <c r="C24" s="52" t="s">
        <v>52</v>
      </c>
      <c r="D24" s="74" t="s">
        <v>103</v>
      </c>
      <c r="E24" s="74" t="s">
        <v>104</v>
      </c>
      <c r="F24" s="49">
        <v>39.64</v>
      </c>
      <c r="G24" s="49" t="s">
        <v>43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>
      <c r="A25" s="49">
        <v>24</v>
      </c>
      <c r="B25" s="51" t="s">
        <v>105</v>
      </c>
      <c r="C25" s="52" t="s">
        <v>45</v>
      </c>
      <c r="D25" s="74" t="s">
        <v>98</v>
      </c>
      <c r="E25" s="74" t="s">
        <v>106</v>
      </c>
      <c r="F25" s="49">
        <v>49.74</v>
      </c>
      <c r="G25" s="49" t="s">
        <v>43</v>
      </c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>
      <c r="A26" s="49">
        <v>25</v>
      </c>
      <c r="B26" s="51" t="s">
        <v>107</v>
      </c>
      <c r="C26" s="52" t="s">
        <v>52</v>
      </c>
      <c r="D26" s="74" t="s">
        <v>98</v>
      </c>
      <c r="E26" s="74" t="s">
        <v>108</v>
      </c>
      <c r="F26" s="49">
        <v>41.25</v>
      </c>
      <c r="G26" s="49" t="s">
        <v>43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>
      <c r="A27" s="49">
        <v>26</v>
      </c>
      <c r="B27" s="51" t="s">
        <v>109</v>
      </c>
      <c r="C27" s="52" t="s">
        <v>40</v>
      </c>
      <c r="D27" s="74" t="s">
        <v>73</v>
      </c>
      <c r="E27" s="74" t="s">
        <v>110</v>
      </c>
      <c r="F27" s="49">
        <v>44.65</v>
      </c>
      <c r="G27" s="49" t="s">
        <v>43</v>
      </c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>
      <c r="A28" s="49">
        <v>27</v>
      </c>
      <c r="B28" s="51" t="s">
        <v>111</v>
      </c>
      <c r="C28" s="52" t="s">
        <v>40</v>
      </c>
      <c r="D28" s="74" t="s">
        <v>73</v>
      </c>
      <c r="E28" s="74" t="s">
        <v>112</v>
      </c>
      <c r="F28" s="49">
        <v>47.84</v>
      </c>
      <c r="G28" s="49" t="s">
        <v>43</v>
      </c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>
      <c r="A29" s="49">
        <v>28</v>
      </c>
      <c r="B29" s="51" t="s">
        <v>113</v>
      </c>
      <c r="C29" s="52" t="s">
        <v>40</v>
      </c>
      <c r="D29" s="74" t="s">
        <v>114</v>
      </c>
      <c r="E29" s="74" t="s">
        <v>115</v>
      </c>
      <c r="F29" s="49">
        <v>34.270000000000003</v>
      </c>
      <c r="G29" s="49" t="s">
        <v>43</v>
      </c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>
      <c r="A30" s="49">
        <v>29</v>
      </c>
      <c r="B30" s="51" t="s">
        <v>116</v>
      </c>
      <c r="C30" s="52" t="s">
        <v>45</v>
      </c>
      <c r="D30" s="74" t="s">
        <v>117</v>
      </c>
      <c r="E30" s="74" t="s">
        <v>118</v>
      </c>
      <c r="F30" s="49">
        <v>16.32</v>
      </c>
      <c r="G30" s="49" t="s">
        <v>43</v>
      </c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>
      <c r="A31" s="49">
        <v>30</v>
      </c>
      <c r="B31" s="51" t="s">
        <v>119</v>
      </c>
      <c r="C31" s="52" t="s">
        <v>52</v>
      </c>
      <c r="D31" s="74" t="s">
        <v>120</v>
      </c>
      <c r="E31" s="74" t="s">
        <v>121</v>
      </c>
      <c r="F31" s="49">
        <v>25.18</v>
      </c>
      <c r="G31" s="49" t="s">
        <v>43</v>
      </c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>
      <c r="A32" s="49">
        <v>31</v>
      </c>
      <c r="B32" s="51" t="s">
        <v>122</v>
      </c>
      <c r="C32" s="52" t="s">
        <v>45</v>
      </c>
      <c r="D32" s="74" t="s">
        <v>123</v>
      </c>
      <c r="E32" s="74" t="s">
        <v>124</v>
      </c>
      <c r="F32" s="49">
        <v>32.299999999999997</v>
      </c>
      <c r="G32" s="49" t="s">
        <v>43</v>
      </c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>
      <c r="A33" s="49">
        <v>32</v>
      </c>
      <c r="B33" s="51" t="s">
        <v>125</v>
      </c>
      <c r="C33" s="52" t="s">
        <v>52</v>
      </c>
      <c r="D33" s="74" t="s">
        <v>56</v>
      </c>
      <c r="E33" s="74" t="s">
        <v>126</v>
      </c>
      <c r="F33" s="49">
        <v>28.02</v>
      </c>
      <c r="G33" s="49" t="s">
        <v>43</v>
      </c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>
      <c r="A34" s="49">
        <v>33</v>
      </c>
      <c r="B34" s="51" t="s">
        <v>127</v>
      </c>
      <c r="C34" s="52" t="s">
        <v>45</v>
      </c>
      <c r="D34" s="74" t="s">
        <v>128</v>
      </c>
      <c r="E34" s="74" t="s">
        <v>129</v>
      </c>
      <c r="F34" s="49">
        <v>34.35</v>
      </c>
      <c r="G34" s="49" t="s">
        <v>43</v>
      </c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>
      <c r="A35" s="49">
        <v>34</v>
      </c>
      <c r="B35" s="51" t="s">
        <v>130</v>
      </c>
      <c r="C35" s="52" t="s">
        <v>45</v>
      </c>
      <c r="D35" s="74" t="s">
        <v>128</v>
      </c>
      <c r="E35" s="74" t="s">
        <v>131</v>
      </c>
      <c r="F35" s="49">
        <v>35.81</v>
      </c>
      <c r="G35" s="49" t="s">
        <v>43</v>
      </c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>
      <c r="A36" s="49">
        <v>35</v>
      </c>
      <c r="B36" s="51" t="s">
        <v>132</v>
      </c>
      <c r="C36" s="52" t="s">
        <v>40</v>
      </c>
      <c r="D36" s="74" t="s">
        <v>128</v>
      </c>
      <c r="E36" s="74" t="s">
        <v>133</v>
      </c>
      <c r="F36" s="49">
        <v>42.5</v>
      </c>
      <c r="G36" s="49" t="s">
        <v>43</v>
      </c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>
      <c r="A37" s="49">
        <v>36</v>
      </c>
      <c r="B37" s="51" t="s">
        <v>134</v>
      </c>
      <c r="C37" s="52" t="s">
        <v>45</v>
      </c>
      <c r="D37" s="74" t="s">
        <v>135</v>
      </c>
      <c r="E37" s="74" t="s">
        <v>136</v>
      </c>
      <c r="F37" s="49">
        <v>48.17</v>
      </c>
      <c r="G37" s="49" t="s">
        <v>43</v>
      </c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>
      <c r="A38" s="49">
        <v>37</v>
      </c>
      <c r="B38" s="51" t="s">
        <v>137</v>
      </c>
      <c r="C38" s="52" t="s">
        <v>52</v>
      </c>
      <c r="D38" s="74" t="s">
        <v>138</v>
      </c>
      <c r="E38" s="74" t="s">
        <v>139</v>
      </c>
      <c r="F38" s="49">
        <v>42.68</v>
      </c>
      <c r="G38" s="49" t="s">
        <v>43</v>
      </c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>
      <c r="A39" s="49">
        <v>38</v>
      </c>
      <c r="B39" s="51" t="s">
        <v>140</v>
      </c>
      <c r="C39" s="52" t="s">
        <v>40</v>
      </c>
      <c r="D39" s="74" t="s">
        <v>59</v>
      </c>
      <c r="E39" s="74" t="s">
        <v>141</v>
      </c>
      <c r="F39" s="49">
        <v>44.17</v>
      </c>
      <c r="G39" s="49" t="s">
        <v>43</v>
      </c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>
      <c r="A40" s="49">
        <v>39</v>
      </c>
      <c r="B40" s="51" t="s">
        <v>142</v>
      </c>
      <c r="C40" s="52" t="s">
        <v>45</v>
      </c>
      <c r="D40" s="74" t="s">
        <v>143</v>
      </c>
      <c r="E40" s="74" t="s">
        <v>144</v>
      </c>
      <c r="F40" s="49">
        <v>55.21</v>
      </c>
      <c r="G40" s="49" t="s">
        <v>43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>
      <c r="A41" s="49">
        <v>40</v>
      </c>
      <c r="B41" s="51" t="s">
        <v>145</v>
      </c>
      <c r="C41" s="52" t="s">
        <v>45</v>
      </c>
      <c r="D41" s="74" t="s">
        <v>143</v>
      </c>
      <c r="E41" s="74" t="s">
        <v>146</v>
      </c>
      <c r="F41" s="49">
        <v>47.31</v>
      </c>
      <c r="G41" s="49" t="s">
        <v>43</v>
      </c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>
      <c r="A42" s="49">
        <v>41</v>
      </c>
      <c r="B42" s="51" t="s">
        <v>147</v>
      </c>
      <c r="C42" s="52" t="s">
        <v>52</v>
      </c>
      <c r="D42" s="74" t="s">
        <v>123</v>
      </c>
      <c r="E42" s="74" t="s">
        <v>148</v>
      </c>
      <c r="F42" s="49">
        <v>31.6</v>
      </c>
      <c r="G42" s="49" t="s">
        <v>43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>
      <c r="A43" s="49">
        <v>42</v>
      </c>
      <c r="B43" s="51" t="s">
        <v>149</v>
      </c>
      <c r="C43" s="52" t="s">
        <v>52</v>
      </c>
      <c r="D43" s="74" t="s">
        <v>150</v>
      </c>
      <c r="E43" s="74" t="s">
        <v>151</v>
      </c>
      <c r="F43" s="49">
        <v>48.21</v>
      </c>
      <c r="G43" s="49" t="s">
        <v>43</v>
      </c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>
      <c r="A44" s="49">
        <v>43</v>
      </c>
      <c r="B44" s="51" t="s">
        <v>152</v>
      </c>
      <c r="C44" s="52" t="s">
        <v>45</v>
      </c>
      <c r="D44" s="74" t="s">
        <v>65</v>
      </c>
      <c r="E44" s="74" t="s">
        <v>153</v>
      </c>
      <c r="F44" s="49">
        <v>33.49</v>
      </c>
      <c r="G44" s="49" t="s">
        <v>43</v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>
      <c r="A45" s="49">
        <v>44</v>
      </c>
      <c r="B45" s="51" t="s">
        <v>154</v>
      </c>
      <c r="C45" s="52" t="s">
        <v>52</v>
      </c>
      <c r="D45" s="74" t="s">
        <v>155</v>
      </c>
      <c r="E45" s="74" t="s">
        <v>156</v>
      </c>
      <c r="F45" s="49">
        <v>24.45</v>
      </c>
      <c r="G45" s="49" t="s">
        <v>43</v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>
      <c r="A46" s="49">
        <v>45</v>
      </c>
      <c r="B46" s="51" t="s">
        <v>157</v>
      </c>
      <c r="C46" s="52" t="s">
        <v>52</v>
      </c>
      <c r="D46" s="74" t="s">
        <v>158</v>
      </c>
      <c r="E46" s="74" t="s">
        <v>159</v>
      </c>
      <c r="F46" s="49">
        <v>30.3</v>
      </c>
      <c r="G46" s="49" t="s">
        <v>43</v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>
      <c r="A47" s="49">
        <v>46</v>
      </c>
      <c r="B47" s="51" t="s">
        <v>160</v>
      </c>
      <c r="C47" s="52" t="s">
        <v>45</v>
      </c>
      <c r="D47" s="74" t="s">
        <v>161</v>
      </c>
      <c r="E47" s="74" t="s">
        <v>162</v>
      </c>
      <c r="F47" s="49">
        <v>62.52</v>
      </c>
      <c r="G47" s="49" t="s">
        <v>43</v>
      </c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>
      <c r="A48" s="49">
        <v>47</v>
      </c>
      <c r="B48" s="51" t="s">
        <v>163</v>
      </c>
      <c r="C48" s="52" t="s">
        <v>45</v>
      </c>
      <c r="D48" s="74" t="s">
        <v>161</v>
      </c>
      <c r="E48" s="74" t="s">
        <v>164</v>
      </c>
      <c r="F48" s="49">
        <v>45.7</v>
      </c>
      <c r="G48" s="49" t="s">
        <v>43</v>
      </c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>
      <c r="A49" s="49">
        <v>48</v>
      </c>
      <c r="B49" s="51" t="s">
        <v>165</v>
      </c>
      <c r="C49" s="52" t="s">
        <v>45</v>
      </c>
      <c r="D49" s="74" t="s">
        <v>123</v>
      </c>
      <c r="E49" s="74" t="s">
        <v>166</v>
      </c>
      <c r="F49" s="49">
        <v>55.66</v>
      </c>
      <c r="G49" s="49" t="s">
        <v>43</v>
      </c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>
      <c r="A50" s="49">
        <v>49</v>
      </c>
      <c r="B50" s="51" t="s">
        <v>167</v>
      </c>
      <c r="C50" s="52" t="s">
        <v>45</v>
      </c>
      <c r="D50" s="74" t="s">
        <v>168</v>
      </c>
      <c r="E50" s="74" t="s">
        <v>169</v>
      </c>
      <c r="F50" s="49">
        <v>56.04</v>
      </c>
      <c r="G50" s="49" t="s">
        <v>43</v>
      </c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>
      <c r="A51" s="49">
        <v>50</v>
      </c>
      <c r="B51" s="51" t="s">
        <v>170</v>
      </c>
      <c r="C51" s="52" t="s">
        <v>45</v>
      </c>
      <c r="D51" s="74" t="s">
        <v>117</v>
      </c>
      <c r="E51" s="74" t="s">
        <v>171</v>
      </c>
      <c r="F51" s="49">
        <v>29.56</v>
      </c>
      <c r="G51" s="49" t="s">
        <v>43</v>
      </c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>
      <c r="A52" s="49">
        <v>51</v>
      </c>
      <c r="B52" s="51" t="s">
        <v>172</v>
      </c>
      <c r="C52" s="52" t="s">
        <v>52</v>
      </c>
      <c r="D52" s="74" t="s">
        <v>161</v>
      </c>
      <c r="E52" s="74" t="s">
        <v>173</v>
      </c>
      <c r="F52" s="49">
        <v>45.65</v>
      </c>
      <c r="G52" s="49" t="s">
        <v>43</v>
      </c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>
      <c r="A53" s="49">
        <v>52</v>
      </c>
      <c r="B53" s="51" t="s">
        <v>174</v>
      </c>
      <c r="C53" s="52" t="s">
        <v>52</v>
      </c>
      <c r="D53" s="74" t="s">
        <v>161</v>
      </c>
      <c r="E53" s="74" t="s">
        <v>175</v>
      </c>
      <c r="F53" s="49">
        <v>57.1</v>
      </c>
      <c r="G53" s="49" t="s">
        <v>43</v>
      </c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>
      <c r="A54" s="49">
        <v>53</v>
      </c>
      <c r="B54" s="51" t="s">
        <v>176</v>
      </c>
      <c r="C54" s="52" t="s">
        <v>40</v>
      </c>
      <c r="D54" s="74" t="s">
        <v>177</v>
      </c>
      <c r="E54" s="74" t="s">
        <v>178</v>
      </c>
      <c r="F54" s="49">
        <v>46.23</v>
      </c>
      <c r="G54" s="49" t="s">
        <v>43</v>
      </c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>
      <c r="A55" s="49">
        <v>54</v>
      </c>
      <c r="B55" s="51" t="s">
        <v>179</v>
      </c>
      <c r="C55" s="52" t="s">
        <v>45</v>
      </c>
      <c r="D55" s="74" t="s">
        <v>123</v>
      </c>
      <c r="E55" s="74" t="s">
        <v>180</v>
      </c>
      <c r="F55" s="49">
        <v>33.64</v>
      </c>
      <c r="G55" s="49" t="s">
        <v>43</v>
      </c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>
      <c r="A56" s="49">
        <v>55</v>
      </c>
      <c r="B56" s="51" t="s">
        <v>181</v>
      </c>
      <c r="C56" s="52" t="s">
        <v>45</v>
      </c>
      <c r="D56" s="74" t="s">
        <v>158</v>
      </c>
      <c r="E56" s="74" t="s">
        <v>182</v>
      </c>
      <c r="F56" s="49">
        <v>34.39</v>
      </c>
      <c r="G56" s="49" t="s">
        <v>43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>
      <c r="A57" s="49">
        <v>56</v>
      </c>
      <c r="B57" s="51" t="s">
        <v>183</v>
      </c>
      <c r="C57" s="52" t="s">
        <v>45</v>
      </c>
      <c r="D57" s="74" t="s">
        <v>184</v>
      </c>
      <c r="E57" s="74" t="s">
        <v>185</v>
      </c>
      <c r="F57" s="49">
        <v>38.89</v>
      </c>
      <c r="G57" s="49" t="s">
        <v>43</v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>
      <c r="A58" s="49">
        <v>57</v>
      </c>
      <c r="B58" s="51" t="s">
        <v>186</v>
      </c>
      <c r="C58" s="52" t="s">
        <v>52</v>
      </c>
      <c r="D58" s="74" t="s">
        <v>184</v>
      </c>
      <c r="E58" s="74" t="s">
        <v>187</v>
      </c>
      <c r="F58" s="49">
        <v>33.229999999999997</v>
      </c>
      <c r="G58" s="49" t="s">
        <v>43</v>
      </c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>
      <c r="A59" s="49">
        <v>58</v>
      </c>
      <c r="B59" s="51" t="s">
        <v>188</v>
      </c>
      <c r="C59" s="52" t="s">
        <v>40</v>
      </c>
      <c r="D59" s="74" t="s">
        <v>59</v>
      </c>
      <c r="E59" s="74"/>
      <c r="F59" s="49">
        <v>32.520000000000003</v>
      </c>
      <c r="G59" s="49" t="s">
        <v>43</v>
      </c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>
      <c r="A60" s="49">
        <v>59</v>
      </c>
      <c r="B60" s="51" t="s">
        <v>189</v>
      </c>
      <c r="C60" s="52" t="s">
        <v>45</v>
      </c>
      <c r="D60" s="74" t="s">
        <v>123</v>
      </c>
      <c r="E60" s="74" t="s">
        <v>190</v>
      </c>
      <c r="F60" s="49">
        <v>53.01</v>
      </c>
      <c r="G60" s="49" t="s">
        <v>43</v>
      </c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>
      <c r="A61" s="49">
        <v>60</v>
      </c>
      <c r="B61" s="51" t="s">
        <v>191</v>
      </c>
      <c r="C61" s="52" t="s">
        <v>45</v>
      </c>
      <c r="D61" s="74" t="s">
        <v>192</v>
      </c>
      <c r="E61" s="74" t="s">
        <v>193</v>
      </c>
      <c r="F61" s="49">
        <v>37.159999999999997</v>
      </c>
      <c r="G61" s="49" t="s">
        <v>43</v>
      </c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>
      <c r="A62" s="49">
        <v>61</v>
      </c>
      <c r="B62" s="51" t="s">
        <v>194</v>
      </c>
      <c r="C62" s="52" t="s">
        <v>45</v>
      </c>
      <c r="D62" s="74" t="s">
        <v>92</v>
      </c>
      <c r="E62" s="74" t="s">
        <v>195</v>
      </c>
      <c r="F62" s="49">
        <v>29.63</v>
      </c>
      <c r="G62" s="49" t="s">
        <v>43</v>
      </c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>
      <c r="A63" s="49">
        <v>62</v>
      </c>
      <c r="B63" s="51" t="s">
        <v>196</v>
      </c>
      <c r="C63" s="52" t="s">
        <v>45</v>
      </c>
      <c r="D63" s="74" t="s">
        <v>197</v>
      </c>
      <c r="E63" s="74" t="s">
        <v>198</v>
      </c>
      <c r="F63" s="49">
        <v>52.76</v>
      </c>
      <c r="G63" s="49" t="s">
        <v>43</v>
      </c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>
      <c r="A64" s="49">
        <v>63</v>
      </c>
      <c r="B64" s="51" t="s">
        <v>199</v>
      </c>
      <c r="C64" s="52" t="s">
        <v>45</v>
      </c>
      <c r="D64" s="74" t="s">
        <v>197</v>
      </c>
      <c r="E64" s="74" t="s">
        <v>200</v>
      </c>
      <c r="F64" s="49">
        <v>34.229999999999997</v>
      </c>
      <c r="G64" s="49" t="s">
        <v>43</v>
      </c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>
      <c r="A65" s="49">
        <v>64</v>
      </c>
      <c r="B65" s="51" t="s">
        <v>201</v>
      </c>
      <c r="C65" s="52" t="s">
        <v>45</v>
      </c>
      <c r="D65" s="74" t="s">
        <v>197</v>
      </c>
      <c r="E65" s="74" t="s">
        <v>202</v>
      </c>
      <c r="F65" s="49">
        <v>53.77</v>
      </c>
      <c r="G65" s="49" t="s">
        <v>43</v>
      </c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>
      <c r="A66" s="49">
        <v>65</v>
      </c>
      <c r="B66" s="51" t="s">
        <v>203</v>
      </c>
      <c r="C66" s="52" t="s">
        <v>52</v>
      </c>
      <c r="D66" s="74" t="s">
        <v>65</v>
      </c>
      <c r="E66" s="74" t="s">
        <v>204</v>
      </c>
      <c r="F66" s="49">
        <v>15.13</v>
      </c>
      <c r="G66" s="49" t="s">
        <v>43</v>
      </c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>
      <c r="A67" s="49">
        <v>66</v>
      </c>
      <c r="B67" s="51" t="s">
        <v>205</v>
      </c>
      <c r="C67" s="52" t="s">
        <v>40</v>
      </c>
      <c r="D67" s="74" t="s">
        <v>123</v>
      </c>
      <c r="E67" s="74" t="s">
        <v>206</v>
      </c>
      <c r="F67" s="49">
        <v>42.18</v>
      </c>
      <c r="G67" s="49" t="s">
        <v>43</v>
      </c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>
      <c r="A68" s="49">
        <v>67</v>
      </c>
      <c r="B68" s="51" t="s">
        <v>207</v>
      </c>
      <c r="C68" s="52" t="s">
        <v>40</v>
      </c>
      <c r="D68" s="74" t="s">
        <v>65</v>
      </c>
      <c r="E68" s="74" t="s">
        <v>208</v>
      </c>
      <c r="F68" s="49">
        <v>43.8</v>
      </c>
      <c r="G68" s="49" t="s">
        <v>43</v>
      </c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>
      <c r="A69" s="49">
        <v>68</v>
      </c>
      <c r="B69" s="51" t="s">
        <v>209</v>
      </c>
      <c r="C69" s="52" t="s">
        <v>52</v>
      </c>
      <c r="D69" s="74" t="s">
        <v>59</v>
      </c>
      <c r="E69" s="74" t="s">
        <v>210</v>
      </c>
      <c r="F69" s="49">
        <v>27.25</v>
      </c>
      <c r="G69" s="49" t="s">
        <v>43</v>
      </c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>
      <c r="A70" s="49">
        <v>69</v>
      </c>
      <c r="B70" s="51" t="s">
        <v>211</v>
      </c>
      <c r="C70" s="52" t="s">
        <v>40</v>
      </c>
      <c r="D70" s="74" t="s">
        <v>117</v>
      </c>
      <c r="E70" s="74" t="s">
        <v>212</v>
      </c>
      <c r="F70" s="49">
        <v>33.61</v>
      </c>
      <c r="G70" s="49" t="s">
        <v>43</v>
      </c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>
      <c r="A71" s="49">
        <v>70</v>
      </c>
      <c r="B71" s="51" t="s">
        <v>213</v>
      </c>
      <c r="C71" s="52" t="s">
        <v>40</v>
      </c>
      <c r="D71" s="74" t="s">
        <v>214</v>
      </c>
      <c r="E71" s="74" t="s">
        <v>215</v>
      </c>
      <c r="F71" s="49">
        <v>46.95</v>
      </c>
      <c r="G71" s="49" t="s">
        <v>43</v>
      </c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>
      <c r="A72" s="49">
        <v>71</v>
      </c>
      <c r="B72" s="51" t="s">
        <v>216</v>
      </c>
      <c r="C72" s="52" t="s">
        <v>45</v>
      </c>
      <c r="D72" s="74" t="s">
        <v>95</v>
      </c>
      <c r="E72" s="74" t="s">
        <v>217</v>
      </c>
      <c r="F72" s="49">
        <v>32.18</v>
      </c>
      <c r="G72" s="49" t="s">
        <v>43</v>
      </c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>
      <c r="A73" s="49">
        <v>72</v>
      </c>
      <c r="B73" s="51" t="s">
        <v>218</v>
      </c>
      <c r="C73" s="52" t="s">
        <v>52</v>
      </c>
      <c r="D73" s="74" t="s">
        <v>56</v>
      </c>
      <c r="E73" s="74" t="s">
        <v>219</v>
      </c>
      <c r="F73" s="49">
        <v>44.1</v>
      </c>
      <c r="G73" s="49" t="s">
        <v>43</v>
      </c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>
      <c r="A74" s="49">
        <v>73</v>
      </c>
      <c r="B74" s="51" t="s">
        <v>220</v>
      </c>
      <c r="C74" s="52" t="s">
        <v>45</v>
      </c>
      <c r="D74" s="74" t="s">
        <v>123</v>
      </c>
      <c r="E74" s="74" t="s">
        <v>221</v>
      </c>
      <c r="F74" s="49">
        <v>42.77</v>
      </c>
      <c r="G74" s="49" t="s">
        <v>43</v>
      </c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>
      <c r="A75" s="49">
        <v>74</v>
      </c>
      <c r="B75" s="51" t="s">
        <v>222</v>
      </c>
      <c r="C75" s="52" t="s">
        <v>45</v>
      </c>
      <c r="D75" s="74" t="s">
        <v>128</v>
      </c>
      <c r="E75" s="74" t="s">
        <v>223</v>
      </c>
      <c r="F75" s="49">
        <v>36.32</v>
      </c>
      <c r="G75" s="49" t="s">
        <v>43</v>
      </c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>
      <c r="A76" s="49">
        <v>75</v>
      </c>
      <c r="B76" s="51" t="s">
        <v>224</v>
      </c>
      <c r="C76" s="52" t="s">
        <v>45</v>
      </c>
      <c r="D76" s="74" t="s">
        <v>225</v>
      </c>
      <c r="E76" s="74" t="s">
        <v>226</v>
      </c>
      <c r="F76" s="49">
        <v>46.82</v>
      </c>
      <c r="G76" s="49" t="s">
        <v>43</v>
      </c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>
      <c r="A77" s="49">
        <v>76</v>
      </c>
      <c r="B77" s="51" t="s">
        <v>227</v>
      </c>
      <c r="C77" s="52" t="s">
        <v>52</v>
      </c>
      <c r="D77" s="74" t="s">
        <v>49</v>
      </c>
      <c r="E77" s="74" t="s">
        <v>228</v>
      </c>
      <c r="F77" s="49">
        <v>34.270000000000003</v>
      </c>
      <c r="G77" s="49" t="s">
        <v>43</v>
      </c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>
      <c r="A78" s="49">
        <v>77</v>
      </c>
      <c r="B78" s="51" t="s">
        <v>229</v>
      </c>
      <c r="C78" s="52" t="s">
        <v>45</v>
      </c>
      <c r="D78" s="74" t="s">
        <v>161</v>
      </c>
      <c r="E78" s="74" t="s">
        <v>230</v>
      </c>
      <c r="F78" s="49">
        <v>53.84</v>
      </c>
      <c r="G78" s="49" t="s">
        <v>43</v>
      </c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>
      <c r="A79" s="49">
        <v>78</v>
      </c>
      <c r="B79" s="51" t="s">
        <v>231</v>
      </c>
      <c r="C79" s="52" t="s">
        <v>45</v>
      </c>
      <c r="D79" s="74" t="s">
        <v>232</v>
      </c>
      <c r="E79" s="74" t="s">
        <v>233</v>
      </c>
      <c r="F79" s="49">
        <v>60.11</v>
      </c>
      <c r="G79" s="49" t="s">
        <v>43</v>
      </c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>
      <c r="A80" s="49">
        <v>79</v>
      </c>
      <c r="B80" s="51" t="s">
        <v>234</v>
      </c>
      <c r="C80" s="52" t="s">
        <v>45</v>
      </c>
      <c r="D80" s="74" t="s">
        <v>143</v>
      </c>
      <c r="E80" s="74" t="s">
        <v>235</v>
      </c>
      <c r="F80" s="49">
        <v>34.6</v>
      </c>
      <c r="G80" s="49" t="s">
        <v>43</v>
      </c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>
      <c r="A81" s="49">
        <v>80</v>
      </c>
      <c r="B81" s="51" t="s">
        <v>236</v>
      </c>
      <c r="C81" s="52" t="s">
        <v>45</v>
      </c>
      <c r="D81" s="74" t="s">
        <v>73</v>
      </c>
      <c r="E81" s="74" t="s">
        <v>237</v>
      </c>
      <c r="F81" s="49">
        <v>43.48</v>
      </c>
      <c r="G81" s="49" t="s">
        <v>43</v>
      </c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>
      <c r="A82" s="49">
        <v>81</v>
      </c>
      <c r="B82" s="51" t="s">
        <v>238</v>
      </c>
      <c r="C82" s="52" t="s">
        <v>45</v>
      </c>
      <c r="D82" s="74" t="s">
        <v>128</v>
      </c>
      <c r="E82" s="74" t="s">
        <v>239</v>
      </c>
      <c r="F82" s="49">
        <v>32.96</v>
      </c>
      <c r="G82" s="49" t="s">
        <v>43</v>
      </c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>
      <c r="A83" s="49">
        <v>82</v>
      </c>
      <c r="B83" s="51" t="s">
        <v>240</v>
      </c>
      <c r="C83" s="52" t="s">
        <v>45</v>
      </c>
      <c r="D83" s="74" t="s">
        <v>98</v>
      </c>
      <c r="E83" s="74" t="s">
        <v>241</v>
      </c>
      <c r="F83" s="49">
        <v>36.29</v>
      </c>
      <c r="G83" s="49" t="s">
        <v>43</v>
      </c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>
      <c r="A84" s="49">
        <v>83</v>
      </c>
      <c r="B84" s="51" t="s">
        <v>242</v>
      </c>
      <c r="C84" s="52" t="s">
        <v>40</v>
      </c>
      <c r="D84" s="74" t="s">
        <v>98</v>
      </c>
      <c r="E84" s="74" t="s">
        <v>243</v>
      </c>
      <c r="F84" s="49">
        <v>45.01</v>
      </c>
      <c r="G84" s="49" t="s">
        <v>43</v>
      </c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>
      <c r="A85" s="49">
        <v>84</v>
      </c>
      <c r="B85" s="51" t="s">
        <v>244</v>
      </c>
      <c r="C85" s="52" t="s">
        <v>52</v>
      </c>
      <c r="D85" s="74" t="s">
        <v>245</v>
      </c>
      <c r="E85" s="74" t="s">
        <v>246</v>
      </c>
      <c r="F85" s="49">
        <v>34.53</v>
      </c>
      <c r="G85" s="49" t="s">
        <v>43</v>
      </c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>
      <c r="A86" s="49">
        <v>85</v>
      </c>
      <c r="B86" s="51" t="s">
        <v>247</v>
      </c>
      <c r="C86" s="52" t="s">
        <v>52</v>
      </c>
      <c r="D86" s="74" t="s">
        <v>248</v>
      </c>
      <c r="E86" s="74" t="s">
        <v>249</v>
      </c>
      <c r="F86" s="49">
        <v>37.11</v>
      </c>
      <c r="G86" s="49" t="s">
        <v>43</v>
      </c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>
      <c r="A87" s="49">
        <v>86</v>
      </c>
      <c r="B87" s="51" t="s">
        <v>250</v>
      </c>
      <c r="C87" s="52" t="s">
        <v>45</v>
      </c>
      <c r="D87" s="74" t="s">
        <v>92</v>
      </c>
      <c r="E87" s="74" t="s">
        <v>251</v>
      </c>
      <c r="F87" s="49">
        <v>40.86</v>
      </c>
      <c r="G87" s="49" t="s">
        <v>43</v>
      </c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>
      <c r="A88" s="49">
        <v>87</v>
      </c>
      <c r="B88" s="51" t="s">
        <v>252</v>
      </c>
      <c r="C88" s="52" t="s">
        <v>52</v>
      </c>
      <c r="D88" s="74" t="s">
        <v>56</v>
      </c>
      <c r="E88" s="74" t="s">
        <v>253</v>
      </c>
      <c r="F88" s="49">
        <v>33.36</v>
      </c>
      <c r="G88" s="49" t="s">
        <v>43</v>
      </c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>
      <c r="A89" s="49">
        <v>88</v>
      </c>
      <c r="B89" s="51" t="s">
        <v>254</v>
      </c>
      <c r="C89" s="52" t="s">
        <v>40</v>
      </c>
      <c r="D89" s="74" t="s">
        <v>73</v>
      </c>
      <c r="E89" s="74" t="s">
        <v>255</v>
      </c>
      <c r="F89" s="49">
        <v>39.06</v>
      </c>
      <c r="G89" s="49" t="s">
        <v>43</v>
      </c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>
      <c r="A90" s="49">
        <v>89</v>
      </c>
      <c r="B90" s="51" t="s">
        <v>256</v>
      </c>
      <c r="C90" s="52" t="s">
        <v>45</v>
      </c>
      <c r="D90" s="74" t="s">
        <v>161</v>
      </c>
      <c r="E90" s="74" t="s">
        <v>257</v>
      </c>
      <c r="F90" s="49">
        <v>48.71</v>
      </c>
      <c r="G90" s="49" t="s">
        <v>43</v>
      </c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>
      <c r="A91" s="49">
        <v>90</v>
      </c>
      <c r="B91" s="51" t="s">
        <v>258</v>
      </c>
      <c r="C91" s="52" t="s">
        <v>45</v>
      </c>
      <c r="D91" s="74" t="s">
        <v>143</v>
      </c>
      <c r="E91" s="74" t="s">
        <v>259</v>
      </c>
      <c r="F91" s="49">
        <v>46.43</v>
      </c>
      <c r="G91" s="49" t="s">
        <v>43</v>
      </c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>
      <c r="A92" s="49">
        <v>91</v>
      </c>
      <c r="B92" s="51" t="s">
        <v>260</v>
      </c>
      <c r="C92" s="52" t="s">
        <v>45</v>
      </c>
      <c r="D92" s="74" t="s">
        <v>56</v>
      </c>
      <c r="E92" s="74" t="s">
        <v>261</v>
      </c>
      <c r="F92" s="49">
        <v>24.3</v>
      </c>
      <c r="G92" s="49" t="s">
        <v>43</v>
      </c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>
      <c r="A93" s="49">
        <v>92</v>
      </c>
      <c r="B93" s="51" t="s">
        <v>262</v>
      </c>
      <c r="C93" s="52" t="s">
        <v>45</v>
      </c>
      <c r="D93" s="74" t="s">
        <v>98</v>
      </c>
      <c r="E93" s="74" t="s">
        <v>263</v>
      </c>
      <c r="F93" s="49">
        <v>38.31</v>
      </c>
      <c r="G93" s="49" t="s">
        <v>43</v>
      </c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>
      <c r="A94" s="49">
        <v>93</v>
      </c>
      <c r="B94" s="51" t="s">
        <v>264</v>
      </c>
      <c r="C94" s="52" t="s">
        <v>45</v>
      </c>
      <c r="D94" s="74" t="s">
        <v>86</v>
      </c>
      <c r="E94" s="74" t="s">
        <v>265</v>
      </c>
      <c r="F94" s="49">
        <v>35.03</v>
      </c>
      <c r="G94" s="49" t="s">
        <v>43</v>
      </c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>
      <c r="A95" s="49">
        <v>94</v>
      </c>
      <c r="B95" s="51" t="s">
        <v>266</v>
      </c>
      <c r="C95" s="52" t="s">
        <v>45</v>
      </c>
      <c r="D95" s="74" t="s">
        <v>267</v>
      </c>
      <c r="E95" s="74" t="s">
        <v>268</v>
      </c>
      <c r="F95" s="49">
        <v>62.53</v>
      </c>
      <c r="G95" s="49" t="s">
        <v>43</v>
      </c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>
      <c r="A96" s="49">
        <v>95</v>
      </c>
      <c r="B96" s="51" t="s">
        <v>269</v>
      </c>
      <c r="C96" s="52" t="s">
        <v>45</v>
      </c>
      <c r="D96" s="74" t="s">
        <v>270</v>
      </c>
      <c r="E96" s="74" t="s">
        <v>271</v>
      </c>
      <c r="F96" s="49">
        <v>39.89</v>
      </c>
      <c r="G96" s="49" t="s">
        <v>43</v>
      </c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>
      <c r="A97" s="49">
        <v>96</v>
      </c>
      <c r="B97" s="51" t="s">
        <v>272</v>
      </c>
      <c r="C97" s="52" t="s">
        <v>45</v>
      </c>
      <c r="D97" s="74" t="s">
        <v>270</v>
      </c>
      <c r="E97" s="74" t="s">
        <v>273</v>
      </c>
      <c r="F97" s="49">
        <v>51.05</v>
      </c>
      <c r="G97" s="49" t="s">
        <v>43</v>
      </c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>
      <c r="A98" s="49">
        <v>97</v>
      </c>
      <c r="B98" s="51" t="s">
        <v>274</v>
      </c>
      <c r="C98" s="52" t="s">
        <v>52</v>
      </c>
      <c r="D98" s="74" t="s">
        <v>56</v>
      </c>
      <c r="E98" s="74" t="s">
        <v>275</v>
      </c>
      <c r="F98" s="49">
        <v>31.04</v>
      </c>
      <c r="G98" s="49" t="s">
        <v>43</v>
      </c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>
      <c r="A99" s="49">
        <v>98</v>
      </c>
      <c r="B99" s="51" t="s">
        <v>276</v>
      </c>
      <c r="C99" s="52" t="s">
        <v>45</v>
      </c>
      <c r="D99" s="74" t="s">
        <v>277</v>
      </c>
      <c r="E99" s="74" t="s">
        <v>278</v>
      </c>
      <c r="F99" s="49">
        <v>27.56</v>
      </c>
      <c r="G99" s="49" t="s">
        <v>43</v>
      </c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>
      <c r="A100" s="49">
        <v>99</v>
      </c>
      <c r="B100" s="51" t="s">
        <v>279</v>
      </c>
      <c r="C100" s="52" t="s">
        <v>52</v>
      </c>
      <c r="D100" s="74" t="s">
        <v>277</v>
      </c>
      <c r="E100" s="74" t="s">
        <v>280</v>
      </c>
      <c r="F100" s="49">
        <v>39.020000000000003</v>
      </c>
      <c r="G100" s="49" t="s">
        <v>43</v>
      </c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>
      <c r="A101" s="49">
        <v>100</v>
      </c>
      <c r="B101" s="51" t="s">
        <v>281</v>
      </c>
      <c r="C101" s="52" t="s">
        <v>40</v>
      </c>
      <c r="D101" s="74" t="s">
        <v>277</v>
      </c>
      <c r="E101" s="74" t="s">
        <v>282</v>
      </c>
      <c r="F101" s="49">
        <v>52.49</v>
      </c>
      <c r="G101" s="49" t="s">
        <v>43</v>
      </c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>
      <c r="A102" s="49">
        <v>101</v>
      </c>
      <c r="B102" s="51" t="s">
        <v>283</v>
      </c>
      <c r="C102" s="52" t="s">
        <v>40</v>
      </c>
      <c r="D102" s="74" t="s">
        <v>284</v>
      </c>
      <c r="E102" s="74" t="s">
        <v>285</v>
      </c>
      <c r="F102" s="49">
        <v>46.45</v>
      </c>
      <c r="G102" s="49" t="s">
        <v>43</v>
      </c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>
      <c r="A103" s="49">
        <v>102</v>
      </c>
      <c r="B103" s="51" t="s">
        <v>286</v>
      </c>
      <c r="C103" s="52" t="s">
        <v>45</v>
      </c>
      <c r="D103" s="74" t="s">
        <v>287</v>
      </c>
      <c r="E103" s="74" t="s">
        <v>288</v>
      </c>
      <c r="F103" s="49">
        <v>53.8</v>
      </c>
      <c r="G103" s="49" t="s">
        <v>43</v>
      </c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>
      <c r="A104" s="49">
        <v>103</v>
      </c>
      <c r="B104" s="51" t="s">
        <v>289</v>
      </c>
      <c r="C104" s="52" t="s">
        <v>45</v>
      </c>
      <c r="D104" s="74" t="s">
        <v>290</v>
      </c>
      <c r="E104" s="74" t="s">
        <v>291</v>
      </c>
      <c r="F104" s="49">
        <v>46.68</v>
      </c>
      <c r="G104" s="49" t="s">
        <v>43</v>
      </c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>
      <c r="A105" s="49">
        <v>104</v>
      </c>
      <c r="B105" s="51" t="s">
        <v>292</v>
      </c>
      <c r="C105" s="52" t="s">
        <v>40</v>
      </c>
      <c r="D105" s="74" t="s">
        <v>277</v>
      </c>
      <c r="E105" s="74" t="s">
        <v>293</v>
      </c>
      <c r="F105" s="49">
        <v>65.41</v>
      </c>
      <c r="G105" s="49" t="s">
        <v>43</v>
      </c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>
      <c r="A106" s="49">
        <v>105</v>
      </c>
      <c r="B106" s="51" t="s">
        <v>294</v>
      </c>
      <c r="C106" s="52" t="s">
        <v>45</v>
      </c>
      <c r="D106" s="74" t="s">
        <v>295</v>
      </c>
      <c r="E106" s="74" t="s">
        <v>296</v>
      </c>
      <c r="F106" s="49">
        <v>47.79</v>
      </c>
      <c r="G106" s="49" t="s">
        <v>43</v>
      </c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>
      <c r="A107" s="49">
        <v>106</v>
      </c>
      <c r="B107" s="51" t="s">
        <v>297</v>
      </c>
      <c r="C107" s="52" t="s">
        <v>45</v>
      </c>
      <c r="D107" s="74" t="s">
        <v>295</v>
      </c>
      <c r="E107" s="74" t="s">
        <v>298</v>
      </c>
      <c r="F107" s="49">
        <v>44.85</v>
      </c>
      <c r="G107" s="49" t="s">
        <v>43</v>
      </c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>
      <c r="A108" s="49">
        <v>107</v>
      </c>
      <c r="B108" s="51" t="s">
        <v>299</v>
      </c>
      <c r="C108" s="52" t="s">
        <v>40</v>
      </c>
      <c r="D108" s="74" t="s">
        <v>287</v>
      </c>
      <c r="E108" s="74" t="s">
        <v>300</v>
      </c>
      <c r="F108" s="49">
        <v>51.45</v>
      </c>
      <c r="G108" s="49" t="s">
        <v>43</v>
      </c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>
      <c r="A109" s="49">
        <v>108</v>
      </c>
      <c r="B109" s="51" t="s">
        <v>301</v>
      </c>
      <c r="C109" s="52" t="s">
        <v>40</v>
      </c>
      <c r="D109" s="74" t="s">
        <v>277</v>
      </c>
      <c r="E109" s="74" t="s">
        <v>302</v>
      </c>
      <c r="F109" s="49">
        <v>57.08</v>
      </c>
      <c r="G109" s="49" t="s">
        <v>43</v>
      </c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>
      <c r="A110" s="49">
        <v>109</v>
      </c>
      <c r="B110" s="51" t="s">
        <v>303</v>
      </c>
      <c r="C110" s="52" t="s">
        <v>45</v>
      </c>
      <c r="D110" s="74" t="s">
        <v>304</v>
      </c>
      <c r="E110" s="74" t="s">
        <v>305</v>
      </c>
      <c r="F110" s="49">
        <v>46.79</v>
      </c>
      <c r="G110" s="49" t="s">
        <v>43</v>
      </c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>
      <c r="A111" s="49">
        <v>110</v>
      </c>
      <c r="B111" s="51" t="s">
        <v>306</v>
      </c>
      <c r="C111" s="52" t="s">
        <v>40</v>
      </c>
      <c r="D111" s="74" t="s">
        <v>277</v>
      </c>
      <c r="E111" s="74" t="s">
        <v>307</v>
      </c>
      <c r="F111" s="49">
        <v>43.18</v>
      </c>
      <c r="G111" s="49" t="s">
        <v>43</v>
      </c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>
      <c r="A112" s="49">
        <v>111</v>
      </c>
      <c r="B112" s="51" t="s">
        <v>308</v>
      </c>
      <c r="C112" s="52" t="s">
        <v>40</v>
      </c>
      <c r="D112" s="74" t="s">
        <v>284</v>
      </c>
      <c r="E112" s="74" t="s">
        <v>309</v>
      </c>
      <c r="F112" s="49">
        <v>37.14</v>
      </c>
      <c r="G112" s="49" t="s">
        <v>43</v>
      </c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>
      <c r="A113" s="49">
        <v>112</v>
      </c>
      <c r="B113" s="51" t="s">
        <v>310</v>
      </c>
      <c r="C113" s="52" t="s">
        <v>40</v>
      </c>
      <c r="D113" s="74" t="s">
        <v>277</v>
      </c>
      <c r="E113" s="74" t="s">
        <v>311</v>
      </c>
      <c r="F113" s="49">
        <v>40.74</v>
      </c>
      <c r="G113" s="49" t="s">
        <v>43</v>
      </c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>
      <c r="A114" s="49">
        <v>113</v>
      </c>
      <c r="B114" s="51" t="s">
        <v>312</v>
      </c>
      <c r="C114" s="52" t="s">
        <v>45</v>
      </c>
      <c r="D114" s="74" t="s">
        <v>277</v>
      </c>
      <c r="E114" s="74" t="s">
        <v>313</v>
      </c>
      <c r="F114" s="49">
        <v>45.86</v>
      </c>
      <c r="G114" s="49" t="s">
        <v>43</v>
      </c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>
      <c r="A115" s="49">
        <v>114</v>
      </c>
      <c r="B115" s="51" t="s">
        <v>314</v>
      </c>
      <c r="C115" s="52" t="s">
        <v>45</v>
      </c>
      <c r="D115" s="74" t="s">
        <v>277</v>
      </c>
      <c r="E115" s="74" t="s">
        <v>315</v>
      </c>
      <c r="F115" s="49">
        <v>48.28</v>
      </c>
      <c r="G115" s="49" t="s">
        <v>43</v>
      </c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>
      <c r="A116" s="49">
        <v>115</v>
      </c>
      <c r="B116" s="51" t="s">
        <v>316</v>
      </c>
      <c r="C116" s="52" t="s">
        <v>52</v>
      </c>
      <c r="D116" s="74" t="s">
        <v>56</v>
      </c>
      <c r="E116" s="74" t="s">
        <v>317</v>
      </c>
      <c r="F116" s="49">
        <v>37.770000000000003</v>
      </c>
      <c r="G116" s="49" t="s">
        <v>43</v>
      </c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>
      <c r="A117" s="49">
        <v>116</v>
      </c>
      <c r="B117" s="51" t="s">
        <v>318</v>
      </c>
      <c r="C117" s="52" t="s">
        <v>45</v>
      </c>
      <c r="D117" s="74" t="s">
        <v>277</v>
      </c>
      <c r="E117" s="74" t="s">
        <v>319</v>
      </c>
      <c r="F117" s="49">
        <v>44.13</v>
      </c>
      <c r="G117" s="49" t="s">
        <v>43</v>
      </c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>
      <c r="A118" s="49">
        <v>117</v>
      </c>
      <c r="B118" s="51" t="s">
        <v>320</v>
      </c>
      <c r="C118" s="52" t="s">
        <v>45</v>
      </c>
      <c r="D118" s="74" t="s">
        <v>277</v>
      </c>
      <c r="E118" s="74" t="s">
        <v>321</v>
      </c>
      <c r="F118" s="49">
        <v>38.409999999999997</v>
      </c>
      <c r="G118" s="49" t="s">
        <v>43</v>
      </c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>
      <c r="A119" s="49">
        <v>118</v>
      </c>
      <c r="B119" s="51" t="s">
        <v>322</v>
      </c>
      <c r="C119" s="52" t="s">
        <v>40</v>
      </c>
      <c r="D119" s="74" t="s">
        <v>123</v>
      </c>
      <c r="E119" s="74" t="s">
        <v>323</v>
      </c>
      <c r="F119" s="49">
        <v>51.67</v>
      </c>
      <c r="G119" s="49" t="s">
        <v>43</v>
      </c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>
      <c r="A120" s="49">
        <v>119</v>
      </c>
      <c r="B120" s="51" t="s">
        <v>324</v>
      </c>
      <c r="C120" s="52" t="s">
        <v>40</v>
      </c>
      <c r="D120" s="74" t="s">
        <v>123</v>
      </c>
      <c r="E120" s="74" t="s">
        <v>325</v>
      </c>
      <c r="F120" s="49">
        <v>48.37</v>
      </c>
      <c r="G120" s="49" t="s">
        <v>43</v>
      </c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>
      <c r="A121" s="49">
        <v>120</v>
      </c>
      <c r="B121" s="51" t="s">
        <v>326</v>
      </c>
      <c r="C121" s="52" t="s">
        <v>45</v>
      </c>
      <c r="D121" s="74" t="s">
        <v>197</v>
      </c>
      <c r="E121" s="74" t="s">
        <v>327</v>
      </c>
      <c r="F121" s="49">
        <v>43.54</v>
      </c>
      <c r="G121" s="49" t="s">
        <v>43</v>
      </c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>
      <c r="A122" s="49">
        <v>121</v>
      </c>
      <c r="B122" s="51" t="s">
        <v>328</v>
      </c>
      <c r="C122" s="52" t="s">
        <v>40</v>
      </c>
      <c r="D122" s="74" t="s">
        <v>197</v>
      </c>
      <c r="E122" s="74" t="s">
        <v>329</v>
      </c>
      <c r="F122" s="49">
        <v>50.17</v>
      </c>
      <c r="G122" s="49" t="s">
        <v>43</v>
      </c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>
      <c r="A123" s="49">
        <v>122</v>
      </c>
      <c r="B123" s="51" t="s">
        <v>330</v>
      </c>
      <c r="C123" s="52" t="s">
        <v>40</v>
      </c>
      <c r="D123" s="74" t="s">
        <v>158</v>
      </c>
      <c r="E123" s="74" t="s">
        <v>331</v>
      </c>
      <c r="F123" s="49">
        <v>56.34</v>
      </c>
      <c r="G123" s="49" t="s">
        <v>43</v>
      </c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>
      <c r="A124" s="49">
        <v>123</v>
      </c>
      <c r="B124" s="51" t="s">
        <v>332</v>
      </c>
      <c r="C124" s="52" t="s">
        <v>52</v>
      </c>
      <c r="D124" s="74" t="s">
        <v>197</v>
      </c>
      <c r="E124" s="74" t="s">
        <v>333</v>
      </c>
      <c r="F124" s="49">
        <v>36.93</v>
      </c>
      <c r="G124" s="49" t="s">
        <v>43</v>
      </c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>
      <c r="A125" s="49">
        <v>124</v>
      </c>
      <c r="B125" s="51" t="s">
        <v>334</v>
      </c>
      <c r="C125" s="52" t="s">
        <v>52</v>
      </c>
      <c r="D125" s="74" t="s">
        <v>277</v>
      </c>
      <c r="E125" s="74" t="s">
        <v>335</v>
      </c>
      <c r="F125" s="49">
        <v>33.93</v>
      </c>
      <c r="G125" s="49" t="s">
        <v>43</v>
      </c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>
      <c r="A126" s="49">
        <v>125</v>
      </c>
      <c r="B126" s="51" t="s">
        <v>336</v>
      </c>
      <c r="C126" s="52" t="s">
        <v>40</v>
      </c>
      <c r="D126" s="74" t="s">
        <v>114</v>
      </c>
      <c r="E126" s="74" t="s">
        <v>337</v>
      </c>
      <c r="F126" s="49">
        <v>35.54</v>
      </c>
      <c r="G126" s="49" t="s">
        <v>43</v>
      </c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>
      <c r="A127" s="49">
        <v>126</v>
      </c>
      <c r="B127" s="51" t="s">
        <v>338</v>
      </c>
      <c r="C127" s="52" t="s">
        <v>52</v>
      </c>
      <c r="D127" s="74" t="s">
        <v>339</v>
      </c>
      <c r="E127" s="74" t="s">
        <v>340</v>
      </c>
      <c r="F127" s="49">
        <v>21.67</v>
      </c>
      <c r="G127" s="49" t="s">
        <v>43</v>
      </c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>
      <c r="A128" s="49">
        <v>127</v>
      </c>
      <c r="B128" s="51" t="s">
        <v>341</v>
      </c>
      <c r="C128" s="52" t="s">
        <v>45</v>
      </c>
      <c r="D128" s="74" t="s">
        <v>342</v>
      </c>
      <c r="E128" s="74" t="s">
        <v>343</v>
      </c>
      <c r="F128" s="49">
        <v>28.93</v>
      </c>
      <c r="G128" s="49" t="s">
        <v>43</v>
      </c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>
      <c r="A129" s="49">
        <v>128</v>
      </c>
      <c r="B129" s="51" t="s">
        <v>344</v>
      </c>
      <c r="C129" s="52" t="s">
        <v>52</v>
      </c>
      <c r="D129" s="74" t="s">
        <v>345</v>
      </c>
      <c r="E129" s="74" t="s">
        <v>346</v>
      </c>
      <c r="F129" s="49">
        <v>44.68</v>
      </c>
      <c r="G129" s="49" t="s">
        <v>43</v>
      </c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>
      <c r="A130" s="49">
        <v>129</v>
      </c>
      <c r="B130" s="51" t="s">
        <v>347</v>
      </c>
      <c r="C130" s="52" t="s">
        <v>45</v>
      </c>
      <c r="D130" s="74" t="s">
        <v>277</v>
      </c>
      <c r="E130" s="74" t="s">
        <v>348</v>
      </c>
      <c r="F130" s="49">
        <v>46.88</v>
      </c>
      <c r="G130" s="49" t="s">
        <v>43</v>
      </c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>
      <c r="A131" s="49">
        <v>130</v>
      </c>
      <c r="B131" s="51" t="s">
        <v>349</v>
      </c>
      <c r="C131" s="52" t="s">
        <v>45</v>
      </c>
      <c r="D131" s="74" t="s">
        <v>350</v>
      </c>
      <c r="E131" s="74" t="s">
        <v>351</v>
      </c>
      <c r="F131" s="49">
        <v>27.56</v>
      </c>
      <c r="G131" s="49" t="s">
        <v>43</v>
      </c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>
      <c r="A132" s="49">
        <v>131</v>
      </c>
      <c r="B132" s="51" t="s">
        <v>352</v>
      </c>
      <c r="C132" s="52" t="s">
        <v>45</v>
      </c>
      <c r="D132" s="74" t="s">
        <v>161</v>
      </c>
      <c r="E132" s="74" t="s">
        <v>353</v>
      </c>
      <c r="F132" s="49">
        <v>46.51</v>
      </c>
      <c r="G132" s="49" t="s">
        <v>43</v>
      </c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>
      <c r="A133" s="49">
        <v>132</v>
      </c>
      <c r="B133" s="51" t="s">
        <v>354</v>
      </c>
      <c r="C133" s="52" t="s">
        <v>52</v>
      </c>
      <c r="D133" s="74" t="s">
        <v>214</v>
      </c>
      <c r="E133" s="74" t="s">
        <v>355</v>
      </c>
      <c r="F133" s="49">
        <v>29.93</v>
      </c>
      <c r="G133" s="49" t="s">
        <v>43</v>
      </c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>
      <c r="A134" s="49">
        <v>133</v>
      </c>
      <c r="B134" s="51" t="s">
        <v>356</v>
      </c>
      <c r="C134" s="52" t="s">
        <v>45</v>
      </c>
      <c r="D134" s="74" t="s">
        <v>357</v>
      </c>
      <c r="E134" s="74" t="s">
        <v>358</v>
      </c>
      <c r="F134" s="49">
        <v>33.75</v>
      </c>
      <c r="G134" s="49" t="s">
        <v>43</v>
      </c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>
      <c r="A135" s="49">
        <v>134</v>
      </c>
      <c r="B135" s="51" t="s">
        <v>359</v>
      </c>
      <c r="C135" s="52" t="s">
        <v>45</v>
      </c>
      <c r="D135" s="74" t="s">
        <v>360</v>
      </c>
      <c r="E135" s="74" t="s">
        <v>361</v>
      </c>
      <c r="F135" s="49">
        <v>37.880000000000003</v>
      </c>
      <c r="G135" s="49" t="s">
        <v>43</v>
      </c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>
      <c r="A136" s="49">
        <v>135</v>
      </c>
      <c r="B136" s="51" t="s">
        <v>362</v>
      </c>
      <c r="C136" s="52" t="s">
        <v>52</v>
      </c>
      <c r="D136" s="74" t="s">
        <v>360</v>
      </c>
      <c r="E136" s="74" t="s">
        <v>363</v>
      </c>
      <c r="F136" s="49">
        <v>31.2</v>
      </c>
      <c r="G136" s="49" t="s">
        <v>43</v>
      </c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>
      <c r="A137" s="49">
        <v>136</v>
      </c>
      <c r="B137" s="51" t="s">
        <v>364</v>
      </c>
      <c r="C137" s="52" t="s">
        <v>40</v>
      </c>
      <c r="D137" s="74" t="s">
        <v>365</v>
      </c>
      <c r="E137" s="74" t="s">
        <v>366</v>
      </c>
      <c r="F137" s="49">
        <v>65.150000000000006</v>
      </c>
      <c r="G137" s="49" t="s">
        <v>43</v>
      </c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>
      <c r="A138" s="49">
        <v>137</v>
      </c>
      <c r="B138" s="51" t="s">
        <v>367</v>
      </c>
      <c r="C138" s="52" t="s">
        <v>45</v>
      </c>
      <c r="D138" s="74" t="s">
        <v>368</v>
      </c>
      <c r="E138" s="74" t="s">
        <v>369</v>
      </c>
      <c r="F138" s="49">
        <v>49.79</v>
      </c>
      <c r="G138" s="49" t="s">
        <v>43</v>
      </c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>
      <c r="A139" s="49">
        <v>138</v>
      </c>
      <c r="B139" s="51" t="s">
        <v>370</v>
      </c>
      <c r="C139" s="52" t="s">
        <v>45</v>
      </c>
      <c r="D139" s="74" t="s">
        <v>371</v>
      </c>
      <c r="E139" s="74" t="s">
        <v>372</v>
      </c>
      <c r="F139" s="49">
        <v>35.25</v>
      </c>
      <c r="G139" s="49" t="s">
        <v>43</v>
      </c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>
      <c r="A140" s="49">
        <v>139</v>
      </c>
      <c r="B140" s="51" t="s">
        <v>373</v>
      </c>
      <c r="C140" s="52" t="s">
        <v>45</v>
      </c>
      <c r="D140" s="74" t="s">
        <v>214</v>
      </c>
      <c r="E140" s="74" t="s">
        <v>374</v>
      </c>
      <c r="F140" s="49">
        <v>39.479999999999997</v>
      </c>
      <c r="G140" s="49" t="s">
        <v>43</v>
      </c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>
      <c r="A141" s="49">
        <v>140</v>
      </c>
      <c r="B141" s="51" t="s">
        <v>375</v>
      </c>
      <c r="C141" s="52" t="s">
        <v>52</v>
      </c>
      <c r="D141" s="74" t="s">
        <v>376</v>
      </c>
      <c r="E141" s="74" t="s">
        <v>377</v>
      </c>
      <c r="F141" s="49">
        <v>31.13</v>
      </c>
      <c r="G141" s="49" t="s">
        <v>43</v>
      </c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>
      <c r="A142" s="49">
        <v>141</v>
      </c>
      <c r="B142" s="51" t="s">
        <v>378</v>
      </c>
      <c r="C142" s="52" t="s">
        <v>40</v>
      </c>
      <c r="D142" s="74" t="s">
        <v>92</v>
      </c>
      <c r="E142" s="74" t="s">
        <v>379</v>
      </c>
      <c r="F142" s="49">
        <v>40.67</v>
      </c>
      <c r="G142" s="49" t="s">
        <v>43</v>
      </c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>
      <c r="A143" s="49">
        <v>142</v>
      </c>
      <c r="B143" s="51" t="s">
        <v>380</v>
      </c>
      <c r="C143" s="52" t="s">
        <v>45</v>
      </c>
      <c r="D143" s="74" t="s">
        <v>92</v>
      </c>
      <c r="E143" s="74" t="s">
        <v>381</v>
      </c>
      <c r="F143" s="49">
        <v>36.619999999999997</v>
      </c>
      <c r="G143" s="49" t="s">
        <v>43</v>
      </c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>
      <c r="A144" s="49">
        <v>143</v>
      </c>
      <c r="B144" s="51" t="s">
        <v>382</v>
      </c>
      <c r="C144" s="52" t="s">
        <v>45</v>
      </c>
      <c r="D144" s="74" t="s">
        <v>98</v>
      </c>
      <c r="E144" s="74" t="s">
        <v>383</v>
      </c>
      <c r="F144" s="49">
        <v>36.25</v>
      </c>
      <c r="G144" s="49" t="s">
        <v>43</v>
      </c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>
      <c r="A145" s="49">
        <v>144</v>
      </c>
      <c r="B145" s="51" t="s">
        <v>384</v>
      </c>
      <c r="C145" s="52" t="s">
        <v>45</v>
      </c>
      <c r="D145" s="74" t="s">
        <v>385</v>
      </c>
      <c r="E145" s="74" t="s">
        <v>386</v>
      </c>
      <c r="F145" s="49">
        <v>55.11</v>
      </c>
      <c r="G145" s="49" t="s">
        <v>43</v>
      </c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>
      <c r="A146" s="49">
        <v>145</v>
      </c>
      <c r="B146" s="51" t="s">
        <v>387</v>
      </c>
      <c r="C146" s="52" t="s">
        <v>52</v>
      </c>
      <c r="D146" s="74" t="s">
        <v>385</v>
      </c>
      <c r="E146" s="74" t="s">
        <v>388</v>
      </c>
      <c r="F146" s="49">
        <v>54.14</v>
      </c>
      <c r="G146" s="49" t="s">
        <v>43</v>
      </c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>
      <c r="A147" s="49">
        <v>146</v>
      </c>
      <c r="B147" s="51" t="s">
        <v>389</v>
      </c>
      <c r="C147" s="52" t="s">
        <v>45</v>
      </c>
      <c r="D147" s="74" t="s">
        <v>390</v>
      </c>
      <c r="E147" s="74" t="s">
        <v>391</v>
      </c>
      <c r="F147" s="49">
        <v>32.44</v>
      </c>
      <c r="G147" s="49" t="s">
        <v>43</v>
      </c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>
      <c r="A148" s="49">
        <v>147</v>
      </c>
      <c r="B148" s="51" t="s">
        <v>392</v>
      </c>
      <c r="C148" s="52" t="s">
        <v>45</v>
      </c>
      <c r="D148" s="74" t="s">
        <v>393</v>
      </c>
      <c r="E148" s="74" t="s">
        <v>394</v>
      </c>
      <c r="F148" s="49">
        <v>40.590000000000003</v>
      </c>
      <c r="G148" s="49" t="s">
        <v>43</v>
      </c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>
      <c r="A149" s="49">
        <v>148</v>
      </c>
      <c r="B149" s="51" t="s">
        <v>395</v>
      </c>
      <c r="C149" s="52" t="s">
        <v>45</v>
      </c>
      <c r="D149" s="74" t="s">
        <v>393</v>
      </c>
      <c r="E149" s="74" t="s">
        <v>396</v>
      </c>
      <c r="F149" s="49">
        <v>41.39</v>
      </c>
      <c r="G149" s="49" t="s">
        <v>43</v>
      </c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>
      <c r="A150" s="49">
        <v>149</v>
      </c>
      <c r="B150" s="51" t="s">
        <v>397</v>
      </c>
      <c r="C150" s="52" t="s">
        <v>52</v>
      </c>
      <c r="D150" s="74" t="s">
        <v>398</v>
      </c>
      <c r="E150" s="74" t="s">
        <v>399</v>
      </c>
      <c r="F150" s="49">
        <v>16.850000000000001</v>
      </c>
      <c r="G150" s="49" t="s">
        <v>43</v>
      </c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>
      <c r="A151" s="49">
        <v>150</v>
      </c>
      <c r="B151" s="51" t="s">
        <v>400</v>
      </c>
      <c r="C151" s="52" t="s">
        <v>45</v>
      </c>
      <c r="D151" s="74" t="s">
        <v>401</v>
      </c>
      <c r="E151" s="74" t="s">
        <v>402</v>
      </c>
      <c r="F151" s="49">
        <v>35.79</v>
      </c>
      <c r="G151" s="49" t="s">
        <v>43</v>
      </c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>
      <c r="A152" s="49">
        <v>151</v>
      </c>
      <c r="B152" s="51" t="s">
        <v>403</v>
      </c>
      <c r="C152" s="52" t="s">
        <v>45</v>
      </c>
      <c r="D152" s="74" t="s">
        <v>59</v>
      </c>
      <c r="E152" s="74" t="s">
        <v>404</v>
      </c>
      <c r="F152" s="49">
        <v>20.47</v>
      </c>
      <c r="G152" s="49" t="s">
        <v>43</v>
      </c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>
      <c r="A153" s="49">
        <v>152</v>
      </c>
      <c r="B153" s="51" t="s">
        <v>405</v>
      </c>
      <c r="C153" s="52" t="s">
        <v>45</v>
      </c>
      <c r="D153" s="74" t="s">
        <v>197</v>
      </c>
      <c r="E153" s="74" t="s">
        <v>406</v>
      </c>
      <c r="F153" s="49">
        <v>31.4</v>
      </c>
      <c r="G153" s="49" t="s">
        <v>43</v>
      </c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>
      <c r="A154" s="49">
        <v>153</v>
      </c>
      <c r="B154" s="51" t="s">
        <v>407</v>
      </c>
      <c r="C154" s="52" t="s">
        <v>45</v>
      </c>
      <c r="D154" s="74" t="s">
        <v>128</v>
      </c>
      <c r="E154" s="74" t="s">
        <v>408</v>
      </c>
      <c r="F154" s="49">
        <v>44.71</v>
      </c>
      <c r="G154" s="49" t="s">
        <v>43</v>
      </c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>
      <c r="A155" s="49">
        <v>154</v>
      </c>
      <c r="B155" s="51" t="s">
        <v>409</v>
      </c>
      <c r="C155" s="52" t="s">
        <v>52</v>
      </c>
      <c r="D155" s="74" t="s">
        <v>128</v>
      </c>
      <c r="E155" s="74" t="s">
        <v>388</v>
      </c>
      <c r="F155" s="49">
        <v>40.479999999999997</v>
      </c>
      <c r="G155" s="49" t="s">
        <v>43</v>
      </c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>
      <c r="A156" s="49">
        <v>155</v>
      </c>
      <c r="B156" s="51" t="s">
        <v>410</v>
      </c>
      <c r="C156" s="52" t="s">
        <v>40</v>
      </c>
      <c r="D156" s="74" t="s">
        <v>411</v>
      </c>
      <c r="E156" s="74" t="s">
        <v>412</v>
      </c>
      <c r="F156" s="49">
        <v>43.9</v>
      </c>
      <c r="G156" s="49" t="s">
        <v>43</v>
      </c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>
      <c r="A157" s="49">
        <v>156</v>
      </c>
      <c r="B157" s="51" t="s">
        <v>413</v>
      </c>
      <c r="C157" s="52" t="s">
        <v>45</v>
      </c>
      <c r="D157" s="74" t="s">
        <v>414</v>
      </c>
      <c r="E157" s="74" t="s">
        <v>415</v>
      </c>
      <c r="F157" s="49">
        <v>54.72</v>
      </c>
      <c r="G157" s="49" t="s">
        <v>43</v>
      </c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>
      <c r="A158" s="49">
        <v>157</v>
      </c>
      <c r="B158" s="51" t="s">
        <v>416</v>
      </c>
      <c r="C158" s="52" t="s">
        <v>40</v>
      </c>
      <c r="D158" s="74" t="s">
        <v>59</v>
      </c>
      <c r="E158" s="74" t="s">
        <v>417</v>
      </c>
      <c r="F158" s="49">
        <v>33.6</v>
      </c>
      <c r="G158" s="49" t="s">
        <v>43</v>
      </c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>
      <c r="A159" s="49">
        <v>158</v>
      </c>
      <c r="B159" s="51" t="s">
        <v>418</v>
      </c>
      <c r="C159" s="52" t="s">
        <v>52</v>
      </c>
      <c r="D159" s="74" t="s">
        <v>59</v>
      </c>
      <c r="E159" s="74" t="s">
        <v>419</v>
      </c>
      <c r="F159" s="49">
        <v>32.82</v>
      </c>
      <c r="G159" s="49" t="s">
        <v>43</v>
      </c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>
      <c r="A160" s="49">
        <v>159</v>
      </c>
      <c r="B160" s="51" t="s">
        <v>420</v>
      </c>
      <c r="C160" s="52" t="s">
        <v>45</v>
      </c>
      <c r="D160" s="74" t="s">
        <v>49</v>
      </c>
      <c r="E160" s="74" t="s">
        <v>421</v>
      </c>
      <c r="F160" s="49">
        <v>49.04</v>
      </c>
      <c r="G160" s="49" t="s">
        <v>43</v>
      </c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>
      <c r="A161" s="49">
        <v>160</v>
      </c>
      <c r="B161" s="51" t="s">
        <v>422</v>
      </c>
      <c r="C161" s="52" t="s">
        <v>40</v>
      </c>
      <c r="D161" s="74" t="s">
        <v>98</v>
      </c>
      <c r="E161" s="74" t="s">
        <v>423</v>
      </c>
      <c r="F161" s="49">
        <v>39.700000000000003</v>
      </c>
      <c r="G161" s="49" t="s">
        <v>43</v>
      </c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>
      <c r="A162" s="49">
        <v>161</v>
      </c>
      <c r="B162" s="51" t="s">
        <v>424</v>
      </c>
      <c r="C162" s="52" t="s">
        <v>45</v>
      </c>
      <c r="D162" s="74" t="s">
        <v>59</v>
      </c>
      <c r="E162" s="74" t="s">
        <v>425</v>
      </c>
      <c r="F162" s="49">
        <v>32.24</v>
      </c>
      <c r="G162" s="49" t="s">
        <v>43</v>
      </c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>
      <c r="A163" s="49">
        <v>162</v>
      </c>
      <c r="B163" s="51" t="s">
        <v>426</v>
      </c>
      <c r="C163" s="52" t="s">
        <v>45</v>
      </c>
      <c r="D163" s="74" t="s">
        <v>128</v>
      </c>
      <c r="E163" s="74" t="s">
        <v>427</v>
      </c>
      <c r="F163" s="49">
        <v>43.08</v>
      </c>
      <c r="G163" s="49" t="s">
        <v>43</v>
      </c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>
      <c r="A164" s="49">
        <v>163</v>
      </c>
      <c r="B164" s="51" t="s">
        <v>428</v>
      </c>
      <c r="C164" s="52" t="s">
        <v>45</v>
      </c>
      <c r="D164" s="74" t="s">
        <v>123</v>
      </c>
      <c r="E164" s="74" t="s">
        <v>429</v>
      </c>
      <c r="F164" s="49">
        <v>24.15</v>
      </c>
      <c r="G164" s="49" t="s">
        <v>43</v>
      </c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>
      <c r="A165" s="49">
        <v>164</v>
      </c>
      <c r="B165" s="51" t="s">
        <v>430</v>
      </c>
      <c r="C165" s="52" t="s">
        <v>52</v>
      </c>
      <c r="D165" s="74" t="s">
        <v>431</v>
      </c>
      <c r="E165" s="74" t="s">
        <v>432</v>
      </c>
      <c r="F165" s="49">
        <v>35.06</v>
      </c>
      <c r="G165" s="49" t="s">
        <v>43</v>
      </c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>
      <c r="A166" s="49">
        <v>165</v>
      </c>
      <c r="B166" s="51" t="s">
        <v>433</v>
      </c>
      <c r="C166" s="52" t="s">
        <v>45</v>
      </c>
      <c r="D166" s="74" t="s">
        <v>59</v>
      </c>
      <c r="E166" s="74" t="s">
        <v>434</v>
      </c>
      <c r="F166" s="49">
        <v>26.84</v>
      </c>
      <c r="G166" s="49" t="s">
        <v>43</v>
      </c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>
      <c r="A167" s="49">
        <v>166</v>
      </c>
      <c r="B167" s="51" t="s">
        <v>435</v>
      </c>
      <c r="C167" s="52" t="s">
        <v>45</v>
      </c>
      <c r="D167" s="74" t="s">
        <v>398</v>
      </c>
      <c r="E167" s="74" t="s">
        <v>436</v>
      </c>
      <c r="F167" s="49">
        <v>21.35</v>
      </c>
      <c r="G167" s="49" t="s">
        <v>43</v>
      </c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>
      <c r="A168" s="49">
        <v>167</v>
      </c>
      <c r="B168" s="51" t="s">
        <v>437</v>
      </c>
      <c r="C168" s="52" t="s">
        <v>40</v>
      </c>
      <c r="D168" s="74" t="s">
        <v>438</v>
      </c>
      <c r="E168" s="74" t="s">
        <v>439</v>
      </c>
      <c r="F168" s="49">
        <v>53.57</v>
      </c>
      <c r="G168" s="49" t="s">
        <v>43</v>
      </c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>
      <c r="A169" s="49">
        <v>168</v>
      </c>
      <c r="B169" s="51" t="s">
        <v>440</v>
      </c>
      <c r="C169" s="52" t="s">
        <v>40</v>
      </c>
      <c r="D169" s="74" t="s">
        <v>62</v>
      </c>
      <c r="E169" s="74" t="s">
        <v>441</v>
      </c>
      <c r="F169" s="49">
        <v>30.74</v>
      </c>
      <c r="G169" s="49" t="s">
        <v>43</v>
      </c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>
      <c r="A170" s="49">
        <v>169</v>
      </c>
      <c r="B170" s="51" t="s">
        <v>442</v>
      </c>
      <c r="C170" s="52" t="s">
        <v>40</v>
      </c>
      <c r="D170" s="74" t="s">
        <v>443</v>
      </c>
      <c r="E170" s="74" t="s">
        <v>444</v>
      </c>
      <c r="F170" s="49">
        <v>58.23</v>
      </c>
      <c r="G170" s="49" t="s">
        <v>43</v>
      </c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>
      <c r="A171" s="49">
        <v>170</v>
      </c>
      <c r="B171" s="51" t="s">
        <v>445</v>
      </c>
      <c r="C171" s="52" t="s">
        <v>40</v>
      </c>
      <c r="D171" s="74" t="s">
        <v>446</v>
      </c>
      <c r="E171" s="74" t="s">
        <v>447</v>
      </c>
      <c r="F171" s="49">
        <v>33.299999999999997</v>
      </c>
      <c r="G171" s="49" t="s">
        <v>43</v>
      </c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>
      <c r="A172" s="49">
        <v>171</v>
      </c>
      <c r="B172" s="51" t="s">
        <v>448</v>
      </c>
      <c r="C172" s="52" t="s">
        <v>40</v>
      </c>
      <c r="D172" s="74" t="s">
        <v>62</v>
      </c>
      <c r="E172" s="74" t="s">
        <v>449</v>
      </c>
      <c r="F172" s="49">
        <v>54.11</v>
      </c>
      <c r="G172" s="49" t="s">
        <v>43</v>
      </c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>
      <c r="A173" s="49">
        <v>172</v>
      </c>
      <c r="B173" s="51" t="s">
        <v>450</v>
      </c>
      <c r="C173" s="52" t="s">
        <v>40</v>
      </c>
      <c r="D173" s="74" t="s">
        <v>62</v>
      </c>
      <c r="E173" s="74" t="s">
        <v>259</v>
      </c>
      <c r="F173" s="49">
        <v>37.72</v>
      </c>
      <c r="G173" s="49" t="s">
        <v>43</v>
      </c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>
      <c r="A174" s="49">
        <v>173</v>
      </c>
      <c r="B174" s="51" t="s">
        <v>451</v>
      </c>
      <c r="C174" s="52" t="s">
        <v>45</v>
      </c>
      <c r="D174" s="74" t="s">
        <v>452</v>
      </c>
      <c r="E174" s="74" t="s">
        <v>453</v>
      </c>
      <c r="F174" s="49">
        <v>55.53</v>
      </c>
      <c r="G174" s="49" t="s">
        <v>43</v>
      </c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>
      <c r="A175" s="49">
        <v>174</v>
      </c>
      <c r="B175" s="51" t="s">
        <v>454</v>
      </c>
      <c r="C175" s="52" t="s">
        <v>52</v>
      </c>
      <c r="D175" s="74" t="s">
        <v>455</v>
      </c>
      <c r="E175" s="74" t="s">
        <v>456</v>
      </c>
      <c r="F175" s="49">
        <v>29.77</v>
      </c>
      <c r="G175" s="49" t="s">
        <v>43</v>
      </c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>
      <c r="A176" s="49">
        <v>175</v>
      </c>
      <c r="B176" s="51" t="s">
        <v>457</v>
      </c>
      <c r="C176" s="52" t="s">
        <v>40</v>
      </c>
      <c r="D176" s="74"/>
      <c r="E176" s="74" t="s">
        <v>458</v>
      </c>
      <c r="F176" s="49">
        <v>59.84</v>
      </c>
      <c r="G176" s="49" t="s">
        <v>459</v>
      </c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>
      <c r="A177" s="49">
        <v>176</v>
      </c>
      <c r="B177" s="51" t="s">
        <v>460</v>
      </c>
      <c r="C177" s="52" t="s">
        <v>40</v>
      </c>
      <c r="D177" s="74"/>
      <c r="E177" s="74" t="s">
        <v>461</v>
      </c>
      <c r="F177" s="49">
        <v>31.14</v>
      </c>
      <c r="G177" s="49" t="s">
        <v>459</v>
      </c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>
      <c r="A178" s="49">
        <v>177</v>
      </c>
      <c r="B178" s="51" t="s">
        <v>462</v>
      </c>
      <c r="C178" s="52" t="s">
        <v>45</v>
      </c>
      <c r="D178" s="74"/>
      <c r="E178" s="74" t="s">
        <v>463</v>
      </c>
      <c r="F178" s="49">
        <v>30.83</v>
      </c>
      <c r="G178" s="49" t="s">
        <v>459</v>
      </c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>
      <c r="A179" s="49">
        <v>178</v>
      </c>
      <c r="B179" s="51" t="s">
        <v>464</v>
      </c>
      <c r="C179" s="52" t="s">
        <v>45</v>
      </c>
      <c r="D179" s="74"/>
      <c r="E179" s="74" t="s">
        <v>465</v>
      </c>
      <c r="F179" s="49">
        <v>44.62</v>
      </c>
      <c r="G179" s="49" t="s">
        <v>459</v>
      </c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>
      <c r="A180" s="49">
        <v>179</v>
      </c>
      <c r="B180" s="51" t="s">
        <v>466</v>
      </c>
      <c r="C180" s="52" t="s">
        <v>45</v>
      </c>
      <c r="D180" s="74" t="s">
        <v>431</v>
      </c>
      <c r="E180" s="74" t="s">
        <v>467</v>
      </c>
      <c r="F180" s="49">
        <v>28.3</v>
      </c>
      <c r="G180" s="49" t="s">
        <v>43</v>
      </c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>
      <c r="A181" s="49">
        <v>180</v>
      </c>
      <c r="B181" s="51" t="s">
        <v>468</v>
      </c>
      <c r="C181" s="52" t="s">
        <v>45</v>
      </c>
      <c r="D181" s="74"/>
      <c r="E181" s="74" t="s">
        <v>432</v>
      </c>
      <c r="F181" s="49">
        <v>39.020000000000003</v>
      </c>
      <c r="G181" s="49" t="s">
        <v>459</v>
      </c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>
      <c r="A182" s="49">
        <v>181</v>
      </c>
      <c r="B182" s="51" t="s">
        <v>469</v>
      </c>
      <c r="C182" s="52" t="s">
        <v>40</v>
      </c>
      <c r="D182" s="74"/>
      <c r="E182" s="74" t="s">
        <v>470</v>
      </c>
      <c r="F182" s="49">
        <v>55.85</v>
      </c>
      <c r="G182" s="49" t="s">
        <v>459</v>
      </c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>
      <c r="A183" s="49">
        <v>182</v>
      </c>
      <c r="B183" s="51" t="s">
        <v>471</v>
      </c>
      <c r="C183" s="52" t="s">
        <v>40</v>
      </c>
      <c r="D183" s="74"/>
      <c r="E183" s="74"/>
      <c r="F183" s="49">
        <v>61.21</v>
      </c>
      <c r="G183" s="49" t="s">
        <v>459</v>
      </c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>
      <c r="A184" s="49">
        <v>183</v>
      </c>
      <c r="B184" s="51" t="s">
        <v>472</v>
      </c>
      <c r="C184" s="52" t="s">
        <v>40</v>
      </c>
      <c r="D184" s="74"/>
      <c r="E184" s="74" t="s">
        <v>432</v>
      </c>
      <c r="F184" s="49">
        <v>52.36</v>
      </c>
      <c r="G184" s="49" t="s">
        <v>459</v>
      </c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>
      <c r="A185" s="49">
        <v>184</v>
      </c>
      <c r="B185" s="51" t="s">
        <v>473</v>
      </c>
      <c r="C185" s="52" t="s">
        <v>45</v>
      </c>
      <c r="D185" s="74"/>
      <c r="E185" s="74" t="s">
        <v>474</v>
      </c>
      <c r="F185" s="49">
        <v>35.75</v>
      </c>
      <c r="G185" s="49" t="s">
        <v>459</v>
      </c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>
      <c r="A186" s="49">
        <v>185</v>
      </c>
      <c r="B186" s="51" t="s">
        <v>475</v>
      </c>
      <c r="C186" s="52" t="s">
        <v>52</v>
      </c>
      <c r="D186" s="74"/>
      <c r="E186" s="74" t="s">
        <v>476</v>
      </c>
      <c r="F186" s="49">
        <v>33.36</v>
      </c>
      <c r="G186" s="49" t="s">
        <v>459</v>
      </c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>
      <c r="A187" s="49">
        <v>186</v>
      </c>
      <c r="B187" s="51" t="s">
        <v>477</v>
      </c>
      <c r="C187" s="52" t="s">
        <v>45</v>
      </c>
      <c r="D187" s="74" t="s">
        <v>59</v>
      </c>
      <c r="E187" s="74" t="s">
        <v>478</v>
      </c>
      <c r="F187" s="49">
        <v>42.7</v>
      </c>
      <c r="G187" s="49" t="s">
        <v>43</v>
      </c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>
      <c r="A188" s="49">
        <v>187</v>
      </c>
      <c r="B188" s="51" t="s">
        <v>479</v>
      </c>
      <c r="C188" s="52" t="s">
        <v>45</v>
      </c>
      <c r="D188" s="74" t="s">
        <v>365</v>
      </c>
      <c r="E188" s="74" t="s">
        <v>480</v>
      </c>
      <c r="F188" s="49">
        <v>38.549999999999997</v>
      </c>
      <c r="G188" s="49" t="s">
        <v>43</v>
      </c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>
      <c r="A189" s="49">
        <v>188</v>
      </c>
      <c r="B189" s="51" t="s">
        <v>481</v>
      </c>
      <c r="C189" s="52" t="s">
        <v>52</v>
      </c>
      <c r="D189" s="74" t="s">
        <v>214</v>
      </c>
      <c r="E189" s="74" t="s">
        <v>482</v>
      </c>
      <c r="F189" s="49">
        <v>27.77</v>
      </c>
      <c r="G189" s="49" t="s">
        <v>43</v>
      </c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>
      <c r="A190" s="49">
        <v>189</v>
      </c>
      <c r="B190" s="51" t="s">
        <v>483</v>
      </c>
      <c r="C190" s="52" t="s">
        <v>40</v>
      </c>
      <c r="D190" s="74" t="s">
        <v>123</v>
      </c>
      <c r="E190" s="74" t="s">
        <v>484</v>
      </c>
      <c r="F190" s="49">
        <v>34.19</v>
      </c>
      <c r="G190" s="49" t="s">
        <v>43</v>
      </c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>
      <c r="A191" s="49">
        <v>190</v>
      </c>
      <c r="B191" s="51" t="s">
        <v>485</v>
      </c>
      <c r="C191" s="52" t="s">
        <v>40</v>
      </c>
      <c r="D191" s="74" t="s">
        <v>368</v>
      </c>
      <c r="E191" s="74" t="s">
        <v>486</v>
      </c>
      <c r="F191" s="49">
        <v>36.97</v>
      </c>
      <c r="G191" s="49" t="s">
        <v>43</v>
      </c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>
      <c r="A192" s="49">
        <v>191</v>
      </c>
      <c r="B192" s="51" t="s">
        <v>487</v>
      </c>
      <c r="C192" s="52" t="s">
        <v>40</v>
      </c>
      <c r="D192" s="74" t="s">
        <v>368</v>
      </c>
      <c r="E192" s="74" t="s">
        <v>488</v>
      </c>
      <c r="F192" s="49">
        <v>48.89</v>
      </c>
      <c r="G192" s="49" t="s">
        <v>43</v>
      </c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>
      <c r="A193" s="49">
        <v>192</v>
      </c>
      <c r="B193" s="51" t="s">
        <v>489</v>
      </c>
      <c r="C193" s="52" t="s">
        <v>45</v>
      </c>
      <c r="D193" s="74"/>
      <c r="E193" s="74" t="s">
        <v>490</v>
      </c>
      <c r="F193" s="49">
        <v>25.98</v>
      </c>
      <c r="G193" s="49" t="s">
        <v>491</v>
      </c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>
      <c r="A194" s="49">
        <v>193</v>
      </c>
      <c r="B194" s="51" t="s">
        <v>492</v>
      </c>
      <c r="C194" s="52" t="s">
        <v>40</v>
      </c>
      <c r="D194" s="74"/>
      <c r="E194" s="74" t="s">
        <v>493</v>
      </c>
      <c r="F194" s="49">
        <v>25.39</v>
      </c>
      <c r="G194" s="49" t="s">
        <v>491</v>
      </c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>
      <c r="A195" s="49">
        <v>194</v>
      </c>
      <c r="B195" s="51" t="s">
        <v>494</v>
      </c>
      <c r="C195" s="52" t="s">
        <v>45</v>
      </c>
      <c r="D195" s="74"/>
      <c r="E195" s="74"/>
      <c r="F195" s="49">
        <v>24.09</v>
      </c>
      <c r="G195" s="49" t="s">
        <v>491</v>
      </c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>
      <c r="A196" s="49">
        <v>195</v>
      </c>
      <c r="B196" s="51" t="s">
        <v>495</v>
      </c>
      <c r="C196" s="52" t="s">
        <v>40</v>
      </c>
      <c r="D196" s="74"/>
      <c r="E196" s="74" t="s">
        <v>496</v>
      </c>
      <c r="F196" s="49">
        <v>33.22</v>
      </c>
      <c r="G196" s="49" t="s">
        <v>491</v>
      </c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>
      <c r="A197" s="49">
        <v>196</v>
      </c>
      <c r="B197" s="51" t="s">
        <v>497</v>
      </c>
      <c r="C197" s="52" t="s">
        <v>40</v>
      </c>
      <c r="D197" s="74"/>
      <c r="E197" s="74" t="s">
        <v>432</v>
      </c>
      <c r="F197" s="49">
        <v>40.020000000000003</v>
      </c>
      <c r="G197" s="49" t="s">
        <v>459</v>
      </c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>
      <c r="A198" s="49">
        <v>197</v>
      </c>
      <c r="B198" s="51" t="s">
        <v>498</v>
      </c>
      <c r="C198" s="52" t="s">
        <v>40</v>
      </c>
      <c r="D198" s="74"/>
      <c r="E198" s="74" t="s">
        <v>499</v>
      </c>
      <c r="F198" s="49">
        <v>38.04</v>
      </c>
      <c r="G198" s="49" t="s">
        <v>459</v>
      </c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>
      <c r="A199" s="49">
        <v>198</v>
      </c>
      <c r="B199" s="51" t="s">
        <v>500</v>
      </c>
      <c r="C199" s="52" t="s">
        <v>40</v>
      </c>
      <c r="D199" s="74" t="s">
        <v>214</v>
      </c>
      <c r="E199" s="74" t="s">
        <v>501</v>
      </c>
      <c r="F199" s="49">
        <v>41.85</v>
      </c>
      <c r="G199" s="49" t="s">
        <v>43</v>
      </c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>
      <c r="A200" s="49">
        <v>199</v>
      </c>
      <c r="B200" s="51" t="s">
        <v>502</v>
      </c>
      <c r="C200" s="52" t="s">
        <v>45</v>
      </c>
      <c r="D200" s="74" t="s">
        <v>284</v>
      </c>
      <c r="E200" s="74" t="s">
        <v>503</v>
      </c>
      <c r="F200" s="49">
        <v>53.35</v>
      </c>
      <c r="G200" s="49" t="s">
        <v>43</v>
      </c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>
      <c r="A201" s="49">
        <v>200</v>
      </c>
      <c r="B201" s="51" t="s">
        <v>504</v>
      </c>
      <c r="C201" s="52" t="s">
        <v>45</v>
      </c>
      <c r="D201" s="74" t="s">
        <v>350</v>
      </c>
      <c r="E201" s="74" t="s">
        <v>505</v>
      </c>
      <c r="F201" s="49">
        <v>46.28</v>
      </c>
      <c r="G201" s="49" t="s">
        <v>43</v>
      </c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>
      <c r="A202" s="49">
        <v>201</v>
      </c>
      <c r="B202" s="51" t="s">
        <v>506</v>
      </c>
      <c r="C202" s="52" t="s">
        <v>45</v>
      </c>
      <c r="D202" s="74" t="s">
        <v>368</v>
      </c>
      <c r="E202" s="74" t="s">
        <v>499</v>
      </c>
      <c r="F202" s="49">
        <v>39.200000000000003</v>
      </c>
      <c r="G202" s="49" t="s">
        <v>43</v>
      </c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>
      <c r="A203" s="49">
        <v>202</v>
      </c>
      <c r="B203" s="51" t="s">
        <v>507</v>
      </c>
      <c r="C203" s="52" t="s">
        <v>40</v>
      </c>
      <c r="D203" s="74" t="s">
        <v>398</v>
      </c>
      <c r="E203" s="74" t="s">
        <v>508</v>
      </c>
      <c r="F203" s="49">
        <v>50.12</v>
      </c>
      <c r="G203" s="49" t="s">
        <v>43</v>
      </c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>
      <c r="A204" s="49">
        <v>203</v>
      </c>
      <c r="B204" s="51" t="s">
        <v>509</v>
      </c>
      <c r="C204" s="52" t="s">
        <v>40</v>
      </c>
      <c r="D204" s="74" t="s">
        <v>98</v>
      </c>
      <c r="E204" s="74" t="s">
        <v>510</v>
      </c>
      <c r="F204" s="49">
        <v>37.590000000000003</v>
      </c>
      <c r="G204" s="49" t="s">
        <v>43</v>
      </c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>
      <c r="A205" s="49">
        <v>204</v>
      </c>
      <c r="B205" s="51" t="s">
        <v>511</v>
      </c>
      <c r="C205" s="52" t="s">
        <v>40</v>
      </c>
      <c r="D205" s="74" t="s">
        <v>398</v>
      </c>
      <c r="E205" s="74" t="s">
        <v>512</v>
      </c>
      <c r="F205" s="49">
        <v>31.23</v>
      </c>
      <c r="G205" s="49" t="s">
        <v>43</v>
      </c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>
      <c r="A206" s="49">
        <v>205</v>
      </c>
      <c r="B206" s="51" t="s">
        <v>513</v>
      </c>
      <c r="C206" s="52" t="s">
        <v>40</v>
      </c>
      <c r="D206" s="74" t="s">
        <v>135</v>
      </c>
      <c r="E206" s="74" t="s">
        <v>514</v>
      </c>
      <c r="F206" s="49">
        <v>39.54</v>
      </c>
      <c r="G206" s="49" t="s">
        <v>43</v>
      </c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>
      <c r="A207" s="49">
        <v>206</v>
      </c>
      <c r="B207" s="51" t="s">
        <v>515</v>
      </c>
      <c r="C207" s="52" t="s">
        <v>40</v>
      </c>
      <c r="D207" s="74" t="s">
        <v>98</v>
      </c>
      <c r="E207" s="74" t="s">
        <v>516</v>
      </c>
      <c r="F207" s="49">
        <v>61.65</v>
      </c>
      <c r="G207" s="49" t="s">
        <v>43</v>
      </c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>
      <c r="A208" s="49">
        <v>207</v>
      </c>
      <c r="B208" s="51" t="s">
        <v>517</v>
      </c>
      <c r="C208" s="52" t="s">
        <v>45</v>
      </c>
      <c r="D208" s="74" t="s">
        <v>518</v>
      </c>
      <c r="E208" s="74" t="s">
        <v>519</v>
      </c>
      <c r="F208" s="49">
        <v>42.57</v>
      </c>
      <c r="G208" s="49" t="s">
        <v>43</v>
      </c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>
      <c r="A209" s="49">
        <v>208</v>
      </c>
      <c r="B209" s="51" t="s">
        <v>520</v>
      </c>
      <c r="C209" s="52" t="s">
        <v>45</v>
      </c>
      <c r="D209" s="74" t="s">
        <v>521</v>
      </c>
      <c r="E209" s="74" t="s">
        <v>522</v>
      </c>
      <c r="F209" s="49">
        <v>48.18</v>
      </c>
      <c r="G209" s="49" t="s">
        <v>43</v>
      </c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>
      <c r="A210" s="49">
        <v>209</v>
      </c>
      <c r="B210" s="51" t="s">
        <v>523</v>
      </c>
      <c r="C210" s="52" t="s">
        <v>45</v>
      </c>
      <c r="D210" s="74" t="s">
        <v>438</v>
      </c>
      <c r="E210" s="74" t="s">
        <v>524</v>
      </c>
      <c r="F210" s="49">
        <v>37.69</v>
      </c>
      <c r="G210" s="49" t="s">
        <v>43</v>
      </c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>
      <c r="A211" s="49">
        <v>210</v>
      </c>
      <c r="B211" s="51" t="s">
        <v>525</v>
      </c>
      <c r="C211" s="52" t="s">
        <v>45</v>
      </c>
      <c r="D211" s="74" t="s">
        <v>518</v>
      </c>
      <c r="E211" s="74" t="s">
        <v>526</v>
      </c>
      <c r="F211" s="49">
        <v>39.369999999999997</v>
      </c>
      <c r="G211" s="49" t="s">
        <v>43</v>
      </c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>
      <c r="A212" s="49">
        <v>211</v>
      </c>
      <c r="B212" s="51" t="s">
        <v>527</v>
      </c>
      <c r="C212" s="52" t="s">
        <v>45</v>
      </c>
      <c r="D212" s="74" t="s">
        <v>528</v>
      </c>
      <c r="E212" s="74" t="s">
        <v>529</v>
      </c>
      <c r="F212" s="49">
        <v>36.19</v>
      </c>
      <c r="G212" s="49" t="s">
        <v>43</v>
      </c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>
      <c r="A213" s="49">
        <v>212</v>
      </c>
      <c r="B213" s="51" t="s">
        <v>530</v>
      </c>
      <c r="C213" s="52" t="s">
        <v>52</v>
      </c>
      <c r="D213" s="74" t="s">
        <v>531</v>
      </c>
      <c r="E213" s="74" t="s">
        <v>532</v>
      </c>
      <c r="F213" s="49">
        <v>33.340000000000003</v>
      </c>
      <c r="G213" s="49" t="s">
        <v>43</v>
      </c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>
      <c r="A214" s="49">
        <v>213</v>
      </c>
      <c r="B214" s="51" t="s">
        <v>533</v>
      </c>
      <c r="C214" s="52" t="s">
        <v>45</v>
      </c>
      <c r="D214" s="74" t="s">
        <v>214</v>
      </c>
      <c r="E214" s="74" t="s">
        <v>534</v>
      </c>
      <c r="F214" s="49">
        <v>36.24</v>
      </c>
      <c r="G214" s="49" t="s">
        <v>43</v>
      </c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>
      <c r="A215" s="49">
        <v>214</v>
      </c>
      <c r="B215" s="51" t="s">
        <v>535</v>
      </c>
      <c r="C215" s="52" t="s">
        <v>52</v>
      </c>
      <c r="D215" s="74" t="s">
        <v>59</v>
      </c>
      <c r="E215" s="74" t="s">
        <v>536</v>
      </c>
      <c r="F215" s="49">
        <v>29.53</v>
      </c>
      <c r="G215" s="49" t="s">
        <v>43</v>
      </c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>
      <c r="A216" s="49">
        <v>215</v>
      </c>
      <c r="B216" s="51" t="s">
        <v>537</v>
      </c>
      <c r="C216" s="52" t="s">
        <v>45</v>
      </c>
      <c r="D216" s="74" t="s">
        <v>538</v>
      </c>
      <c r="E216" s="74" t="s">
        <v>539</v>
      </c>
      <c r="F216" s="49">
        <v>54.43</v>
      </c>
      <c r="G216" s="49" t="s">
        <v>43</v>
      </c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>
      <c r="A217" s="49">
        <v>216</v>
      </c>
      <c r="B217" s="51" t="s">
        <v>540</v>
      </c>
      <c r="C217" s="52" t="s">
        <v>45</v>
      </c>
      <c r="D217" s="74" t="s">
        <v>143</v>
      </c>
      <c r="E217" s="74" t="s">
        <v>541</v>
      </c>
      <c r="F217" s="49">
        <v>55.85</v>
      </c>
      <c r="G217" s="49" t="s">
        <v>43</v>
      </c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>
      <c r="A218" s="49">
        <v>217</v>
      </c>
      <c r="B218" s="51" t="s">
        <v>542</v>
      </c>
      <c r="C218" s="52" t="s">
        <v>40</v>
      </c>
      <c r="D218" s="74" t="s">
        <v>41</v>
      </c>
      <c r="E218" s="74" t="s">
        <v>543</v>
      </c>
      <c r="F218" s="49">
        <v>55.71</v>
      </c>
      <c r="G218" s="49" t="s">
        <v>43</v>
      </c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>
      <c r="A219" s="49">
        <v>218</v>
      </c>
      <c r="B219" s="51" t="s">
        <v>544</v>
      </c>
      <c r="C219" s="52" t="s">
        <v>52</v>
      </c>
      <c r="D219" s="74" t="s">
        <v>545</v>
      </c>
      <c r="E219" s="74" t="s">
        <v>546</v>
      </c>
      <c r="F219" s="49">
        <v>34.11</v>
      </c>
      <c r="G219" s="49" t="s">
        <v>43</v>
      </c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>
      <c r="A220" s="49">
        <v>219</v>
      </c>
      <c r="B220" s="51" t="s">
        <v>547</v>
      </c>
      <c r="C220" s="52" t="s">
        <v>40</v>
      </c>
      <c r="D220" s="74" t="s">
        <v>41</v>
      </c>
      <c r="E220" s="74" t="s">
        <v>548</v>
      </c>
      <c r="F220" s="49">
        <v>37.42</v>
      </c>
      <c r="G220" s="49" t="s">
        <v>43</v>
      </c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>
      <c r="A221" s="49">
        <v>220</v>
      </c>
      <c r="B221" s="51" t="s">
        <v>549</v>
      </c>
      <c r="C221" s="52" t="s">
        <v>45</v>
      </c>
      <c r="D221" s="74" t="s">
        <v>550</v>
      </c>
      <c r="E221" s="74" t="s">
        <v>551</v>
      </c>
      <c r="F221" s="49">
        <v>20.81</v>
      </c>
      <c r="G221" s="49" t="s">
        <v>43</v>
      </c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>
      <c r="A222" s="49">
        <v>221</v>
      </c>
      <c r="B222" s="51" t="s">
        <v>552</v>
      </c>
      <c r="C222" s="52" t="s">
        <v>45</v>
      </c>
      <c r="D222" s="74" t="s">
        <v>214</v>
      </c>
      <c r="E222" s="74" t="s">
        <v>553</v>
      </c>
      <c r="F222" s="49">
        <v>37.369999999999997</v>
      </c>
      <c r="G222" s="49" t="s">
        <v>43</v>
      </c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>
      <c r="A223" s="49">
        <v>222</v>
      </c>
      <c r="B223" s="51" t="s">
        <v>554</v>
      </c>
      <c r="C223" s="52" t="s">
        <v>45</v>
      </c>
      <c r="D223" s="74" t="s">
        <v>555</v>
      </c>
      <c r="E223" s="74" t="s">
        <v>556</v>
      </c>
      <c r="F223" s="49">
        <v>43.14</v>
      </c>
      <c r="G223" s="49" t="s">
        <v>43</v>
      </c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>
      <c r="A224" s="49">
        <v>223</v>
      </c>
      <c r="B224" s="51" t="s">
        <v>557</v>
      </c>
      <c r="C224" s="52" t="s">
        <v>45</v>
      </c>
      <c r="D224" s="74" t="s">
        <v>62</v>
      </c>
      <c r="E224" s="74" t="s">
        <v>558</v>
      </c>
      <c r="F224" s="49">
        <v>37.56</v>
      </c>
      <c r="G224" s="49" t="s">
        <v>43</v>
      </c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>
      <c r="A225" s="49">
        <v>224</v>
      </c>
      <c r="B225" s="51" t="s">
        <v>559</v>
      </c>
      <c r="C225" s="52" t="s">
        <v>52</v>
      </c>
      <c r="D225" s="74" t="s">
        <v>560</v>
      </c>
      <c r="E225" s="74" t="s">
        <v>561</v>
      </c>
      <c r="F225" s="49">
        <v>36.380000000000003</v>
      </c>
      <c r="G225" s="49" t="s">
        <v>43</v>
      </c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>
      <c r="A226" s="49">
        <v>225</v>
      </c>
      <c r="B226" s="51" t="s">
        <v>562</v>
      </c>
      <c r="C226" s="52" t="s">
        <v>40</v>
      </c>
      <c r="D226" s="74" t="s">
        <v>411</v>
      </c>
      <c r="E226" s="74" t="s">
        <v>563</v>
      </c>
      <c r="F226" s="49">
        <v>44.35</v>
      </c>
      <c r="G226" s="49" t="s">
        <v>43</v>
      </c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>
      <c r="A227" s="49">
        <v>226</v>
      </c>
      <c r="B227" s="51" t="s">
        <v>564</v>
      </c>
      <c r="C227" s="52" t="s">
        <v>40</v>
      </c>
      <c r="D227" s="74" t="s">
        <v>414</v>
      </c>
      <c r="E227" s="74" t="s">
        <v>565</v>
      </c>
      <c r="F227" s="49">
        <v>64.33</v>
      </c>
      <c r="G227" s="49" t="s">
        <v>43</v>
      </c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>
      <c r="A228" s="49">
        <v>227</v>
      </c>
      <c r="B228" s="51" t="s">
        <v>566</v>
      </c>
      <c r="C228" s="52" t="s">
        <v>45</v>
      </c>
      <c r="D228" s="74" t="s">
        <v>59</v>
      </c>
      <c r="E228" s="74" t="s">
        <v>567</v>
      </c>
      <c r="F228" s="49">
        <v>36.53</v>
      </c>
      <c r="G228" s="49" t="s">
        <v>43</v>
      </c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>
      <c r="A229" s="49">
        <v>228</v>
      </c>
      <c r="B229" s="51" t="s">
        <v>568</v>
      </c>
      <c r="C229" s="52" t="s">
        <v>45</v>
      </c>
      <c r="D229" s="74" t="s">
        <v>123</v>
      </c>
      <c r="E229" s="74" t="s">
        <v>569</v>
      </c>
      <c r="F229" s="49">
        <v>39.1</v>
      </c>
      <c r="G229" s="49" t="s">
        <v>43</v>
      </c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>
      <c r="A230" s="49">
        <v>229</v>
      </c>
      <c r="B230" s="51" t="s">
        <v>570</v>
      </c>
      <c r="C230" s="52" t="s">
        <v>45</v>
      </c>
      <c r="D230" s="74" t="s">
        <v>123</v>
      </c>
      <c r="E230" s="74" t="s">
        <v>571</v>
      </c>
      <c r="F230" s="49">
        <v>35.15</v>
      </c>
      <c r="G230" s="49" t="s">
        <v>43</v>
      </c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>
      <c r="A231" s="49">
        <v>230</v>
      </c>
      <c r="B231" s="51" t="s">
        <v>572</v>
      </c>
      <c r="C231" s="52" t="s">
        <v>45</v>
      </c>
      <c r="D231" s="74" t="s">
        <v>555</v>
      </c>
      <c r="E231" s="74" t="s">
        <v>573</v>
      </c>
      <c r="F231" s="49">
        <v>59.44</v>
      </c>
      <c r="G231" s="49" t="s">
        <v>43</v>
      </c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>
      <c r="A232" s="49">
        <v>231</v>
      </c>
      <c r="B232" s="51" t="s">
        <v>574</v>
      </c>
      <c r="C232" s="52" t="s">
        <v>40</v>
      </c>
      <c r="D232" s="74" t="s">
        <v>575</v>
      </c>
      <c r="E232" s="74" t="s">
        <v>576</v>
      </c>
      <c r="F232" s="49">
        <v>43.62</v>
      </c>
      <c r="G232" s="49" t="s">
        <v>43</v>
      </c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>
      <c r="A233" s="49">
        <v>232</v>
      </c>
      <c r="B233" s="51" t="s">
        <v>577</v>
      </c>
      <c r="C233" s="52" t="s">
        <v>40</v>
      </c>
      <c r="D233" s="74" t="s">
        <v>411</v>
      </c>
      <c r="E233" s="74" t="s">
        <v>578</v>
      </c>
      <c r="F233" s="49">
        <v>48.75</v>
      </c>
      <c r="G233" s="49" t="s">
        <v>43</v>
      </c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>
      <c r="A234" s="49">
        <v>233</v>
      </c>
      <c r="B234" s="51" t="s">
        <v>579</v>
      </c>
      <c r="C234" s="52" t="s">
        <v>52</v>
      </c>
      <c r="D234" s="74" t="s">
        <v>62</v>
      </c>
      <c r="E234" s="74" t="s">
        <v>580</v>
      </c>
      <c r="F234" s="49">
        <v>31.19</v>
      </c>
      <c r="G234" s="49" t="s">
        <v>43</v>
      </c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>
      <c r="A235" s="49">
        <v>234</v>
      </c>
      <c r="B235" s="51" t="s">
        <v>581</v>
      </c>
      <c r="C235" s="52" t="s">
        <v>40</v>
      </c>
      <c r="D235" s="74" t="s">
        <v>92</v>
      </c>
      <c r="E235" s="74" t="s">
        <v>582</v>
      </c>
      <c r="F235" s="49">
        <v>38.869999999999997</v>
      </c>
      <c r="G235" s="49" t="s">
        <v>43</v>
      </c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>
      <c r="A236" s="49">
        <v>235</v>
      </c>
      <c r="B236" s="51" t="s">
        <v>583</v>
      </c>
      <c r="C236" s="52" t="s">
        <v>40</v>
      </c>
      <c r="D236" s="74" t="s">
        <v>414</v>
      </c>
      <c r="E236" s="74" t="s">
        <v>584</v>
      </c>
      <c r="F236" s="49">
        <v>49.28</v>
      </c>
      <c r="G236" s="49" t="s">
        <v>43</v>
      </c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>
      <c r="A237" s="49">
        <v>236</v>
      </c>
      <c r="B237" s="51" t="s">
        <v>585</v>
      </c>
      <c r="C237" s="52" t="s">
        <v>45</v>
      </c>
      <c r="D237" s="74" t="s">
        <v>414</v>
      </c>
      <c r="E237" s="74" t="s">
        <v>586</v>
      </c>
      <c r="F237" s="49">
        <v>44.66</v>
      </c>
      <c r="G237" s="49" t="s">
        <v>43</v>
      </c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>
      <c r="A238" s="49">
        <v>237</v>
      </c>
      <c r="B238" s="51" t="s">
        <v>587</v>
      </c>
      <c r="C238" s="52" t="s">
        <v>40</v>
      </c>
      <c r="D238" s="74" t="s">
        <v>98</v>
      </c>
      <c r="E238" s="74" t="s">
        <v>588</v>
      </c>
      <c r="F238" s="49">
        <v>62.76</v>
      </c>
      <c r="G238" s="49" t="s">
        <v>43</v>
      </c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>
      <c r="A239" s="49">
        <v>238</v>
      </c>
      <c r="B239" s="51" t="s">
        <v>589</v>
      </c>
      <c r="C239" s="52" t="s">
        <v>45</v>
      </c>
      <c r="D239" s="74" t="s">
        <v>123</v>
      </c>
      <c r="E239" s="74" t="s">
        <v>590</v>
      </c>
      <c r="F239" s="49">
        <v>59.65</v>
      </c>
      <c r="G239" s="49" t="s">
        <v>43</v>
      </c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>
      <c r="A240" s="49">
        <v>239</v>
      </c>
      <c r="B240" s="51" t="s">
        <v>591</v>
      </c>
      <c r="C240" s="52" t="s">
        <v>52</v>
      </c>
      <c r="D240" s="74" t="s">
        <v>592</v>
      </c>
      <c r="E240" s="74" t="s">
        <v>593</v>
      </c>
      <c r="F240" s="49">
        <v>42.44</v>
      </c>
      <c r="G240" s="49" t="s">
        <v>43</v>
      </c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>
      <c r="A241" s="49">
        <v>240</v>
      </c>
      <c r="B241" s="51" t="s">
        <v>594</v>
      </c>
      <c r="C241" s="52" t="s">
        <v>45</v>
      </c>
      <c r="D241" s="74" t="s">
        <v>595</v>
      </c>
      <c r="E241" s="74" t="s">
        <v>596</v>
      </c>
      <c r="F241" s="49">
        <v>42.89</v>
      </c>
      <c r="G241" s="49" t="s">
        <v>43</v>
      </c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>
      <c r="A242" s="49">
        <v>241</v>
      </c>
      <c r="B242" s="51" t="s">
        <v>597</v>
      </c>
      <c r="C242" s="52" t="s">
        <v>45</v>
      </c>
      <c r="D242" s="74" t="s">
        <v>598</v>
      </c>
      <c r="E242" s="74" t="s">
        <v>599</v>
      </c>
      <c r="F242" s="49">
        <v>54.49</v>
      </c>
      <c r="G242" s="49" t="s">
        <v>43</v>
      </c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>
      <c r="A243" s="49">
        <v>242</v>
      </c>
      <c r="B243" s="51" t="s">
        <v>600</v>
      </c>
      <c r="C243" s="52" t="s">
        <v>40</v>
      </c>
      <c r="D243" s="74" t="s">
        <v>601</v>
      </c>
      <c r="E243" s="74" t="s">
        <v>602</v>
      </c>
      <c r="F243" s="49">
        <v>56.37</v>
      </c>
      <c r="G243" s="49" t="s">
        <v>43</v>
      </c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>
      <c r="A244" s="49">
        <v>243</v>
      </c>
      <c r="B244" s="51" t="s">
        <v>603</v>
      </c>
      <c r="C244" s="52" t="s">
        <v>40</v>
      </c>
      <c r="D244" s="74" t="s">
        <v>123</v>
      </c>
      <c r="E244" s="74" t="s">
        <v>604</v>
      </c>
      <c r="F244" s="49">
        <v>60.66</v>
      </c>
      <c r="G244" s="49" t="s">
        <v>43</v>
      </c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>
      <c r="A245" s="49">
        <v>244</v>
      </c>
      <c r="B245" s="51" t="s">
        <v>605</v>
      </c>
      <c r="C245" s="52" t="s">
        <v>45</v>
      </c>
      <c r="D245" s="74" t="s">
        <v>446</v>
      </c>
      <c r="E245" s="74" t="s">
        <v>606</v>
      </c>
      <c r="F245" s="49">
        <v>51.99</v>
      </c>
      <c r="G245" s="49" t="s">
        <v>43</v>
      </c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>
      <c r="A246" s="49">
        <v>245</v>
      </c>
      <c r="B246" s="51" t="s">
        <v>607</v>
      </c>
      <c r="C246" s="52" t="s">
        <v>45</v>
      </c>
      <c r="D246" s="74" t="s">
        <v>123</v>
      </c>
      <c r="E246" s="74" t="s">
        <v>608</v>
      </c>
      <c r="F246" s="49">
        <v>55.18</v>
      </c>
      <c r="G246" s="49" t="s">
        <v>43</v>
      </c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>
      <c r="A247" s="49">
        <v>246</v>
      </c>
      <c r="B247" s="51" t="s">
        <v>609</v>
      </c>
      <c r="C247" s="52" t="s">
        <v>40</v>
      </c>
      <c r="D247" s="74" t="s">
        <v>398</v>
      </c>
      <c r="E247" s="74" t="s">
        <v>610</v>
      </c>
      <c r="F247" s="49">
        <v>44.77</v>
      </c>
      <c r="G247" s="49" t="s">
        <v>43</v>
      </c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>
      <c r="A248" s="49">
        <v>247</v>
      </c>
      <c r="B248" s="51" t="s">
        <v>611</v>
      </c>
      <c r="C248" s="52" t="s">
        <v>45</v>
      </c>
      <c r="D248" s="74" t="s">
        <v>612</v>
      </c>
      <c r="E248" s="74" t="s">
        <v>610</v>
      </c>
      <c r="F248" s="49">
        <v>47.27</v>
      </c>
      <c r="G248" s="49" t="s">
        <v>43</v>
      </c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>
      <c r="A249" s="49">
        <v>248</v>
      </c>
      <c r="B249" s="51" t="s">
        <v>613</v>
      </c>
      <c r="C249" s="52" t="s">
        <v>52</v>
      </c>
      <c r="D249" s="74" t="s">
        <v>612</v>
      </c>
      <c r="E249" s="74" t="s">
        <v>417</v>
      </c>
      <c r="F249" s="49">
        <v>39.36</v>
      </c>
      <c r="G249" s="49" t="s">
        <v>43</v>
      </c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>
      <c r="A250" s="49">
        <v>249</v>
      </c>
      <c r="B250" s="51" t="s">
        <v>614</v>
      </c>
      <c r="C250" s="52" t="s">
        <v>45</v>
      </c>
      <c r="D250" s="74" t="s">
        <v>168</v>
      </c>
      <c r="E250" s="74" t="s">
        <v>615</v>
      </c>
      <c r="F250" s="49">
        <v>53.9</v>
      </c>
      <c r="G250" s="49" t="s">
        <v>43</v>
      </c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>
      <c r="A251" s="49">
        <v>250</v>
      </c>
      <c r="B251" s="51" t="s">
        <v>616</v>
      </c>
      <c r="C251" s="52" t="s">
        <v>45</v>
      </c>
      <c r="D251" s="74" t="s">
        <v>414</v>
      </c>
      <c r="E251" s="74" t="s">
        <v>617</v>
      </c>
      <c r="F251" s="49">
        <v>51.66</v>
      </c>
      <c r="G251" s="49" t="s">
        <v>43</v>
      </c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>
      <c r="A252" s="49">
        <v>251</v>
      </c>
      <c r="B252" s="51" t="s">
        <v>618</v>
      </c>
      <c r="C252" s="52" t="s">
        <v>45</v>
      </c>
      <c r="D252" s="74" t="s">
        <v>390</v>
      </c>
      <c r="E252" s="74" t="s">
        <v>619</v>
      </c>
      <c r="F252" s="49">
        <v>45.47</v>
      </c>
      <c r="G252" s="49" t="s">
        <v>43</v>
      </c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>
      <c r="A253" s="49">
        <v>252</v>
      </c>
      <c r="B253" s="51" t="s">
        <v>620</v>
      </c>
      <c r="C253" s="52" t="s">
        <v>40</v>
      </c>
      <c r="D253" s="74" t="s">
        <v>431</v>
      </c>
      <c r="E253" s="74" t="s">
        <v>621</v>
      </c>
      <c r="F253" s="49">
        <v>54.29</v>
      </c>
      <c r="G253" s="49" t="s">
        <v>43</v>
      </c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>
      <c r="A254" s="49">
        <v>253</v>
      </c>
      <c r="B254" s="51" t="s">
        <v>622</v>
      </c>
      <c r="C254" s="52" t="s">
        <v>45</v>
      </c>
      <c r="D254" s="74" t="s">
        <v>623</v>
      </c>
      <c r="E254" s="74" t="s">
        <v>624</v>
      </c>
      <c r="F254" s="49">
        <v>45.4</v>
      </c>
      <c r="G254" s="49" t="s">
        <v>43</v>
      </c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>
      <c r="A255" s="49">
        <v>254</v>
      </c>
      <c r="B255" s="51" t="s">
        <v>625</v>
      </c>
      <c r="C255" s="52" t="s">
        <v>45</v>
      </c>
      <c r="D255" s="74" t="s">
        <v>161</v>
      </c>
      <c r="E255" s="74" t="s">
        <v>626</v>
      </c>
      <c r="F255" s="49">
        <v>46.52</v>
      </c>
      <c r="G255" s="49" t="s">
        <v>43</v>
      </c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>
      <c r="A256" s="49">
        <v>255</v>
      </c>
      <c r="B256" s="51" t="s">
        <v>627</v>
      </c>
      <c r="C256" s="52" t="s">
        <v>45</v>
      </c>
      <c r="D256" s="74" t="s">
        <v>385</v>
      </c>
      <c r="E256" s="74" t="s">
        <v>628</v>
      </c>
      <c r="F256" s="49">
        <v>45.53</v>
      </c>
      <c r="G256" s="49" t="s">
        <v>43</v>
      </c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>
      <c r="A257" s="49">
        <v>256</v>
      </c>
      <c r="B257" s="51" t="s">
        <v>629</v>
      </c>
      <c r="C257" s="52" t="s">
        <v>40</v>
      </c>
      <c r="D257" s="74" t="s">
        <v>214</v>
      </c>
      <c r="E257" s="74" t="s">
        <v>630</v>
      </c>
      <c r="F257" s="49">
        <v>51.84</v>
      </c>
      <c r="G257" s="49" t="s">
        <v>43</v>
      </c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>
      <c r="A258" s="49">
        <v>257</v>
      </c>
      <c r="B258" s="51" t="s">
        <v>631</v>
      </c>
      <c r="C258" s="52" t="s">
        <v>40</v>
      </c>
      <c r="D258" s="74" t="s">
        <v>277</v>
      </c>
      <c r="E258" s="74" t="s">
        <v>230</v>
      </c>
      <c r="F258" s="49">
        <v>50.72</v>
      </c>
      <c r="G258" s="49" t="s">
        <v>43</v>
      </c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>
      <c r="A259" s="49">
        <v>258</v>
      </c>
      <c r="B259" s="51" t="s">
        <v>632</v>
      </c>
      <c r="C259" s="52" t="s">
        <v>40</v>
      </c>
      <c r="D259" s="74" t="s">
        <v>62</v>
      </c>
      <c r="E259" s="74" t="s">
        <v>633</v>
      </c>
      <c r="F259" s="49">
        <v>56.25</v>
      </c>
      <c r="G259" s="49" t="s">
        <v>43</v>
      </c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>
      <c r="A260" s="49">
        <v>259</v>
      </c>
      <c r="B260" s="51" t="s">
        <v>634</v>
      </c>
      <c r="C260" s="52" t="s">
        <v>45</v>
      </c>
      <c r="D260" s="74" t="s">
        <v>73</v>
      </c>
      <c r="E260" s="74" t="s">
        <v>635</v>
      </c>
      <c r="F260" s="49">
        <v>47.26</v>
      </c>
      <c r="G260" s="49" t="s">
        <v>43</v>
      </c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>
      <c r="A261" s="49">
        <v>260</v>
      </c>
      <c r="B261" s="51" t="s">
        <v>636</v>
      </c>
      <c r="C261" s="52" t="s">
        <v>45</v>
      </c>
      <c r="D261" s="74" t="s">
        <v>368</v>
      </c>
      <c r="E261" s="74" t="s">
        <v>637</v>
      </c>
      <c r="F261" s="49">
        <v>60.71</v>
      </c>
      <c r="G261" s="49" t="s">
        <v>43</v>
      </c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>
      <c r="A262" s="49">
        <v>261</v>
      </c>
      <c r="B262" s="51" t="s">
        <v>638</v>
      </c>
      <c r="C262" s="52" t="s">
        <v>45</v>
      </c>
      <c r="D262" s="74" t="s">
        <v>639</v>
      </c>
      <c r="E262" s="74" t="s">
        <v>640</v>
      </c>
      <c r="F262" s="49">
        <v>41.84</v>
      </c>
      <c r="G262" s="49" t="s">
        <v>43</v>
      </c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>
      <c r="A263" s="49">
        <v>262</v>
      </c>
      <c r="B263" s="51" t="s">
        <v>641</v>
      </c>
      <c r="C263" s="52" t="s">
        <v>52</v>
      </c>
      <c r="D263" s="74"/>
      <c r="E263" s="74" t="s">
        <v>642</v>
      </c>
      <c r="F263" s="49">
        <v>31.6</v>
      </c>
      <c r="G263" s="49" t="s">
        <v>459</v>
      </c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>
      <c r="A264" s="49">
        <v>263</v>
      </c>
      <c r="B264" s="51" t="s">
        <v>643</v>
      </c>
      <c r="C264" s="52" t="s">
        <v>40</v>
      </c>
      <c r="D264" s="74" t="s">
        <v>62</v>
      </c>
      <c r="E264" s="74"/>
      <c r="F264" s="49">
        <v>41.31</v>
      </c>
      <c r="G264" s="49" t="s">
        <v>43</v>
      </c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>
      <c r="A265" s="49">
        <v>264</v>
      </c>
      <c r="B265" s="51" t="s">
        <v>644</v>
      </c>
      <c r="C265" s="52" t="s">
        <v>45</v>
      </c>
      <c r="D265" s="74" t="s">
        <v>645</v>
      </c>
      <c r="E265" s="74" t="s">
        <v>646</v>
      </c>
      <c r="F265" s="49">
        <v>39.630000000000003</v>
      </c>
      <c r="G265" s="49" t="s">
        <v>43</v>
      </c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>
      <c r="A266" s="49">
        <v>265</v>
      </c>
      <c r="B266" s="51" t="s">
        <v>647</v>
      </c>
      <c r="C266" s="52" t="s">
        <v>52</v>
      </c>
      <c r="D266" s="74" t="s">
        <v>214</v>
      </c>
      <c r="E266" s="74" t="s">
        <v>648</v>
      </c>
      <c r="F266" s="49">
        <v>44.36</v>
      </c>
      <c r="G266" s="49" t="s">
        <v>43</v>
      </c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>
      <c r="A267" s="49">
        <v>266</v>
      </c>
      <c r="B267" s="51" t="s">
        <v>649</v>
      </c>
      <c r="C267" s="52" t="s">
        <v>40</v>
      </c>
      <c r="D267" s="74" t="s">
        <v>135</v>
      </c>
      <c r="E267" s="74" t="s">
        <v>650</v>
      </c>
      <c r="F267" s="49">
        <v>61.64</v>
      </c>
      <c r="G267" s="49" t="s">
        <v>43</v>
      </c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>
      <c r="A268" s="49">
        <v>267</v>
      </c>
      <c r="B268" s="51" t="s">
        <v>651</v>
      </c>
      <c r="C268" s="52" t="s">
        <v>45</v>
      </c>
      <c r="D268" s="74" t="s">
        <v>161</v>
      </c>
      <c r="E268" s="74" t="s">
        <v>652</v>
      </c>
      <c r="F268" s="49">
        <v>36.090000000000003</v>
      </c>
      <c r="G268" s="49" t="s">
        <v>43</v>
      </c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>
      <c r="A269" s="49">
        <v>268</v>
      </c>
      <c r="B269" s="51" t="s">
        <v>653</v>
      </c>
      <c r="C269" s="52" t="s">
        <v>40</v>
      </c>
      <c r="D269" s="74" t="s">
        <v>654</v>
      </c>
      <c r="E269" s="74" t="s">
        <v>655</v>
      </c>
      <c r="F269" s="49">
        <v>51.28</v>
      </c>
      <c r="G269" s="49" t="s">
        <v>43</v>
      </c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>
      <c r="A270" s="49">
        <v>269</v>
      </c>
      <c r="B270" s="51" t="s">
        <v>656</v>
      </c>
      <c r="C270" s="52" t="s">
        <v>52</v>
      </c>
      <c r="D270" s="74" t="s">
        <v>657</v>
      </c>
      <c r="E270" s="74" t="s">
        <v>658</v>
      </c>
      <c r="F270" s="49">
        <v>33.26</v>
      </c>
      <c r="G270" s="49" t="s">
        <v>43</v>
      </c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>
      <c r="A271" s="49">
        <v>270</v>
      </c>
      <c r="B271" s="51" t="s">
        <v>659</v>
      </c>
      <c r="C271" s="52" t="s">
        <v>40</v>
      </c>
      <c r="D271" s="74" t="s">
        <v>555</v>
      </c>
      <c r="E271" s="74" t="s">
        <v>660</v>
      </c>
      <c r="F271" s="49">
        <v>47.53</v>
      </c>
      <c r="G271" s="49" t="s">
        <v>43</v>
      </c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>
      <c r="A272" s="49">
        <v>271</v>
      </c>
      <c r="B272" s="51" t="s">
        <v>661</v>
      </c>
      <c r="C272" s="52" t="s">
        <v>45</v>
      </c>
      <c r="D272" s="74" t="s">
        <v>59</v>
      </c>
      <c r="E272" s="74" t="s">
        <v>662</v>
      </c>
      <c r="F272" s="49">
        <v>31.09</v>
      </c>
      <c r="G272" s="49" t="s">
        <v>43</v>
      </c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>
      <c r="A273" s="49">
        <v>272</v>
      </c>
      <c r="B273" s="51" t="s">
        <v>663</v>
      </c>
      <c r="C273" s="52" t="s">
        <v>52</v>
      </c>
      <c r="D273" s="74" t="s">
        <v>385</v>
      </c>
      <c r="E273" s="74" t="s">
        <v>664</v>
      </c>
      <c r="F273" s="49">
        <v>50.05</v>
      </c>
      <c r="G273" s="49" t="s">
        <v>43</v>
      </c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>
      <c r="A274" s="49">
        <v>273</v>
      </c>
      <c r="B274" s="51" t="s">
        <v>665</v>
      </c>
      <c r="C274" s="52" t="s">
        <v>52</v>
      </c>
      <c r="D274" s="74" t="s">
        <v>65</v>
      </c>
      <c r="E274" s="74" t="s">
        <v>666</v>
      </c>
      <c r="F274" s="49">
        <v>26.69</v>
      </c>
      <c r="G274" s="49" t="s">
        <v>43</v>
      </c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>
      <c r="A275" s="49">
        <v>274</v>
      </c>
      <c r="B275" s="51" t="s">
        <v>667</v>
      </c>
      <c r="C275" s="52" t="s">
        <v>45</v>
      </c>
      <c r="D275" s="74" t="s">
        <v>601</v>
      </c>
      <c r="E275" s="74" t="s">
        <v>668</v>
      </c>
      <c r="F275" s="49">
        <v>35.71</v>
      </c>
      <c r="G275" s="49" t="s">
        <v>43</v>
      </c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>
      <c r="A276" s="49">
        <v>275</v>
      </c>
      <c r="B276" s="51" t="s">
        <v>669</v>
      </c>
      <c r="C276" s="52" t="s">
        <v>45</v>
      </c>
      <c r="D276" s="74" t="s">
        <v>670</v>
      </c>
      <c r="E276" s="74" t="s">
        <v>671</v>
      </c>
      <c r="F276" s="49">
        <v>35.880000000000003</v>
      </c>
      <c r="G276" s="49" t="s">
        <v>43</v>
      </c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>
      <c r="A277" s="49">
        <v>276</v>
      </c>
      <c r="B277" s="51" t="s">
        <v>672</v>
      </c>
      <c r="C277" s="52" t="s">
        <v>40</v>
      </c>
      <c r="D277" s="74" t="s">
        <v>214</v>
      </c>
      <c r="E277" s="74" t="s">
        <v>20</v>
      </c>
      <c r="F277" s="49">
        <v>38.020000000000003</v>
      </c>
      <c r="G277" s="49" t="s">
        <v>43</v>
      </c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>
      <c r="A278" s="49">
        <v>277</v>
      </c>
      <c r="B278" s="51" t="s">
        <v>673</v>
      </c>
      <c r="C278" s="52" t="s">
        <v>45</v>
      </c>
      <c r="D278" s="74" t="s">
        <v>123</v>
      </c>
      <c r="E278" s="74" t="s">
        <v>674</v>
      </c>
      <c r="F278" s="49">
        <v>41.35</v>
      </c>
      <c r="G278" s="49" t="s">
        <v>43</v>
      </c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>
      <c r="A279" s="49">
        <v>278</v>
      </c>
      <c r="B279" s="51" t="s">
        <v>675</v>
      </c>
      <c r="C279" s="52" t="s">
        <v>40</v>
      </c>
      <c r="D279" s="74" t="s">
        <v>670</v>
      </c>
      <c r="E279" s="74" t="s">
        <v>676</v>
      </c>
      <c r="F279" s="49">
        <v>35.159999999999997</v>
      </c>
      <c r="G279" s="49" t="s">
        <v>43</v>
      </c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>
      <c r="A280" s="49">
        <v>279</v>
      </c>
      <c r="B280" s="51" t="s">
        <v>677</v>
      </c>
      <c r="C280" s="52" t="s">
        <v>45</v>
      </c>
      <c r="D280" s="74" t="s">
        <v>678</v>
      </c>
      <c r="E280" s="74" t="s">
        <v>679</v>
      </c>
      <c r="F280" s="49">
        <v>45.84</v>
      </c>
      <c r="G280" s="49" t="s">
        <v>43</v>
      </c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>
      <c r="A281" s="49">
        <v>280</v>
      </c>
      <c r="B281" s="51" t="s">
        <v>680</v>
      </c>
      <c r="C281" s="52" t="s">
        <v>45</v>
      </c>
      <c r="D281" s="74" t="s">
        <v>184</v>
      </c>
      <c r="E281" s="74" t="s">
        <v>681</v>
      </c>
      <c r="F281" s="49">
        <v>63.41</v>
      </c>
      <c r="G281" s="49" t="s">
        <v>43</v>
      </c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>
      <c r="A282" s="49">
        <v>281</v>
      </c>
      <c r="B282" s="51" t="s">
        <v>682</v>
      </c>
      <c r="C282" s="52" t="s">
        <v>45</v>
      </c>
      <c r="D282" s="74" t="s">
        <v>390</v>
      </c>
      <c r="E282" s="74" t="s">
        <v>683</v>
      </c>
      <c r="F282" s="49">
        <v>58.11</v>
      </c>
      <c r="G282" s="49" t="s">
        <v>43</v>
      </c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>
      <c r="A283" s="49">
        <v>282</v>
      </c>
      <c r="B283" s="51" t="s">
        <v>684</v>
      </c>
      <c r="C283" s="52" t="s">
        <v>52</v>
      </c>
      <c r="D283" s="74" t="s">
        <v>598</v>
      </c>
      <c r="E283" s="74" t="s">
        <v>685</v>
      </c>
      <c r="F283" s="49">
        <v>35.31</v>
      </c>
      <c r="G283" s="49" t="s">
        <v>43</v>
      </c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>
      <c r="A284" s="49">
        <v>283</v>
      </c>
      <c r="B284" s="51" t="s">
        <v>686</v>
      </c>
      <c r="C284" s="52" t="s">
        <v>40</v>
      </c>
      <c r="D284" s="74" t="s">
        <v>73</v>
      </c>
      <c r="E284" s="74" t="s">
        <v>687</v>
      </c>
      <c r="F284" s="49">
        <v>57.53</v>
      </c>
      <c r="G284" s="49" t="s">
        <v>43</v>
      </c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>
      <c r="A285" s="49">
        <v>284</v>
      </c>
      <c r="B285" s="51" t="s">
        <v>688</v>
      </c>
      <c r="C285" s="52" t="s">
        <v>45</v>
      </c>
      <c r="D285" s="74" t="s">
        <v>390</v>
      </c>
      <c r="E285" s="74" t="s">
        <v>689</v>
      </c>
      <c r="F285" s="49">
        <v>44.83</v>
      </c>
      <c r="G285" s="49" t="s">
        <v>43</v>
      </c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>
      <c r="A286" s="49">
        <v>285</v>
      </c>
      <c r="B286" s="51" t="s">
        <v>690</v>
      </c>
      <c r="C286" s="52" t="s">
        <v>45</v>
      </c>
      <c r="D286" s="74" t="s">
        <v>414</v>
      </c>
      <c r="E286" s="74" t="s">
        <v>691</v>
      </c>
      <c r="F286" s="49">
        <v>39.6</v>
      </c>
      <c r="G286" s="49" t="s">
        <v>43</v>
      </c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>
      <c r="A287" s="49">
        <v>286</v>
      </c>
      <c r="B287" s="51" t="s">
        <v>692</v>
      </c>
      <c r="C287" s="52" t="s">
        <v>45</v>
      </c>
      <c r="D287" s="74" t="s">
        <v>342</v>
      </c>
      <c r="E287" s="74" t="s">
        <v>693</v>
      </c>
      <c r="F287" s="49">
        <v>53.87</v>
      </c>
      <c r="G287" s="49" t="s">
        <v>43</v>
      </c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>
      <c r="A288" s="49">
        <v>287</v>
      </c>
      <c r="B288" s="51" t="s">
        <v>694</v>
      </c>
      <c r="C288" s="52" t="s">
        <v>45</v>
      </c>
      <c r="D288" s="74" t="s">
        <v>438</v>
      </c>
      <c r="E288" s="74" t="s">
        <v>695</v>
      </c>
      <c r="F288" s="49">
        <v>53.94</v>
      </c>
      <c r="G288" s="49" t="s">
        <v>43</v>
      </c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>
      <c r="A289" s="49">
        <v>288</v>
      </c>
      <c r="B289" s="51" t="s">
        <v>696</v>
      </c>
      <c r="C289" s="52" t="s">
        <v>45</v>
      </c>
      <c r="D289" s="74" t="s">
        <v>446</v>
      </c>
      <c r="E289" s="74" t="s">
        <v>20</v>
      </c>
      <c r="F289" s="49">
        <v>21.64</v>
      </c>
      <c r="G289" s="49" t="s">
        <v>43</v>
      </c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>
      <c r="A290" s="49">
        <v>289</v>
      </c>
      <c r="B290" s="51" t="s">
        <v>697</v>
      </c>
      <c r="C290" s="52" t="s">
        <v>45</v>
      </c>
      <c r="D290" s="74" t="s">
        <v>123</v>
      </c>
      <c r="E290" s="74" t="s">
        <v>698</v>
      </c>
      <c r="F290" s="49">
        <v>53.57</v>
      </c>
      <c r="G290" s="49" t="s">
        <v>43</v>
      </c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>
      <c r="A291" s="49">
        <v>290</v>
      </c>
      <c r="B291" s="51" t="s">
        <v>699</v>
      </c>
      <c r="C291" s="52" t="s">
        <v>40</v>
      </c>
      <c r="D291" s="74" t="s">
        <v>135</v>
      </c>
      <c r="E291" s="74" t="s">
        <v>700</v>
      </c>
      <c r="F291" s="49">
        <v>36.74</v>
      </c>
      <c r="G291" s="49" t="s">
        <v>43</v>
      </c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>
      <c r="A292" s="49">
        <v>291</v>
      </c>
      <c r="B292" s="51" t="s">
        <v>701</v>
      </c>
      <c r="C292" s="52" t="s">
        <v>52</v>
      </c>
      <c r="D292" s="74" t="s">
        <v>161</v>
      </c>
      <c r="E292" s="74" t="s">
        <v>702</v>
      </c>
      <c r="F292" s="49">
        <v>43.09</v>
      </c>
      <c r="G292" s="49" t="s">
        <v>43</v>
      </c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>
      <c r="A293" s="49">
        <v>292</v>
      </c>
      <c r="B293" s="51" t="s">
        <v>703</v>
      </c>
      <c r="C293" s="52" t="s">
        <v>40</v>
      </c>
      <c r="D293" s="74" t="s">
        <v>704</v>
      </c>
      <c r="E293" s="74" t="s">
        <v>705</v>
      </c>
      <c r="F293" s="49">
        <v>55.46</v>
      </c>
      <c r="G293" s="49" t="s">
        <v>43</v>
      </c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>
      <c r="A294" s="49">
        <v>293</v>
      </c>
      <c r="B294" s="51" t="s">
        <v>706</v>
      </c>
      <c r="C294" s="52" t="s">
        <v>40</v>
      </c>
      <c r="D294" s="74" t="s">
        <v>59</v>
      </c>
      <c r="E294" s="74" t="s">
        <v>20</v>
      </c>
      <c r="F294" s="49">
        <v>60.44</v>
      </c>
      <c r="G294" s="49" t="s">
        <v>43</v>
      </c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>
      <c r="A295" s="49">
        <v>294</v>
      </c>
      <c r="B295" s="51" t="s">
        <v>707</v>
      </c>
      <c r="C295" s="52" t="s">
        <v>45</v>
      </c>
      <c r="D295" s="74" t="s">
        <v>708</v>
      </c>
      <c r="E295" s="74" t="s">
        <v>20</v>
      </c>
      <c r="F295" s="49">
        <v>49.81</v>
      </c>
      <c r="G295" s="49" t="s">
        <v>43</v>
      </c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>
      <c r="A296" s="49">
        <v>295</v>
      </c>
      <c r="B296" s="51" t="s">
        <v>709</v>
      </c>
      <c r="C296" s="52" t="s">
        <v>52</v>
      </c>
      <c r="D296" s="74" t="s">
        <v>710</v>
      </c>
      <c r="E296" s="74" t="s">
        <v>711</v>
      </c>
      <c r="F296" s="49">
        <v>43.36</v>
      </c>
      <c r="G296" s="49" t="s">
        <v>43</v>
      </c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>
      <c r="A297" s="49">
        <v>296</v>
      </c>
      <c r="B297" s="51" t="s">
        <v>712</v>
      </c>
      <c r="C297" s="52" t="s">
        <v>52</v>
      </c>
      <c r="D297" s="74" t="s">
        <v>713</v>
      </c>
      <c r="E297" s="74" t="s">
        <v>714</v>
      </c>
      <c r="F297" s="49">
        <v>57.24</v>
      </c>
      <c r="G297" s="49" t="s">
        <v>43</v>
      </c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>
      <c r="A298" s="49">
        <v>297</v>
      </c>
      <c r="B298" s="51" t="s">
        <v>715</v>
      </c>
      <c r="C298" s="52" t="s">
        <v>52</v>
      </c>
      <c r="D298" s="74" t="s">
        <v>716</v>
      </c>
      <c r="E298" s="74" t="s">
        <v>717</v>
      </c>
      <c r="F298" s="49">
        <v>46.76</v>
      </c>
      <c r="G298" s="49" t="s">
        <v>43</v>
      </c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>
      <c r="A299" s="49">
        <v>298</v>
      </c>
      <c r="B299" s="51" t="s">
        <v>718</v>
      </c>
      <c r="C299" s="52" t="s">
        <v>45</v>
      </c>
      <c r="D299" s="74" t="s">
        <v>414</v>
      </c>
      <c r="E299" s="74" t="s">
        <v>615</v>
      </c>
      <c r="F299" s="49">
        <v>46.81</v>
      </c>
      <c r="G299" s="49" t="s">
        <v>43</v>
      </c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>
      <c r="A300" s="49">
        <v>299</v>
      </c>
      <c r="B300" s="51" t="s">
        <v>719</v>
      </c>
      <c r="C300" s="52" t="s">
        <v>40</v>
      </c>
      <c r="D300" s="74" t="s">
        <v>135</v>
      </c>
      <c r="E300" s="74" t="s">
        <v>720</v>
      </c>
      <c r="F300" s="49">
        <v>42.1</v>
      </c>
      <c r="G300" s="49" t="s">
        <v>43</v>
      </c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>
      <c r="A301" s="49">
        <v>300</v>
      </c>
      <c r="B301" s="51" t="s">
        <v>721</v>
      </c>
      <c r="C301" s="52" t="s">
        <v>45</v>
      </c>
      <c r="D301" s="74" t="s">
        <v>455</v>
      </c>
      <c r="E301" s="74" t="s">
        <v>722</v>
      </c>
      <c r="F301" s="49">
        <v>42.35</v>
      </c>
      <c r="G301" s="49" t="s">
        <v>43</v>
      </c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>
      <c r="A302" s="49">
        <v>301</v>
      </c>
      <c r="B302" s="51" t="s">
        <v>723</v>
      </c>
      <c r="C302" s="52" t="s">
        <v>52</v>
      </c>
      <c r="D302" s="74" t="s">
        <v>724</v>
      </c>
      <c r="E302" s="74" t="s">
        <v>725</v>
      </c>
      <c r="F302" s="49">
        <v>42.82</v>
      </c>
      <c r="G302" s="49" t="s">
        <v>43</v>
      </c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>
      <c r="A303" s="49">
        <v>302</v>
      </c>
      <c r="B303" s="51" t="s">
        <v>726</v>
      </c>
      <c r="C303" s="52" t="s">
        <v>52</v>
      </c>
      <c r="D303" s="74" t="s">
        <v>670</v>
      </c>
      <c r="E303" s="74" t="s">
        <v>20</v>
      </c>
      <c r="F303" s="49">
        <v>51.33</v>
      </c>
      <c r="G303" s="49" t="s">
        <v>43</v>
      </c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>
      <c r="A304" s="49">
        <v>303</v>
      </c>
      <c r="B304" s="51" t="s">
        <v>727</v>
      </c>
      <c r="C304" s="52" t="s">
        <v>40</v>
      </c>
      <c r="D304" s="74" t="s">
        <v>214</v>
      </c>
      <c r="E304" s="74" t="s">
        <v>728</v>
      </c>
      <c r="F304" s="49">
        <v>43.83</v>
      </c>
      <c r="G304" s="49" t="s">
        <v>43</v>
      </c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>
      <c r="A305" s="49">
        <v>304</v>
      </c>
      <c r="B305" s="51" t="s">
        <v>729</v>
      </c>
      <c r="C305" s="52" t="s">
        <v>45</v>
      </c>
      <c r="D305" s="74" t="s">
        <v>214</v>
      </c>
      <c r="E305" s="74" t="s">
        <v>730</v>
      </c>
      <c r="F305" s="49">
        <v>37.78</v>
      </c>
      <c r="G305" s="49" t="s">
        <v>43</v>
      </c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>
      <c r="A306" s="49">
        <v>305</v>
      </c>
      <c r="B306" s="51" t="s">
        <v>731</v>
      </c>
      <c r="C306" s="52" t="s">
        <v>52</v>
      </c>
      <c r="D306" s="74" t="s">
        <v>732</v>
      </c>
      <c r="E306" s="74" t="s">
        <v>733</v>
      </c>
      <c r="F306" s="49">
        <v>40.200000000000003</v>
      </c>
      <c r="G306" s="49" t="s">
        <v>43</v>
      </c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>
      <c r="A307" s="49">
        <v>306</v>
      </c>
      <c r="B307" s="51" t="s">
        <v>734</v>
      </c>
      <c r="C307" s="52" t="s">
        <v>45</v>
      </c>
      <c r="D307" s="74" t="s">
        <v>161</v>
      </c>
      <c r="E307" s="74" t="s">
        <v>735</v>
      </c>
      <c r="F307" s="49">
        <v>29.18</v>
      </c>
      <c r="G307" s="49" t="s">
        <v>43</v>
      </c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>
      <c r="A308" s="49">
        <v>307</v>
      </c>
      <c r="B308" s="51" t="s">
        <v>736</v>
      </c>
      <c r="C308" s="52" t="s">
        <v>45</v>
      </c>
      <c r="D308" s="74" t="s">
        <v>737</v>
      </c>
      <c r="E308" s="74" t="s">
        <v>738</v>
      </c>
      <c r="F308" s="49">
        <v>33.770000000000003</v>
      </c>
      <c r="G308" s="49" t="s">
        <v>43</v>
      </c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>
      <c r="A309" s="49">
        <v>308</v>
      </c>
      <c r="B309" s="51" t="s">
        <v>739</v>
      </c>
      <c r="C309" s="52" t="s">
        <v>52</v>
      </c>
      <c r="D309" s="74" t="s">
        <v>737</v>
      </c>
      <c r="E309" s="74" t="s">
        <v>740</v>
      </c>
      <c r="F309" s="49">
        <v>35.130000000000003</v>
      </c>
      <c r="G309" s="49" t="s">
        <v>43</v>
      </c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>
      <c r="A310" s="49">
        <v>309</v>
      </c>
      <c r="B310" s="51" t="s">
        <v>741</v>
      </c>
      <c r="C310" s="52" t="s">
        <v>45</v>
      </c>
      <c r="D310" s="74" t="s">
        <v>214</v>
      </c>
      <c r="E310" s="74" t="s">
        <v>742</v>
      </c>
      <c r="F310" s="49">
        <v>46.14</v>
      </c>
      <c r="G310" s="49" t="s">
        <v>43</v>
      </c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>
      <c r="A311" s="49">
        <v>310</v>
      </c>
      <c r="B311" s="51" t="s">
        <v>743</v>
      </c>
      <c r="C311" s="52" t="s">
        <v>45</v>
      </c>
      <c r="D311" s="74" t="s">
        <v>744</v>
      </c>
      <c r="E311" s="74" t="s">
        <v>745</v>
      </c>
      <c r="F311" s="49">
        <v>31.89</v>
      </c>
      <c r="G311" s="49" t="s">
        <v>43</v>
      </c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>
      <c r="A312" s="49">
        <v>311</v>
      </c>
      <c r="B312" s="51" t="s">
        <v>746</v>
      </c>
      <c r="C312" s="52" t="s">
        <v>45</v>
      </c>
      <c r="D312" s="74" t="s">
        <v>135</v>
      </c>
      <c r="E312" s="74" t="s">
        <v>747</v>
      </c>
      <c r="F312" s="49">
        <v>61.13</v>
      </c>
      <c r="G312" s="49" t="s">
        <v>43</v>
      </c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>
      <c r="A313" s="49">
        <v>312</v>
      </c>
      <c r="B313" s="51" t="s">
        <v>748</v>
      </c>
      <c r="C313" s="52" t="s">
        <v>52</v>
      </c>
      <c r="D313" s="74" t="s">
        <v>749</v>
      </c>
      <c r="E313" s="74" t="s">
        <v>750</v>
      </c>
      <c r="F313" s="49">
        <v>51.11</v>
      </c>
      <c r="G313" s="49" t="s">
        <v>43</v>
      </c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>
      <c r="A314" s="49">
        <v>313</v>
      </c>
      <c r="B314" s="51" t="s">
        <v>751</v>
      </c>
      <c r="C314" s="52" t="s">
        <v>45</v>
      </c>
      <c r="D314" s="74" t="s">
        <v>752</v>
      </c>
      <c r="E314" s="74" t="s">
        <v>20</v>
      </c>
      <c r="F314" s="49">
        <v>44.55</v>
      </c>
      <c r="G314" s="49" t="s">
        <v>43</v>
      </c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>
      <c r="A315" s="49">
        <v>314</v>
      </c>
      <c r="B315" s="51" t="s">
        <v>753</v>
      </c>
      <c r="C315" s="52" t="s">
        <v>45</v>
      </c>
      <c r="D315" s="74" t="s">
        <v>724</v>
      </c>
      <c r="E315" s="74" t="s">
        <v>754</v>
      </c>
      <c r="F315" s="49">
        <v>44.6</v>
      </c>
      <c r="G315" s="49" t="s">
        <v>43</v>
      </c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>
      <c r="A316" s="49">
        <v>315</v>
      </c>
      <c r="B316" s="51" t="s">
        <v>755</v>
      </c>
      <c r="C316" s="52" t="s">
        <v>52</v>
      </c>
      <c r="D316" s="74" t="s">
        <v>756</v>
      </c>
      <c r="E316" s="74" t="s">
        <v>757</v>
      </c>
      <c r="F316" s="49">
        <v>41.17</v>
      </c>
      <c r="G316" s="49" t="s">
        <v>43</v>
      </c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>
      <c r="A317" s="49">
        <v>316</v>
      </c>
      <c r="B317" s="51" t="s">
        <v>758</v>
      </c>
      <c r="C317" s="52" t="s">
        <v>52</v>
      </c>
      <c r="D317" s="74" t="s">
        <v>759</v>
      </c>
      <c r="E317" s="74" t="s">
        <v>760</v>
      </c>
      <c r="F317" s="49">
        <v>35.24</v>
      </c>
      <c r="G317" s="49" t="s">
        <v>43</v>
      </c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>
      <c r="A318" s="49">
        <v>317</v>
      </c>
      <c r="B318" s="51" t="s">
        <v>761</v>
      </c>
      <c r="C318" s="52" t="s">
        <v>52</v>
      </c>
      <c r="D318" s="74" t="s">
        <v>342</v>
      </c>
      <c r="E318" s="74" t="s">
        <v>762</v>
      </c>
      <c r="F318" s="49">
        <v>41.1</v>
      </c>
      <c r="G318" s="49" t="s">
        <v>43</v>
      </c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>
      <c r="A319" s="49">
        <v>318</v>
      </c>
      <c r="B319" s="51" t="s">
        <v>763</v>
      </c>
      <c r="C319" s="52" t="s">
        <v>45</v>
      </c>
      <c r="D319" s="74" t="s">
        <v>368</v>
      </c>
      <c r="E319" s="74" t="s">
        <v>20</v>
      </c>
      <c r="F319" s="49">
        <v>50.91</v>
      </c>
      <c r="G319" s="49" t="s">
        <v>43</v>
      </c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>
      <c r="A320" s="49">
        <v>319</v>
      </c>
      <c r="B320" s="51" t="s">
        <v>764</v>
      </c>
      <c r="C320" s="52" t="s">
        <v>45</v>
      </c>
      <c r="D320" s="74" t="s">
        <v>765</v>
      </c>
      <c r="E320" s="74" t="s">
        <v>766</v>
      </c>
      <c r="F320" s="49">
        <v>45.34</v>
      </c>
      <c r="G320" s="49" t="s">
        <v>43</v>
      </c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>
      <c r="A321" s="49">
        <v>320</v>
      </c>
      <c r="B321" s="51" t="s">
        <v>767</v>
      </c>
      <c r="C321" s="52" t="s">
        <v>45</v>
      </c>
      <c r="D321" s="74" t="s">
        <v>768</v>
      </c>
      <c r="E321" s="74" t="s">
        <v>20</v>
      </c>
      <c r="F321" s="49">
        <v>51.54</v>
      </c>
      <c r="G321" s="49" t="s">
        <v>43</v>
      </c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>
      <c r="A322" s="49">
        <v>321</v>
      </c>
      <c r="B322" s="51" t="s">
        <v>769</v>
      </c>
      <c r="C322" s="52" t="s">
        <v>52</v>
      </c>
      <c r="D322" s="74" t="s">
        <v>770</v>
      </c>
      <c r="E322" s="74" t="s">
        <v>355</v>
      </c>
      <c r="F322" s="49">
        <v>26.72</v>
      </c>
      <c r="G322" s="49" t="s">
        <v>43</v>
      </c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>
      <c r="A323" s="49">
        <v>322</v>
      </c>
      <c r="B323" s="51" t="s">
        <v>771</v>
      </c>
      <c r="C323" s="52" t="s">
        <v>45</v>
      </c>
      <c r="D323" s="74" t="s">
        <v>214</v>
      </c>
      <c r="E323" s="74" t="s">
        <v>772</v>
      </c>
      <c r="F323" s="49">
        <v>34.86</v>
      </c>
      <c r="G323" s="49" t="s">
        <v>43</v>
      </c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>
      <c r="A324" s="49">
        <v>323</v>
      </c>
      <c r="B324" s="51" t="s">
        <v>773</v>
      </c>
      <c r="C324" s="52" t="s">
        <v>45</v>
      </c>
      <c r="D324" s="74" t="s">
        <v>639</v>
      </c>
      <c r="E324" s="74" t="s">
        <v>774</v>
      </c>
      <c r="F324" s="49">
        <v>55.48</v>
      </c>
      <c r="G324" s="49" t="s">
        <v>43</v>
      </c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>
      <c r="A325" s="49">
        <v>324</v>
      </c>
      <c r="B325" s="51" t="s">
        <v>775</v>
      </c>
      <c r="C325" s="52" t="s">
        <v>45</v>
      </c>
      <c r="D325" s="74" t="s">
        <v>431</v>
      </c>
      <c r="E325" s="74" t="s">
        <v>776</v>
      </c>
      <c r="F325" s="49">
        <v>29.69</v>
      </c>
      <c r="G325" s="49" t="s">
        <v>43</v>
      </c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>
      <c r="A326" s="49">
        <v>325</v>
      </c>
      <c r="B326" s="51" t="s">
        <v>777</v>
      </c>
      <c r="C326" s="52" t="s">
        <v>45</v>
      </c>
      <c r="D326" s="74" t="s">
        <v>135</v>
      </c>
      <c r="E326" s="74" t="s">
        <v>778</v>
      </c>
      <c r="F326" s="49">
        <v>46.57</v>
      </c>
      <c r="G326" s="49" t="s">
        <v>43</v>
      </c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>
      <c r="A327" s="49">
        <v>326</v>
      </c>
      <c r="B327" s="51" t="s">
        <v>779</v>
      </c>
      <c r="C327" s="52" t="s">
        <v>40</v>
      </c>
      <c r="D327" s="74" t="s">
        <v>62</v>
      </c>
      <c r="E327" s="74" t="s">
        <v>780</v>
      </c>
      <c r="F327" s="49">
        <v>42.03</v>
      </c>
      <c r="G327" s="49" t="s">
        <v>43</v>
      </c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>
      <c r="A328" s="49">
        <v>327</v>
      </c>
      <c r="B328" s="51" t="s">
        <v>781</v>
      </c>
      <c r="C328" s="52" t="s">
        <v>52</v>
      </c>
      <c r="D328" s="74" t="s">
        <v>756</v>
      </c>
      <c r="E328" s="74" t="s">
        <v>20</v>
      </c>
      <c r="F328" s="49">
        <v>34.81</v>
      </c>
      <c r="G328" s="49" t="s">
        <v>43</v>
      </c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>
      <c r="A329" s="49">
        <v>328</v>
      </c>
      <c r="B329" s="51" t="s">
        <v>782</v>
      </c>
      <c r="C329" s="52" t="s">
        <v>45</v>
      </c>
      <c r="D329" s="74" t="s">
        <v>98</v>
      </c>
      <c r="E329" s="74" t="s">
        <v>783</v>
      </c>
      <c r="F329" s="49">
        <v>55.22</v>
      </c>
      <c r="G329" s="49" t="s">
        <v>43</v>
      </c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>
      <c r="A330" s="49">
        <v>329</v>
      </c>
      <c r="B330" s="51" t="s">
        <v>784</v>
      </c>
      <c r="C330" s="52" t="s">
        <v>52</v>
      </c>
      <c r="D330" s="74" t="s">
        <v>785</v>
      </c>
      <c r="E330" s="74" t="s">
        <v>786</v>
      </c>
      <c r="F330" s="49">
        <v>42.97</v>
      </c>
      <c r="G330" s="49" t="s">
        <v>43</v>
      </c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>
      <c r="A331" s="49">
        <v>330</v>
      </c>
      <c r="B331" s="51" t="s">
        <v>787</v>
      </c>
      <c r="C331" s="52" t="s">
        <v>52</v>
      </c>
      <c r="D331" s="74" t="s">
        <v>360</v>
      </c>
      <c r="E331" s="74" t="s">
        <v>20</v>
      </c>
      <c r="F331" s="49">
        <v>34.299999999999997</v>
      </c>
      <c r="G331" s="49" t="s">
        <v>43</v>
      </c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>
      <c r="A332" s="49">
        <v>331</v>
      </c>
      <c r="B332" s="51" t="s">
        <v>788</v>
      </c>
      <c r="C332" s="52" t="s">
        <v>45</v>
      </c>
      <c r="D332" s="74" t="s">
        <v>401</v>
      </c>
      <c r="E332" s="74" t="s">
        <v>20</v>
      </c>
      <c r="F332" s="49">
        <v>40.15</v>
      </c>
      <c r="G332" s="49" t="s">
        <v>43</v>
      </c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>
      <c r="A333" s="49">
        <v>332</v>
      </c>
      <c r="B333" s="51" t="s">
        <v>789</v>
      </c>
      <c r="C333" s="52" t="s">
        <v>45</v>
      </c>
      <c r="D333" s="74" t="s">
        <v>790</v>
      </c>
      <c r="E333" s="74" t="s">
        <v>791</v>
      </c>
      <c r="F333" s="49">
        <v>35</v>
      </c>
      <c r="G333" s="49" t="s">
        <v>43</v>
      </c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>
      <c r="A334" s="49">
        <v>333</v>
      </c>
      <c r="B334" s="51" t="s">
        <v>792</v>
      </c>
      <c r="C334" s="52" t="s">
        <v>45</v>
      </c>
      <c r="D334" s="74" t="s">
        <v>414</v>
      </c>
      <c r="E334" s="74" t="s">
        <v>793</v>
      </c>
      <c r="F334" s="49">
        <v>35.42</v>
      </c>
      <c r="G334" s="49" t="s">
        <v>43</v>
      </c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>
      <c r="A335" s="49">
        <v>334</v>
      </c>
      <c r="B335" s="51" t="s">
        <v>794</v>
      </c>
      <c r="C335" s="52" t="s">
        <v>45</v>
      </c>
      <c r="D335" s="74"/>
      <c r="E335" s="74" t="s">
        <v>795</v>
      </c>
      <c r="F335" s="49">
        <v>39.97</v>
      </c>
      <c r="G335" s="49" t="s">
        <v>43</v>
      </c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>
      <c r="A336" s="49">
        <v>335</v>
      </c>
      <c r="B336" s="51" t="s">
        <v>796</v>
      </c>
      <c r="C336" s="52" t="s">
        <v>52</v>
      </c>
      <c r="D336" s="74" t="s">
        <v>62</v>
      </c>
      <c r="E336" s="74"/>
      <c r="F336" s="49">
        <v>27.72</v>
      </c>
      <c r="G336" s="49" t="s">
        <v>43</v>
      </c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>
      <c r="A337" s="49">
        <v>336</v>
      </c>
      <c r="B337" s="51" t="s">
        <v>797</v>
      </c>
      <c r="C337" s="52" t="s">
        <v>52</v>
      </c>
      <c r="D337" s="74" t="s">
        <v>798</v>
      </c>
      <c r="E337" s="74" t="s">
        <v>799</v>
      </c>
      <c r="F337" s="49">
        <v>33.44</v>
      </c>
      <c r="G337" s="49" t="s">
        <v>43</v>
      </c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>
      <c r="A338" s="49">
        <v>337</v>
      </c>
      <c r="B338" s="51" t="s">
        <v>800</v>
      </c>
      <c r="C338" s="52" t="s">
        <v>45</v>
      </c>
      <c r="D338" s="74" t="s">
        <v>277</v>
      </c>
      <c r="E338" s="74" t="s">
        <v>615</v>
      </c>
      <c r="F338" s="49">
        <v>50.33</v>
      </c>
      <c r="G338" s="49" t="s">
        <v>43</v>
      </c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>
      <c r="A339" s="49">
        <v>338</v>
      </c>
      <c r="B339" s="51" t="s">
        <v>801</v>
      </c>
      <c r="C339" s="52" t="s">
        <v>45</v>
      </c>
      <c r="D339" s="74" t="s">
        <v>802</v>
      </c>
      <c r="E339" s="74" t="s">
        <v>803</v>
      </c>
      <c r="F339" s="49">
        <v>69.14</v>
      </c>
      <c r="G339" s="49" t="s">
        <v>43</v>
      </c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>
      <c r="A340" s="49">
        <v>339</v>
      </c>
      <c r="B340" s="51" t="s">
        <v>804</v>
      </c>
      <c r="C340" s="52" t="s">
        <v>40</v>
      </c>
      <c r="D340" s="74" t="s">
        <v>805</v>
      </c>
      <c r="E340" s="74" t="s">
        <v>806</v>
      </c>
      <c r="F340" s="49">
        <v>73.23</v>
      </c>
      <c r="G340" s="49" t="s">
        <v>43</v>
      </c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>
      <c r="A341" s="49">
        <v>340</v>
      </c>
      <c r="B341" s="51" t="s">
        <v>807</v>
      </c>
      <c r="C341" s="52" t="s">
        <v>52</v>
      </c>
      <c r="D341" s="74" t="s">
        <v>808</v>
      </c>
      <c r="E341" s="74" t="s">
        <v>809</v>
      </c>
      <c r="F341" s="49">
        <v>43.66</v>
      </c>
      <c r="G341" s="49" t="s">
        <v>43</v>
      </c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>
      <c r="A342" s="49">
        <v>341</v>
      </c>
      <c r="B342" s="51" t="s">
        <v>810</v>
      </c>
      <c r="C342" s="52" t="s">
        <v>45</v>
      </c>
      <c r="D342" s="74" t="s">
        <v>411</v>
      </c>
      <c r="E342" s="74" t="s">
        <v>811</v>
      </c>
      <c r="F342" s="49">
        <v>52.38</v>
      </c>
      <c r="G342" s="49" t="s">
        <v>43</v>
      </c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>
      <c r="A343" s="49">
        <v>342</v>
      </c>
      <c r="B343" s="51" t="s">
        <v>812</v>
      </c>
      <c r="C343" s="52" t="s">
        <v>40</v>
      </c>
      <c r="D343" s="74" t="s">
        <v>368</v>
      </c>
      <c r="E343" s="74" t="s">
        <v>813</v>
      </c>
      <c r="F343" s="49">
        <v>41.47</v>
      </c>
      <c r="G343" s="49" t="s">
        <v>43</v>
      </c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>
      <c r="A344" s="49">
        <v>343</v>
      </c>
      <c r="B344" s="51" t="s">
        <v>814</v>
      </c>
      <c r="C344" s="52" t="s">
        <v>45</v>
      </c>
      <c r="D344" s="74" t="s">
        <v>815</v>
      </c>
      <c r="E344" s="74" t="s">
        <v>816</v>
      </c>
      <c r="F344" s="49">
        <v>49.88</v>
      </c>
      <c r="G344" s="49" t="s">
        <v>43</v>
      </c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>
      <c r="A345" s="49">
        <v>344</v>
      </c>
      <c r="B345" s="51" t="s">
        <v>817</v>
      </c>
      <c r="C345" s="52" t="s">
        <v>40</v>
      </c>
      <c r="D345" s="74" t="s">
        <v>114</v>
      </c>
      <c r="E345" s="74" t="s">
        <v>818</v>
      </c>
      <c r="F345" s="49">
        <v>67.930000000000007</v>
      </c>
      <c r="G345" s="49" t="s">
        <v>43</v>
      </c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>
      <c r="A346" s="49">
        <v>345</v>
      </c>
      <c r="B346" s="51" t="s">
        <v>819</v>
      </c>
      <c r="C346" s="52" t="s">
        <v>40</v>
      </c>
      <c r="D346" s="74" t="s">
        <v>114</v>
      </c>
      <c r="E346" s="74" t="s">
        <v>470</v>
      </c>
      <c r="F346" s="49">
        <v>43.85</v>
      </c>
      <c r="G346" s="49" t="s">
        <v>43</v>
      </c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>
      <c r="A347" s="49">
        <v>346</v>
      </c>
      <c r="B347" s="51" t="s">
        <v>820</v>
      </c>
      <c r="C347" s="52" t="s">
        <v>40</v>
      </c>
      <c r="D347" s="74" t="s">
        <v>821</v>
      </c>
      <c r="E347" s="74" t="s">
        <v>822</v>
      </c>
      <c r="F347" s="49">
        <v>70.33</v>
      </c>
      <c r="G347" s="49" t="s">
        <v>43</v>
      </c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>
      <c r="A348" s="49">
        <v>347</v>
      </c>
      <c r="B348" s="51" t="s">
        <v>823</v>
      </c>
      <c r="C348" s="52" t="s">
        <v>45</v>
      </c>
      <c r="D348" s="74" t="s">
        <v>824</v>
      </c>
      <c r="E348" s="74" t="s">
        <v>825</v>
      </c>
      <c r="F348" s="49">
        <v>60.21</v>
      </c>
      <c r="G348" s="49" t="s">
        <v>43</v>
      </c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>
      <c r="A349" s="49">
        <v>348</v>
      </c>
      <c r="B349" s="51" t="s">
        <v>826</v>
      </c>
      <c r="C349" s="52" t="s">
        <v>45</v>
      </c>
      <c r="D349" s="74" t="s">
        <v>390</v>
      </c>
      <c r="E349" s="74" t="s">
        <v>827</v>
      </c>
      <c r="F349" s="49">
        <v>53.76</v>
      </c>
      <c r="G349" s="49" t="s">
        <v>43</v>
      </c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>
      <c r="A350" s="49">
        <v>349</v>
      </c>
      <c r="B350" s="51" t="s">
        <v>828</v>
      </c>
      <c r="C350" s="52" t="s">
        <v>40</v>
      </c>
      <c r="D350" s="74" t="s">
        <v>829</v>
      </c>
      <c r="E350" s="74" t="s">
        <v>830</v>
      </c>
      <c r="F350" s="49">
        <v>61.66</v>
      </c>
      <c r="G350" s="49" t="s">
        <v>43</v>
      </c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>
      <c r="A351" s="49">
        <v>350</v>
      </c>
      <c r="B351" s="51" t="s">
        <v>831</v>
      </c>
      <c r="C351" s="52" t="s">
        <v>40</v>
      </c>
      <c r="D351" s="74" t="s">
        <v>829</v>
      </c>
      <c r="E351" s="74" t="s">
        <v>832</v>
      </c>
      <c r="F351" s="49">
        <v>51.09</v>
      </c>
      <c r="G351" s="49" t="s">
        <v>43</v>
      </c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>
      <c r="A352" s="49">
        <v>351</v>
      </c>
      <c r="B352" s="51" t="s">
        <v>833</v>
      </c>
      <c r="C352" s="52" t="s">
        <v>45</v>
      </c>
      <c r="D352" s="74" t="s">
        <v>376</v>
      </c>
      <c r="E352" s="74" t="s">
        <v>834</v>
      </c>
      <c r="F352" s="49">
        <v>48.03</v>
      </c>
      <c r="G352" s="49" t="s">
        <v>43</v>
      </c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>
      <c r="A353" s="49">
        <v>352</v>
      </c>
      <c r="B353" s="51" t="s">
        <v>835</v>
      </c>
      <c r="C353" s="52" t="s">
        <v>52</v>
      </c>
      <c r="D353" s="74" t="s">
        <v>836</v>
      </c>
      <c r="E353" s="74" t="s">
        <v>429</v>
      </c>
      <c r="F353" s="49">
        <v>46.57</v>
      </c>
      <c r="G353" s="49" t="s">
        <v>43</v>
      </c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>
      <c r="A354" s="49">
        <v>353</v>
      </c>
      <c r="B354" s="51" t="s">
        <v>837</v>
      </c>
      <c r="C354" s="52" t="s">
        <v>45</v>
      </c>
      <c r="D354" s="74" t="s">
        <v>821</v>
      </c>
      <c r="E354" s="74" t="s">
        <v>838</v>
      </c>
      <c r="F354" s="49">
        <v>33.61</v>
      </c>
      <c r="G354" s="49" t="s">
        <v>43</v>
      </c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>
      <c r="A355" s="49">
        <v>354</v>
      </c>
      <c r="B355" s="51" t="s">
        <v>839</v>
      </c>
      <c r="C355" s="52" t="s">
        <v>52</v>
      </c>
      <c r="D355" s="74" t="s">
        <v>455</v>
      </c>
      <c r="E355" s="74" t="s">
        <v>840</v>
      </c>
      <c r="F355" s="49">
        <v>35.369999999999997</v>
      </c>
      <c r="G355" s="49" t="s">
        <v>43</v>
      </c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>
      <c r="A356" s="49">
        <v>355</v>
      </c>
      <c r="B356" s="51" t="s">
        <v>841</v>
      </c>
      <c r="C356" s="52" t="s">
        <v>45</v>
      </c>
      <c r="D356" s="74" t="s">
        <v>842</v>
      </c>
      <c r="E356" s="74" t="s">
        <v>843</v>
      </c>
      <c r="F356" s="49">
        <v>29.97</v>
      </c>
      <c r="G356" s="49" t="s">
        <v>43</v>
      </c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>
      <c r="A357" s="49">
        <v>356</v>
      </c>
      <c r="B357" s="51" t="s">
        <v>844</v>
      </c>
      <c r="C357" s="52" t="s">
        <v>45</v>
      </c>
      <c r="D357" s="74" t="s">
        <v>398</v>
      </c>
      <c r="E357" s="74" t="s">
        <v>20</v>
      </c>
      <c r="F357" s="49">
        <v>31.59</v>
      </c>
      <c r="G357" s="49" t="s">
        <v>43</v>
      </c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>
      <c r="A358" s="49">
        <v>357</v>
      </c>
      <c r="B358" s="51" t="s">
        <v>845</v>
      </c>
      <c r="C358" s="52" t="s">
        <v>45</v>
      </c>
      <c r="D358" s="74" t="s">
        <v>846</v>
      </c>
      <c r="E358" s="74" t="s">
        <v>20</v>
      </c>
      <c r="F358" s="49">
        <v>48.13</v>
      </c>
      <c r="G358" s="49" t="s">
        <v>43</v>
      </c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>
      <c r="A359" s="49">
        <v>358</v>
      </c>
      <c r="B359" s="51" t="s">
        <v>847</v>
      </c>
      <c r="C359" s="52" t="s">
        <v>52</v>
      </c>
      <c r="D359" s="74" t="s">
        <v>848</v>
      </c>
      <c r="E359" s="74" t="s">
        <v>849</v>
      </c>
      <c r="F359" s="49">
        <v>34.58</v>
      </c>
      <c r="G359" s="49" t="s">
        <v>43</v>
      </c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>
      <c r="A360" s="49">
        <v>359</v>
      </c>
      <c r="B360" s="51" t="s">
        <v>850</v>
      </c>
      <c r="C360" s="52" t="s">
        <v>40</v>
      </c>
      <c r="D360" s="74" t="s">
        <v>446</v>
      </c>
      <c r="E360" s="74" t="s">
        <v>851</v>
      </c>
      <c r="F360" s="49">
        <v>69.95</v>
      </c>
      <c r="G360" s="49" t="s">
        <v>43</v>
      </c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>
      <c r="A361" s="49">
        <v>360</v>
      </c>
      <c r="B361" s="51" t="s">
        <v>852</v>
      </c>
      <c r="C361" s="52" t="s">
        <v>45</v>
      </c>
      <c r="D361" s="74" t="s">
        <v>853</v>
      </c>
      <c r="E361" s="74" t="s">
        <v>417</v>
      </c>
      <c r="F361" s="49">
        <v>48.53</v>
      </c>
      <c r="G361" s="49" t="s">
        <v>43</v>
      </c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>
      <c r="A362" s="49">
        <v>361</v>
      </c>
      <c r="B362" s="51" t="s">
        <v>854</v>
      </c>
      <c r="C362" s="52" t="s">
        <v>45</v>
      </c>
      <c r="D362" s="74" t="s">
        <v>214</v>
      </c>
      <c r="E362" s="74" t="s">
        <v>652</v>
      </c>
      <c r="F362" s="49">
        <v>45.76</v>
      </c>
      <c r="G362" s="49" t="s">
        <v>43</v>
      </c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>
      <c r="A363" s="49">
        <v>362</v>
      </c>
      <c r="B363" s="51" t="s">
        <v>855</v>
      </c>
      <c r="C363" s="52" t="s">
        <v>45</v>
      </c>
      <c r="D363" s="74" t="s">
        <v>390</v>
      </c>
      <c r="E363" s="74" t="s">
        <v>856</v>
      </c>
      <c r="F363" s="49">
        <v>63.15</v>
      </c>
      <c r="G363" s="49" t="s">
        <v>43</v>
      </c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>
      <c r="A364" s="49">
        <v>363</v>
      </c>
      <c r="B364" s="51" t="s">
        <v>857</v>
      </c>
      <c r="C364" s="52" t="s">
        <v>52</v>
      </c>
      <c r="D364" s="74" t="s">
        <v>858</v>
      </c>
      <c r="E364" s="74" t="s">
        <v>417</v>
      </c>
      <c r="F364" s="49">
        <v>37.130000000000003</v>
      </c>
      <c r="G364" s="49" t="s">
        <v>43</v>
      </c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>
      <c r="A365" s="49">
        <v>364</v>
      </c>
      <c r="B365" s="51" t="s">
        <v>859</v>
      </c>
      <c r="C365" s="52" t="s">
        <v>45</v>
      </c>
      <c r="D365" s="74" t="s">
        <v>805</v>
      </c>
      <c r="E365" s="74" t="s">
        <v>860</v>
      </c>
      <c r="F365" s="49">
        <v>62.41</v>
      </c>
      <c r="G365" s="49" t="s">
        <v>43</v>
      </c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>
      <c r="A366" s="49">
        <v>365</v>
      </c>
      <c r="B366" s="51" t="s">
        <v>861</v>
      </c>
      <c r="C366" s="52" t="s">
        <v>45</v>
      </c>
      <c r="D366" s="74" t="s">
        <v>62</v>
      </c>
      <c r="E366" s="74" t="s">
        <v>862</v>
      </c>
      <c r="F366" s="49">
        <v>30.42</v>
      </c>
      <c r="G366" s="49" t="s">
        <v>43</v>
      </c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>
      <c r="A367" s="49">
        <v>366</v>
      </c>
      <c r="B367" s="51" t="s">
        <v>863</v>
      </c>
      <c r="C367" s="52" t="s">
        <v>45</v>
      </c>
      <c r="D367" s="74" t="s">
        <v>277</v>
      </c>
      <c r="E367" s="74" t="s">
        <v>864</v>
      </c>
      <c r="F367" s="49">
        <v>70.17</v>
      </c>
      <c r="G367" s="49" t="s">
        <v>43</v>
      </c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>
      <c r="A368" s="49">
        <v>367</v>
      </c>
      <c r="B368" s="51" t="s">
        <v>865</v>
      </c>
      <c r="C368" s="52" t="s">
        <v>40</v>
      </c>
      <c r="D368" s="74" t="s">
        <v>117</v>
      </c>
      <c r="E368" s="74" t="s">
        <v>866</v>
      </c>
      <c r="F368" s="49">
        <v>41.52</v>
      </c>
      <c r="G368" s="49" t="s">
        <v>43</v>
      </c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>
      <c r="A369" s="49">
        <v>368</v>
      </c>
      <c r="B369" s="51" t="s">
        <v>867</v>
      </c>
      <c r="C369" s="52" t="s">
        <v>45</v>
      </c>
      <c r="D369" s="74" t="s">
        <v>815</v>
      </c>
      <c r="E369" s="74" t="s">
        <v>868</v>
      </c>
      <c r="F369" s="49">
        <v>37.96</v>
      </c>
      <c r="G369" s="49" t="s">
        <v>43</v>
      </c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>
      <c r="A370" s="49">
        <v>369</v>
      </c>
      <c r="B370" s="51" t="s">
        <v>869</v>
      </c>
      <c r="C370" s="52" t="s">
        <v>45</v>
      </c>
      <c r="D370" s="74" t="s">
        <v>98</v>
      </c>
      <c r="E370" s="74" t="s">
        <v>742</v>
      </c>
      <c r="F370" s="49">
        <v>58.03</v>
      </c>
      <c r="G370" s="49" t="s">
        <v>43</v>
      </c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>
      <c r="A371" s="49">
        <v>370</v>
      </c>
      <c r="B371" s="51" t="s">
        <v>870</v>
      </c>
      <c r="C371" s="52" t="s">
        <v>45</v>
      </c>
      <c r="D371" s="74" t="s">
        <v>123</v>
      </c>
      <c r="E371" s="74" t="s">
        <v>20</v>
      </c>
      <c r="F371" s="49">
        <v>62.54</v>
      </c>
      <c r="G371" s="49" t="s">
        <v>43</v>
      </c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>
      <c r="A372" s="49">
        <v>371</v>
      </c>
      <c r="B372" s="51" t="s">
        <v>871</v>
      </c>
      <c r="C372" s="52" t="s">
        <v>40</v>
      </c>
      <c r="D372" s="74" t="s">
        <v>368</v>
      </c>
      <c r="E372" s="74" t="s">
        <v>872</v>
      </c>
      <c r="F372" s="49">
        <v>50.67</v>
      </c>
      <c r="G372" s="49" t="s">
        <v>43</v>
      </c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>
      <c r="A373" s="49">
        <v>372</v>
      </c>
      <c r="B373" s="51" t="s">
        <v>873</v>
      </c>
      <c r="C373" s="52" t="s">
        <v>45</v>
      </c>
      <c r="D373" s="74" t="s">
        <v>62</v>
      </c>
      <c r="E373" s="74"/>
      <c r="F373" s="49">
        <v>36.22</v>
      </c>
      <c r="G373" s="49" t="s">
        <v>43</v>
      </c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>
      <c r="A374" s="49">
        <v>373</v>
      </c>
      <c r="B374" s="51" t="s">
        <v>874</v>
      </c>
      <c r="C374" s="52" t="s">
        <v>45</v>
      </c>
      <c r="D374" s="74" t="s">
        <v>875</v>
      </c>
      <c r="E374" s="74" t="s">
        <v>876</v>
      </c>
      <c r="F374" s="49">
        <v>36.270000000000003</v>
      </c>
      <c r="G374" s="49" t="s">
        <v>43</v>
      </c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>
      <c r="A375" s="49">
        <v>374</v>
      </c>
      <c r="B375" s="51" t="s">
        <v>877</v>
      </c>
      <c r="C375" s="52" t="s">
        <v>40</v>
      </c>
      <c r="D375" s="74" t="s">
        <v>670</v>
      </c>
      <c r="E375" s="74" t="s">
        <v>816</v>
      </c>
      <c r="F375" s="49">
        <v>42.55</v>
      </c>
      <c r="G375" s="49" t="s">
        <v>43</v>
      </c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>
      <c r="A376" s="49">
        <v>375</v>
      </c>
      <c r="B376" s="51" t="s">
        <v>878</v>
      </c>
      <c r="C376" s="52" t="s">
        <v>45</v>
      </c>
      <c r="D376" s="74" t="s">
        <v>879</v>
      </c>
      <c r="E376" s="74" t="s">
        <v>880</v>
      </c>
      <c r="F376" s="49">
        <v>40.090000000000003</v>
      </c>
      <c r="G376" s="49" t="s">
        <v>43</v>
      </c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>
      <c r="A377" s="49">
        <v>376</v>
      </c>
      <c r="B377" s="51" t="s">
        <v>881</v>
      </c>
      <c r="C377" s="52" t="s">
        <v>45</v>
      </c>
      <c r="D377" s="74" t="s">
        <v>770</v>
      </c>
      <c r="E377" s="74" t="s">
        <v>642</v>
      </c>
      <c r="F377" s="49">
        <v>39.340000000000003</v>
      </c>
      <c r="G377" s="49" t="s">
        <v>43</v>
      </c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>
      <c r="A378" s="49">
        <v>377</v>
      </c>
      <c r="B378" s="51" t="s">
        <v>882</v>
      </c>
      <c r="C378" s="52" t="s">
        <v>45</v>
      </c>
      <c r="D378" s="74" t="s">
        <v>214</v>
      </c>
      <c r="E378" s="74" t="s">
        <v>883</v>
      </c>
      <c r="F378" s="49">
        <v>45.02</v>
      </c>
      <c r="G378" s="49" t="s">
        <v>43</v>
      </c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>
      <c r="A379" s="49">
        <v>378</v>
      </c>
      <c r="B379" s="51" t="s">
        <v>884</v>
      </c>
      <c r="C379" s="52" t="s">
        <v>45</v>
      </c>
      <c r="D379" s="74" t="s">
        <v>885</v>
      </c>
      <c r="E379" s="74" t="s">
        <v>886</v>
      </c>
      <c r="F379" s="49">
        <v>53.65</v>
      </c>
      <c r="G379" s="49" t="s">
        <v>43</v>
      </c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>
      <c r="A380" s="49">
        <v>379</v>
      </c>
      <c r="B380" s="51" t="s">
        <v>887</v>
      </c>
      <c r="C380" s="52" t="s">
        <v>45</v>
      </c>
      <c r="D380" s="74" t="s">
        <v>888</v>
      </c>
      <c r="E380" s="74" t="s">
        <v>889</v>
      </c>
      <c r="F380" s="49">
        <v>46.47</v>
      </c>
      <c r="G380" s="49" t="s">
        <v>43</v>
      </c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>
      <c r="A381" s="49">
        <v>380</v>
      </c>
      <c r="B381" s="51" t="s">
        <v>890</v>
      </c>
      <c r="C381" s="52" t="s">
        <v>45</v>
      </c>
      <c r="D381" s="74" t="s">
        <v>891</v>
      </c>
      <c r="E381" s="74" t="s">
        <v>892</v>
      </c>
      <c r="F381" s="49">
        <v>47.15</v>
      </c>
      <c r="G381" s="49" t="s">
        <v>43</v>
      </c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>
      <c r="A382" s="49">
        <v>381</v>
      </c>
      <c r="B382" s="51" t="s">
        <v>893</v>
      </c>
      <c r="C382" s="52" t="s">
        <v>52</v>
      </c>
      <c r="D382" s="74" t="s">
        <v>891</v>
      </c>
      <c r="E382" s="74" t="s">
        <v>894</v>
      </c>
      <c r="F382" s="49">
        <v>33.82</v>
      </c>
      <c r="G382" s="49" t="s">
        <v>43</v>
      </c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>
      <c r="A383" s="49">
        <v>382</v>
      </c>
      <c r="B383" s="51" t="s">
        <v>895</v>
      </c>
      <c r="C383" s="52" t="s">
        <v>45</v>
      </c>
      <c r="D383" s="74" t="s">
        <v>896</v>
      </c>
      <c r="E383" s="74" t="s">
        <v>253</v>
      </c>
      <c r="F383" s="49">
        <v>51.75</v>
      </c>
      <c r="G383" s="49" t="s">
        <v>43</v>
      </c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>
      <c r="A384" s="49">
        <v>383</v>
      </c>
      <c r="B384" s="51" t="s">
        <v>897</v>
      </c>
      <c r="C384" s="52" t="s">
        <v>40</v>
      </c>
      <c r="D384" s="74" t="s">
        <v>59</v>
      </c>
      <c r="E384" s="74" t="s">
        <v>898</v>
      </c>
      <c r="F384" s="49">
        <v>52.93</v>
      </c>
      <c r="G384" s="49" t="s">
        <v>43</v>
      </c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>
      <c r="A385" s="49">
        <v>384</v>
      </c>
      <c r="B385" s="51" t="s">
        <v>899</v>
      </c>
      <c r="C385" s="52" t="s">
        <v>45</v>
      </c>
      <c r="D385" s="74"/>
      <c r="E385" s="74" t="s">
        <v>900</v>
      </c>
      <c r="F385" s="49">
        <v>52.42</v>
      </c>
      <c r="G385" s="49" t="s">
        <v>43</v>
      </c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>
      <c r="A386" s="49">
        <v>385</v>
      </c>
      <c r="B386" s="51" t="s">
        <v>901</v>
      </c>
      <c r="C386" s="52" t="s">
        <v>45</v>
      </c>
      <c r="D386" s="74" t="s">
        <v>95</v>
      </c>
      <c r="E386" s="74" t="s">
        <v>902</v>
      </c>
      <c r="F386" s="49">
        <v>33.43</v>
      </c>
      <c r="G386" s="49" t="s">
        <v>43</v>
      </c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>
      <c r="A387" s="49">
        <v>386</v>
      </c>
      <c r="B387" s="51" t="s">
        <v>903</v>
      </c>
      <c r="C387" s="52" t="s">
        <v>45</v>
      </c>
      <c r="D387" s="74"/>
      <c r="E387" s="74" t="s">
        <v>904</v>
      </c>
      <c r="F387" s="49">
        <v>50.77</v>
      </c>
      <c r="G387" s="49" t="s">
        <v>43</v>
      </c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>
      <c r="A388" s="49">
        <v>387</v>
      </c>
      <c r="B388" s="51" t="s">
        <v>905</v>
      </c>
      <c r="C388" s="52" t="s">
        <v>40</v>
      </c>
      <c r="D388" s="74" t="s">
        <v>168</v>
      </c>
      <c r="E388" s="74" t="s">
        <v>906</v>
      </c>
      <c r="F388" s="49">
        <v>53.18</v>
      </c>
      <c r="G388" s="49" t="s">
        <v>43</v>
      </c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>
      <c r="A389" s="49">
        <v>388</v>
      </c>
      <c r="B389" s="51" t="s">
        <v>907</v>
      </c>
      <c r="C389" s="52" t="s">
        <v>45</v>
      </c>
      <c r="D389" s="74"/>
      <c r="E389" s="74" t="s">
        <v>908</v>
      </c>
      <c r="F389" s="49">
        <v>41.51</v>
      </c>
      <c r="G389" s="49" t="s">
        <v>43</v>
      </c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>
      <c r="A390" s="49">
        <v>389</v>
      </c>
      <c r="B390" s="51" t="s">
        <v>909</v>
      </c>
      <c r="C390" s="52" t="s">
        <v>40</v>
      </c>
      <c r="D390" s="74" t="s">
        <v>365</v>
      </c>
      <c r="E390" s="74" t="s">
        <v>880</v>
      </c>
      <c r="F390" s="49">
        <v>54.93</v>
      </c>
      <c r="G390" s="49" t="s">
        <v>43</v>
      </c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>
      <c r="A391" s="49">
        <v>390</v>
      </c>
      <c r="B391" s="51" t="s">
        <v>910</v>
      </c>
      <c r="C391" s="52" t="s">
        <v>45</v>
      </c>
      <c r="D391" s="74"/>
      <c r="E391" s="74" t="s">
        <v>911</v>
      </c>
      <c r="F391" s="49">
        <v>44.41</v>
      </c>
      <c r="G391" s="49" t="s">
        <v>43</v>
      </c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>
      <c r="A392" s="49">
        <v>391</v>
      </c>
      <c r="B392" s="51" t="s">
        <v>912</v>
      </c>
      <c r="C392" s="52" t="s">
        <v>52</v>
      </c>
      <c r="D392" s="74" t="s">
        <v>913</v>
      </c>
      <c r="E392" s="74" t="s">
        <v>914</v>
      </c>
      <c r="F392" s="49">
        <v>30.13</v>
      </c>
      <c r="G392" s="49" t="s">
        <v>43</v>
      </c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>
      <c r="A393" s="49">
        <v>392</v>
      </c>
      <c r="B393" s="51" t="s">
        <v>915</v>
      </c>
      <c r="C393" s="52" t="s">
        <v>40</v>
      </c>
      <c r="D393" s="74" t="s">
        <v>916</v>
      </c>
      <c r="E393" s="74" t="s">
        <v>917</v>
      </c>
      <c r="F393" s="49">
        <v>49.07</v>
      </c>
      <c r="G393" s="49" t="s">
        <v>43</v>
      </c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>
      <c r="A394" s="49">
        <v>393</v>
      </c>
      <c r="B394" s="51" t="s">
        <v>918</v>
      </c>
      <c r="C394" s="52" t="s">
        <v>45</v>
      </c>
      <c r="D394" s="74" t="s">
        <v>368</v>
      </c>
      <c r="E394" s="74" t="s">
        <v>919</v>
      </c>
      <c r="F394" s="49">
        <v>37.33</v>
      </c>
      <c r="G394" s="49" t="s">
        <v>43</v>
      </c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>
      <c r="A395" s="49">
        <v>394</v>
      </c>
      <c r="B395" s="51" t="s">
        <v>920</v>
      </c>
      <c r="C395" s="52" t="s">
        <v>45</v>
      </c>
      <c r="D395" s="74" t="s">
        <v>921</v>
      </c>
      <c r="E395" s="74" t="s">
        <v>922</v>
      </c>
      <c r="F395" s="49">
        <v>49.25</v>
      </c>
      <c r="G395" s="49" t="s">
        <v>43</v>
      </c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>
      <c r="A396" s="49">
        <v>395</v>
      </c>
      <c r="B396" s="51" t="s">
        <v>923</v>
      </c>
      <c r="C396" s="52" t="s">
        <v>45</v>
      </c>
      <c r="D396" s="74"/>
      <c r="E396" s="74" t="s">
        <v>924</v>
      </c>
      <c r="F396" s="49">
        <v>40.93</v>
      </c>
      <c r="G396" s="49" t="s">
        <v>43</v>
      </c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>
      <c r="A397" s="49">
        <v>396</v>
      </c>
      <c r="B397" s="51" t="s">
        <v>925</v>
      </c>
      <c r="C397" s="52" t="s">
        <v>45</v>
      </c>
      <c r="D397" s="74" t="s">
        <v>62</v>
      </c>
      <c r="E397" s="74" t="s">
        <v>432</v>
      </c>
      <c r="F397" s="49">
        <v>36.119999999999997</v>
      </c>
      <c r="G397" s="49" t="s">
        <v>43</v>
      </c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>
      <c r="A398" s="49">
        <v>397</v>
      </c>
      <c r="B398" s="51" t="s">
        <v>926</v>
      </c>
      <c r="C398" s="52" t="s">
        <v>45</v>
      </c>
      <c r="D398" s="74" t="s">
        <v>575</v>
      </c>
      <c r="E398" s="74" t="s">
        <v>927</v>
      </c>
      <c r="F398" s="49">
        <v>32.659999999999997</v>
      </c>
      <c r="G398" s="49" t="s">
        <v>43</v>
      </c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>
      <c r="A399" s="49">
        <v>398</v>
      </c>
      <c r="B399" s="51" t="s">
        <v>928</v>
      </c>
      <c r="C399" s="52" t="s">
        <v>45</v>
      </c>
      <c r="D399" s="74" t="s">
        <v>896</v>
      </c>
      <c r="E399" s="74" t="s">
        <v>929</v>
      </c>
      <c r="F399" s="49">
        <v>55.06</v>
      </c>
      <c r="G399" s="49" t="s">
        <v>43</v>
      </c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>
      <c r="A400" s="49">
        <v>399</v>
      </c>
      <c r="B400" s="51" t="s">
        <v>930</v>
      </c>
      <c r="C400" s="52" t="s">
        <v>45</v>
      </c>
      <c r="D400" s="74" t="s">
        <v>931</v>
      </c>
      <c r="E400" s="74" t="s">
        <v>932</v>
      </c>
      <c r="F400" s="49">
        <v>50.95</v>
      </c>
      <c r="G400" s="49" t="s">
        <v>43</v>
      </c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>
      <c r="A401" s="49">
        <v>400</v>
      </c>
      <c r="B401" s="51" t="s">
        <v>933</v>
      </c>
      <c r="C401" s="52" t="s">
        <v>45</v>
      </c>
      <c r="D401" s="74" t="s">
        <v>62</v>
      </c>
      <c r="E401" s="74" t="s">
        <v>417</v>
      </c>
      <c r="F401" s="49">
        <v>31.43</v>
      </c>
      <c r="G401" s="49" t="s">
        <v>43</v>
      </c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>
      <c r="A402" s="49">
        <v>401</v>
      </c>
      <c r="B402" s="51" t="s">
        <v>934</v>
      </c>
      <c r="C402" s="52" t="s">
        <v>40</v>
      </c>
      <c r="D402" s="74" t="s">
        <v>768</v>
      </c>
      <c r="E402" s="74" t="s">
        <v>816</v>
      </c>
      <c r="F402" s="49">
        <v>47.18</v>
      </c>
      <c r="G402" s="49" t="s">
        <v>43</v>
      </c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>
      <c r="A403" s="49">
        <v>402</v>
      </c>
      <c r="B403" s="51" t="s">
        <v>935</v>
      </c>
      <c r="C403" s="52" t="s">
        <v>45</v>
      </c>
      <c r="D403" s="74" t="s">
        <v>759</v>
      </c>
      <c r="E403" s="74" t="s">
        <v>936</v>
      </c>
      <c r="F403" s="49">
        <v>28.3</v>
      </c>
      <c r="G403" s="49" t="s">
        <v>43</v>
      </c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>
      <c r="A404" s="49">
        <v>403</v>
      </c>
      <c r="B404" s="51" t="s">
        <v>937</v>
      </c>
      <c r="C404" s="52" t="s">
        <v>52</v>
      </c>
      <c r="D404" s="74" t="s">
        <v>214</v>
      </c>
      <c r="E404" s="74" t="s">
        <v>938</v>
      </c>
      <c r="F404" s="49">
        <v>39.229999999999997</v>
      </c>
      <c r="G404" s="49" t="s">
        <v>43</v>
      </c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>
      <c r="A405" s="49">
        <v>404</v>
      </c>
      <c r="B405" s="51" t="s">
        <v>939</v>
      </c>
      <c r="C405" s="52" t="s">
        <v>40</v>
      </c>
      <c r="D405" s="74" t="s">
        <v>414</v>
      </c>
      <c r="E405" s="74" t="s">
        <v>940</v>
      </c>
      <c r="F405" s="49">
        <v>50.73</v>
      </c>
      <c r="G405" s="49" t="s">
        <v>43</v>
      </c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>
      <c r="A406" s="49">
        <v>405</v>
      </c>
      <c r="B406" s="51" t="s">
        <v>941</v>
      </c>
      <c r="C406" s="52" t="s">
        <v>40</v>
      </c>
      <c r="D406" s="74" t="s">
        <v>368</v>
      </c>
      <c r="E406" s="74" t="s">
        <v>671</v>
      </c>
      <c r="F406" s="49">
        <v>43.58</v>
      </c>
      <c r="G406" s="49" t="s">
        <v>43</v>
      </c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>
      <c r="A407" s="49">
        <v>406</v>
      </c>
      <c r="B407" s="51" t="s">
        <v>942</v>
      </c>
      <c r="C407" s="52" t="s">
        <v>45</v>
      </c>
      <c r="D407" s="74" t="s">
        <v>360</v>
      </c>
      <c r="E407" s="74" t="s">
        <v>621</v>
      </c>
      <c r="F407" s="49">
        <v>66.36</v>
      </c>
      <c r="G407" s="49" t="s">
        <v>43</v>
      </c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>
      <c r="A408" s="49">
        <v>407</v>
      </c>
      <c r="B408" s="51" t="s">
        <v>943</v>
      </c>
      <c r="C408" s="52" t="s">
        <v>52</v>
      </c>
      <c r="D408" s="74" t="s">
        <v>944</v>
      </c>
      <c r="E408" s="74" t="s">
        <v>945</v>
      </c>
      <c r="F408" s="49">
        <v>41.72</v>
      </c>
      <c r="G408" s="49" t="s">
        <v>43</v>
      </c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>
      <c r="A409" s="49">
        <v>408</v>
      </c>
      <c r="B409" s="51" t="s">
        <v>946</v>
      </c>
      <c r="C409" s="52" t="s">
        <v>40</v>
      </c>
      <c r="D409" s="74" t="s">
        <v>59</v>
      </c>
      <c r="E409" s="74" t="s">
        <v>417</v>
      </c>
      <c r="F409" s="49">
        <v>30.27</v>
      </c>
      <c r="G409" s="49" t="s">
        <v>43</v>
      </c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>
      <c r="A410" s="49">
        <v>409</v>
      </c>
      <c r="B410" s="51" t="s">
        <v>947</v>
      </c>
      <c r="C410" s="52" t="s">
        <v>40</v>
      </c>
      <c r="D410" s="74" t="s">
        <v>135</v>
      </c>
      <c r="E410" s="74" t="s">
        <v>948</v>
      </c>
      <c r="F410" s="49">
        <v>50.06</v>
      </c>
      <c r="G410" s="49" t="s">
        <v>43</v>
      </c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>
      <c r="A411" s="49">
        <v>410</v>
      </c>
      <c r="B411" s="51" t="s">
        <v>949</v>
      </c>
      <c r="C411" s="52" t="s">
        <v>52</v>
      </c>
      <c r="D411" s="74" t="s">
        <v>455</v>
      </c>
      <c r="E411" s="74" t="s">
        <v>950</v>
      </c>
      <c r="F411" s="49">
        <v>44.27</v>
      </c>
      <c r="G411" s="49" t="s">
        <v>43</v>
      </c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>
      <c r="A412" s="49">
        <v>411</v>
      </c>
      <c r="B412" s="51" t="s">
        <v>951</v>
      </c>
      <c r="C412" s="52" t="s">
        <v>52</v>
      </c>
      <c r="D412" s="74" t="s">
        <v>768</v>
      </c>
      <c r="E412" s="74" t="s">
        <v>20</v>
      </c>
      <c r="F412" s="49">
        <v>36.18</v>
      </c>
      <c r="G412" s="49" t="s">
        <v>43</v>
      </c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>
      <c r="A413" s="49">
        <v>412</v>
      </c>
      <c r="B413" s="51" t="s">
        <v>952</v>
      </c>
      <c r="C413" s="52" t="s">
        <v>40</v>
      </c>
      <c r="D413" s="74"/>
      <c r="E413" s="74" t="s">
        <v>953</v>
      </c>
      <c r="F413" s="49">
        <v>61.94</v>
      </c>
      <c r="G413" s="49" t="s">
        <v>43</v>
      </c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>
      <c r="A414" s="49">
        <v>413</v>
      </c>
      <c r="B414" s="51" t="s">
        <v>954</v>
      </c>
      <c r="C414" s="52" t="s">
        <v>45</v>
      </c>
      <c r="D414" s="74" t="s">
        <v>815</v>
      </c>
      <c r="E414" s="74" t="s">
        <v>955</v>
      </c>
      <c r="F414" s="49">
        <v>57.7</v>
      </c>
      <c r="G414" s="49" t="s">
        <v>43</v>
      </c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>
      <c r="A415" s="49">
        <v>414</v>
      </c>
      <c r="B415" s="51" t="s">
        <v>956</v>
      </c>
      <c r="C415" s="52" t="s">
        <v>40</v>
      </c>
      <c r="D415" s="74" t="s">
        <v>123</v>
      </c>
      <c r="E415" s="74" t="s">
        <v>957</v>
      </c>
      <c r="F415" s="49">
        <v>30.38</v>
      </c>
      <c r="G415" s="49" t="s">
        <v>43</v>
      </c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>
      <c r="A416" s="49">
        <v>415</v>
      </c>
      <c r="B416" s="51" t="s">
        <v>958</v>
      </c>
      <c r="C416" s="52" t="s">
        <v>40</v>
      </c>
      <c r="D416" s="74" t="s">
        <v>59</v>
      </c>
      <c r="E416" s="74" t="s">
        <v>959</v>
      </c>
      <c r="F416" s="49">
        <v>47.08</v>
      </c>
      <c r="G416" s="49" t="s">
        <v>43</v>
      </c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>
      <c r="A417" s="49">
        <v>416</v>
      </c>
      <c r="B417" s="51" t="s">
        <v>960</v>
      </c>
      <c r="C417" s="52" t="s">
        <v>45</v>
      </c>
      <c r="D417" s="74" t="s">
        <v>214</v>
      </c>
      <c r="E417" s="74" t="s">
        <v>961</v>
      </c>
      <c r="F417" s="49">
        <v>43.26</v>
      </c>
      <c r="G417" s="49" t="s">
        <v>43</v>
      </c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>
      <c r="A418" s="49">
        <v>417</v>
      </c>
      <c r="B418" s="51" t="s">
        <v>962</v>
      </c>
      <c r="C418" s="52" t="s">
        <v>45</v>
      </c>
      <c r="D418" s="74" t="s">
        <v>724</v>
      </c>
      <c r="E418" s="74" t="s">
        <v>321</v>
      </c>
      <c r="F418" s="49">
        <v>40.590000000000003</v>
      </c>
      <c r="G418" s="49" t="s">
        <v>43</v>
      </c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>
      <c r="A419" s="49">
        <v>418</v>
      </c>
      <c r="B419" s="51" t="s">
        <v>963</v>
      </c>
      <c r="C419" s="52" t="s">
        <v>45</v>
      </c>
      <c r="D419" s="74" t="s">
        <v>214</v>
      </c>
      <c r="E419" s="74" t="s">
        <v>964</v>
      </c>
      <c r="F419" s="49">
        <v>32.549999999999997</v>
      </c>
      <c r="G419" s="49" t="s">
        <v>43</v>
      </c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>
      <c r="A420" s="49">
        <v>419</v>
      </c>
      <c r="B420" s="51" t="s">
        <v>965</v>
      </c>
      <c r="C420" s="52" t="s">
        <v>45</v>
      </c>
      <c r="D420" s="74"/>
      <c r="E420" s="74" t="s">
        <v>966</v>
      </c>
      <c r="F420" s="49">
        <v>69.47</v>
      </c>
      <c r="G420" s="49" t="s">
        <v>43</v>
      </c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>
      <c r="A421" s="49">
        <v>420</v>
      </c>
      <c r="B421" s="51" t="s">
        <v>967</v>
      </c>
      <c r="C421" s="52" t="s">
        <v>52</v>
      </c>
      <c r="D421" s="74"/>
      <c r="E421" s="74" t="s">
        <v>968</v>
      </c>
      <c r="F421" s="49">
        <v>14.35</v>
      </c>
      <c r="G421" s="49" t="s">
        <v>43</v>
      </c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>
      <c r="A422" s="49">
        <v>421</v>
      </c>
      <c r="B422" s="51" t="s">
        <v>969</v>
      </c>
      <c r="C422" s="52" t="s">
        <v>45</v>
      </c>
      <c r="D422" s="74" t="s">
        <v>970</v>
      </c>
      <c r="E422" s="74" t="s">
        <v>355</v>
      </c>
      <c r="F422" s="49">
        <v>53.25</v>
      </c>
      <c r="G422" s="49" t="s">
        <v>43</v>
      </c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>
      <c r="A423" s="49">
        <v>422</v>
      </c>
      <c r="B423" s="51" t="s">
        <v>971</v>
      </c>
      <c r="C423" s="52" t="s">
        <v>40</v>
      </c>
      <c r="D423" s="74"/>
      <c r="E423" s="74" t="s">
        <v>972</v>
      </c>
      <c r="F423" s="49">
        <v>37.53</v>
      </c>
      <c r="G423" s="49" t="s">
        <v>43</v>
      </c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>
      <c r="A424" s="49">
        <v>423</v>
      </c>
      <c r="B424" s="51" t="s">
        <v>973</v>
      </c>
      <c r="C424" s="52" t="s">
        <v>45</v>
      </c>
      <c r="D424" s="74" t="s">
        <v>62</v>
      </c>
      <c r="E424" s="74"/>
      <c r="F424" s="49">
        <v>46.75</v>
      </c>
      <c r="G424" s="49" t="s">
        <v>43</v>
      </c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>
      <c r="A425" s="49">
        <v>424</v>
      </c>
      <c r="B425" s="51" t="s">
        <v>974</v>
      </c>
      <c r="C425" s="52" t="s">
        <v>45</v>
      </c>
      <c r="D425" s="74" t="s">
        <v>975</v>
      </c>
      <c r="E425" s="74" t="s">
        <v>976</v>
      </c>
      <c r="F425" s="49">
        <v>46.35</v>
      </c>
      <c r="G425" s="49" t="s">
        <v>43</v>
      </c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>
      <c r="A426" s="49">
        <v>425</v>
      </c>
      <c r="B426" s="51" t="s">
        <v>977</v>
      </c>
      <c r="C426" s="52" t="s">
        <v>52</v>
      </c>
      <c r="D426" s="74" t="s">
        <v>531</v>
      </c>
      <c r="E426" s="74" t="s">
        <v>978</v>
      </c>
      <c r="F426" s="49">
        <v>47.41</v>
      </c>
      <c r="G426" s="49" t="s">
        <v>43</v>
      </c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>
      <c r="A427" s="49">
        <v>426</v>
      </c>
      <c r="B427" s="51" t="s">
        <v>979</v>
      </c>
      <c r="C427" s="52" t="s">
        <v>45</v>
      </c>
      <c r="D427" s="74" t="s">
        <v>980</v>
      </c>
      <c r="E427" s="74" t="s">
        <v>981</v>
      </c>
      <c r="F427" s="49">
        <v>58.57</v>
      </c>
      <c r="G427" s="49" t="s">
        <v>43</v>
      </c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>
      <c r="A428" s="49">
        <v>427</v>
      </c>
      <c r="B428" s="51" t="s">
        <v>982</v>
      </c>
      <c r="C428" s="52" t="s">
        <v>45</v>
      </c>
      <c r="D428" s="74"/>
      <c r="E428" s="74" t="s">
        <v>983</v>
      </c>
      <c r="F428" s="49">
        <v>61.11</v>
      </c>
      <c r="G428" s="49" t="s">
        <v>43</v>
      </c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>
      <c r="A429" s="49">
        <v>428</v>
      </c>
      <c r="B429" s="51" t="s">
        <v>984</v>
      </c>
      <c r="C429" s="52" t="s">
        <v>52</v>
      </c>
      <c r="D429" s="74" t="s">
        <v>414</v>
      </c>
      <c r="E429" s="74" t="s">
        <v>985</v>
      </c>
      <c r="F429" s="49">
        <v>58.64</v>
      </c>
      <c r="G429" s="49" t="s">
        <v>43</v>
      </c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>
      <c r="A430" s="49">
        <v>429</v>
      </c>
      <c r="B430" s="51" t="s">
        <v>986</v>
      </c>
      <c r="C430" s="52" t="s">
        <v>45</v>
      </c>
      <c r="D430" s="74" t="s">
        <v>287</v>
      </c>
      <c r="E430" s="74" t="s">
        <v>355</v>
      </c>
      <c r="F430" s="49">
        <v>64.2</v>
      </c>
      <c r="G430" s="49" t="s">
        <v>43</v>
      </c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>
      <c r="A431" s="49">
        <v>430</v>
      </c>
      <c r="B431" s="51" t="s">
        <v>987</v>
      </c>
      <c r="C431" s="52" t="s">
        <v>45</v>
      </c>
      <c r="D431" s="74" t="s">
        <v>304</v>
      </c>
      <c r="E431" s="74" t="s">
        <v>650</v>
      </c>
      <c r="F431" s="49">
        <v>51.85</v>
      </c>
      <c r="G431" s="49" t="s">
        <v>43</v>
      </c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>
      <c r="A432" s="49">
        <v>431</v>
      </c>
      <c r="B432" s="51" t="s">
        <v>988</v>
      </c>
      <c r="C432" s="52" t="s">
        <v>52</v>
      </c>
      <c r="D432" s="74" t="s">
        <v>414</v>
      </c>
      <c r="E432" s="74" t="s">
        <v>989</v>
      </c>
      <c r="F432" s="49">
        <v>70.38</v>
      </c>
      <c r="G432" s="49" t="s">
        <v>43</v>
      </c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>
      <c r="A433" s="49">
        <v>432</v>
      </c>
      <c r="B433" s="51" t="s">
        <v>990</v>
      </c>
      <c r="C433" s="52" t="s">
        <v>52</v>
      </c>
      <c r="D433" s="74" t="s">
        <v>390</v>
      </c>
      <c r="E433" s="74" t="s">
        <v>991</v>
      </c>
      <c r="F433" s="49">
        <v>31.94</v>
      </c>
      <c r="G433" s="49" t="s">
        <v>43</v>
      </c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>
      <c r="A434" s="49">
        <v>433</v>
      </c>
      <c r="B434" s="51" t="s">
        <v>992</v>
      </c>
      <c r="C434" s="52" t="s">
        <v>45</v>
      </c>
      <c r="D434" s="74"/>
      <c r="E434" s="74" t="s">
        <v>993</v>
      </c>
      <c r="F434" s="49">
        <v>41.27</v>
      </c>
      <c r="G434" s="49" t="s">
        <v>43</v>
      </c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>
      <c r="A435" s="49">
        <v>434</v>
      </c>
      <c r="B435" s="51" t="s">
        <v>994</v>
      </c>
      <c r="C435" s="52" t="s">
        <v>40</v>
      </c>
      <c r="D435" s="74" t="s">
        <v>59</v>
      </c>
      <c r="E435" s="74"/>
      <c r="F435" s="49">
        <v>37.64</v>
      </c>
      <c r="G435" s="49" t="s">
        <v>43</v>
      </c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>
      <c r="A436" s="49">
        <v>435</v>
      </c>
      <c r="B436" s="51" t="s">
        <v>995</v>
      </c>
      <c r="C436" s="52" t="s">
        <v>45</v>
      </c>
      <c r="D436" s="74" t="s">
        <v>360</v>
      </c>
      <c r="E436" s="74" t="s">
        <v>996</v>
      </c>
      <c r="F436" s="49">
        <v>42.59</v>
      </c>
      <c r="G436" s="49" t="s">
        <v>43</v>
      </c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>
      <c r="A437" s="49">
        <v>436</v>
      </c>
      <c r="B437" s="51" t="s">
        <v>997</v>
      </c>
      <c r="C437" s="52" t="s">
        <v>45</v>
      </c>
      <c r="D437" s="74" t="s">
        <v>670</v>
      </c>
      <c r="E437" s="74"/>
      <c r="F437" s="49">
        <v>45</v>
      </c>
      <c r="G437" s="49" t="s">
        <v>43</v>
      </c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>
      <c r="A438" s="49">
        <v>437</v>
      </c>
      <c r="B438" s="51" t="s">
        <v>998</v>
      </c>
      <c r="C438" s="52" t="s">
        <v>40</v>
      </c>
      <c r="D438" s="74" t="s">
        <v>414</v>
      </c>
      <c r="E438" s="74" t="s">
        <v>999</v>
      </c>
      <c r="F438" s="49">
        <v>45.72</v>
      </c>
      <c r="G438" s="49" t="s">
        <v>43</v>
      </c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>
      <c r="A439" s="49">
        <v>438</v>
      </c>
      <c r="B439" s="51" t="s">
        <v>1000</v>
      </c>
      <c r="C439" s="52" t="s">
        <v>45</v>
      </c>
      <c r="D439" s="74" t="s">
        <v>135</v>
      </c>
      <c r="E439" s="74" t="s">
        <v>1001</v>
      </c>
      <c r="F439" s="49">
        <v>42.73</v>
      </c>
      <c r="G439" s="49" t="s">
        <v>43</v>
      </c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>
      <c r="A440" s="49">
        <v>439</v>
      </c>
      <c r="B440" s="51" t="s">
        <v>1002</v>
      </c>
      <c r="C440" s="52" t="s">
        <v>45</v>
      </c>
      <c r="D440" s="74" t="s">
        <v>921</v>
      </c>
      <c r="E440" s="74" t="s">
        <v>1003</v>
      </c>
      <c r="F440" s="49">
        <v>55.67</v>
      </c>
      <c r="G440" s="49" t="s">
        <v>43</v>
      </c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>
      <c r="A441" s="49">
        <v>440</v>
      </c>
      <c r="B441" s="51" t="s">
        <v>1004</v>
      </c>
      <c r="C441" s="52" t="s">
        <v>52</v>
      </c>
      <c r="D441" s="74"/>
      <c r="E441" s="74" t="s">
        <v>1005</v>
      </c>
      <c r="F441" s="49">
        <v>28.71</v>
      </c>
      <c r="G441" s="49" t="s">
        <v>43</v>
      </c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>
      <c r="A442" s="49">
        <v>441</v>
      </c>
      <c r="B442" s="51" t="s">
        <v>1006</v>
      </c>
      <c r="C442" s="52" t="s">
        <v>40</v>
      </c>
      <c r="D442" s="74" t="s">
        <v>117</v>
      </c>
      <c r="E442" s="74" t="s">
        <v>1007</v>
      </c>
      <c r="F442" s="49">
        <v>39.89</v>
      </c>
      <c r="G442" s="49" t="s">
        <v>43</v>
      </c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>
      <c r="A443" s="49">
        <v>442</v>
      </c>
      <c r="B443" s="51" t="s">
        <v>1008</v>
      </c>
      <c r="C443" s="52" t="s">
        <v>45</v>
      </c>
      <c r="D443" s="74" t="s">
        <v>123</v>
      </c>
      <c r="E443" s="74" t="s">
        <v>1009</v>
      </c>
      <c r="F443" s="49">
        <v>65.44</v>
      </c>
      <c r="G443" s="49" t="s">
        <v>43</v>
      </c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>
      <c r="A444" s="49">
        <v>443</v>
      </c>
      <c r="B444" s="51" t="s">
        <v>1010</v>
      </c>
      <c r="C444" s="52" t="s">
        <v>40</v>
      </c>
      <c r="D444" s="74" t="s">
        <v>59</v>
      </c>
      <c r="E444" s="74" t="s">
        <v>1011</v>
      </c>
      <c r="F444" s="49">
        <v>40.78</v>
      </c>
      <c r="G444" s="49" t="s">
        <v>43</v>
      </c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>
      <c r="A445" s="49">
        <v>444</v>
      </c>
      <c r="B445" s="51" t="s">
        <v>1012</v>
      </c>
      <c r="C445" s="52" t="s">
        <v>45</v>
      </c>
      <c r="D445" s="74" t="s">
        <v>657</v>
      </c>
      <c r="E445" s="74" t="s">
        <v>20</v>
      </c>
      <c r="F445" s="49">
        <v>21.94</v>
      </c>
      <c r="G445" s="49" t="s">
        <v>43</v>
      </c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>
      <c r="A446" s="49">
        <v>445</v>
      </c>
      <c r="B446" s="51" t="s">
        <v>1013</v>
      </c>
      <c r="C446" s="52" t="s">
        <v>45</v>
      </c>
      <c r="D446" s="74" t="s">
        <v>98</v>
      </c>
      <c r="E446" s="74" t="s">
        <v>1014</v>
      </c>
      <c r="F446" s="49">
        <v>53.93</v>
      </c>
      <c r="G446" s="49" t="s">
        <v>43</v>
      </c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>
      <c r="A447" s="49">
        <v>446</v>
      </c>
      <c r="B447" s="51" t="s">
        <v>1015</v>
      </c>
      <c r="C447" s="52" t="s">
        <v>52</v>
      </c>
      <c r="D447" s="74" t="s">
        <v>214</v>
      </c>
      <c r="E447" s="74" t="s">
        <v>1016</v>
      </c>
      <c r="F447" s="49">
        <v>32.49</v>
      </c>
      <c r="G447" s="49" t="s">
        <v>43</v>
      </c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>
      <c r="A448" s="49">
        <v>447</v>
      </c>
      <c r="B448" s="51" t="s">
        <v>1017</v>
      </c>
      <c r="C448" s="52" t="s">
        <v>40</v>
      </c>
      <c r="D448" s="74" t="s">
        <v>135</v>
      </c>
      <c r="E448" s="74" t="s">
        <v>20</v>
      </c>
      <c r="F448" s="49">
        <v>51.64</v>
      </c>
      <c r="G448" s="49" t="s">
        <v>43</v>
      </c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>
      <c r="A449" s="49">
        <v>448</v>
      </c>
      <c r="B449" s="51" t="s">
        <v>1018</v>
      </c>
      <c r="C449" s="52" t="s">
        <v>40</v>
      </c>
      <c r="D449" s="74" t="s">
        <v>123</v>
      </c>
      <c r="E449" s="74" t="s">
        <v>1019</v>
      </c>
      <c r="F449" s="49">
        <v>55.69</v>
      </c>
      <c r="G449" s="49" t="s">
        <v>43</v>
      </c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>
      <c r="A450" s="49">
        <v>449</v>
      </c>
      <c r="B450" s="51" t="s">
        <v>1020</v>
      </c>
      <c r="C450" s="52" t="s">
        <v>45</v>
      </c>
      <c r="D450" s="74" t="s">
        <v>414</v>
      </c>
      <c r="E450" s="74" t="s">
        <v>1021</v>
      </c>
      <c r="F450" s="49">
        <v>51.46</v>
      </c>
      <c r="G450" s="49" t="s">
        <v>43</v>
      </c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>
      <c r="A451" s="49">
        <v>450</v>
      </c>
      <c r="B451" s="51" t="s">
        <v>1022</v>
      </c>
      <c r="C451" s="52" t="s">
        <v>45</v>
      </c>
      <c r="D451" s="74" t="s">
        <v>414</v>
      </c>
      <c r="E451" s="74" t="s">
        <v>1023</v>
      </c>
      <c r="F451" s="49">
        <v>42.63</v>
      </c>
      <c r="G451" s="49" t="s">
        <v>43</v>
      </c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>
      <c r="A452" s="49">
        <v>451</v>
      </c>
      <c r="B452" s="51" t="s">
        <v>1024</v>
      </c>
      <c r="C452" s="52" t="s">
        <v>45</v>
      </c>
      <c r="D452" s="74" t="s">
        <v>824</v>
      </c>
      <c r="E452" s="74" t="s">
        <v>1025</v>
      </c>
      <c r="F452" s="49">
        <v>62.56</v>
      </c>
      <c r="G452" s="49" t="s">
        <v>43</v>
      </c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>
      <c r="A453" s="49">
        <v>452</v>
      </c>
      <c r="B453" s="51" t="s">
        <v>1026</v>
      </c>
      <c r="C453" s="52" t="s">
        <v>45</v>
      </c>
      <c r="D453" s="74" t="s">
        <v>360</v>
      </c>
      <c r="E453" s="74" t="s">
        <v>1027</v>
      </c>
      <c r="F453" s="49">
        <v>49.18</v>
      </c>
      <c r="G453" s="49" t="s">
        <v>43</v>
      </c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>
      <c r="A454" s="49">
        <v>453</v>
      </c>
      <c r="B454" s="51" t="s">
        <v>1028</v>
      </c>
      <c r="C454" s="52" t="s">
        <v>40</v>
      </c>
      <c r="D454" s="74" t="s">
        <v>62</v>
      </c>
      <c r="E454" s="74" t="s">
        <v>1029</v>
      </c>
      <c r="F454" s="49">
        <v>49.97</v>
      </c>
      <c r="G454" s="49" t="s">
        <v>43</v>
      </c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>
      <c r="A455" s="49">
        <v>454</v>
      </c>
      <c r="B455" s="51" t="s">
        <v>1030</v>
      </c>
      <c r="C455" s="52" t="s">
        <v>45</v>
      </c>
      <c r="D455" s="74" t="s">
        <v>1031</v>
      </c>
      <c r="E455" s="74" t="s">
        <v>580</v>
      </c>
      <c r="F455" s="49">
        <v>52.88</v>
      </c>
      <c r="G455" s="49" t="s">
        <v>43</v>
      </c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>
      <c r="A456" s="49">
        <v>455</v>
      </c>
      <c r="B456" s="51" t="s">
        <v>1032</v>
      </c>
      <c r="C456" s="52" t="s">
        <v>40</v>
      </c>
      <c r="D456" s="74" t="s">
        <v>360</v>
      </c>
      <c r="E456" s="74"/>
      <c r="F456" s="49">
        <v>49.66</v>
      </c>
      <c r="G456" s="49" t="s">
        <v>43</v>
      </c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>
      <c r="A457" s="49">
        <v>456</v>
      </c>
      <c r="B457" s="51" t="s">
        <v>1033</v>
      </c>
      <c r="C457" s="52" t="s">
        <v>45</v>
      </c>
      <c r="D457" s="74" t="s">
        <v>401</v>
      </c>
      <c r="E457" s="74" t="s">
        <v>1034</v>
      </c>
      <c r="F457" s="49">
        <v>28.89</v>
      </c>
      <c r="G457" s="49" t="s">
        <v>43</v>
      </c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>
      <c r="A458" s="49">
        <v>457</v>
      </c>
      <c r="B458" s="51" t="s">
        <v>1035</v>
      </c>
      <c r="C458" s="52" t="s">
        <v>45</v>
      </c>
      <c r="D458" s="74" t="s">
        <v>73</v>
      </c>
      <c r="E458" s="74" t="s">
        <v>1036</v>
      </c>
      <c r="F458" s="49">
        <v>29.09</v>
      </c>
      <c r="G458" s="49" t="s">
        <v>43</v>
      </c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>
      <c r="A459" s="49">
        <v>458</v>
      </c>
      <c r="B459" s="51" t="s">
        <v>1037</v>
      </c>
      <c r="C459" s="52" t="s">
        <v>52</v>
      </c>
      <c r="D459" s="74" t="s">
        <v>62</v>
      </c>
      <c r="E459" s="74"/>
      <c r="F459" s="49">
        <v>47.22</v>
      </c>
      <c r="G459" s="49" t="s">
        <v>43</v>
      </c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>
      <c r="A460" s="49">
        <v>459</v>
      </c>
      <c r="B460" s="51" t="s">
        <v>1038</v>
      </c>
      <c r="C460" s="52" t="s">
        <v>40</v>
      </c>
      <c r="D460" s="74" t="s">
        <v>59</v>
      </c>
      <c r="E460" s="74" t="s">
        <v>456</v>
      </c>
      <c r="F460" s="49">
        <v>42.12</v>
      </c>
      <c r="G460" s="49" t="s">
        <v>43</v>
      </c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>
      <c r="A461" s="49">
        <v>460</v>
      </c>
      <c r="B461" s="51" t="s">
        <v>1039</v>
      </c>
      <c r="C461" s="52" t="s">
        <v>52</v>
      </c>
      <c r="D461" s="74" t="s">
        <v>390</v>
      </c>
      <c r="E461" s="74" t="s">
        <v>1040</v>
      </c>
      <c r="F461" s="49">
        <v>33.67</v>
      </c>
      <c r="G461" s="49" t="s">
        <v>43</v>
      </c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>
      <c r="A462" s="49">
        <v>461</v>
      </c>
      <c r="B462" s="51" t="s">
        <v>1041</v>
      </c>
      <c r="C462" s="52" t="s">
        <v>40</v>
      </c>
      <c r="D462" s="74" t="s">
        <v>368</v>
      </c>
      <c r="E462" s="74" t="s">
        <v>1042</v>
      </c>
      <c r="F462" s="49">
        <v>71.47</v>
      </c>
      <c r="G462" s="49" t="s">
        <v>43</v>
      </c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>
      <c r="A463" s="49">
        <v>462</v>
      </c>
      <c r="B463" s="51" t="s">
        <v>1043</v>
      </c>
      <c r="C463" s="52" t="s">
        <v>45</v>
      </c>
      <c r="D463" s="74" t="s">
        <v>62</v>
      </c>
      <c r="E463" s="74"/>
      <c r="F463" s="49">
        <v>53.52</v>
      </c>
      <c r="G463" s="49" t="s">
        <v>43</v>
      </c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>
      <c r="A464" s="49">
        <v>463</v>
      </c>
      <c r="B464" s="51" t="s">
        <v>1044</v>
      </c>
      <c r="C464" s="52" t="s">
        <v>40</v>
      </c>
      <c r="D464" s="74" t="s">
        <v>135</v>
      </c>
      <c r="E464" s="74" t="s">
        <v>1045</v>
      </c>
      <c r="F464" s="49">
        <v>63.75</v>
      </c>
      <c r="G464" s="49" t="s">
        <v>43</v>
      </c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>
      <c r="A465" s="49">
        <v>464</v>
      </c>
      <c r="B465" s="51" t="s">
        <v>1046</v>
      </c>
      <c r="C465" s="52" t="s">
        <v>45</v>
      </c>
      <c r="D465" s="74" t="s">
        <v>879</v>
      </c>
      <c r="E465" s="74" t="s">
        <v>415</v>
      </c>
      <c r="F465" s="49">
        <v>28.7</v>
      </c>
      <c r="G465" s="49" t="s">
        <v>43</v>
      </c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>
      <c r="A466" s="49">
        <v>465</v>
      </c>
      <c r="B466" s="51" t="s">
        <v>1047</v>
      </c>
      <c r="C466" s="52" t="s">
        <v>52</v>
      </c>
      <c r="D466" s="74"/>
      <c r="E466" s="74" t="s">
        <v>1048</v>
      </c>
      <c r="F466" s="49">
        <v>46.37</v>
      </c>
      <c r="G466" s="49" t="s">
        <v>43</v>
      </c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>
      <c r="A467" s="49">
        <v>466</v>
      </c>
      <c r="B467" s="51" t="s">
        <v>1049</v>
      </c>
      <c r="C467" s="52" t="s">
        <v>52</v>
      </c>
      <c r="D467" s="74" t="s">
        <v>214</v>
      </c>
      <c r="E467" s="74"/>
      <c r="F467" s="49">
        <v>28.15</v>
      </c>
      <c r="G467" s="49" t="s">
        <v>43</v>
      </c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>
      <c r="A468" s="49">
        <v>467</v>
      </c>
      <c r="B468" s="51" t="s">
        <v>1050</v>
      </c>
      <c r="C468" s="52" t="s">
        <v>45</v>
      </c>
      <c r="D468" s="74" t="s">
        <v>214</v>
      </c>
      <c r="E468" s="74" t="s">
        <v>1051</v>
      </c>
      <c r="F468" s="49">
        <v>35.29</v>
      </c>
      <c r="G468" s="49" t="s">
        <v>43</v>
      </c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>
      <c r="A469" s="49">
        <v>468</v>
      </c>
      <c r="B469" s="51" t="s">
        <v>1052</v>
      </c>
      <c r="C469" s="52" t="s">
        <v>45</v>
      </c>
      <c r="D469" s="74" t="s">
        <v>59</v>
      </c>
      <c r="E469" s="74" t="s">
        <v>1053</v>
      </c>
      <c r="F469" s="49">
        <v>23.89</v>
      </c>
      <c r="G469" s="49" t="s">
        <v>43</v>
      </c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>
      <c r="A470" s="49">
        <v>469</v>
      </c>
      <c r="B470" s="51" t="s">
        <v>1054</v>
      </c>
      <c r="C470" s="52" t="s">
        <v>45</v>
      </c>
      <c r="D470" s="74" t="s">
        <v>62</v>
      </c>
      <c r="E470" s="74" t="s">
        <v>20</v>
      </c>
      <c r="F470" s="49">
        <v>36.85</v>
      </c>
      <c r="G470" s="49" t="s">
        <v>43</v>
      </c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>
      <c r="A471" s="49">
        <v>470</v>
      </c>
      <c r="B471" s="51" t="s">
        <v>1055</v>
      </c>
      <c r="C471" s="52" t="s">
        <v>45</v>
      </c>
      <c r="D471" s="74" t="s">
        <v>1056</v>
      </c>
      <c r="E471" s="74" t="s">
        <v>1057</v>
      </c>
      <c r="F471" s="49">
        <v>46.18</v>
      </c>
      <c r="G471" s="49" t="s">
        <v>43</v>
      </c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>
      <c r="A472" s="49">
        <v>471</v>
      </c>
      <c r="B472" s="51" t="s">
        <v>1058</v>
      </c>
      <c r="C472" s="52" t="s">
        <v>52</v>
      </c>
      <c r="D472" s="74" t="s">
        <v>214</v>
      </c>
      <c r="E472" s="74" t="s">
        <v>20</v>
      </c>
      <c r="F472" s="49">
        <v>46.73</v>
      </c>
      <c r="G472" s="49" t="s">
        <v>43</v>
      </c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>
      <c r="A473" s="49">
        <v>472</v>
      </c>
      <c r="B473" s="51" t="s">
        <v>1059</v>
      </c>
      <c r="C473" s="52" t="s">
        <v>52</v>
      </c>
      <c r="D473" s="74" t="s">
        <v>1060</v>
      </c>
      <c r="E473" s="74" t="s">
        <v>1061</v>
      </c>
      <c r="F473" s="49">
        <v>42.85</v>
      </c>
      <c r="G473" s="49" t="s">
        <v>43</v>
      </c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>
      <c r="A474" s="49">
        <v>473</v>
      </c>
      <c r="B474" s="51" t="s">
        <v>1062</v>
      </c>
      <c r="C474" s="52" t="s">
        <v>45</v>
      </c>
      <c r="D474" s="74" t="s">
        <v>805</v>
      </c>
      <c r="E474" s="74" t="s">
        <v>1063</v>
      </c>
      <c r="F474" s="49">
        <v>37.39</v>
      </c>
      <c r="G474" s="49" t="s">
        <v>43</v>
      </c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>
      <c r="A475" s="49">
        <v>474</v>
      </c>
      <c r="B475" s="51" t="s">
        <v>1064</v>
      </c>
      <c r="C475" s="52" t="s">
        <v>45</v>
      </c>
      <c r="D475" s="74" t="s">
        <v>214</v>
      </c>
      <c r="E475" s="74" t="s">
        <v>20</v>
      </c>
      <c r="F475" s="49">
        <v>42.46</v>
      </c>
      <c r="G475" s="49" t="s">
        <v>43</v>
      </c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>
      <c r="A476" s="49">
        <v>475</v>
      </c>
      <c r="B476" s="51" t="s">
        <v>1065</v>
      </c>
      <c r="C476" s="52" t="s">
        <v>40</v>
      </c>
      <c r="D476" s="74" t="s">
        <v>670</v>
      </c>
      <c r="E476" s="74" t="s">
        <v>355</v>
      </c>
      <c r="F476" s="49">
        <v>32.94</v>
      </c>
      <c r="G476" s="49" t="s">
        <v>43</v>
      </c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>
      <c r="A477" s="49">
        <v>476</v>
      </c>
      <c r="B477" s="51" t="s">
        <v>1066</v>
      </c>
      <c r="C477" s="52" t="s">
        <v>40</v>
      </c>
      <c r="D477" s="74" t="s">
        <v>368</v>
      </c>
      <c r="E477" s="74" t="s">
        <v>1067</v>
      </c>
      <c r="F477" s="49">
        <v>64.680000000000007</v>
      </c>
      <c r="G477" s="49" t="s">
        <v>43</v>
      </c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>
      <c r="A478" s="49">
        <v>477</v>
      </c>
      <c r="B478" s="51" t="s">
        <v>1068</v>
      </c>
      <c r="C478" s="52" t="s">
        <v>45</v>
      </c>
      <c r="D478" s="74" t="s">
        <v>368</v>
      </c>
      <c r="E478" s="74" t="s">
        <v>417</v>
      </c>
      <c r="F478" s="49">
        <v>50.32</v>
      </c>
      <c r="G478" s="49" t="s">
        <v>43</v>
      </c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>
      <c r="A479" s="49">
        <v>478</v>
      </c>
      <c r="B479" s="51" t="s">
        <v>1069</v>
      </c>
      <c r="C479" s="52" t="s">
        <v>45</v>
      </c>
      <c r="D479" s="74" t="s">
        <v>1070</v>
      </c>
      <c r="E479" s="74" t="s">
        <v>1071</v>
      </c>
      <c r="F479" s="49">
        <v>38.450000000000003</v>
      </c>
      <c r="G479" s="49" t="s">
        <v>43</v>
      </c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>
      <c r="A480" s="49">
        <v>479</v>
      </c>
      <c r="B480" s="51" t="s">
        <v>1072</v>
      </c>
      <c r="C480" s="52" t="s">
        <v>52</v>
      </c>
      <c r="D480" s="74"/>
      <c r="E480" s="74" t="s">
        <v>1073</v>
      </c>
      <c r="F480" s="49">
        <v>28.79</v>
      </c>
      <c r="G480" s="49" t="s">
        <v>43</v>
      </c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>
      <c r="A481" s="49">
        <v>480</v>
      </c>
      <c r="B481" s="51" t="s">
        <v>1074</v>
      </c>
      <c r="C481" s="52" t="s">
        <v>52</v>
      </c>
      <c r="D481" s="74" t="s">
        <v>1075</v>
      </c>
      <c r="E481" s="74" t="s">
        <v>1076</v>
      </c>
      <c r="F481" s="49">
        <v>36.68</v>
      </c>
      <c r="G481" s="49" t="s">
        <v>43</v>
      </c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>
      <c r="A482" s="49">
        <v>481</v>
      </c>
      <c r="B482" s="51" t="s">
        <v>1077</v>
      </c>
      <c r="C482" s="52" t="s">
        <v>45</v>
      </c>
      <c r="D482" s="74"/>
      <c r="E482" s="74" t="s">
        <v>20</v>
      </c>
      <c r="F482" s="49">
        <v>47.34</v>
      </c>
      <c r="G482" s="49" t="s">
        <v>43</v>
      </c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>
      <c r="A483" s="49">
        <v>482</v>
      </c>
      <c r="B483" s="51" t="s">
        <v>1078</v>
      </c>
      <c r="C483" s="52" t="s">
        <v>40</v>
      </c>
      <c r="D483" s="74"/>
      <c r="E483" s="74" t="s">
        <v>1079</v>
      </c>
      <c r="F483" s="49">
        <v>43.04</v>
      </c>
      <c r="G483" s="49" t="s">
        <v>43</v>
      </c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>
      <c r="A484" s="49">
        <v>483</v>
      </c>
      <c r="B484" s="51" t="s">
        <v>1080</v>
      </c>
      <c r="C484" s="52" t="s">
        <v>52</v>
      </c>
      <c r="D484" s="74" t="s">
        <v>117</v>
      </c>
      <c r="E484" s="74" t="s">
        <v>20</v>
      </c>
      <c r="F484" s="49">
        <v>35.51</v>
      </c>
      <c r="G484" s="49" t="s">
        <v>43</v>
      </c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>
      <c r="A485" s="49">
        <v>484</v>
      </c>
      <c r="B485" s="51" t="s">
        <v>1081</v>
      </c>
      <c r="C485" s="52" t="s">
        <v>45</v>
      </c>
      <c r="D485" s="74" t="s">
        <v>360</v>
      </c>
      <c r="E485" s="74" t="s">
        <v>20</v>
      </c>
      <c r="F485" s="49">
        <v>60.17</v>
      </c>
      <c r="G485" s="49" t="s">
        <v>43</v>
      </c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>
      <c r="A486" s="49">
        <v>485</v>
      </c>
      <c r="B486" s="51" t="s">
        <v>1082</v>
      </c>
      <c r="C486" s="52" t="s">
        <v>40</v>
      </c>
      <c r="D486" s="74" t="s">
        <v>123</v>
      </c>
      <c r="E486" s="74" t="s">
        <v>355</v>
      </c>
      <c r="F486" s="49">
        <v>55.19</v>
      </c>
      <c r="G486" s="49" t="s">
        <v>43</v>
      </c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>
      <c r="A487" s="49">
        <v>486</v>
      </c>
      <c r="B487" s="51" t="s">
        <v>1083</v>
      </c>
      <c r="C487" s="52" t="s">
        <v>45</v>
      </c>
      <c r="D487" s="74" t="s">
        <v>879</v>
      </c>
      <c r="E487" s="74" t="s">
        <v>1084</v>
      </c>
      <c r="F487" s="49">
        <v>47.67</v>
      </c>
      <c r="G487" s="49" t="s">
        <v>43</v>
      </c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>
      <c r="A488" s="49">
        <v>487</v>
      </c>
      <c r="B488" s="51" t="s">
        <v>1085</v>
      </c>
      <c r="C488" s="52" t="s">
        <v>45</v>
      </c>
      <c r="D488" s="74" t="s">
        <v>1086</v>
      </c>
      <c r="E488" s="74" t="s">
        <v>1087</v>
      </c>
      <c r="F488" s="49">
        <v>48.49</v>
      </c>
      <c r="G488" s="49" t="s">
        <v>43</v>
      </c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>
      <c r="A489" s="49">
        <v>488</v>
      </c>
      <c r="B489" s="51" t="s">
        <v>1088</v>
      </c>
      <c r="C489" s="52" t="s">
        <v>52</v>
      </c>
      <c r="D489" s="74" t="s">
        <v>805</v>
      </c>
      <c r="E489" s="74" t="s">
        <v>1089</v>
      </c>
      <c r="F489" s="49">
        <v>39.92</v>
      </c>
      <c r="G489" s="49" t="s">
        <v>43</v>
      </c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>
      <c r="A490" s="49">
        <v>489</v>
      </c>
      <c r="B490" s="51" t="s">
        <v>1090</v>
      </c>
      <c r="C490" s="52" t="s">
        <v>52</v>
      </c>
      <c r="D490" s="74" t="s">
        <v>805</v>
      </c>
      <c r="E490" s="74" t="s">
        <v>957</v>
      </c>
      <c r="F490" s="49">
        <v>69.11</v>
      </c>
      <c r="G490" s="49" t="s">
        <v>43</v>
      </c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>
      <c r="A491" s="49">
        <v>490</v>
      </c>
      <c r="B491" s="51" t="s">
        <v>1091</v>
      </c>
      <c r="C491" s="52" t="s">
        <v>45</v>
      </c>
      <c r="D491" s="74" t="s">
        <v>724</v>
      </c>
      <c r="E491" s="74" t="s">
        <v>1092</v>
      </c>
      <c r="F491" s="49">
        <v>51.02</v>
      </c>
      <c r="G491" s="49" t="s">
        <v>43</v>
      </c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>
      <c r="A492" s="49">
        <v>491</v>
      </c>
      <c r="B492" s="51" t="s">
        <v>1093</v>
      </c>
      <c r="C492" s="52" t="s">
        <v>45</v>
      </c>
      <c r="D492" s="74" t="s">
        <v>805</v>
      </c>
      <c r="E492" s="74" t="s">
        <v>1094</v>
      </c>
      <c r="F492" s="49">
        <v>45.45</v>
      </c>
      <c r="G492" s="49" t="s">
        <v>43</v>
      </c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>
      <c r="A493" s="49">
        <v>492</v>
      </c>
      <c r="B493" s="51" t="s">
        <v>1095</v>
      </c>
      <c r="C493" s="52" t="s">
        <v>40</v>
      </c>
      <c r="D493" s="74"/>
      <c r="E493" s="74"/>
      <c r="F493" s="49">
        <v>49.47</v>
      </c>
      <c r="G493" s="49" t="s">
        <v>43</v>
      </c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>
      <c r="A494" s="49">
        <v>493</v>
      </c>
      <c r="B494" s="51" t="s">
        <v>1096</v>
      </c>
      <c r="C494" s="52" t="s">
        <v>52</v>
      </c>
      <c r="D494" s="74" t="s">
        <v>756</v>
      </c>
      <c r="E494" s="74" t="s">
        <v>1097</v>
      </c>
      <c r="F494" s="49">
        <v>24.79</v>
      </c>
      <c r="G494" s="49" t="s">
        <v>43</v>
      </c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>
      <c r="A495" s="49">
        <v>494</v>
      </c>
      <c r="B495" s="51" t="s">
        <v>1098</v>
      </c>
      <c r="C495" s="52" t="s">
        <v>45</v>
      </c>
      <c r="D495" s="74" t="s">
        <v>1099</v>
      </c>
      <c r="E495" s="74" t="s">
        <v>740</v>
      </c>
      <c r="F495" s="49">
        <v>46.54</v>
      </c>
      <c r="G495" s="49" t="s">
        <v>43</v>
      </c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>
      <c r="A496" s="49">
        <v>495</v>
      </c>
      <c r="B496" s="51" t="s">
        <v>1100</v>
      </c>
      <c r="C496" s="52" t="s">
        <v>45</v>
      </c>
      <c r="D496" s="74" t="s">
        <v>123</v>
      </c>
      <c r="E496" s="74" t="s">
        <v>1101</v>
      </c>
      <c r="F496" s="49">
        <v>53.42</v>
      </c>
      <c r="G496" s="49" t="s">
        <v>43</v>
      </c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>
      <c r="A497" s="49">
        <v>496</v>
      </c>
      <c r="B497" s="51" t="s">
        <v>1102</v>
      </c>
      <c r="C497" s="52" t="s">
        <v>40</v>
      </c>
      <c r="D497" s="74" t="s">
        <v>401</v>
      </c>
      <c r="E497" s="74" t="s">
        <v>1103</v>
      </c>
      <c r="F497" s="49">
        <v>63.3</v>
      </c>
      <c r="G497" s="49" t="s">
        <v>43</v>
      </c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>
      <c r="A498" s="49">
        <v>497</v>
      </c>
      <c r="B498" s="51" t="s">
        <v>1104</v>
      </c>
      <c r="C498" s="52" t="s">
        <v>45</v>
      </c>
      <c r="D498" s="74" t="s">
        <v>1105</v>
      </c>
      <c r="E498" s="74" t="s">
        <v>20</v>
      </c>
      <c r="F498" s="49">
        <v>37.479999999999997</v>
      </c>
      <c r="G498" s="49" t="s">
        <v>43</v>
      </c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>
      <c r="A499" s="49">
        <v>498</v>
      </c>
      <c r="B499" s="51" t="s">
        <v>1106</v>
      </c>
      <c r="C499" s="52" t="s">
        <v>45</v>
      </c>
      <c r="D499" s="74"/>
      <c r="E499" s="74" t="s">
        <v>1107</v>
      </c>
      <c r="F499" s="49">
        <v>47.77</v>
      </c>
      <c r="G499" s="49" t="s">
        <v>43</v>
      </c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>
      <c r="A500" s="49">
        <v>499</v>
      </c>
      <c r="B500" s="51" t="s">
        <v>1108</v>
      </c>
      <c r="C500" s="52" t="s">
        <v>52</v>
      </c>
      <c r="D500" s="74" t="s">
        <v>724</v>
      </c>
      <c r="E500" s="74" t="s">
        <v>20</v>
      </c>
      <c r="F500" s="49">
        <v>40.549999999999997</v>
      </c>
      <c r="G500" s="49" t="s">
        <v>43</v>
      </c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>
      <c r="A501" s="49">
        <v>500</v>
      </c>
      <c r="B501" s="51" t="s">
        <v>1109</v>
      </c>
      <c r="C501" s="52" t="s">
        <v>40</v>
      </c>
      <c r="D501" s="74" t="s">
        <v>135</v>
      </c>
      <c r="E501" s="74" t="s">
        <v>1110</v>
      </c>
      <c r="F501" s="49">
        <v>64.39</v>
      </c>
      <c r="G501" s="49" t="s">
        <v>43</v>
      </c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>
      <c r="A502" s="49">
        <v>501</v>
      </c>
      <c r="B502" s="51" t="s">
        <v>1111</v>
      </c>
      <c r="C502" s="52" t="s">
        <v>40</v>
      </c>
      <c r="D502" s="74" t="s">
        <v>414</v>
      </c>
      <c r="E502" s="74" t="s">
        <v>355</v>
      </c>
      <c r="F502" s="49">
        <v>41.9</v>
      </c>
      <c r="G502" s="49" t="s">
        <v>43</v>
      </c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>
      <c r="A503" s="49">
        <v>502</v>
      </c>
      <c r="B503" s="51" t="s">
        <v>1112</v>
      </c>
      <c r="C503" s="52" t="s">
        <v>52</v>
      </c>
      <c r="D503" s="74" t="s">
        <v>1113</v>
      </c>
      <c r="E503" s="74"/>
      <c r="F503" s="49">
        <v>40.01</v>
      </c>
      <c r="G503" s="49" t="s">
        <v>43</v>
      </c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>
      <c r="A504" s="49">
        <v>503</v>
      </c>
      <c r="B504" s="51" t="s">
        <v>1114</v>
      </c>
      <c r="C504" s="52" t="s">
        <v>45</v>
      </c>
      <c r="D504" s="74" t="s">
        <v>401</v>
      </c>
      <c r="E504" s="74" t="s">
        <v>1115</v>
      </c>
      <c r="F504" s="49">
        <v>55.73</v>
      </c>
      <c r="G504" s="49" t="s">
        <v>43</v>
      </c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>
      <c r="A505" s="49">
        <v>504</v>
      </c>
      <c r="B505" s="51" t="s">
        <v>1116</v>
      </c>
      <c r="C505" s="52" t="s">
        <v>40</v>
      </c>
      <c r="D505" s="74"/>
      <c r="E505" s="74" t="s">
        <v>972</v>
      </c>
      <c r="F505" s="49">
        <v>46.02</v>
      </c>
      <c r="G505" s="49" t="s">
        <v>43</v>
      </c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>
      <c r="A506" s="49">
        <v>505</v>
      </c>
      <c r="B506" s="51" t="s">
        <v>1117</v>
      </c>
      <c r="C506" s="52" t="s">
        <v>45</v>
      </c>
      <c r="D506" s="74" t="s">
        <v>724</v>
      </c>
      <c r="E506" s="74" t="s">
        <v>1118</v>
      </c>
      <c r="F506" s="49">
        <v>47.34</v>
      </c>
      <c r="G506" s="49" t="s">
        <v>43</v>
      </c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>
      <c r="A507" s="49">
        <v>506</v>
      </c>
      <c r="B507" s="51" t="s">
        <v>1119</v>
      </c>
      <c r="C507" s="52" t="s">
        <v>40</v>
      </c>
      <c r="D507" s="74"/>
      <c r="E507" s="74" t="s">
        <v>20</v>
      </c>
      <c r="F507" s="49">
        <v>50.2</v>
      </c>
      <c r="G507" s="49" t="s">
        <v>43</v>
      </c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>
      <c r="A508" s="49">
        <v>507</v>
      </c>
      <c r="B508" s="51" t="s">
        <v>1120</v>
      </c>
      <c r="C508" s="52" t="s">
        <v>40</v>
      </c>
      <c r="D508" s="74" t="s">
        <v>62</v>
      </c>
      <c r="E508" s="74" t="s">
        <v>1121</v>
      </c>
      <c r="F508" s="49">
        <v>35.450000000000003</v>
      </c>
      <c r="G508" s="49" t="s">
        <v>43</v>
      </c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>
      <c r="A509" s="49">
        <v>508</v>
      </c>
      <c r="B509" s="51" t="s">
        <v>1122</v>
      </c>
      <c r="C509" s="52" t="s">
        <v>45</v>
      </c>
      <c r="D509" s="74" t="s">
        <v>1123</v>
      </c>
      <c r="E509" s="74" t="s">
        <v>432</v>
      </c>
      <c r="F509" s="49">
        <v>57.46</v>
      </c>
      <c r="G509" s="49" t="s">
        <v>43</v>
      </c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>
      <c r="A510" s="49">
        <v>509</v>
      </c>
      <c r="B510" s="51" t="s">
        <v>1124</v>
      </c>
      <c r="C510" s="52" t="s">
        <v>40</v>
      </c>
      <c r="D510" s="74" t="s">
        <v>123</v>
      </c>
      <c r="E510" s="74" t="s">
        <v>1125</v>
      </c>
      <c r="F510" s="49">
        <v>67.06</v>
      </c>
      <c r="G510" s="49" t="s">
        <v>43</v>
      </c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>
      <c r="A511" s="49">
        <v>510</v>
      </c>
      <c r="B511" s="51" t="s">
        <v>1126</v>
      </c>
      <c r="C511" s="52" t="s">
        <v>45</v>
      </c>
      <c r="D511" s="74" t="s">
        <v>414</v>
      </c>
      <c r="E511" s="74" t="s">
        <v>1127</v>
      </c>
      <c r="F511" s="49">
        <v>57.7</v>
      </c>
      <c r="G511" s="49" t="s">
        <v>43</v>
      </c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>
      <c r="A512" s="49">
        <v>511</v>
      </c>
      <c r="B512" s="51" t="s">
        <v>1128</v>
      </c>
      <c r="C512" s="52" t="s">
        <v>40</v>
      </c>
      <c r="D512" s="74"/>
      <c r="E512" s="74" t="s">
        <v>1129</v>
      </c>
      <c r="F512" s="49">
        <v>80.12</v>
      </c>
      <c r="G512" s="49" t="s">
        <v>459</v>
      </c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>
      <c r="A513" s="49">
        <v>512</v>
      </c>
      <c r="B513" s="51" t="s">
        <v>1130</v>
      </c>
      <c r="C513" s="52" t="s">
        <v>40</v>
      </c>
      <c r="D513" s="74"/>
      <c r="E513" s="74" t="s">
        <v>1129</v>
      </c>
      <c r="F513" s="49">
        <v>55.38</v>
      </c>
      <c r="G513" s="49" t="s">
        <v>459</v>
      </c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>
      <c r="A514" s="49">
        <v>513</v>
      </c>
      <c r="B514" s="51" t="s">
        <v>1131</v>
      </c>
      <c r="C514" s="52" t="s">
        <v>45</v>
      </c>
      <c r="D514" s="74" t="s">
        <v>284</v>
      </c>
      <c r="E514" s="74" t="s">
        <v>394</v>
      </c>
      <c r="F514" s="49">
        <v>61.07</v>
      </c>
      <c r="G514" s="49" t="s">
        <v>43</v>
      </c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>
      <c r="A515" s="49">
        <v>514</v>
      </c>
      <c r="B515" s="51" t="s">
        <v>1132</v>
      </c>
      <c r="C515" s="52" t="s">
        <v>52</v>
      </c>
      <c r="D515" s="74" t="s">
        <v>1133</v>
      </c>
      <c r="E515" s="74" t="s">
        <v>20</v>
      </c>
      <c r="F515" s="49">
        <v>42.67</v>
      </c>
      <c r="G515" s="49" t="s">
        <v>43</v>
      </c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>
      <c r="A516" s="49">
        <v>515</v>
      </c>
      <c r="B516" s="51" t="s">
        <v>1134</v>
      </c>
      <c r="C516" s="52" t="s">
        <v>45</v>
      </c>
      <c r="D516" s="74" t="s">
        <v>284</v>
      </c>
      <c r="E516" s="74" t="s">
        <v>1135</v>
      </c>
      <c r="F516" s="49">
        <v>60.68</v>
      </c>
      <c r="G516" s="49" t="s">
        <v>43</v>
      </c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>
      <c r="A517" s="49">
        <v>516</v>
      </c>
      <c r="B517" s="51" t="s">
        <v>1136</v>
      </c>
      <c r="C517" s="52" t="s">
        <v>45</v>
      </c>
      <c r="D517" s="74" t="s">
        <v>214</v>
      </c>
      <c r="E517" s="74" t="s">
        <v>1137</v>
      </c>
      <c r="F517" s="49">
        <v>52.31</v>
      </c>
      <c r="G517" s="49" t="s">
        <v>43</v>
      </c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>
      <c r="A518" s="49">
        <v>517</v>
      </c>
      <c r="B518" s="51" t="s">
        <v>1138</v>
      </c>
      <c r="C518" s="52" t="s">
        <v>52</v>
      </c>
      <c r="D518" s="74" t="s">
        <v>815</v>
      </c>
      <c r="E518" s="74" t="s">
        <v>432</v>
      </c>
      <c r="F518" s="49">
        <v>38.15</v>
      </c>
      <c r="G518" s="49" t="s">
        <v>43</v>
      </c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>
      <c r="A519" s="49">
        <v>518</v>
      </c>
      <c r="B519" s="51" t="s">
        <v>1139</v>
      </c>
      <c r="C519" s="52" t="s">
        <v>45</v>
      </c>
      <c r="D519" s="74"/>
      <c r="E519" s="74" t="s">
        <v>1140</v>
      </c>
      <c r="F519" s="49">
        <v>49.68</v>
      </c>
      <c r="G519" s="49" t="s">
        <v>43</v>
      </c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>
      <c r="A520" s="49">
        <v>519</v>
      </c>
      <c r="B520" s="51" t="s">
        <v>1141</v>
      </c>
      <c r="C520" s="52" t="s">
        <v>45</v>
      </c>
      <c r="D520" s="74" t="s">
        <v>1142</v>
      </c>
      <c r="E520" s="74" t="s">
        <v>20</v>
      </c>
      <c r="F520" s="49">
        <v>36.32</v>
      </c>
      <c r="G520" s="49" t="s">
        <v>43</v>
      </c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>
      <c r="A521" s="49">
        <v>520</v>
      </c>
      <c r="B521" s="51" t="s">
        <v>1143</v>
      </c>
      <c r="C521" s="52" t="s">
        <v>40</v>
      </c>
      <c r="D521" s="74" t="s">
        <v>59</v>
      </c>
      <c r="E521" s="74" t="s">
        <v>20</v>
      </c>
      <c r="F521" s="49">
        <v>53.24</v>
      </c>
      <c r="G521" s="49" t="s">
        <v>43</v>
      </c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>
      <c r="A522" s="49">
        <v>521</v>
      </c>
      <c r="B522" s="51" t="s">
        <v>1144</v>
      </c>
      <c r="C522" s="52" t="s">
        <v>40</v>
      </c>
      <c r="D522" s="74" t="s">
        <v>59</v>
      </c>
      <c r="E522" s="74" t="s">
        <v>20</v>
      </c>
      <c r="F522" s="49">
        <v>57.42</v>
      </c>
      <c r="G522" s="49" t="s">
        <v>43</v>
      </c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>
      <c r="A523" s="49">
        <v>522</v>
      </c>
      <c r="B523" s="51" t="s">
        <v>1145</v>
      </c>
      <c r="C523" s="52" t="s">
        <v>45</v>
      </c>
      <c r="D523" s="74" t="s">
        <v>59</v>
      </c>
      <c r="E523" s="74" t="s">
        <v>20</v>
      </c>
      <c r="F523" s="49">
        <v>33.86</v>
      </c>
      <c r="G523" s="49" t="s">
        <v>43</v>
      </c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>
      <c r="A524" s="49">
        <v>523</v>
      </c>
      <c r="B524" s="51" t="s">
        <v>1146</v>
      </c>
      <c r="C524" s="52" t="s">
        <v>45</v>
      </c>
      <c r="D524" s="74" t="s">
        <v>815</v>
      </c>
      <c r="E524" s="74" t="s">
        <v>1147</v>
      </c>
      <c r="F524" s="49">
        <v>24.49</v>
      </c>
      <c r="G524" s="49" t="s">
        <v>43</v>
      </c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>
      <c r="A525" s="49">
        <v>524</v>
      </c>
      <c r="B525" s="51" t="s">
        <v>1148</v>
      </c>
      <c r="C525" s="52" t="s">
        <v>45</v>
      </c>
      <c r="D525" s="74" t="s">
        <v>1149</v>
      </c>
      <c r="E525" s="74" t="s">
        <v>1150</v>
      </c>
      <c r="F525" s="49">
        <v>48.13</v>
      </c>
      <c r="G525" s="49" t="s">
        <v>43</v>
      </c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>
      <c r="A526" s="49">
        <v>525</v>
      </c>
      <c r="B526" s="51" t="s">
        <v>1151</v>
      </c>
      <c r="C526" s="52" t="s">
        <v>45</v>
      </c>
      <c r="D526" s="74" t="s">
        <v>135</v>
      </c>
      <c r="E526" s="74" t="s">
        <v>1152</v>
      </c>
      <c r="F526" s="49">
        <v>42.53</v>
      </c>
      <c r="G526" s="49" t="s">
        <v>43</v>
      </c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>
      <c r="A527" s="49">
        <v>526</v>
      </c>
      <c r="B527" s="51" t="s">
        <v>1153</v>
      </c>
      <c r="C527" s="52" t="s">
        <v>45</v>
      </c>
      <c r="D527" s="74" t="s">
        <v>161</v>
      </c>
      <c r="E527" s="74" t="s">
        <v>1154</v>
      </c>
      <c r="F527" s="49">
        <v>57.49</v>
      </c>
      <c r="G527" s="49" t="s">
        <v>43</v>
      </c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>
      <c r="A528" s="49">
        <v>527</v>
      </c>
      <c r="B528" s="51" t="s">
        <v>1155</v>
      </c>
      <c r="C528" s="52" t="s">
        <v>52</v>
      </c>
      <c r="D528" s="74" t="s">
        <v>1156</v>
      </c>
      <c r="E528" s="74" t="s">
        <v>1157</v>
      </c>
      <c r="F528" s="49">
        <v>53.61</v>
      </c>
      <c r="G528" s="49" t="s">
        <v>43</v>
      </c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>
      <c r="A529" s="49">
        <v>528</v>
      </c>
      <c r="B529" s="51" t="s">
        <v>1158</v>
      </c>
      <c r="C529" s="52" t="s">
        <v>45</v>
      </c>
      <c r="D529" s="74" t="s">
        <v>1105</v>
      </c>
      <c r="E529" s="74" t="s">
        <v>1159</v>
      </c>
      <c r="F529" s="49">
        <v>43.81</v>
      </c>
      <c r="G529" s="49" t="s">
        <v>43</v>
      </c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>
      <c r="A530" s="49">
        <v>529</v>
      </c>
      <c r="B530" s="51" t="s">
        <v>1160</v>
      </c>
      <c r="C530" s="52" t="s">
        <v>45</v>
      </c>
      <c r="D530" s="74" t="s">
        <v>724</v>
      </c>
      <c r="E530" s="74" t="s">
        <v>1161</v>
      </c>
      <c r="F530" s="49">
        <v>58.44</v>
      </c>
      <c r="G530" s="49" t="s">
        <v>43</v>
      </c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>
      <c r="A531" s="49">
        <v>530</v>
      </c>
      <c r="B531" s="51" t="s">
        <v>1162</v>
      </c>
      <c r="C531" s="52" t="s">
        <v>40</v>
      </c>
      <c r="D531" s="74" t="s">
        <v>414</v>
      </c>
      <c r="E531" s="74" t="s">
        <v>816</v>
      </c>
      <c r="F531" s="49">
        <v>53.31</v>
      </c>
      <c r="G531" s="49" t="s">
        <v>43</v>
      </c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>
      <c r="A532" s="49">
        <v>531</v>
      </c>
      <c r="B532" s="51" t="s">
        <v>1163</v>
      </c>
      <c r="C532" s="52" t="s">
        <v>45</v>
      </c>
      <c r="D532" s="74" t="s">
        <v>1164</v>
      </c>
      <c r="E532" s="74" t="s">
        <v>20</v>
      </c>
      <c r="F532" s="49">
        <v>58.8</v>
      </c>
      <c r="G532" s="49" t="s">
        <v>43</v>
      </c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>
      <c r="A533" s="49">
        <v>532</v>
      </c>
      <c r="B533" s="51" t="s">
        <v>1165</v>
      </c>
      <c r="C533" s="52" t="s">
        <v>40</v>
      </c>
      <c r="D533" s="74" t="s">
        <v>73</v>
      </c>
      <c r="E533" s="74" t="s">
        <v>1166</v>
      </c>
      <c r="F533" s="49">
        <v>31.31</v>
      </c>
      <c r="G533" s="49" t="s">
        <v>43</v>
      </c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>
      <c r="A534" s="49">
        <v>533</v>
      </c>
      <c r="B534" s="51" t="s">
        <v>1167</v>
      </c>
      <c r="C534" s="52" t="s">
        <v>45</v>
      </c>
      <c r="D534" s="74" t="s">
        <v>1164</v>
      </c>
      <c r="E534" s="74" t="s">
        <v>20</v>
      </c>
      <c r="F534" s="49">
        <v>47.53</v>
      </c>
      <c r="G534" s="49" t="s">
        <v>43</v>
      </c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>
      <c r="A535" s="49">
        <v>534</v>
      </c>
      <c r="B535" s="51" t="s">
        <v>1168</v>
      </c>
      <c r="C535" s="52" t="s">
        <v>45</v>
      </c>
      <c r="D535" s="74"/>
      <c r="E535" s="74" t="s">
        <v>1129</v>
      </c>
      <c r="F535" s="49">
        <v>74.930000000000007</v>
      </c>
      <c r="G535" s="49" t="s">
        <v>459</v>
      </c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>
      <c r="A536" s="49">
        <v>535</v>
      </c>
      <c r="B536" s="51" t="s">
        <v>1169</v>
      </c>
      <c r="C536" s="52" t="s">
        <v>45</v>
      </c>
      <c r="D536" s="74" t="s">
        <v>398</v>
      </c>
      <c r="E536" s="74" t="s">
        <v>1170</v>
      </c>
      <c r="F536" s="49">
        <v>79.459999999999994</v>
      </c>
      <c r="G536" s="49" t="s">
        <v>43</v>
      </c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>
      <c r="A537" s="49">
        <v>536</v>
      </c>
      <c r="B537" s="51" t="s">
        <v>1171</v>
      </c>
      <c r="C537" s="52" t="s">
        <v>45</v>
      </c>
      <c r="D537" s="74" t="s">
        <v>1172</v>
      </c>
      <c r="E537" s="74" t="s">
        <v>1042</v>
      </c>
      <c r="F537" s="49">
        <v>47.65</v>
      </c>
      <c r="G537" s="49" t="s">
        <v>43</v>
      </c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>
      <c r="A538" s="49">
        <v>537</v>
      </c>
      <c r="B538" s="51" t="s">
        <v>1173</v>
      </c>
      <c r="C538" s="52" t="s">
        <v>45</v>
      </c>
      <c r="D538" s="74" t="s">
        <v>65</v>
      </c>
      <c r="E538" s="74" t="s">
        <v>432</v>
      </c>
      <c r="F538" s="49">
        <v>67.099999999999994</v>
      </c>
      <c r="G538" s="49" t="s">
        <v>43</v>
      </c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>
      <c r="A539" s="49">
        <v>538</v>
      </c>
      <c r="B539" s="51" t="s">
        <v>1174</v>
      </c>
      <c r="C539" s="52" t="s">
        <v>40</v>
      </c>
      <c r="D539" s="74" t="s">
        <v>414</v>
      </c>
      <c r="E539" s="74" t="s">
        <v>432</v>
      </c>
      <c r="F539" s="49">
        <v>54.81</v>
      </c>
      <c r="G539" s="49" t="s">
        <v>43</v>
      </c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>
      <c r="A540" s="49">
        <v>539</v>
      </c>
      <c r="B540" s="51" t="s">
        <v>1175</v>
      </c>
      <c r="C540" s="52" t="s">
        <v>45</v>
      </c>
      <c r="D540" s="74" t="s">
        <v>59</v>
      </c>
      <c r="E540" s="74" t="s">
        <v>1176</v>
      </c>
      <c r="F540" s="49">
        <v>51.22</v>
      </c>
      <c r="G540" s="49" t="s">
        <v>43</v>
      </c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>
      <c r="A541" s="49">
        <v>540</v>
      </c>
      <c r="B541" s="51" t="s">
        <v>1177</v>
      </c>
      <c r="C541" s="52" t="s">
        <v>45</v>
      </c>
      <c r="D541" s="74"/>
      <c r="E541" s="74" t="s">
        <v>1178</v>
      </c>
      <c r="F541" s="49">
        <v>57.86</v>
      </c>
      <c r="G541" s="49" t="s">
        <v>43</v>
      </c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>
      <c r="A542" s="49">
        <v>541</v>
      </c>
      <c r="B542" s="51" t="s">
        <v>1179</v>
      </c>
      <c r="C542" s="52" t="s">
        <v>40</v>
      </c>
      <c r="D542" s="74" t="s">
        <v>59</v>
      </c>
      <c r="E542" s="74" t="s">
        <v>456</v>
      </c>
      <c r="F542" s="49">
        <v>48.12</v>
      </c>
      <c r="G542" s="49" t="s">
        <v>43</v>
      </c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>
      <c r="A543" s="49">
        <v>542</v>
      </c>
      <c r="B543" s="51" t="s">
        <v>1180</v>
      </c>
      <c r="C543" s="52" t="s">
        <v>45</v>
      </c>
      <c r="D543" s="74" t="s">
        <v>724</v>
      </c>
      <c r="E543" s="74" t="s">
        <v>1084</v>
      </c>
      <c r="F543" s="49">
        <v>39.35</v>
      </c>
      <c r="G543" s="49" t="s">
        <v>43</v>
      </c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>
      <c r="A544" s="49">
        <v>543</v>
      </c>
      <c r="B544" s="51" t="s">
        <v>1181</v>
      </c>
      <c r="C544" s="52" t="s">
        <v>40</v>
      </c>
      <c r="D544" s="74" t="s">
        <v>414</v>
      </c>
      <c r="E544" s="74" t="s">
        <v>1182</v>
      </c>
      <c r="F544" s="49">
        <v>48.13</v>
      </c>
      <c r="G544" s="49" t="s">
        <v>43</v>
      </c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>
      <c r="A545" s="49">
        <v>544</v>
      </c>
      <c r="B545" s="51" t="s">
        <v>1183</v>
      </c>
      <c r="C545" s="52" t="s">
        <v>45</v>
      </c>
      <c r="D545" s="74" t="s">
        <v>1184</v>
      </c>
      <c r="E545" s="74" t="s">
        <v>20</v>
      </c>
      <c r="F545" s="49">
        <v>74.98</v>
      </c>
      <c r="G545" s="49" t="s">
        <v>43</v>
      </c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>
      <c r="A546" s="49">
        <v>545</v>
      </c>
      <c r="B546" s="51" t="s">
        <v>1185</v>
      </c>
      <c r="C546" s="52" t="s">
        <v>45</v>
      </c>
      <c r="D546" s="74" t="s">
        <v>414</v>
      </c>
      <c r="E546" s="74" t="s">
        <v>1186</v>
      </c>
      <c r="F546" s="49">
        <v>38.700000000000003</v>
      </c>
      <c r="G546" s="49" t="s">
        <v>43</v>
      </c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>
      <c r="A547" s="49">
        <v>546</v>
      </c>
      <c r="B547" s="51" t="s">
        <v>1187</v>
      </c>
      <c r="C547" s="52" t="s">
        <v>52</v>
      </c>
      <c r="D547" s="74" t="s">
        <v>1099</v>
      </c>
      <c r="E547" s="74" t="s">
        <v>1188</v>
      </c>
      <c r="F547" s="49">
        <v>41.92</v>
      </c>
      <c r="G547" s="49" t="s">
        <v>43</v>
      </c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>
      <c r="A548" s="49">
        <v>547</v>
      </c>
      <c r="B548" s="51" t="s">
        <v>1189</v>
      </c>
      <c r="C548" s="52" t="s">
        <v>45</v>
      </c>
      <c r="D548" s="74" t="s">
        <v>1190</v>
      </c>
      <c r="E548" s="74" t="s">
        <v>1191</v>
      </c>
      <c r="F548" s="49">
        <v>57.97</v>
      </c>
      <c r="G548" s="49" t="s">
        <v>43</v>
      </c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>
      <c r="A549" s="49">
        <v>548</v>
      </c>
      <c r="B549" s="51" t="s">
        <v>1192</v>
      </c>
      <c r="C549" s="52" t="s">
        <v>45</v>
      </c>
      <c r="D549" s="74" t="s">
        <v>123</v>
      </c>
      <c r="E549" s="74" t="s">
        <v>1193</v>
      </c>
      <c r="F549" s="49">
        <v>45.78</v>
      </c>
      <c r="G549" s="49" t="s">
        <v>43</v>
      </c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>
      <c r="A550" s="49">
        <v>549</v>
      </c>
      <c r="B550" s="51" t="s">
        <v>1194</v>
      </c>
      <c r="C550" s="52" t="s">
        <v>45</v>
      </c>
      <c r="D550" s="74" t="s">
        <v>414</v>
      </c>
      <c r="E550" s="74" t="s">
        <v>470</v>
      </c>
      <c r="F550" s="49">
        <v>46.85</v>
      </c>
      <c r="G550" s="49" t="s">
        <v>43</v>
      </c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>
      <c r="A551" s="49">
        <v>550</v>
      </c>
      <c r="B551" s="51" t="s">
        <v>1195</v>
      </c>
      <c r="C551" s="52" t="s">
        <v>45</v>
      </c>
      <c r="D551" s="74"/>
      <c r="E551" s="74" t="s">
        <v>1196</v>
      </c>
      <c r="F551" s="49">
        <v>45.18</v>
      </c>
      <c r="G551" s="49" t="s">
        <v>459</v>
      </c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>
      <c r="A552" s="49">
        <v>551</v>
      </c>
      <c r="B552" s="51" t="s">
        <v>1197</v>
      </c>
      <c r="C552" s="52" t="s">
        <v>40</v>
      </c>
      <c r="D552" s="74" t="s">
        <v>59</v>
      </c>
      <c r="E552" s="74" t="s">
        <v>20</v>
      </c>
      <c r="F552" s="49">
        <v>46.26</v>
      </c>
      <c r="G552" s="49" t="s">
        <v>43</v>
      </c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>
      <c r="A553" s="49">
        <v>552</v>
      </c>
      <c r="B553" s="51" t="s">
        <v>1198</v>
      </c>
      <c r="C553" s="52" t="s">
        <v>52</v>
      </c>
      <c r="D553" s="74" t="s">
        <v>214</v>
      </c>
      <c r="E553" s="74" t="s">
        <v>1199</v>
      </c>
      <c r="F553" s="49">
        <v>36.369999999999997</v>
      </c>
      <c r="G553" s="49" t="s">
        <v>43</v>
      </c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>
      <c r="A554" s="49">
        <v>553</v>
      </c>
      <c r="B554" s="51" t="s">
        <v>1200</v>
      </c>
      <c r="C554" s="52" t="s">
        <v>45</v>
      </c>
      <c r="D554" s="74" t="s">
        <v>65</v>
      </c>
      <c r="E554" s="74" t="s">
        <v>432</v>
      </c>
      <c r="F554" s="49">
        <v>56.5</v>
      </c>
      <c r="G554" s="49" t="s">
        <v>43</v>
      </c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>
      <c r="A555" s="49">
        <v>554</v>
      </c>
      <c r="B555" s="51" t="s">
        <v>1201</v>
      </c>
      <c r="C555" s="52" t="s">
        <v>45</v>
      </c>
      <c r="D555" s="74" t="s">
        <v>135</v>
      </c>
      <c r="E555" s="74" t="s">
        <v>1202</v>
      </c>
      <c r="F555" s="49">
        <v>49.67</v>
      </c>
      <c r="G555" s="49" t="s">
        <v>43</v>
      </c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>
      <c r="A556" s="49">
        <v>555</v>
      </c>
      <c r="B556" s="51" t="s">
        <v>1203</v>
      </c>
      <c r="C556" s="52" t="s">
        <v>45</v>
      </c>
      <c r="D556" s="74" t="s">
        <v>59</v>
      </c>
      <c r="E556" s="74" t="s">
        <v>1204</v>
      </c>
      <c r="F556" s="49">
        <v>42.01</v>
      </c>
      <c r="G556" s="49" t="s">
        <v>43</v>
      </c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>
      <c r="A557" s="49">
        <v>556</v>
      </c>
      <c r="B557" s="51" t="s">
        <v>1205</v>
      </c>
      <c r="C557" s="52" t="s">
        <v>45</v>
      </c>
      <c r="D557" s="74" t="s">
        <v>59</v>
      </c>
      <c r="E557" s="74" t="s">
        <v>1206</v>
      </c>
      <c r="F557" s="49">
        <v>31.45</v>
      </c>
      <c r="G557" s="49" t="s">
        <v>43</v>
      </c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>
      <c r="A558" s="49">
        <v>557</v>
      </c>
      <c r="B558" s="51" t="s">
        <v>1207</v>
      </c>
      <c r="C558" s="52" t="s">
        <v>40</v>
      </c>
      <c r="D558" s="74" t="s">
        <v>59</v>
      </c>
      <c r="E558" s="74" t="s">
        <v>1208</v>
      </c>
      <c r="F558" s="49">
        <v>69.2</v>
      </c>
      <c r="G558" s="49" t="s">
        <v>43</v>
      </c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>
      <c r="A559" s="49">
        <v>558</v>
      </c>
      <c r="B559" s="51" t="s">
        <v>1209</v>
      </c>
      <c r="C559" s="52" t="s">
        <v>45</v>
      </c>
      <c r="D559" s="74"/>
      <c r="E559" s="74" t="s">
        <v>1210</v>
      </c>
      <c r="F559" s="49">
        <v>44.23</v>
      </c>
      <c r="G559" s="49" t="s">
        <v>43</v>
      </c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>
      <c r="A560" s="49">
        <v>559</v>
      </c>
      <c r="B560" s="51" t="s">
        <v>1211</v>
      </c>
      <c r="C560" s="52" t="s">
        <v>40</v>
      </c>
      <c r="D560" s="74" t="s">
        <v>284</v>
      </c>
      <c r="E560" s="74" t="s">
        <v>1212</v>
      </c>
      <c r="F560" s="49">
        <v>68.180000000000007</v>
      </c>
      <c r="G560" s="49" t="s">
        <v>43</v>
      </c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>
      <c r="A561" s="49">
        <v>560</v>
      </c>
      <c r="B561" s="51" t="s">
        <v>1213</v>
      </c>
      <c r="C561" s="52" t="s">
        <v>45</v>
      </c>
      <c r="D561" s="74" t="s">
        <v>41</v>
      </c>
      <c r="E561" s="74" t="s">
        <v>1214</v>
      </c>
      <c r="F561" s="49">
        <v>43.82</v>
      </c>
      <c r="G561" s="49" t="s">
        <v>43</v>
      </c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>
      <c r="A562" s="49">
        <v>561</v>
      </c>
      <c r="B562" s="51" t="s">
        <v>1215</v>
      </c>
      <c r="C562" s="52" t="s">
        <v>40</v>
      </c>
      <c r="D562" s="74" t="s">
        <v>123</v>
      </c>
      <c r="E562" s="74" t="s">
        <v>1216</v>
      </c>
      <c r="F562" s="49">
        <v>71.680000000000007</v>
      </c>
      <c r="G562" s="49" t="s">
        <v>43</v>
      </c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>
      <c r="A563" s="49">
        <v>562</v>
      </c>
      <c r="B563" s="51" t="s">
        <v>1217</v>
      </c>
      <c r="C563" s="52" t="s">
        <v>45</v>
      </c>
      <c r="D563" s="74" t="s">
        <v>123</v>
      </c>
      <c r="E563" s="74" t="s">
        <v>20</v>
      </c>
      <c r="F563" s="49">
        <v>45.71</v>
      </c>
      <c r="G563" s="49" t="s">
        <v>43</v>
      </c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>
      <c r="A564" s="49">
        <v>563</v>
      </c>
      <c r="B564" s="51" t="s">
        <v>1218</v>
      </c>
      <c r="C564" s="52" t="s">
        <v>40</v>
      </c>
      <c r="D564" s="74" t="s">
        <v>414</v>
      </c>
      <c r="E564" s="74" t="s">
        <v>1219</v>
      </c>
      <c r="F564" s="49">
        <v>48.47</v>
      </c>
      <c r="G564" s="49" t="s">
        <v>43</v>
      </c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>
      <c r="A565" s="49">
        <v>564</v>
      </c>
      <c r="B565" s="51" t="s">
        <v>1220</v>
      </c>
      <c r="C565" s="52" t="s">
        <v>52</v>
      </c>
      <c r="D565" s="74" t="s">
        <v>59</v>
      </c>
      <c r="E565" s="74" t="s">
        <v>1221</v>
      </c>
      <c r="F565" s="49">
        <v>19.53</v>
      </c>
      <c r="G565" s="49" t="s">
        <v>43</v>
      </c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>
      <c r="A566" s="49">
        <v>565</v>
      </c>
      <c r="B566" s="51" t="s">
        <v>1222</v>
      </c>
      <c r="C566" s="52" t="s">
        <v>45</v>
      </c>
      <c r="D566" s="74" t="s">
        <v>123</v>
      </c>
      <c r="E566" s="74" t="s">
        <v>1223</v>
      </c>
      <c r="F566" s="49">
        <v>55.13</v>
      </c>
      <c r="G566" s="49" t="s">
        <v>43</v>
      </c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>
      <c r="A567" s="49">
        <v>566</v>
      </c>
      <c r="B567" s="51" t="s">
        <v>1224</v>
      </c>
      <c r="C567" s="52" t="s">
        <v>40</v>
      </c>
      <c r="D567" s="74" t="s">
        <v>123</v>
      </c>
      <c r="E567" s="74" t="s">
        <v>1110</v>
      </c>
      <c r="F567" s="49">
        <v>60.3</v>
      </c>
      <c r="G567" s="49" t="s">
        <v>43</v>
      </c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>
      <c r="A568" s="49">
        <v>567</v>
      </c>
      <c r="B568" s="51" t="s">
        <v>1225</v>
      </c>
      <c r="C568" s="52" t="s">
        <v>45</v>
      </c>
      <c r="D568" s="74" t="s">
        <v>975</v>
      </c>
      <c r="E568" s="74" t="s">
        <v>1226</v>
      </c>
      <c r="F568" s="49">
        <v>44.37</v>
      </c>
      <c r="G568" s="49" t="s">
        <v>43</v>
      </c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>
      <c r="A569" s="49">
        <v>568</v>
      </c>
      <c r="B569" s="51" t="s">
        <v>1227</v>
      </c>
      <c r="C569" s="52" t="s">
        <v>52</v>
      </c>
      <c r="D569" s="74" t="s">
        <v>214</v>
      </c>
      <c r="E569" s="74" t="s">
        <v>1228</v>
      </c>
      <c r="F569" s="49">
        <v>40.520000000000003</v>
      </c>
      <c r="G569" s="49" t="s">
        <v>43</v>
      </c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>
      <c r="A570" s="49">
        <v>569</v>
      </c>
      <c r="B570" s="51" t="s">
        <v>1229</v>
      </c>
      <c r="C570" s="52" t="s">
        <v>52</v>
      </c>
      <c r="D570" s="74"/>
      <c r="E570" s="74" t="s">
        <v>20</v>
      </c>
      <c r="F570" s="49">
        <v>56.64</v>
      </c>
      <c r="G570" s="49" t="s">
        <v>459</v>
      </c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>
      <c r="A571" s="49">
        <v>570</v>
      </c>
      <c r="B571" s="51" t="s">
        <v>1230</v>
      </c>
      <c r="C571" s="52" t="s">
        <v>45</v>
      </c>
      <c r="D571" s="74"/>
      <c r="E571" s="74" t="s">
        <v>1231</v>
      </c>
      <c r="F571" s="49">
        <v>65.78</v>
      </c>
      <c r="G571" s="49" t="s">
        <v>459</v>
      </c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>
      <c r="A572" s="49">
        <v>571</v>
      </c>
      <c r="B572" s="51" t="s">
        <v>1232</v>
      </c>
      <c r="C572" s="52" t="s">
        <v>52</v>
      </c>
      <c r="D572" s="74"/>
      <c r="E572" s="74" t="s">
        <v>1233</v>
      </c>
      <c r="F572" s="49">
        <v>44.74</v>
      </c>
      <c r="G572" s="49" t="s">
        <v>459</v>
      </c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>
      <c r="A573" s="49">
        <v>572</v>
      </c>
      <c r="B573" s="51" t="s">
        <v>1234</v>
      </c>
      <c r="C573" s="52" t="s">
        <v>40</v>
      </c>
      <c r="D573" s="74" t="s">
        <v>414</v>
      </c>
      <c r="E573" s="74" t="s">
        <v>1235</v>
      </c>
      <c r="F573" s="49">
        <v>44.01</v>
      </c>
      <c r="G573" s="49" t="s">
        <v>43</v>
      </c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>
      <c r="A574" s="49">
        <v>573</v>
      </c>
      <c r="B574" s="51" t="s">
        <v>1236</v>
      </c>
      <c r="C574" s="52" t="s">
        <v>45</v>
      </c>
      <c r="D574" s="74" t="s">
        <v>62</v>
      </c>
      <c r="E574" s="74" t="s">
        <v>1237</v>
      </c>
      <c r="F574" s="49">
        <v>55.4</v>
      </c>
      <c r="G574" s="49" t="s">
        <v>43</v>
      </c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>
      <c r="A575" s="49">
        <v>574</v>
      </c>
      <c r="B575" s="51" t="s">
        <v>1238</v>
      </c>
      <c r="C575" s="52" t="s">
        <v>45</v>
      </c>
      <c r="D575" s="74"/>
      <c r="E575" s="74"/>
      <c r="F575" s="49">
        <v>46.07</v>
      </c>
      <c r="G575" s="49" t="s">
        <v>459</v>
      </c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>
      <c r="A576" s="49">
        <v>575</v>
      </c>
      <c r="B576" s="51" t="s">
        <v>1239</v>
      </c>
      <c r="C576" s="52" t="s">
        <v>40</v>
      </c>
      <c r="D576" s="74" t="s">
        <v>135</v>
      </c>
      <c r="E576" s="74" t="s">
        <v>1240</v>
      </c>
      <c r="F576" s="49">
        <v>61.22</v>
      </c>
      <c r="G576" s="49" t="s">
        <v>43</v>
      </c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>
      <c r="A577" s="49">
        <v>576</v>
      </c>
      <c r="B577" s="51" t="s">
        <v>1241</v>
      </c>
      <c r="C577" s="52" t="s">
        <v>45</v>
      </c>
      <c r="D577" s="74" t="s">
        <v>1099</v>
      </c>
      <c r="E577" s="74" t="s">
        <v>1242</v>
      </c>
      <c r="F577" s="49">
        <v>34.65</v>
      </c>
      <c r="G577" s="49" t="s">
        <v>43</v>
      </c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>
      <c r="A578" s="49">
        <v>577</v>
      </c>
      <c r="B578" s="51" t="s">
        <v>1243</v>
      </c>
      <c r="C578" s="52" t="s">
        <v>40</v>
      </c>
      <c r="D578" s="74"/>
      <c r="E578" s="74" t="s">
        <v>1244</v>
      </c>
      <c r="F578" s="49">
        <v>67.11</v>
      </c>
      <c r="G578" s="49" t="s">
        <v>459</v>
      </c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>
      <c r="A579" s="49">
        <v>578</v>
      </c>
      <c r="B579" s="51" t="s">
        <v>1245</v>
      </c>
      <c r="C579" s="52" t="s">
        <v>45</v>
      </c>
      <c r="D579" s="74"/>
      <c r="E579" s="74" t="s">
        <v>671</v>
      </c>
      <c r="F579" s="49">
        <v>38.54</v>
      </c>
      <c r="G579" s="49" t="s">
        <v>459</v>
      </c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>
      <c r="A580" s="49">
        <v>579</v>
      </c>
      <c r="B580" s="51" t="s">
        <v>1246</v>
      </c>
      <c r="C580" s="52" t="s">
        <v>52</v>
      </c>
      <c r="D580" s="74"/>
      <c r="E580" s="74" t="s">
        <v>432</v>
      </c>
      <c r="F580" s="49">
        <v>36.67</v>
      </c>
      <c r="G580" s="49" t="s">
        <v>459</v>
      </c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>
      <c r="A581" s="49">
        <v>580</v>
      </c>
      <c r="B581" s="51" t="s">
        <v>1247</v>
      </c>
      <c r="C581" s="52" t="s">
        <v>45</v>
      </c>
      <c r="D581" s="74"/>
      <c r="E581" s="74" t="s">
        <v>1248</v>
      </c>
      <c r="F581" s="49">
        <v>47.95</v>
      </c>
      <c r="G581" s="49" t="s">
        <v>459</v>
      </c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>
      <c r="A582" s="49">
        <v>581</v>
      </c>
      <c r="B582" s="51" t="s">
        <v>1249</v>
      </c>
      <c r="C582" s="52" t="s">
        <v>40</v>
      </c>
      <c r="D582" s="74" t="s">
        <v>123</v>
      </c>
      <c r="E582" s="74" t="s">
        <v>1250</v>
      </c>
      <c r="F582" s="49">
        <v>30.91</v>
      </c>
      <c r="G582" s="49" t="s">
        <v>43</v>
      </c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>
      <c r="A583" s="49">
        <v>582</v>
      </c>
      <c r="B583" s="51" t="s">
        <v>1251</v>
      </c>
      <c r="C583" s="52" t="s">
        <v>45</v>
      </c>
      <c r="D583" s="74" t="s">
        <v>1252</v>
      </c>
      <c r="E583" s="74" t="s">
        <v>1253</v>
      </c>
      <c r="F583" s="49">
        <v>60</v>
      </c>
      <c r="G583" s="49" t="s">
        <v>43</v>
      </c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>
      <c r="A584" s="49">
        <v>583</v>
      </c>
      <c r="B584" s="51" t="s">
        <v>1254</v>
      </c>
      <c r="C584" s="52" t="s">
        <v>45</v>
      </c>
      <c r="D584" s="74" t="s">
        <v>59</v>
      </c>
      <c r="E584" s="74" t="s">
        <v>20</v>
      </c>
      <c r="F584" s="49">
        <v>48.1</v>
      </c>
      <c r="G584" s="49" t="s">
        <v>43</v>
      </c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>
      <c r="A585" s="49">
        <v>584</v>
      </c>
      <c r="B585" s="51" t="s">
        <v>1255</v>
      </c>
      <c r="C585" s="52" t="s">
        <v>40</v>
      </c>
      <c r="D585" s="74"/>
      <c r="E585" s="74"/>
      <c r="F585" s="49">
        <v>71.55</v>
      </c>
      <c r="G585" s="49" t="s">
        <v>459</v>
      </c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>
      <c r="A586" s="49">
        <v>585</v>
      </c>
      <c r="B586" s="51" t="s">
        <v>1256</v>
      </c>
      <c r="C586" s="52" t="s">
        <v>45</v>
      </c>
      <c r="D586" s="74"/>
      <c r="E586" s="74" t="s">
        <v>1248</v>
      </c>
      <c r="F586" s="49">
        <v>53.89</v>
      </c>
      <c r="G586" s="49" t="s">
        <v>459</v>
      </c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>
      <c r="A587" s="49">
        <v>586</v>
      </c>
      <c r="B587" s="51" t="s">
        <v>1257</v>
      </c>
      <c r="C587" s="52" t="s">
        <v>40</v>
      </c>
      <c r="D587" s="74"/>
      <c r="E587" s="74" t="s">
        <v>1258</v>
      </c>
      <c r="F587" s="49">
        <v>72.209999999999994</v>
      </c>
      <c r="G587" s="49" t="s">
        <v>459</v>
      </c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>
      <c r="A588" s="49">
        <v>587</v>
      </c>
      <c r="B588" s="51" t="s">
        <v>1259</v>
      </c>
      <c r="C588" s="52" t="s">
        <v>52</v>
      </c>
      <c r="D588" s="74" t="s">
        <v>1260</v>
      </c>
      <c r="E588" s="74" t="s">
        <v>20</v>
      </c>
      <c r="F588" s="49">
        <v>35.75</v>
      </c>
      <c r="G588" s="49" t="s">
        <v>43</v>
      </c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>
      <c r="A589" s="49">
        <v>588</v>
      </c>
      <c r="B589" s="51" t="s">
        <v>1261</v>
      </c>
      <c r="C589" s="52" t="s">
        <v>52</v>
      </c>
      <c r="D589" s="74" t="s">
        <v>390</v>
      </c>
      <c r="E589" s="74" t="s">
        <v>1262</v>
      </c>
      <c r="F589" s="49">
        <v>44.98</v>
      </c>
      <c r="G589" s="49" t="s">
        <v>43</v>
      </c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>
      <c r="A590" s="49">
        <v>589</v>
      </c>
      <c r="B590" s="51" t="s">
        <v>1263</v>
      </c>
      <c r="C590" s="52" t="s">
        <v>40</v>
      </c>
      <c r="D590" s="74" t="s">
        <v>414</v>
      </c>
      <c r="E590" s="74"/>
      <c r="F590" s="49">
        <v>71.53</v>
      </c>
      <c r="G590" s="49" t="s">
        <v>43</v>
      </c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>
      <c r="A591" s="49">
        <v>590</v>
      </c>
      <c r="B591" s="51" t="s">
        <v>1264</v>
      </c>
      <c r="C591" s="52" t="s">
        <v>40</v>
      </c>
      <c r="D591" s="74" t="s">
        <v>414</v>
      </c>
      <c r="E591" s="74" t="s">
        <v>432</v>
      </c>
      <c r="F591" s="49">
        <v>71.5</v>
      </c>
      <c r="G591" s="49" t="s">
        <v>43</v>
      </c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>
      <c r="A592" s="49">
        <v>591</v>
      </c>
      <c r="B592" s="51" t="s">
        <v>1265</v>
      </c>
      <c r="C592" s="52" t="s">
        <v>52</v>
      </c>
      <c r="D592" s="74" t="s">
        <v>95</v>
      </c>
      <c r="E592" s="74" t="s">
        <v>1266</v>
      </c>
      <c r="F592" s="49">
        <v>34.340000000000003</v>
      </c>
      <c r="G592" s="49" t="s">
        <v>43</v>
      </c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>
      <c r="A593" s="49">
        <v>592</v>
      </c>
      <c r="B593" s="51" t="s">
        <v>1267</v>
      </c>
      <c r="C593" s="52" t="s">
        <v>45</v>
      </c>
      <c r="D593" s="74" t="s">
        <v>62</v>
      </c>
      <c r="E593" s="74" t="s">
        <v>1268</v>
      </c>
      <c r="F593" s="49">
        <v>48.53</v>
      </c>
      <c r="G593" s="49" t="s">
        <v>43</v>
      </c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>
      <c r="A594" s="49">
        <v>593</v>
      </c>
      <c r="B594" s="51" t="s">
        <v>1269</v>
      </c>
      <c r="C594" s="52" t="s">
        <v>45</v>
      </c>
      <c r="D594" s="74" t="s">
        <v>62</v>
      </c>
      <c r="E594" s="74" t="s">
        <v>1270</v>
      </c>
      <c r="F594" s="49">
        <v>42.69</v>
      </c>
      <c r="G594" s="49" t="s">
        <v>43</v>
      </c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>
      <c r="A595" s="49">
        <v>594</v>
      </c>
      <c r="B595" s="51" t="s">
        <v>1271</v>
      </c>
      <c r="C595" s="52" t="s">
        <v>40</v>
      </c>
      <c r="D595" s="74" t="s">
        <v>135</v>
      </c>
      <c r="E595" s="74" t="s">
        <v>1272</v>
      </c>
      <c r="F595" s="49">
        <v>46.3</v>
      </c>
      <c r="G595" s="49" t="s">
        <v>43</v>
      </c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>
      <c r="A596" s="49">
        <v>595</v>
      </c>
      <c r="B596" s="51" t="s">
        <v>1273</v>
      </c>
      <c r="C596" s="52" t="s">
        <v>40</v>
      </c>
      <c r="D596" s="74"/>
      <c r="E596" s="74" t="s">
        <v>705</v>
      </c>
      <c r="F596" s="49">
        <v>76.97</v>
      </c>
      <c r="G596" s="49" t="s">
        <v>459</v>
      </c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>
      <c r="A597" s="49">
        <v>596</v>
      </c>
      <c r="B597" s="51" t="s">
        <v>1274</v>
      </c>
      <c r="C597" s="52" t="s">
        <v>40</v>
      </c>
      <c r="D597" s="74"/>
      <c r="E597" s="74"/>
      <c r="F597" s="49">
        <v>37.83</v>
      </c>
      <c r="G597" s="49" t="s">
        <v>459</v>
      </c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>
      <c r="A598" s="49">
        <v>597</v>
      </c>
      <c r="B598" s="51" t="s">
        <v>1275</v>
      </c>
      <c r="C598" s="52" t="s">
        <v>40</v>
      </c>
      <c r="D598" s="74"/>
      <c r="E598" s="74" t="s">
        <v>671</v>
      </c>
      <c r="F598" s="49">
        <v>40.85</v>
      </c>
      <c r="G598" s="49" t="s">
        <v>459</v>
      </c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>
      <c r="A599" s="49">
        <v>598</v>
      </c>
      <c r="B599" s="51" t="s">
        <v>1276</v>
      </c>
      <c r="C599" s="52" t="s">
        <v>40</v>
      </c>
      <c r="D599" s="74" t="s">
        <v>62</v>
      </c>
      <c r="E599" s="74" t="s">
        <v>1277</v>
      </c>
      <c r="F599" s="49">
        <v>49.45</v>
      </c>
      <c r="G599" s="49" t="s">
        <v>43</v>
      </c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>
      <c r="A600" s="49">
        <v>599</v>
      </c>
      <c r="B600" s="51" t="s">
        <v>1278</v>
      </c>
      <c r="C600" s="52" t="s">
        <v>40</v>
      </c>
      <c r="D600" s="74" t="s">
        <v>135</v>
      </c>
      <c r="E600" s="74" t="s">
        <v>1279</v>
      </c>
      <c r="F600" s="49">
        <v>50.5</v>
      </c>
      <c r="G600" s="49" t="s">
        <v>43</v>
      </c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>
      <c r="A601" s="49">
        <v>600</v>
      </c>
      <c r="B601" s="51" t="s">
        <v>1280</v>
      </c>
      <c r="C601" s="52" t="s">
        <v>52</v>
      </c>
      <c r="D601" s="74" t="s">
        <v>214</v>
      </c>
      <c r="E601" s="74" t="s">
        <v>1281</v>
      </c>
      <c r="F601" s="49">
        <v>33.89</v>
      </c>
      <c r="G601" s="49" t="s">
        <v>43</v>
      </c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>
      <c r="A602" s="49">
        <v>601</v>
      </c>
      <c r="B602" s="51" t="s">
        <v>1282</v>
      </c>
      <c r="C602" s="52" t="s">
        <v>52</v>
      </c>
      <c r="D602" s="74"/>
      <c r="E602" s="74" t="s">
        <v>1283</v>
      </c>
      <c r="F602" s="49">
        <v>40.97</v>
      </c>
      <c r="G602" s="49" t="s">
        <v>459</v>
      </c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>
      <c r="A603" s="49">
        <v>602</v>
      </c>
      <c r="B603" s="51" t="s">
        <v>1284</v>
      </c>
      <c r="C603" s="52" t="s">
        <v>45</v>
      </c>
      <c r="D603" s="74"/>
      <c r="E603" s="74" t="s">
        <v>671</v>
      </c>
      <c r="F603" s="49">
        <v>52.48</v>
      </c>
      <c r="G603" s="49" t="s">
        <v>459</v>
      </c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>
      <c r="A604" s="49">
        <v>603</v>
      </c>
      <c r="B604" s="51" t="s">
        <v>1285</v>
      </c>
      <c r="C604" s="52" t="s">
        <v>40</v>
      </c>
      <c r="D604" s="74"/>
      <c r="E604" s="74"/>
      <c r="F604" s="49">
        <v>63.3</v>
      </c>
      <c r="G604" s="49" t="s">
        <v>459</v>
      </c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>
      <c r="A605" s="49">
        <v>604</v>
      </c>
      <c r="B605" s="51" t="s">
        <v>1286</v>
      </c>
      <c r="C605" s="52" t="s">
        <v>40</v>
      </c>
      <c r="D605" s="74" t="s">
        <v>390</v>
      </c>
      <c r="E605" s="74" t="s">
        <v>355</v>
      </c>
      <c r="F605" s="49">
        <v>37.130000000000003</v>
      </c>
      <c r="G605" s="49" t="s">
        <v>43</v>
      </c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>
      <c r="A606" s="49">
        <v>605</v>
      </c>
      <c r="B606" s="51" t="s">
        <v>1287</v>
      </c>
      <c r="C606" s="52" t="s">
        <v>40</v>
      </c>
      <c r="D606" s="74" t="s">
        <v>123</v>
      </c>
      <c r="E606" s="74" t="s">
        <v>1288</v>
      </c>
      <c r="F606" s="49">
        <v>31.56</v>
      </c>
      <c r="G606" s="49" t="s">
        <v>43</v>
      </c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>
      <c r="A607" s="49">
        <v>606</v>
      </c>
      <c r="B607" s="51" t="s">
        <v>1289</v>
      </c>
      <c r="C607" s="52" t="s">
        <v>40</v>
      </c>
      <c r="D607" s="74" t="s">
        <v>1172</v>
      </c>
      <c r="E607" s="74" t="s">
        <v>432</v>
      </c>
      <c r="F607" s="49">
        <v>53.74</v>
      </c>
      <c r="G607" s="49" t="s">
        <v>43</v>
      </c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>
      <c r="A608" s="49">
        <v>607</v>
      </c>
      <c r="B608" s="51" t="s">
        <v>1290</v>
      </c>
      <c r="C608" s="52" t="s">
        <v>40</v>
      </c>
      <c r="D608" s="74"/>
      <c r="E608" s="74"/>
      <c r="F608" s="49">
        <v>62.27</v>
      </c>
      <c r="G608" s="49" t="s">
        <v>459</v>
      </c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>
      <c r="A609" s="49">
        <v>608</v>
      </c>
      <c r="B609" s="51" t="s">
        <v>1291</v>
      </c>
      <c r="C609" s="52" t="s">
        <v>45</v>
      </c>
      <c r="D609" s="74"/>
      <c r="E609" s="74" t="s">
        <v>1248</v>
      </c>
      <c r="F609" s="49">
        <v>66.16</v>
      </c>
      <c r="G609" s="49" t="s">
        <v>459</v>
      </c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>
      <c r="A610" s="49">
        <v>609</v>
      </c>
      <c r="B610" s="51" t="s">
        <v>1292</v>
      </c>
      <c r="C610" s="52" t="s">
        <v>45</v>
      </c>
      <c r="D610" s="74" t="s">
        <v>168</v>
      </c>
      <c r="E610" s="74" t="s">
        <v>1293</v>
      </c>
      <c r="F610" s="49">
        <v>59.02</v>
      </c>
      <c r="G610" s="49" t="s">
        <v>43</v>
      </c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>
      <c r="A611" s="49">
        <v>610</v>
      </c>
      <c r="B611" s="51" t="s">
        <v>1294</v>
      </c>
      <c r="C611" s="52" t="s">
        <v>40</v>
      </c>
      <c r="D611" s="74"/>
      <c r="E611" s="74"/>
      <c r="F611" s="49">
        <v>65.430000000000007</v>
      </c>
      <c r="G611" s="49" t="s">
        <v>459</v>
      </c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>
      <c r="A612" s="49">
        <v>611</v>
      </c>
      <c r="B612" s="51" t="s">
        <v>1295</v>
      </c>
      <c r="C612" s="52" t="s">
        <v>45</v>
      </c>
      <c r="D612" s="74" t="s">
        <v>123</v>
      </c>
      <c r="E612" s="74" t="s">
        <v>1296</v>
      </c>
      <c r="F612" s="49">
        <v>48.17</v>
      </c>
      <c r="G612" s="49" t="s">
        <v>43</v>
      </c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>
      <c r="A613" s="49">
        <v>612</v>
      </c>
      <c r="B613" s="51" t="s">
        <v>1297</v>
      </c>
      <c r="C613" s="52" t="s">
        <v>45</v>
      </c>
      <c r="D613" s="74"/>
      <c r="E613" s="74" t="s">
        <v>989</v>
      </c>
      <c r="F613" s="49">
        <v>58.96</v>
      </c>
      <c r="G613" s="49" t="s">
        <v>459</v>
      </c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>
      <c r="A614" s="49">
        <v>613</v>
      </c>
      <c r="B614" s="51" t="s">
        <v>1298</v>
      </c>
      <c r="C614" s="52" t="s">
        <v>40</v>
      </c>
      <c r="D614" s="74"/>
      <c r="E614" s="74"/>
      <c r="F614" s="49">
        <v>77.02</v>
      </c>
      <c r="G614" s="49" t="s">
        <v>459</v>
      </c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>
      <c r="A615" s="49">
        <v>614</v>
      </c>
      <c r="B615" s="51" t="s">
        <v>1299</v>
      </c>
      <c r="C615" s="52" t="s">
        <v>45</v>
      </c>
      <c r="D615" s="74"/>
      <c r="E615" s="74" t="s">
        <v>1300</v>
      </c>
      <c r="F615" s="49">
        <v>29.56</v>
      </c>
      <c r="G615" s="49" t="s">
        <v>459</v>
      </c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>
      <c r="A616" s="49">
        <v>615</v>
      </c>
      <c r="B616" s="51" t="s">
        <v>1301</v>
      </c>
      <c r="C616" s="52" t="s">
        <v>52</v>
      </c>
      <c r="D616" s="74"/>
      <c r="E616" s="74"/>
      <c r="F616" s="49">
        <v>45.48</v>
      </c>
      <c r="G616" s="49" t="s">
        <v>459</v>
      </c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>
      <c r="A617" s="49">
        <v>616</v>
      </c>
      <c r="B617" s="51" t="s">
        <v>1302</v>
      </c>
      <c r="C617" s="52" t="s">
        <v>45</v>
      </c>
      <c r="D617" s="74" t="s">
        <v>59</v>
      </c>
      <c r="E617" s="74" t="s">
        <v>1303</v>
      </c>
      <c r="F617" s="49">
        <v>42.42</v>
      </c>
      <c r="G617" s="49" t="s">
        <v>43</v>
      </c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>
      <c r="A618" s="49">
        <v>617</v>
      </c>
      <c r="B618" s="51" t="s">
        <v>1304</v>
      </c>
      <c r="C618" s="52" t="s">
        <v>40</v>
      </c>
      <c r="D618" s="74" t="s">
        <v>414</v>
      </c>
      <c r="E618" s="74" t="s">
        <v>1305</v>
      </c>
      <c r="F618" s="49">
        <v>73.67</v>
      </c>
      <c r="G618" s="49" t="s">
        <v>43</v>
      </c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>
      <c r="A619" s="49">
        <v>618</v>
      </c>
      <c r="B619" s="51" t="s">
        <v>1306</v>
      </c>
      <c r="C619" s="52" t="s">
        <v>52</v>
      </c>
      <c r="D619" s="74"/>
      <c r="E619" s="74" t="s">
        <v>432</v>
      </c>
      <c r="F619" s="49">
        <v>53.05</v>
      </c>
      <c r="G619" s="49" t="s">
        <v>459</v>
      </c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>
      <c r="A620" s="49">
        <v>619</v>
      </c>
      <c r="B620" s="51" t="s">
        <v>1307</v>
      </c>
      <c r="C620" s="52" t="s">
        <v>40</v>
      </c>
      <c r="D620" s="74"/>
      <c r="E620" s="74"/>
      <c r="F620" s="49">
        <v>42.56</v>
      </c>
      <c r="G620" s="49" t="s">
        <v>459</v>
      </c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>
      <c r="A621" s="49">
        <v>620</v>
      </c>
      <c r="B621" s="51" t="s">
        <v>1308</v>
      </c>
      <c r="C621" s="52" t="s">
        <v>40</v>
      </c>
      <c r="D621" s="74"/>
      <c r="E621" s="74"/>
      <c r="F621" s="49">
        <v>66.760000000000005</v>
      </c>
      <c r="G621" s="49" t="s">
        <v>459</v>
      </c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>
      <c r="A622" s="49">
        <v>621</v>
      </c>
      <c r="B622" s="51" t="s">
        <v>1309</v>
      </c>
      <c r="C622" s="52" t="s">
        <v>45</v>
      </c>
      <c r="D622" s="74" t="s">
        <v>1310</v>
      </c>
      <c r="E622" s="74" t="s">
        <v>1311</v>
      </c>
      <c r="F622" s="49">
        <v>48.25</v>
      </c>
      <c r="G622" s="49" t="s">
        <v>43</v>
      </c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>
      <c r="A623" s="49">
        <v>622</v>
      </c>
      <c r="B623" s="51" t="s">
        <v>1312</v>
      </c>
      <c r="C623" s="52" t="s">
        <v>45</v>
      </c>
      <c r="D623" s="74" t="s">
        <v>821</v>
      </c>
      <c r="E623" s="74" t="s">
        <v>1313</v>
      </c>
      <c r="F623" s="49">
        <v>43.3</v>
      </c>
      <c r="G623" s="49" t="s">
        <v>43</v>
      </c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>
      <c r="A624" s="49">
        <v>623</v>
      </c>
      <c r="B624" s="51" t="s">
        <v>1314</v>
      </c>
      <c r="C624" s="52" t="s">
        <v>45</v>
      </c>
      <c r="D624" s="74" t="s">
        <v>414</v>
      </c>
      <c r="E624" s="74" t="s">
        <v>1315</v>
      </c>
      <c r="F624" s="49">
        <v>49.29</v>
      </c>
      <c r="G624" s="49" t="s">
        <v>43</v>
      </c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>
      <c r="A625" s="49">
        <v>624</v>
      </c>
      <c r="B625" s="51" t="s">
        <v>1316</v>
      </c>
      <c r="C625" s="52" t="s">
        <v>40</v>
      </c>
      <c r="D625" s="74" t="s">
        <v>41</v>
      </c>
      <c r="E625" s="74" t="s">
        <v>1317</v>
      </c>
      <c r="F625" s="49">
        <v>38.72</v>
      </c>
      <c r="G625" s="49" t="s">
        <v>43</v>
      </c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>
      <c r="A626" s="49">
        <v>625</v>
      </c>
      <c r="B626" s="51" t="s">
        <v>1318</v>
      </c>
      <c r="C626" s="52" t="s">
        <v>45</v>
      </c>
      <c r="D626" s="74" t="s">
        <v>612</v>
      </c>
      <c r="E626" s="74" t="s">
        <v>1188</v>
      </c>
      <c r="F626" s="49">
        <v>32.64</v>
      </c>
      <c r="G626" s="49" t="s">
        <v>43</v>
      </c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>
      <c r="A627" s="49">
        <v>626</v>
      </c>
      <c r="B627" s="51" t="s">
        <v>1319</v>
      </c>
      <c r="C627" s="52" t="s">
        <v>45</v>
      </c>
      <c r="D627" s="74"/>
      <c r="E627" s="74" t="s">
        <v>432</v>
      </c>
      <c r="F627" s="49">
        <v>61.23</v>
      </c>
      <c r="G627" s="49" t="s">
        <v>459</v>
      </c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>
      <c r="A628" s="49">
        <v>627</v>
      </c>
      <c r="B628" s="51" t="s">
        <v>1320</v>
      </c>
      <c r="C628" s="52" t="s">
        <v>40</v>
      </c>
      <c r="D628" s="74"/>
      <c r="E628" s="74"/>
      <c r="F628" s="49">
        <v>74.599999999999994</v>
      </c>
      <c r="G628" s="49" t="s">
        <v>459</v>
      </c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>
      <c r="A629" s="49">
        <v>628</v>
      </c>
      <c r="B629" s="51" t="s">
        <v>1321</v>
      </c>
      <c r="C629" s="52" t="s">
        <v>40</v>
      </c>
      <c r="D629" s="74" t="s">
        <v>1322</v>
      </c>
      <c r="E629" s="74" t="s">
        <v>1323</v>
      </c>
      <c r="F629" s="49">
        <v>46.92</v>
      </c>
      <c r="G629" s="49" t="s">
        <v>43</v>
      </c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>
      <c r="A630" s="49">
        <v>629</v>
      </c>
      <c r="B630" s="51" t="s">
        <v>1324</v>
      </c>
      <c r="C630" s="52" t="s">
        <v>52</v>
      </c>
      <c r="D630" s="74" t="s">
        <v>214</v>
      </c>
      <c r="E630" s="74" t="s">
        <v>1325</v>
      </c>
      <c r="F630" s="49">
        <v>30.95</v>
      </c>
      <c r="G630" s="49" t="s">
        <v>43</v>
      </c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>
      <c r="A631" s="49">
        <v>630</v>
      </c>
      <c r="B631" s="51" t="s">
        <v>1326</v>
      </c>
      <c r="C631" s="52" t="s">
        <v>52</v>
      </c>
      <c r="D631" s="74" t="s">
        <v>360</v>
      </c>
      <c r="E631" s="74" t="s">
        <v>1327</v>
      </c>
      <c r="F631" s="49">
        <v>33.159999999999997</v>
      </c>
      <c r="G631" s="49" t="s">
        <v>43</v>
      </c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>
      <c r="A632" s="49">
        <v>631</v>
      </c>
      <c r="B632" s="51" t="s">
        <v>1328</v>
      </c>
      <c r="C632" s="52" t="s">
        <v>52</v>
      </c>
      <c r="D632" s="74" t="s">
        <v>390</v>
      </c>
      <c r="E632" s="74" t="s">
        <v>257</v>
      </c>
      <c r="F632" s="49">
        <v>31.33</v>
      </c>
      <c r="G632" s="49" t="s">
        <v>43</v>
      </c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>
      <c r="A633" s="49">
        <v>632</v>
      </c>
      <c r="B633" s="51" t="s">
        <v>1329</v>
      </c>
      <c r="C633" s="52" t="s">
        <v>52</v>
      </c>
      <c r="D633" s="74" t="s">
        <v>120</v>
      </c>
      <c r="E633" s="74" t="s">
        <v>1330</v>
      </c>
      <c r="F633" s="49">
        <v>51.89</v>
      </c>
      <c r="G633" s="49" t="s">
        <v>43</v>
      </c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>
      <c r="A634" s="49">
        <v>633</v>
      </c>
      <c r="B634" s="51" t="s">
        <v>1331</v>
      </c>
      <c r="C634" s="52" t="s">
        <v>40</v>
      </c>
      <c r="D634" s="74" t="s">
        <v>62</v>
      </c>
      <c r="E634" s="74" t="s">
        <v>608</v>
      </c>
      <c r="F634" s="49">
        <v>32.25</v>
      </c>
      <c r="G634" s="49" t="s">
        <v>43</v>
      </c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>
      <c r="A635" s="49">
        <v>634</v>
      </c>
      <c r="B635" s="51" t="s">
        <v>1332</v>
      </c>
      <c r="C635" s="52" t="s">
        <v>45</v>
      </c>
      <c r="D635" s="74" t="s">
        <v>62</v>
      </c>
      <c r="E635" s="74" t="s">
        <v>1333</v>
      </c>
      <c r="F635" s="49">
        <v>40.03</v>
      </c>
      <c r="G635" s="49" t="s">
        <v>43</v>
      </c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>
      <c r="A636" s="49">
        <v>635</v>
      </c>
      <c r="B636" s="51" t="s">
        <v>1334</v>
      </c>
      <c r="C636" s="52" t="s">
        <v>45</v>
      </c>
      <c r="D636" s="74" t="s">
        <v>1335</v>
      </c>
      <c r="E636" s="74" t="s">
        <v>1336</v>
      </c>
      <c r="F636" s="49">
        <v>58.29</v>
      </c>
      <c r="G636" s="49" t="s">
        <v>43</v>
      </c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>
      <c r="A637" s="49">
        <v>636</v>
      </c>
      <c r="B637" s="51" t="s">
        <v>1337</v>
      </c>
      <c r="C637" s="52" t="s">
        <v>45</v>
      </c>
      <c r="D637" s="74" t="s">
        <v>401</v>
      </c>
      <c r="E637" s="74" t="s">
        <v>1338</v>
      </c>
      <c r="F637" s="49">
        <v>51.52</v>
      </c>
      <c r="G637" s="49" t="s">
        <v>43</v>
      </c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>
      <c r="A638" s="49">
        <v>637</v>
      </c>
      <c r="B638" s="51" t="s">
        <v>1339</v>
      </c>
      <c r="C638" s="52" t="s">
        <v>40</v>
      </c>
      <c r="D638" s="74" t="s">
        <v>414</v>
      </c>
      <c r="E638" s="74" t="s">
        <v>1042</v>
      </c>
      <c r="F638" s="49">
        <v>62.38</v>
      </c>
      <c r="G638" s="49" t="s">
        <v>43</v>
      </c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>
      <c r="A639" s="49">
        <v>638</v>
      </c>
      <c r="B639" s="51" t="s">
        <v>1340</v>
      </c>
      <c r="C639" s="52" t="s">
        <v>45</v>
      </c>
      <c r="D639" s="74" t="s">
        <v>1099</v>
      </c>
      <c r="E639" s="74" t="s">
        <v>20</v>
      </c>
      <c r="F639" s="49">
        <v>51.13</v>
      </c>
      <c r="G639" s="49" t="s">
        <v>43</v>
      </c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>
      <c r="A640" s="49">
        <v>639</v>
      </c>
      <c r="B640" s="51" t="s">
        <v>1341</v>
      </c>
      <c r="C640" s="52" t="s">
        <v>52</v>
      </c>
      <c r="D640" s="74" t="s">
        <v>214</v>
      </c>
      <c r="E640" s="74" t="s">
        <v>417</v>
      </c>
      <c r="F640" s="49">
        <v>26.37</v>
      </c>
      <c r="G640" s="49" t="s">
        <v>43</v>
      </c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>
      <c r="A641" s="49">
        <v>640</v>
      </c>
      <c r="B641" s="51" t="s">
        <v>1342</v>
      </c>
      <c r="C641" s="52" t="s">
        <v>45</v>
      </c>
      <c r="D641" s="74" t="s">
        <v>62</v>
      </c>
      <c r="E641" s="74" t="s">
        <v>652</v>
      </c>
      <c r="F641" s="49">
        <v>41.72</v>
      </c>
      <c r="G641" s="49" t="s">
        <v>43</v>
      </c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>
      <c r="A642" s="49">
        <v>641</v>
      </c>
      <c r="B642" s="51" t="s">
        <v>1343</v>
      </c>
      <c r="C642" s="52" t="s">
        <v>45</v>
      </c>
      <c r="D642" s="74" t="s">
        <v>821</v>
      </c>
      <c r="E642" s="74" t="s">
        <v>671</v>
      </c>
      <c r="F642" s="49">
        <v>52.19</v>
      </c>
      <c r="G642" s="49" t="s">
        <v>43</v>
      </c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>
      <c r="A643" s="49">
        <v>642</v>
      </c>
      <c r="B643" s="51" t="s">
        <v>1344</v>
      </c>
      <c r="C643" s="52" t="s">
        <v>52</v>
      </c>
      <c r="D643" s="74" t="s">
        <v>521</v>
      </c>
      <c r="E643" s="74" t="s">
        <v>1345</v>
      </c>
      <c r="F643" s="49">
        <v>44.18</v>
      </c>
      <c r="G643" s="49" t="s">
        <v>43</v>
      </c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>
      <c r="A644" s="49">
        <v>643</v>
      </c>
      <c r="B644" s="51" t="s">
        <v>1346</v>
      </c>
      <c r="C644" s="52" t="s">
        <v>40</v>
      </c>
      <c r="D644" s="74" t="s">
        <v>123</v>
      </c>
      <c r="E644" s="74" t="s">
        <v>1347</v>
      </c>
      <c r="F644" s="49">
        <v>41.34</v>
      </c>
      <c r="G644" s="49" t="s">
        <v>43</v>
      </c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>
      <c r="A645" s="49">
        <v>644</v>
      </c>
      <c r="B645" s="51" t="s">
        <v>1348</v>
      </c>
      <c r="C645" s="52" t="s">
        <v>52</v>
      </c>
      <c r="D645" s="74" t="s">
        <v>128</v>
      </c>
      <c r="E645" s="74" t="s">
        <v>20</v>
      </c>
      <c r="F645" s="49">
        <v>31.67</v>
      </c>
      <c r="G645" s="49" t="s">
        <v>43</v>
      </c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>
      <c r="A646" s="49">
        <v>645</v>
      </c>
      <c r="B646" s="51" t="s">
        <v>1349</v>
      </c>
      <c r="C646" s="52" t="s">
        <v>40</v>
      </c>
      <c r="D646" s="74" t="s">
        <v>398</v>
      </c>
      <c r="E646" s="74" t="s">
        <v>432</v>
      </c>
      <c r="F646" s="49">
        <v>42</v>
      </c>
      <c r="G646" s="49" t="s">
        <v>43</v>
      </c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>
      <c r="A647" s="49">
        <v>646</v>
      </c>
      <c r="B647" s="51" t="s">
        <v>1350</v>
      </c>
      <c r="C647" s="52" t="s">
        <v>45</v>
      </c>
      <c r="D647" s="74" t="s">
        <v>214</v>
      </c>
      <c r="E647" s="74" t="s">
        <v>1351</v>
      </c>
      <c r="F647" s="49">
        <v>51.29</v>
      </c>
      <c r="G647" s="49" t="s">
        <v>43</v>
      </c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>
      <c r="A648" s="49">
        <v>647</v>
      </c>
      <c r="B648" s="51" t="s">
        <v>1352</v>
      </c>
      <c r="C648" s="52" t="s">
        <v>45</v>
      </c>
      <c r="D648" s="74" t="s">
        <v>56</v>
      </c>
      <c r="E648" s="74" t="s">
        <v>1353</v>
      </c>
      <c r="F648" s="49">
        <v>60.14</v>
      </c>
      <c r="G648" s="49" t="s">
        <v>43</v>
      </c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>
      <c r="A649" s="49">
        <v>648</v>
      </c>
      <c r="B649" s="51" t="s">
        <v>1354</v>
      </c>
      <c r="C649" s="52" t="s">
        <v>45</v>
      </c>
      <c r="D649" s="74" t="s">
        <v>1355</v>
      </c>
      <c r="E649" s="74" t="s">
        <v>1356</v>
      </c>
      <c r="F649" s="49">
        <v>56.02</v>
      </c>
      <c r="G649" s="49" t="s">
        <v>43</v>
      </c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>
      <c r="A650" s="49">
        <v>649</v>
      </c>
      <c r="B650" s="51" t="s">
        <v>1357</v>
      </c>
      <c r="C650" s="52" t="s">
        <v>45</v>
      </c>
      <c r="D650" s="74" t="s">
        <v>360</v>
      </c>
      <c r="E650" s="74" t="s">
        <v>1358</v>
      </c>
      <c r="F650" s="49">
        <v>38.96</v>
      </c>
      <c r="G650" s="49" t="s">
        <v>43</v>
      </c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>
      <c r="A651" s="49">
        <v>650</v>
      </c>
      <c r="B651" s="51" t="s">
        <v>1359</v>
      </c>
      <c r="C651" s="52" t="s">
        <v>45</v>
      </c>
      <c r="D651" s="74" t="s">
        <v>214</v>
      </c>
      <c r="E651" s="74" t="s">
        <v>394</v>
      </c>
      <c r="F651" s="49">
        <v>48.69</v>
      </c>
      <c r="G651" s="49" t="s">
        <v>43</v>
      </c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>
      <c r="A652" s="49">
        <v>651</v>
      </c>
      <c r="B652" s="51" t="s">
        <v>1360</v>
      </c>
      <c r="C652" s="52" t="s">
        <v>45</v>
      </c>
      <c r="D652" s="74" t="s">
        <v>1361</v>
      </c>
      <c r="E652" s="74" t="s">
        <v>1347</v>
      </c>
      <c r="F652" s="49">
        <v>52.24</v>
      </c>
      <c r="G652" s="49" t="s">
        <v>43</v>
      </c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>
      <c r="A653" s="49">
        <v>652</v>
      </c>
      <c r="B653" s="51" t="s">
        <v>1362</v>
      </c>
      <c r="C653" s="52" t="s">
        <v>45</v>
      </c>
      <c r="D653" s="74" t="s">
        <v>414</v>
      </c>
      <c r="E653" s="74" t="s">
        <v>1363</v>
      </c>
      <c r="F653" s="49">
        <v>49.78</v>
      </c>
      <c r="G653" s="49" t="s">
        <v>43</v>
      </c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>
      <c r="A654" s="49">
        <v>653</v>
      </c>
      <c r="B654" s="51" t="s">
        <v>1364</v>
      </c>
      <c r="C654" s="52" t="s">
        <v>40</v>
      </c>
      <c r="D654" s="74" t="s">
        <v>414</v>
      </c>
      <c r="E654" s="74" t="s">
        <v>1365</v>
      </c>
      <c r="F654" s="49">
        <v>55.14</v>
      </c>
      <c r="G654" s="49" t="s">
        <v>43</v>
      </c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>
      <c r="A655" s="49">
        <v>654</v>
      </c>
      <c r="B655" s="51" t="s">
        <v>1366</v>
      </c>
      <c r="C655" s="52" t="s">
        <v>45</v>
      </c>
      <c r="D655" s="74" t="s">
        <v>414</v>
      </c>
      <c r="E655" s="74" t="s">
        <v>957</v>
      </c>
      <c r="F655" s="49">
        <v>79.349999999999994</v>
      </c>
      <c r="G655" s="49" t="s">
        <v>43</v>
      </c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>
      <c r="A656" s="49">
        <v>655</v>
      </c>
      <c r="B656" s="51" t="s">
        <v>1367</v>
      </c>
      <c r="C656" s="52" t="s">
        <v>45</v>
      </c>
      <c r="D656" s="74" t="s">
        <v>414</v>
      </c>
      <c r="E656" s="74" t="s">
        <v>1368</v>
      </c>
      <c r="F656" s="49">
        <v>54.74</v>
      </c>
      <c r="G656" s="49" t="s">
        <v>43</v>
      </c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>
      <c r="A657" s="49">
        <v>656</v>
      </c>
      <c r="B657" s="51" t="s">
        <v>1369</v>
      </c>
      <c r="C657" s="52" t="s">
        <v>52</v>
      </c>
      <c r="D657" s="74" t="s">
        <v>214</v>
      </c>
      <c r="E657" s="74" t="s">
        <v>20</v>
      </c>
      <c r="F657" s="49">
        <v>28.85</v>
      </c>
      <c r="G657" s="49" t="s">
        <v>43</v>
      </c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>
      <c r="A658" s="49">
        <v>657</v>
      </c>
      <c r="B658" s="51" t="s">
        <v>1370</v>
      </c>
      <c r="C658" s="52" t="s">
        <v>40</v>
      </c>
      <c r="D658" s="74" t="s">
        <v>59</v>
      </c>
      <c r="E658" s="74" t="s">
        <v>1371</v>
      </c>
      <c r="F658" s="49">
        <v>73.31</v>
      </c>
      <c r="G658" s="49" t="s">
        <v>43</v>
      </c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>
      <c r="A659" s="49">
        <v>658</v>
      </c>
      <c r="B659" s="51" t="s">
        <v>1372</v>
      </c>
      <c r="C659" s="52" t="s">
        <v>45</v>
      </c>
      <c r="D659" s="74" t="s">
        <v>670</v>
      </c>
      <c r="E659" s="74" t="s">
        <v>1373</v>
      </c>
      <c r="F659" s="49">
        <v>40.44</v>
      </c>
      <c r="G659" s="49" t="s">
        <v>43</v>
      </c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>
      <c r="A660" s="49">
        <v>659</v>
      </c>
      <c r="B660" s="51" t="s">
        <v>1374</v>
      </c>
      <c r="C660" s="52" t="s">
        <v>45</v>
      </c>
      <c r="D660" s="74" t="s">
        <v>1113</v>
      </c>
      <c r="E660" s="74" t="s">
        <v>20</v>
      </c>
      <c r="F660" s="49">
        <v>43.41</v>
      </c>
      <c r="G660" s="49" t="s">
        <v>43</v>
      </c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>
      <c r="A661" s="49">
        <v>660</v>
      </c>
      <c r="B661" s="51" t="s">
        <v>1375</v>
      </c>
      <c r="C661" s="52" t="s">
        <v>52</v>
      </c>
      <c r="D661" s="74" t="s">
        <v>62</v>
      </c>
      <c r="E661" s="74" t="s">
        <v>1376</v>
      </c>
      <c r="F661" s="49">
        <v>53.12</v>
      </c>
      <c r="G661" s="49" t="s">
        <v>43</v>
      </c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>
      <c r="A662" s="49">
        <v>661</v>
      </c>
      <c r="B662" s="51" t="s">
        <v>1377</v>
      </c>
      <c r="C662" s="52" t="s">
        <v>40</v>
      </c>
      <c r="D662" s="74" t="s">
        <v>123</v>
      </c>
      <c r="E662" s="74" t="s">
        <v>580</v>
      </c>
      <c r="F662" s="49">
        <v>51.15</v>
      </c>
      <c r="G662" s="49" t="s">
        <v>43</v>
      </c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>
      <c r="A663" s="49">
        <v>662</v>
      </c>
      <c r="B663" s="51" t="s">
        <v>1378</v>
      </c>
      <c r="C663" s="52" t="s">
        <v>45</v>
      </c>
      <c r="D663" s="74" t="s">
        <v>414</v>
      </c>
      <c r="E663" s="74" t="s">
        <v>1379</v>
      </c>
      <c r="F663" s="49">
        <v>39.869999999999997</v>
      </c>
      <c r="G663" s="49" t="s">
        <v>43</v>
      </c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>
      <c r="A664" s="49">
        <v>663</v>
      </c>
      <c r="B664" s="51" t="s">
        <v>1380</v>
      </c>
      <c r="C664" s="52" t="s">
        <v>45</v>
      </c>
      <c r="D664" s="74" t="s">
        <v>414</v>
      </c>
      <c r="E664" s="74" t="s">
        <v>1042</v>
      </c>
      <c r="F664" s="49">
        <v>39.340000000000003</v>
      </c>
      <c r="G664" s="49" t="s">
        <v>43</v>
      </c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>
      <c r="A665" s="49">
        <v>664</v>
      </c>
      <c r="B665" s="51" t="s">
        <v>1381</v>
      </c>
      <c r="C665" s="52" t="s">
        <v>52</v>
      </c>
      <c r="D665" s="74" t="s">
        <v>1099</v>
      </c>
      <c r="E665" s="74" t="s">
        <v>1382</v>
      </c>
      <c r="F665" s="49">
        <v>39.840000000000003</v>
      </c>
      <c r="G665" s="49" t="s">
        <v>43</v>
      </c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>
      <c r="A666" s="49">
        <v>665</v>
      </c>
      <c r="B666" s="51" t="s">
        <v>1383</v>
      </c>
      <c r="C666" s="52" t="s">
        <v>40</v>
      </c>
      <c r="D666" s="74" t="s">
        <v>123</v>
      </c>
      <c r="E666" s="74" t="s">
        <v>355</v>
      </c>
      <c r="F666" s="49">
        <v>19.52</v>
      </c>
      <c r="G666" s="49" t="s">
        <v>43</v>
      </c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>
      <c r="A667" s="49">
        <v>666</v>
      </c>
      <c r="B667" s="51" t="s">
        <v>1384</v>
      </c>
      <c r="C667" s="52" t="s">
        <v>45</v>
      </c>
      <c r="D667" s="74" t="s">
        <v>414</v>
      </c>
      <c r="E667" s="74" t="s">
        <v>1204</v>
      </c>
      <c r="F667" s="49">
        <v>54.48</v>
      </c>
      <c r="G667" s="49" t="s">
        <v>43</v>
      </c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>
      <c r="A668" s="49">
        <v>667</v>
      </c>
      <c r="B668" s="51" t="s">
        <v>1385</v>
      </c>
      <c r="C668" s="52" t="s">
        <v>45</v>
      </c>
      <c r="D668" s="74" t="s">
        <v>123</v>
      </c>
      <c r="E668" s="74" t="s">
        <v>20</v>
      </c>
      <c r="F668" s="49">
        <v>53.98</v>
      </c>
      <c r="G668" s="49" t="s">
        <v>43</v>
      </c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>
      <c r="A669" s="49">
        <v>668</v>
      </c>
      <c r="B669" s="51" t="s">
        <v>1386</v>
      </c>
      <c r="C669" s="52" t="s">
        <v>52</v>
      </c>
      <c r="D669" s="74" t="s">
        <v>670</v>
      </c>
      <c r="E669" s="74" t="s">
        <v>1199</v>
      </c>
      <c r="F669" s="49">
        <v>45.31</v>
      </c>
      <c r="G669" s="49" t="s">
        <v>43</v>
      </c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>
      <c r="A670" s="49">
        <v>669</v>
      </c>
      <c r="B670" s="51" t="s">
        <v>1387</v>
      </c>
      <c r="C670" s="52" t="s">
        <v>40</v>
      </c>
      <c r="D670" s="74" t="s">
        <v>414</v>
      </c>
      <c r="E670" s="74" t="s">
        <v>1388</v>
      </c>
      <c r="F670" s="49">
        <v>62.7</v>
      </c>
      <c r="G670" s="49" t="s">
        <v>43</v>
      </c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>
      <c r="A671" s="49">
        <v>670</v>
      </c>
      <c r="B671" s="51" t="s">
        <v>1389</v>
      </c>
      <c r="C671" s="52" t="s">
        <v>45</v>
      </c>
      <c r="D671" s="74" t="s">
        <v>1322</v>
      </c>
      <c r="E671" s="74" t="s">
        <v>1390</v>
      </c>
      <c r="F671" s="49">
        <v>43.03</v>
      </c>
      <c r="G671" s="49" t="s">
        <v>43</v>
      </c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>
      <c r="A672" s="49">
        <v>671</v>
      </c>
      <c r="B672" s="51" t="s">
        <v>1391</v>
      </c>
      <c r="C672" s="52" t="s">
        <v>40</v>
      </c>
      <c r="D672" s="74" t="s">
        <v>414</v>
      </c>
      <c r="E672" s="74" t="s">
        <v>1392</v>
      </c>
      <c r="F672" s="49">
        <v>42.81</v>
      </c>
      <c r="G672" s="49" t="s">
        <v>43</v>
      </c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>
      <c r="A673" s="49">
        <v>672</v>
      </c>
      <c r="B673" s="51" t="s">
        <v>1393</v>
      </c>
      <c r="C673" s="52" t="s">
        <v>45</v>
      </c>
      <c r="D673" s="74" t="s">
        <v>62</v>
      </c>
      <c r="E673" s="74" t="s">
        <v>989</v>
      </c>
      <c r="F673" s="49">
        <v>50.65</v>
      </c>
      <c r="G673" s="49" t="s">
        <v>43</v>
      </c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>
      <c r="A674" s="49">
        <v>673</v>
      </c>
      <c r="B674" s="51" t="s">
        <v>1394</v>
      </c>
      <c r="C674" s="52" t="s">
        <v>45</v>
      </c>
      <c r="D674" s="74" t="s">
        <v>214</v>
      </c>
      <c r="E674" s="74" t="s">
        <v>1395</v>
      </c>
      <c r="F674" s="49">
        <v>35.479999999999997</v>
      </c>
      <c r="G674" s="49" t="s">
        <v>43</v>
      </c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>
      <c r="A675" s="49">
        <v>674</v>
      </c>
      <c r="B675" s="51" t="s">
        <v>1396</v>
      </c>
      <c r="C675" s="52" t="s">
        <v>40</v>
      </c>
      <c r="D675" s="74" t="s">
        <v>123</v>
      </c>
      <c r="E675" s="74" t="s">
        <v>470</v>
      </c>
      <c r="F675" s="49">
        <v>45.73</v>
      </c>
      <c r="G675" s="49" t="s">
        <v>43</v>
      </c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>
      <c r="A676" s="49">
        <v>675</v>
      </c>
      <c r="B676" s="51" t="s">
        <v>1397</v>
      </c>
      <c r="C676" s="52" t="s">
        <v>52</v>
      </c>
      <c r="D676" s="74" t="s">
        <v>342</v>
      </c>
      <c r="E676" s="74" t="s">
        <v>432</v>
      </c>
      <c r="F676" s="49">
        <v>34.299999999999997</v>
      </c>
      <c r="G676" s="49" t="s">
        <v>43</v>
      </c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>
      <c r="A677" s="49">
        <v>676</v>
      </c>
      <c r="B677" s="51" t="s">
        <v>1398</v>
      </c>
      <c r="C677" s="52" t="s">
        <v>45</v>
      </c>
      <c r="D677" s="74" t="s">
        <v>1355</v>
      </c>
      <c r="E677" s="74" t="s">
        <v>740</v>
      </c>
      <c r="F677" s="49">
        <v>54.04</v>
      </c>
      <c r="G677" s="49" t="s">
        <v>43</v>
      </c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>
      <c r="A678" s="49">
        <v>677</v>
      </c>
      <c r="B678" s="51" t="s">
        <v>1399</v>
      </c>
      <c r="C678" s="52" t="s">
        <v>45</v>
      </c>
      <c r="D678" s="74" t="s">
        <v>1400</v>
      </c>
      <c r="E678" s="74" t="s">
        <v>1401</v>
      </c>
      <c r="F678" s="49">
        <v>53.15</v>
      </c>
      <c r="G678" s="49" t="s">
        <v>43</v>
      </c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>
      <c r="A679" s="49">
        <v>678</v>
      </c>
      <c r="B679" s="51" t="s">
        <v>1402</v>
      </c>
      <c r="C679" s="52" t="s">
        <v>45</v>
      </c>
      <c r="D679" s="74" t="s">
        <v>59</v>
      </c>
      <c r="E679" s="74" t="s">
        <v>1403</v>
      </c>
      <c r="F679" s="49">
        <v>30.82</v>
      </c>
      <c r="G679" s="49" t="s">
        <v>43</v>
      </c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>
      <c r="A680" s="49">
        <v>679</v>
      </c>
      <c r="B680" s="51" t="s">
        <v>1404</v>
      </c>
      <c r="C680" s="52" t="s">
        <v>52</v>
      </c>
      <c r="D680" s="74" t="s">
        <v>805</v>
      </c>
      <c r="E680" s="74" t="s">
        <v>1405</v>
      </c>
      <c r="F680" s="49">
        <v>46</v>
      </c>
      <c r="G680" s="49" t="s">
        <v>43</v>
      </c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>
      <c r="A681" s="49">
        <v>680</v>
      </c>
      <c r="B681" s="51" t="s">
        <v>1406</v>
      </c>
      <c r="C681" s="52" t="s">
        <v>40</v>
      </c>
      <c r="D681" s="74" t="s">
        <v>59</v>
      </c>
      <c r="E681" s="74" t="s">
        <v>1407</v>
      </c>
      <c r="F681" s="49">
        <v>36.39</v>
      </c>
      <c r="G681" s="49" t="s">
        <v>43</v>
      </c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>
      <c r="A682" s="49">
        <v>681</v>
      </c>
      <c r="B682" s="51" t="s">
        <v>1408</v>
      </c>
      <c r="C682" s="52" t="s">
        <v>45</v>
      </c>
      <c r="D682" s="74" t="s">
        <v>59</v>
      </c>
      <c r="E682" s="74" t="s">
        <v>1409</v>
      </c>
      <c r="F682" s="49">
        <v>44.74</v>
      </c>
      <c r="G682" s="49" t="s">
        <v>43</v>
      </c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>
      <c r="A683" s="49">
        <v>682</v>
      </c>
      <c r="B683" s="51" t="s">
        <v>1410</v>
      </c>
      <c r="C683" s="52" t="s">
        <v>40</v>
      </c>
      <c r="D683" s="74" t="s">
        <v>401</v>
      </c>
      <c r="E683" s="74" t="s">
        <v>432</v>
      </c>
      <c r="F683" s="49">
        <v>63.32</v>
      </c>
      <c r="G683" s="49" t="s">
        <v>43</v>
      </c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>
      <c r="A684" s="49">
        <v>683</v>
      </c>
      <c r="B684" s="51" t="s">
        <v>1411</v>
      </c>
      <c r="C684" s="52" t="s">
        <v>52</v>
      </c>
      <c r="D684" s="74" t="s">
        <v>1412</v>
      </c>
      <c r="E684" s="74" t="s">
        <v>355</v>
      </c>
      <c r="F684" s="49">
        <v>35.54</v>
      </c>
      <c r="G684" s="49" t="s">
        <v>43</v>
      </c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>
      <c r="A685" s="49">
        <v>684</v>
      </c>
      <c r="B685" s="51" t="s">
        <v>1413</v>
      </c>
      <c r="C685" s="52" t="s">
        <v>45</v>
      </c>
      <c r="D685" s="74" t="s">
        <v>1414</v>
      </c>
      <c r="E685" s="74" t="s">
        <v>355</v>
      </c>
      <c r="F685" s="49">
        <v>56.78</v>
      </c>
      <c r="G685" s="49" t="s">
        <v>43</v>
      </c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>
      <c r="A686" s="49">
        <v>685</v>
      </c>
      <c r="B686" s="51" t="s">
        <v>1415</v>
      </c>
      <c r="C686" s="52" t="s">
        <v>52</v>
      </c>
      <c r="D686" s="74" t="s">
        <v>1416</v>
      </c>
      <c r="E686" s="74" t="s">
        <v>20</v>
      </c>
      <c r="F686" s="49">
        <v>32.299999999999997</v>
      </c>
      <c r="G686" s="49" t="s">
        <v>43</v>
      </c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>
      <c r="A687" s="49">
        <v>686</v>
      </c>
      <c r="B687" s="51" t="s">
        <v>1417</v>
      </c>
      <c r="C687" s="52" t="s">
        <v>40</v>
      </c>
      <c r="D687" s="74" t="s">
        <v>59</v>
      </c>
      <c r="E687" s="74" t="s">
        <v>868</v>
      </c>
      <c r="F687" s="49">
        <v>32.200000000000003</v>
      </c>
      <c r="G687" s="49" t="s">
        <v>43</v>
      </c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>
      <c r="A688" s="49">
        <v>687</v>
      </c>
      <c r="B688" s="51" t="s">
        <v>1418</v>
      </c>
      <c r="C688" s="52" t="s">
        <v>40</v>
      </c>
      <c r="D688" s="74" t="s">
        <v>1419</v>
      </c>
      <c r="E688" s="74" t="s">
        <v>742</v>
      </c>
      <c r="F688" s="49">
        <v>35.880000000000003</v>
      </c>
      <c r="G688" s="49" t="s">
        <v>43</v>
      </c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>
      <c r="A689" s="49">
        <v>688</v>
      </c>
      <c r="B689" s="51" t="s">
        <v>1420</v>
      </c>
      <c r="C689" s="52" t="s">
        <v>45</v>
      </c>
      <c r="D689" s="74" t="s">
        <v>214</v>
      </c>
      <c r="E689" s="74" t="s">
        <v>1421</v>
      </c>
      <c r="F689" s="49">
        <v>48.4</v>
      </c>
      <c r="G689" s="49" t="s">
        <v>43</v>
      </c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>
      <c r="A690" s="49">
        <v>689</v>
      </c>
      <c r="B690" s="51" t="s">
        <v>1422</v>
      </c>
      <c r="C690" s="52" t="s">
        <v>52</v>
      </c>
      <c r="D690" s="74" t="s">
        <v>197</v>
      </c>
      <c r="E690" s="74" t="s">
        <v>417</v>
      </c>
      <c r="F690" s="49">
        <v>45.9</v>
      </c>
      <c r="G690" s="49" t="s">
        <v>43</v>
      </c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>
      <c r="A691" s="49">
        <v>690</v>
      </c>
      <c r="B691" s="51" t="s">
        <v>1423</v>
      </c>
      <c r="C691" s="52" t="s">
        <v>40</v>
      </c>
      <c r="D691" s="74" t="s">
        <v>1424</v>
      </c>
      <c r="E691" s="74" t="s">
        <v>652</v>
      </c>
      <c r="F691" s="49">
        <v>56.66</v>
      </c>
      <c r="G691" s="49" t="s">
        <v>43</v>
      </c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>
      <c r="A692" s="49">
        <v>691</v>
      </c>
      <c r="B692" s="51" t="s">
        <v>1425</v>
      </c>
      <c r="C692" s="52" t="s">
        <v>52</v>
      </c>
      <c r="D692" s="74" t="s">
        <v>376</v>
      </c>
      <c r="E692" s="74" t="s">
        <v>1426</v>
      </c>
      <c r="F692" s="49">
        <v>42.39</v>
      </c>
      <c r="G692" s="49" t="s">
        <v>43</v>
      </c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>
      <c r="A693" s="49">
        <v>692</v>
      </c>
      <c r="B693" s="51" t="s">
        <v>1427</v>
      </c>
      <c r="C693" s="52" t="s">
        <v>45</v>
      </c>
      <c r="D693" s="74" t="s">
        <v>1428</v>
      </c>
      <c r="E693" s="74" t="s">
        <v>1429</v>
      </c>
      <c r="F693" s="49">
        <v>51.06</v>
      </c>
      <c r="G693" s="49" t="s">
        <v>43</v>
      </c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>
      <c r="A694" s="49">
        <v>693</v>
      </c>
      <c r="B694" s="51" t="s">
        <v>1430</v>
      </c>
      <c r="C694" s="52" t="s">
        <v>40</v>
      </c>
      <c r="D694" s="74" t="s">
        <v>368</v>
      </c>
      <c r="E694" s="74" t="s">
        <v>1317</v>
      </c>
      <c r="F694" s="49">
        <v>59.18</v>
      </c>
      <c r="G694" s="49" t="s">
        <v>43</v>
      </c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>
      <c r="A695" s="49">
        <v>694</v>
      </c>
      <c r="B695" s="51" t="s">
        <v>1431</v>
      </c>
      <c r="C695" s="52" t="s">
        <v>45</v>
      </c>
      <c r="D695" s="74" t="s">
        <v>1432</v>
      </c>
      <c r="E695" s="74" t="s">
        <v>1433</v>
      </c>
      <c r="F695" s="49">
        <v>55.43</v>
      </c>
      <c r="G695" s="49" t="s">
        <v>43</v>
      </c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>
      <c r="A696" s="49">
        <v>695</v>
      </c>
      <c r="B696" s="51" t="s">
        <v>1434</v>
      </c>
      <c r="C696" s="52" t="s">
        <v>45</v>
      </c>
      <c r="D696" s="74" t="s">
        <v>1164</v>
      </c>
      <c r="E696" s="74" t="s">
        <v>1435</v>
      </c>
      <c r="F696" s="49">
        <v>61.99</v>
      </c>
      <c r="G696" s="49" t="s">
        <v>43</v>
      </c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>
      <c r="A697" s="49">
        <v>696</v>
      </c>
      <c r="B697" s="51" t="s">
        <v>1436</v>
      </c>
      <c r="C697" s="52" t="s">
        <v>40</v>
      </c>
      <c r="D697" s="74" t="s">
        <v>59</v>
      </c>
      <c r="E697" s="74" t="s">
        <v>1437</v>
      </c>
      <c r="F697" s="49">
        <v>55.57</v>
      </c>
      <c r="G697" s="49" t="s">
        <v>43</v>
      </c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>
      <c r="A698" s="49">
        <v>697</v>
      </c>
      <c r="B698" s="51" t="s">
        <v>1438</v>
      </c>
      <c r="C698" s="52" t="s">
        <v>40</v>
      </c>
      <c r="D698" s="74" t="s">
        <v>123</v>
      </c>
      <c r="E698" s="74" t="s">
        <v>1439</v>
      </c>
      <c r="F698" s="49">
        <v>53.54</v>
      </c>
      <c r="G698" s="49" t="s">
        <v>43</v>
      </c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>
      <c r="A699" s="49">
        <v>698</v>
      </c>
      <c r="B699" s="51" t="s">
        <v>1440</v>
      </c>
      <c r="C699" s="52" t="s">
        <v>45</v>
      </c>
      <c r="D699" s="74" t="s">
        <v>1441</v>
      </c>
      <c r="E699" s="74" t="s">
        <v>1442</v>
      </c>
      <c r="F699" s="49">
        <v>44.87</v>
      </c>
      <c r="G699" s="49" t="s">
        <v>43</v>
      </c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>
      <c r="A700" s="49">
        <v>699</v>
      </c>
      <c r="B700" s="51" t="s">
        <v>1443</v>
      </c>
      <c r="C700" s="52" t="s">
        <v>52</v>
      </c>
      <c r="D700" s="74" t="s">
        <v>1444</v>
      </c>
      <c r="E700" s="74" t="s">
        <v>1445</v>
      </c>
      <c r="F700" s="49">
        <v>41.61</v>
      </c>
      <c r="G700" s="49" t="s">
        <v>43</v>
      </c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>
      <c r="A701" s="49">
        <v>700</v>
      </c>
      <c r="B701" s="51" t="s">
        <v>1446</v>
      </c>
      <c r="C701" s="52" t="s">
        <v>40</v>
      </c>
      <c r="D701" s="74" t="s">
        <v>414</v>
      </c>
      <c r="E701" s="74" t="s">
        <v>1447</v>
      </c>
      <c r="F701" s="49">
        <v>72.92</v>
      </c>
      <c r="G701" s="49" t="s">
        <v>43</v>
      </c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>
      <c r="A702" s="49">
        <v>701</v>
      </c>
      <c r="B702" s="51" t="s">
        <v>1448</v>
      </c>
      <c r="C702" s="52" t="s">
        <v>45</v>
      </c>
      <c r="D702" s="74" t="s">
        <v>414</v>
      </c>
      <c r="E702" s="74" t="s">
        <v>1449</v>
      </c>
      <c r="F702" s="49">
        <v>78.41</v>
      </c>
      <c r="G702" s="49" t="s">
        <v>43</v>
      </c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>
      <c r="A703" s="49">
        <v>702</v>
      </c>
      <c r="B703" s="51" t="s">
        <v>1450</v>
      </c>
      <c r="C703" s="52" t="s">
        <v>45</v>
      </c>
      <c r="D703" s="74" t="s">
        <v>670</v>
      </c>
      <c r="E703" s="74" t="s">
        <v>1451</v>
      </c>
      <c r="F703" s="49">
        <v>65.790000000000006</v>
      </c>
      <c r="G703" s="49" t="s">
        <v>43</v>
      </c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>
      <c r="A704" s="49">
        <v>703</v>
      </c>
      <c r="B704" s="51" t="s">
        <v>1452</v>
      </c>
      <c r="C704" s="52" t="s">
        <v>40</v>
      </c>
      <c r="D704" s="74" t="s">
        <v>875</v>
      </c>
      <c r="E704" s="74" t="s">
        <v>1453</v>
      </c>
      <c r="F704" s="49">
        <v>49.38</v>
      </c>
      <c r="G704" s="49" t="s">
        <v>43</v>
      </c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>
      <c r="A705" s="49">
        <v>704</v>
      </c>
      <c r="B705" s="51" t="s">
        <v>670</v>
      </c>
      <c r="C705" s="52" t="s">
        <v>40</v>
      </c>
      <c r="D705" s="74" t="s">
        <v>670</v>
      </c>
      <c r="E705" s="74" t="s">
        <v>1347</v>
      </c>
      <c r="F705" s="49">
        <v>51.56</v>
      </c>
      <c r="G705" s="49" t="s">
        <v>43</v>
      </c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>
      <c r="A706" s="49">
        <v>705</v>
      </c>
      <c r="B706" s="51" t="s">
        <v>1454</v>
      </c>
      <c r="C706" s="52" t="s">
        <v>40</v>
      </c>
      <c r="D706" s="74" t="s">
        <v>446</v>
      </c>
      <c r="E706" s="74" t="s">
        <v>20</v>
      </c>
      <c r="F706" s="49">
        <v>60.13</v>
      </c>
      <c r="G706" s="49" t="s">
        <v>43</v>
      </c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>
      <c r="A707" s="49">
        <v>706</v>
      </c>
      <c r="B707" s="51" t="s">
        <v>1455</v>
      </c>
      <c r="C707" s="52" t="s">
        <v>40</v>
      </c>
      <c r="D707" s="74" t="s">
        <v>446</v>
      </c>
      <c r="E707" s="74" t="s">
        <v>1456</v>
      </c>
      <c r="F707" s="49">
        <v>60.65</v>
      </c>
      <c r="G707" s="49" t="s">
        <v>43</v>
      </c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>
      <c r="A708" s="49">
        <v>707</v>
      </c>
      <c r="B708" s="51" t="s">
        <v>1457</v>
      </c>
      <c r="C708" s="52" t="s">
        <v>45</v>
      </c>
      <c r="D708" s="74" t="s">
        <v>888</v>
      </c>
      <c r="E708" s="74" t="s">
        <v>1458</v>
      </c>
      <c r="F708" s="49">
        <v>23.81</v>
      </c>
      <c r="G708" s="49" t="s">
        <v>43</v>
      </c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>
      <c r="A709" s="49">
        <v>708</v>
      </c>
      <c r="B709" s="51" t="s">
        <v>1459</v>
      </c>
      <c r="C709" s="52" t="s">
        <v>45</v>
      </c>
      <c r="D709" s="74" t="s">
        <v>98</v>
      </c>
      <c r="E709" s="74" t="s">
        <v>1460</v>
      </c>
      <c r="F709" s="49">
        <v>31.4</v>
      </c>
      <c r="G709" s="49" t="s">
        <v>43</v>
      </c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>
      <c r="A710" s="49">
        <v>709</v>
      </c>
      <c r="B710" s="51" t="s">
        <v>1461</v>
      </c>
      <c r="C710" s="52" t="s">
        <v>40</v>
      </c>
      <c r="D710" s="74" t="s">
        <v>59</v>
      </c>
      <c r="E710" s="74" t="s">
        <v>1462</v>
      </c>
      <c r="F710" s="49">
        <v>79.05</v>
      </c>
      <c r="G710" s="49" t="s">
        <v>43</v>
      </c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>
      <c r="A711" s="49">
        <v>710</v>
      </c>
      <c r="B711" s="51" t="s">
        <v>1463</v>
      </c>
      <c r="C711" s="52" t="s">
        <v>52</v>
      </c>
      <c r="D711" s="74" t="s">
        <v>1464</v>
      </c>
      <c r="E711" s="74" t="s">
        <v>1465</v>
      </c>
      <c r="F711" s="49">
        <v>32.33</v>
      </c>
      <c r="G711" s="49" t="s">
        <v>43</v>
      </c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>
      <c r="A712" s="49">
        <v>711</v>
      </c>
      <c r="B712" s="51" t="s">
        <v>1466</v>
      </c>
      <c r="C712" s="52" t="s">
        <v>52</v>
      </c>
      <c r="D712" s="74" t="s">
        <v>1432</v>
      </c>
      <c r="E712" s="74" t="s">
        <v>432</v>
      </c>
      <c r="F712" s="49">
        <v>47</v>
      </c>
      <c r="G712" s="49" t="s">
        <v>43</v>
      </c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>
      <c r="A713" s="49">
        <v>712</v>
      </c>
      <c r="B713" s="51" t="s">
        <v>1467</v>
      </c>
      <c r="C713" s="52" t="s">
        <v>45</v>
      </c>
      <c r="D713" s="74" t="s">
        <v>214</v>
      </c>
      <c r="E713" s="74" t="s">
        <v>1468</v>
      </c>
      <c r="F713" s="49">
        <v>58.2</v>
      </c>
      <c r="G713" s="49" t="s">
        <v>43</v>
      </c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>
      <c r="A714" s="49">
        <v>713</v>
      </c>
      <c r="B714" s="51" t="s">
        <v>1469</v>
      </c>
      <c r="C714" s="52" t="s">
        <v>45</v>
      </c>
      <c r="D714" s="74" t="s">
        <v>73</v>
      </c>
      <c r="E714" s="74" t="s">
        <v>1470</v>
      </c>
      <c r="F714" s="49">
        <v>38.869999999999997</v>
      </c>
      <c r="G714" s="49" t="s">
        <v>43</v>
      </c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>
      <c r="A715" s="49">
        <v>714</v>
      </c>
      <c r="B715" s="51" t="s">
        <v>1471</v>
      </c>
      <c r="C715" s="52" t="s">
        <v>45</v>
      </c>
      <c r="D715" s="74" t="s">
        <v>1472</v>
      </c>
      <c r="E715" s="74" t="s">
        <v>1473</v>
      </c>
      <c r="F715" s="49">
        <v>53.97</v>
      </c>
      <c r="G715" s="49" t="s">
        <v>43</v>
      </c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>
      <c r="A716" s="49">
        <v>715</v>
      </c>
      <c r="B716" s="51" t="s">
        <v>1474</v>
      </c>
      <c r="C716" s="52" t="s">
        <v>52</v>
      </c>
      <c r="D716" s="74" t="s">
        <v>1444</v>
      </c>
      <c r="E716" s="74" t="s">
        <v>1475</v>
      </c>
      <c r="F716" s="49">
        <v>38.31</v>
      </c>
      <c r="G716" s="49" t="s">
        <v>43</v>
      </c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>
      <c r="A717" s="49">
        <v>716</v>
      </c>
      <c r="B717" s="51" t="s">
        <v>1476</v>
      </c>
      <c r="C717" s="52" t="s">
        <v>40</v>
      </c>
      <c r="D717" s="74" t="s">
        <v>390</v>
      </c>
      <c r="E717" s="74" t="s">
        <v>1477</v>
      </c>
      <c r="F717" s="49">
        <v>42.4</v>
      </c>
      <c r="G717" s="49" t="s">
        <v>43</v>
      </c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>
      <c r="A718" s="49">
        <v>717</v>
      </c>
      <c r="B718" s="51" t="s">
        <v>1478</v>
      </c>
      <c r="C718" s="52" t="s">
        <v>40</v>
      </c>
      <c r="D718" s="74" t="s">
        <v>123</v>
      </c>
      <c r="E718" s="74" t="s">
        <v>1479</v>
      </c>
      <c r="F718" s="49">
        <v>48.75</v>
      </c>
      <c r="G718" s="49" t="s">
        <v>43</v>
      </c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>
      <c r="A719" s="49">
        <v>718</v>
      </c>
      <c r="B719" s="51" t="s">
        <v>1480</v>
      </c>
      <c r="C719" s="52" t="s">
        <v>45</v>
      </c>
      <c r="D719" s="74" t="s">
        <v>1481</v>
      </c>
      <c r="E719" s="74" t="s">
        <v>1482</v>
      </c>
      <c r="F719" s="49">
        <v>48.98</v>
      </c>
      <c r="G719" s="49" t="s">
        <v>43</v>
      </c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>
      <c r="A720" s="49">
        <v>719</v>
      </c>
      <c r="B720" s="51" t="s">
        <v>1483</v>
      </c>
      <c r="C720" s="52" t="s">
        <v>52</v>
      </c>
      <c r="D720" s="74" t="s">
        <v>1484</v>
      </c>
      <c r="E720" s="74" t="s">
        <v>355</v>
      </c>
      <c r="F720" s="49">
        <v>31.23</v>
      </c>
      <c r="G720" s="49" t="s">
        <v>43</v>
      </c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>
      <c r="A721" s="49">
        <v>720</v>
      </c>
      <c r="B721" s="51" t="s">
        <v>1485</v>
      </c>
      <c r="C721" s="52" t="s">
        <v>40</v>
      </c>
      <c r="D721" s="74" t="s">
        <v>1355</v>
      </c>
      <c r="E721" s="74" t="s">
        <v>1486</v>
      </c>
      <c r="F721" s="49">
        <v>47.95</v>
      </c>
      <c r="G721" s="49" t="s">
        <v>43</v>
      </c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>
      <c r="A722" s="49">
        <v>721</v>
      </c>
      <c r="B722" s="51" t="s">
        <v>1487</v>
      </c>
      <c r="C722" s="52" t="s">
        <v>45</v>
      </c>
      <c r="D722" s="74" t="s">
        <v>1190</v>
      </c>
      <c r="E722" s="74" t="s">
        <v>1488</v>
      </c>
      <c r="F722" s="49">
        <v>47.94</v>
      </c>
      <c r="G722" s="49" t="s">
        <v>43</v>
      </c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>
      <c r="A723" s="49">
        <v>722</v>
      </c>
      <c r="B723" s="51" t="s">
        <v>1489</v>
      </c>
      <c r="C723" s="52" t="s">
        <v>45</v>
      </c>
      <c r="D723" s="74" t="s">
        <v>59</v>
      </c>
      <c r="E723" s="74" t="s">
        <v>1490</v>
      </c>
      <c r="F723" s="49">
        <v>34.1</v>
      </c>
      <c r="G723" s="49" t="s">
        <v>43</v>
      </c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>
      <c r="A724" s="49">
        <v>723</v>
      </c>
      <c r="B724" s="51" t="s">
        <v>1491</v>
      </c>
      <c r="C724" s="52" t="s">
        <v>45</v>
      </c>
      <c r="D724" s="74" t="s">
        <v>73</v>
      </c>
      <c r="E724" s="74" t="s">
        <v>1492</v>
      </c>
      <c r="F724" s="49">
        <v>68.53</v>
      </c>
      <c r="G724" s="49" t="s">
        <v>43</v>
      </c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>
      <c r="A725" s="49">
        <v>724</v>
      </c>
      <c r="B725" s="51" t="s">
        <v>1493</v>
      </c>
      <c r="C725" s="52" t="s">
        <v>40</v>
      </c>
      <c r="D725" s="74" t="s">
        <v>123</v>
      </c>
      <c r="E725" s="74" t="s">
        <v>1494</v>
      </c>
      <c r="F725" s="49">
        <v>43.65</v>
      </c>
      <c r="G725" s="49" t="s">
        <v>43</v>
      </c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>
      <c r="A726" s="49">
        <v>725</v>
      </c>
      <c r="B726" s="51" t="s">
        <v>1495</v>
      </c>
      <c r="C726" s="52" t="s">
        <v>45</v>
      </c>
      <c r="D726" s="74" t="s">
        <v>98</v>
      </c>
      <c r="E726" s="74" t="s">
        <v>868</v>
      </c>
      <c r="F726" s="49">
        <v>51.54</v>
      </c>
      <c r="G726" s="49" t="s">
        <v>43</v>
      </c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>
      <c r="A727" s="49">
        <v>726</v>
      </c>
      <c r="B727" s="51" t="s">
        <v>1496</v>
      </c>
      <c r="C727" s="52" t="s">
        <v>52</v>
      </c>
      <c r="D727" s="74" t="s">
        <v>1497</v>
      </c>
      <c r="E727" s="74" t="s">
        <v>1498</v>
      </c>
      <c r="F727" s="49">
        <v>48.15</v>
      </c>
      <c r="G727" s="49" t="s">
        <v>43</v>
      </c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>
      <c r="A728" s="49">
        <v>727</v>
      </c>
      <c r="B728" s="51" t="s">
        <v>1499</v>
      </c>
      <c r="C728" s="52" t="s">
        <v>52</v>
      </c>
      <c r="D728" s="74" t="s">
        <v>1500</v>
      </c>
      <c r="E728" s="74" t="s">
        <v>1501</v>
      </c>
      <c r="F728" s="49">
        <v>41.29</v>
      </c>
      <c r="G728" s="49" t="s">
        <v>43</v>
      </c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>
      <c r="A729" s="49">
        <v>728</v>
      </c>
      <c r="B729" s="51" t="s">
        <v>1502</v>
      </c>
      <c r="C729" s="52" t="s">
        <v>40</v>
      </c>
      <c r="D729" s="74" t="s">
        <v>62</v>
      </c>
      <c r="E729" s="74" t="s">
        <v>1503</v>
      </c>
      <c r="F729" s="49">
        <v>73.87</v>
      </c>
      <c r="G729" s="49" t="s">
        <v>43</v>
      </c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>
      <c r="A730" s="49">
        <v>729</v>
      </c>
      <c r="B730" s="51" t="s">
        <v>1504</v>
      </c>
      <c r="C730" s="52" t="s">
        <v>45</v>
      </c>
      <c r="D730" s="74" t="s">
        <v>123</v>
      </c>
      <c r="E730" s="74" t="s">
        <v>1505</v>
      </c>
      <c r="F730" s="49">
        <v>51.15</v>
      </c>
      <c r="G730" s="49" t="s">
        <v>43</v>
      </c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>
      <c r="A731" s="49">
        <v>730</v>
      </c>
      <c r="B731" s="51" t="s">
        <v>1506</v>
      </c>
      <c r="C731" s="52" t="s">
        <v>52</v>
      </c>
      <c r="D731" s="74" t="s">
        <v>56</v>
      </c>
      <c r="E731" s="74" t="s">
        <v>1507</v>
      </c>
      <c r="F731" s="49">
        <v>41.53</v>
      </c>
      <c r="G731" s="49" t="s">
        <v>43</v>
      </c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>
      <c r="A732" s="49">
        <v>731</v>
      </c>
      <c r="B732" s="51" t="s">
        <v>1508</v>
      </c>
      <c r="C732" s="52" t="s">
        <v>45</v>
      </c>
      <c r="D732" s="74" t="s">
        <v>1412</v>
      </c>
      <c r="E732" s="74" t="s">
        <v>355</v>
      </c>
      <c r="F732" s="49">
        <v>48.78</v>
      </c>
      <c r="G732" s="49" t="s">
        <v>43</v>
      </c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>
      <c r="A733" s="49">
        <v>732</v>
      </c>
      <c r="B733" s="51" t="s">
        <v>1509</v>
      </c>
      <c r="C733" s="52" t="s">
        <v>52</v>
      </c>
      <c r="D733" s="74" t="s">
        <v>1444</v>
      </c>
      <c r="E733" s="74" t="s">
        <v>355</v>
      </c>
      <c r="F733" s="49">
        <v>59.35</v>
      </c>
      <c r="G733" s="49" t="s">
        <v>43</v>
      </c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>
      <c r="A734" s="49">
        <v>733</v>
      </c>
      <c r="B734" s="51" t="s">
        <v>1510</v>
      </c>
      <c r="C734" s="52" t="s">
        <v>40</v>
      </c>
      <c r="D734" s="74" t="s">
        <v>805</v>
      </c>
      <c r="E734" s="74" t="s">
        <v>1511</v>
      </c>
      <c r="F734" s="49">
        <v>54.89</v>
      </c>
      <c r="G734" s="49" t="s">
        <v>43</v>
      </c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>
      <c r="A735" s="49">
        <v>734</v>
      </c>
      <c r="B735" s="51" t="s">
        <v>1512</v>
      </c>
      <c r="C735" s="52" t="s">
        <v>40</v>
      </c>
      <c r="D735" s="74" t="s">
        <v>135</v>
      </c>
      <c r="E735" s="74" t="s">
        <v>20</v>
      </c>
      <c r="F735" s="49">
        <v>41.99</v>
      </c>
      <c r="G735" s="49" t="s">
        <v>43</v>
      </c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>
      <c r="A736" s="49">
        <v>735</v>
      </c>
      <c r="B736" s="51" t="s">
        <v>1513</v>
      </c>
      <c r="C736" s="52" t="s">
        <v>45</v>
      </c>
      <c r="D736" s="74" t="s">
        <v>401</v>
      </c>
      <c r="E736" s="74" t="s">
        <v>1514</v>
      </c>
      <c r="F736" s="49">
        <v>40.630000000000003</v>
      </c>
      <c r="G736" s="49" t="s">
        <v>43</v>
      </c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>
      <c r="A737" s="49">
        <v>736</v>
      </c>
      <c r="B737" s="51" t="s">
        <v>1515</v>
      </c>
      <c r="C737" s="52" t="s">
        <v>52</v>
      </c>
      <c r="D737" s="74" t="s">
        <v>59</v>
      </c>
      <c r="E737" s="74" t="s">
        <v>1516</v>
      </c>
      <c r="F737" s="49">
        <v>47.13</v>
      </c>
      <c r="G737" s="49" t="s">
        <v>43</v>
      </c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>
      <c r="A738" s="49">
        <v>737</v>
      </c>
      <c r="B738" s="51" t="s">
        <v>1517</v>
      </c>
      <c r="C738" s="52" t="s">
        <v>45</v>
      </c>
      <c r="D738" s="74" t="s">
        <v>1190</v>
      </c>
      <c r="E738" s="74" t="s">
        <v>1518</v>
      </c>
      <c r="F738" s="49">
        <v>45.55</v>
      </c>
      <c r="G738" s="49" t="s">
        <v>43</v>
      </c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>
      <c r="A739" s="49">
        <v>738</v>
      </c>
      <c r="B739" s="51" t="s">
        <v>1519</v>
      </c>
      <c r="C739" s="52" t="s">
        <v>45</v>
      </c>
      <c r="D739" s="74" t="s">
        <v>360</v>
      </c>
      <c r="E739" s="74" t="s">
        <v>1520</v>
      </c>
      <c r="F739" s="49">
        <v>43.98</v>
      </c>
      <c r="G739" s="49" t="s">
        <v>43</v>
      </c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>
      <c r="A740" s="49">
        <v>739</v>
      </c>
      <c r="B740" s="51" t="s">
        <v>1521</v>
      </c>
      <c r="C740" s="52" t="s">
        <v>45</v>
      </c>
      <c r="D740" s="74" t="s">
        <v>1522</v>
      </c>
      <c r="E740" s="74" t="s">
        <v>1523</v>
      </c>
      <c r="F740" s="49">
        <v>62.9</v>
      </c>
      <c r="G740" s="49" t="s">
        <v>43</v>
      </c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>
      <c r="A741" s="49">
        <v>740</v>
      </c>
      <c r="B741" s="51" t="s">
        <v>1524</v>
      </c>
      <c r="C741" s="52" t="s">
        <v>45</v>
      </c>
      <c r="D741" s="74" t="s">
        <v>214</v>
      </c>
      <c r="E741" s="74" t="s">
        <v>1525</v>
      </c>
      <c r="F741" s="49">
        <v>48.37</v>
      </c>
      <c r="G741" s="49" t="s">
        <v>43</v>
      </c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>
      <c r="A742" s="49">
        <v>741</v>
      </c>
      <c r="B742" s="51" t="s">
        <v>1526</v>
      </c>
      <c r="C742" s="52" t="s">
        <v>52</v>
      </c>
      <c r="D742" s="74" t="s">
        <v>214</v>
      </c>
      <c r="E742" s="74" t="s">
        <v>1527</v>
      </c>
      <c r="F742" s="49">
        <v>33.630000000000003</v>
      </c>
      <c r="G742" s="49" t="s">
        <v>43</v>
      </c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>
      <c r="A743" s="49">
        <v>742</v>
      </c>
      <c r="B743" s="51" t="s">
        <v>1528</v>
      </c>
      <c r="C743" s="52" t="s">
        <v>45</v>
      </c>
      <c r="D743" s="74" t="s">
        <v>414</v>
      </c>
      <c r="E743" s="74" t="s">
        <v>1529</v>
      </c>
      <c r="F743" s="49">
        <v>43.11</v>
      </c>
      <c r="G743" s="49" t="s">
        <v>43</v>
      </c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>
      <c r="A744" s="49">
        <v>743</v>
      </c>
      <c r="B744" s="51" t="s">
        <v>1530</v>
      </c>
      <c r="C744" s="52" t="s">
        <v>45</v>
      </c>
      <c r="D744" s="74" t="s">
        <v>1531</v>
      </c>
      <c r="E744" s="74" t="s">
        <v>1532</v>
      </c>
      <c r="F744" s="49">
        <v>45.06</v>
      </c>
      <c r="G744" s="49" t="s">
        <v>43</v>
      </c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>
      <c r="A745" s="49">
        <v>744</v>
      </c>
      <c r="B745" s="51" t="s">
        <v>1533</v>
      </c>
      <c r="C745" s="52" t="s">
        <v>40</v>
      </c>
      <c r="D745" s="74" t="s">
        <v>670</v>
      </c>
      <c r="E745" s="74" t="s">
        <v>608</v>
      </c>
      <c r="F745" s="49">
        <v>45.24</v>
      </c>
      <c r="G745" s="49" t="s">
        <v>43</v>
      </c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>
      <c r="A746" s="49">
        <v>745</v>
      </c>
      <c r="B746" s="51" t="s">
        <v>1534</v>
      </c>
      <c r="C746" s="52" t="s">
        <v>52</v>
      </c>
      <c r="D746" s="74" t="s">
        <v>1400</v>
      </c>
      <c r="E746" s="74" t="s">
        <v>417</v>
      </c>
      <c r="F746" s="49">
        <v>33.83</v>
      </c>
      <c r="G746" s="49" t="s">
        <v>43</v>
      </c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>
      <c r="A747" s="49">
        <v>746</v>
      </c>
      <c r="B747" s="51" t="s">
        <v>1535</v>
      </c>
      <c r="C747" s="52" t="s">
        <v>40</v>
      </c>
      <c r="D747" s="74" t="s">
        <v>197</v>
      </c>
      <c r="E747" s="74" t="s">
        <v>1536</v>
      </c>
      <c r="F747" s="49">
        <v>49.96</v>
      </c>
      <c r="G747" s="49" t="s">
        <v>43</v>
      </c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>
      <c r="A748" s="49">
        <v>747</v>
      </c>
      <c r="B748" s="51" t="s">
        <v>1537</v>
      </c>
      <c r="C748" s="52" t="s">
        <v>40</v>
      </c>
      <c r="D748" s="74" t="s">
        <v>123</v>
      </c>
      <c r="E748" s="74" t="s">
        <v>20</v>
      </c>
      <c r="F748" s="49">
        <v>41.7</v>
      </c>
      <c r="G748" s="49" t="s">
        <v>43</v>
      </c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>
      <c r="A749" s="49">
        <v>748</v>
      </c>
      <c r="B749" s="51" t="s">
        <v>1538</v>
      </c>
      <c r="C749" s="52" t="s">
        <v>40</v>
      </c>
      <c r="D749" s="74" t="s">
        <v>135</v>
      </c>
      <c r="E749" s="74" t="s">
        <v>20</v>
      </c>
      <c r="F749" s="49">
        <v>56.49</v>
      </c>
      <c r="G749" s="49" t="s">
        <v>43</v>
      </c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>
      <c r="A750" s="49">
        <v>749</v>
      </c>
      <c r="B750" s="51" t="s">
        <v>1539</v>
      </c>
      <c r="C750" s="52" t="s">
        <v>52</v>
      </c>
      <c r="D750" s="74" t="s">
        <v>805</v>
      </c>
      <c r="E750" s="74" t="s">
        <v>1540</v>
      </c>
      <c r="F750" s="49">
        <v>44.04</v>
      </c>
      <c r="G750" s="49" t="s">
        <v>43</v>
      </c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>
      <c r="A751" s="49">
        <v>750</v>
      </c>
      <c r="B751" s="51" t="s">
        <v>1541</v>
      </c>
      <c r="C751" s="52" t="s">
        <v>45</v>
      </c>
      <c r="D751" s="74" t="s">
        <v>214</v>
      </c>
      <c r="E751" s="74" t="s">
        <v>417</v>
      </c>
      <c r="F751" s="49">
        <v>66.33</v>
      </c>
      <c r="G751" s="49" t="s">
        <v>43</v>
      </c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>
      <c r="A752" s="49">
        <v>751</v>
      </c>
      <c r="B752" s="51" t="s">
        <v>1542</v>
      </c>
      <c r="C752" s="52" t="s">
        <v>40</v>
      </c>
      <c r="D752" s="74" t="s">
        <v>368</v>
      </c>
      <c r="E752" s="74" t="s">
        <v>1543</v>
      </c>
      <c r="F752" s="49">
        <v>61.92</v>
      </c>
      <c r="G752" s="49" t="s">
        <v>43</v>
      </c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>
      <c r="A753" s="49">
        <v>752</v>
      </c>
      <c r="B753" s="51" t="s">
        <v>1544</v>
      </c>
      <c r="C753" s="52" t="s">
        <v>45</v>
      </c>
      <c r="D753" s="74" t="s">
        <v>342</v>
      </c>
      <c r="E753" s="74" t="s">
        <v>1545</v>
      </c>
      <c r="F753" s="49">
        <v>51.16</v>
      </c>
      <c r="G753" s="49" t="s">
        <v>43</v>
      </c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>
      <c r="A754" s="49">
        <v>753</v>
      </c>
      <c r="B754" s="51" t="s">
        <v>1546</v>
      </c>
      <c r="C754" s="52" t="s">
        <v>52</v>
      </c>
      <c r="D754" s="74" t="s">
        <v>1547</v>
      </c>
      <c r="E754" s="74" t="s">
        <v>20</v>
      </c>
      <c r="F754" s="49">
        <v>50.17</v>
      </c>
      <c r="G754" s="49" t="s">
        <v>43</v>
      </c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>
      <c r="A755" s="49">
        <v>754</v>
      </c>
      <c r="B755" s="51" t="s">
        <v>1548</v>
      </c>
      <c r="C755" s="52" t="s">
        <v>45</v>
      </c>
      <c r="D755" s="74" t="s">
        <v>62</v>
      </c>
      <c r="E755" s="74" t="s">
        <v>1549</v>
      </c>
      <c r="F755" s="49">
        <v>34.39</v>
      </c>
      <c r="G755" s="49" t="s">
        <v>43</v>
      </c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>
      <c r="A756" s="49">
        <v>755</v>
      </c>
      <c r="B756" s="51" t="s">
        <v>1550</v>
      </c>
      <c r="C756" s="52" t="s">
        <v>45</v>
      </c>
      <c r="D756" s="74" t="s">
        <v>123</v>
      </c>
      <c r="E756" s="74" t="s">
        <v>1551</v>
      </c>
      <c r="F756" s="49">
        <v>43.21</v>
      </c>
      <c r="G756" s="49" t="s">
        <v>43</v>
      </c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>
      <c r="A757" s="49">
        <v>756</v>
      </c>
      <c r="B757" s="51" t="s">
        <v>1552</v>
      </c>
      <c r="C757" s="52" t="s">
        <v>45</v>
      </c>
      <c r="D757" s="74" t="s">
        <v>1553</v>
      </c>
      <c r="E757" s="74" t="s">
        <v>1554</v>
      </c>
      <c r="F757" s="49">
        <v>54.31</v>
      </c>
      <c r="G757" s="49" t="s">
        <v>43</v>
      </c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>
      <c r="A758" s="49">
        <v>757</v>
      </c>
      <c r="B758" s="51" t="s">
        <v>1555</v>
      </c>
      <c r="C758" s="52" t="s">
        <v>52</v>
      </c>
      <c r="D758" s="74" t="s">
        <v>360</v>
      </c>
      <c r="E758" s="74" t="s">
        <v>1556</v>
      </c>
      <c r="F758" s="49">
        <v>39.53</v>
      </c>
      <c r="G758" s="49" t="s">
        <v>43</v>
      </c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>
      <c r="A759" s="49">
        <v>758</v>
      </c>
      <c r="B759" s="51" t="s">
        <v>1557</v>
      </c>
      <c r="C759" s="52" t="s">
        <v>40</v>
      </c>
      <c r="D759" s="74" t="s">
        <v>59</v>
      </c>
      <c r="E759" s="74" t="s">
        <v>20</v>
      </c>
      <c r="F759" s="49">
        <v>45.41</v>
      </c>
      <c r="G759" s="49" t="s">
        <v>43</v>
      </c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>
      <c r="A760" s="49">
        <v>759</v>
      </c>
      <c r="B760" s="51" t="s">
        <v>1558</v>
      </c>
      <c r="C760" s="52" t="s">
        <v>52</v>
      </c>
      <c r="D760" s="74" t="s">
        <v>1113</v>
      </c>
      <c r="E760" s="74" t="s">
        <v>1559</v>
      </c>
      <c r="F760" s="49">
        <v>65.41</v>
      </c>
      <c r="G760" s="49" t="s">
        <v>43</v>
      </c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>
      <c r="A761" s="49">
        <v>760</v>
      </c>
      <c r="B761" s="51" t="s">
        <v>1560</v>
      </c>
      <c r="C761" s="52" t="s">
        <v>40</v>
      </c>
      <c r="D761" s="74" t="s">
        <v>135</v>
      </c>
      <c r="E761" s="74" t="s">
        <v>20</v>
      </c>
      <c r="F761" s="49">
        <v>80.930000000000007</v>
      </c>
      <c r="G761" s="49" t="s">
        <v>43</v>
      </c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>
      <c r="A762" s="49">
        <v>761</v>
      </c>
      <c r="B762" s="51" t="s">
        <v>1561</v>
      </c>
      <c r="C762" s="52" t="s">
        <v>52</v>
      </c>
      <c r="D762" s="74" t="s">
        <v>1184</v>
      </c>
      <c r="E762" s="74" t="s">
        <v>1562</v>
      </c>
      <c r="F762" s="49">
        <v>54.39</v>
      </c>
      <c r="G762" s="49" t="s">
        <v>43</v>
      </c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>
      <c r="A763" s="49">
        <v>762</v>
      </c>
      <c r="B763" s="51" t="s">
        <v>1563</v>
      </c>
      <c r="C763" s="52" t="s">
        <v>40</v>
      </c>
      <c r="D763" s="74" t="s">
        <v>368</v>
      </c>
      <c r="E763" s="74" t="s">
        <v>432</v>
      </c>
      <c r="F763" s="49">
        <v>62.69</v>
      </c>
      <c r="G763" s="49" t="s">
        <v>43</v>
      </c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>
      <c r="A764" s="49">
        <v>763</v>
      </c>
      <c r="B764" s="51" t="s">
        <v>1564</v>
      </c>
      <c r="C764" s="52" t="s">
        <v>45</v>
      </c>
      <c r="D764" s="74" t="s">
        <v>1565</v>
      </c>
      <c r="E764" s="74" t="s">
        <v>580</v>
      </c>
      <c r="F764" s="49">
        <v>75.06</v>
      </c>
      <c r="G764" s="49" t="s">
        <v>43</v>
      </c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>
      <c r="A765" s="49">
        <v>764</v>
      </c>
      <c r="B765" s="51" t="s">
        <v>1566</v>
      </c>
      <c r="C765" s="52" t="s">
        <v>45</v>
      </c>
      <c r="D765" s="74" t="s">
        <v>214</v>
      </c>
      <c r="E765" s="74" t="s">
        <v>417</v>
      </c>
      <c r="F765" s="49">
        <v>45.92</v>
      </c>
      <c r="G765" s="49" t="s">
        <v>43</v>
      </c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>
      <c r="A766" s="49">
        <v>765</v>
      </c>
      <c r="B766" s="51" t="s">
        <v>1567</v>
      </c>
      <c r="C766" s="52" t="s">
        <v>52</v>
      </c>
      <c r="D766" s="74" t="s">
        <v>1568</v>
      </c>
      <c r="E766" s="74" t="s">
        <v>355</v>
      </c>
      <c r="F766" s="49">
        <v>54.01</v>
      </c>
      <c r="G766" s="49" t="s">
        <v>43</v>
      </c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>
      <c r="A767" s="49">
        <v>766</v>
      </c>
      <c r="B767" s="51" t="s">
        <v>1569</v>
      </c>
      <c r="C767" s="52" t="s">
        <v>40</v>
      </c>
      <c r="D767" s="74" t="s">
        <v>123</v>
      </c>
      <c r="E767" s="74" t="s">
        <v>253</v>
      </c>
      <c r="F767" s="49">
        <v>64.62</v>
      </c>
      <c r="G767" s="49" t="s">
        <v>43</v>
      </c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>
      <c r="A768" s="49">
        <v>767</v>
      </c>
      <c r="B768" s="51" t="s">
        <v>1570</v>
      </c>
      <c r="C768" s="52" t="s">
        <v>45</v>
      </c>
      <c r="D768" s="74" t="s">
        <v>1571</v>
      </c>
      <c r="E768" s="74" t="s">
        <v>1572</v>
      </c>
      <c r="F768" s="49">
        <v>48.05</v>
      </c>
      <c r="G768" s="49" t="s">
        <v>43</v>
      </c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>
      <c r="A769" s="49">
        <v>768</v>
      </c>
      <c r="B769" s="51" t="s">
        <v>1573</v>
      </c>
      <c r="C769" s="52" t="s">
        <v>52</v>
      </c>
      <c r="D769" s="74" t="s">
        <v>123</v>
      </c>
      <c r="E769" s="74" t="s">
        <v>1347</v>
      </c>
      <c r="F769" s="49">
        <v>48.35</v>
      </c>
      <c r="G769" s="49" t="s">
        <v>43</v>
      </c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>
      <c r="A770" s="49">
        <v>769</v>
      </c>
      <c r="B770" s="51" t="s">
        <v>1574</v>
      </c>
      <c r="C770" s="52" t="s">
        <v>45</v>
      </c>
      <c r="D770" s="74" t="s">
        <v>123</v>
      </c>
      <c r="E770" s="74" t="s">
        <v>1266</v>
      </c>
      <c r="F770" s="49">
        <v>54.37</v>
      </c>
      <c r="G770" s="49" t="s">
        <v>43</v>
      </c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>
      <c r="A771" s="49">
        <v>770</v>
      </c>
      <c r="B771" s="51" t="s">
        <v>1575</v>
      </c>
      <c r="C771" s="52" t="s">
        <v>52</v>
      </c>
      <c r="D771" s="74" t="s">
        <v>1576</v>
      </c>
      <c r="E771" s="74" t="s">
        <v>1577</v>
      </c>
      <c r="F771" s="49">
        <v>48.29</v>
      </c>
      <c r="G771" s="49" t="s">
        <v>43</v>
      </c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>
      <c r="A772" s="49">
        <v>771</v>
      </c>
      <c r="B772" s="51" t="s">
        <v>1578</v>
      </c>
      <c r="C772" s="52" t="s">
        <v>40</v>
      </c>
      <c r="D772" s="74" t="s">
        <v>135</v>
      </c>
      <c r="E772" s="74" t="s">
        <v>1579</v>
      </c>
      <c r="F772" s="49">
        <v>86.13</v>
      </c>
      <c r="G772" s="49" t="s">
        <v>43</v>
      </c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>
      <c r="A773" s="49">
        <v>772</v>
      </c>
      <c r="B773" s="51" t="s">
        <v>1580</v>
      </c>
      <c r="C773" s="52" t="s">
        <v>52</v>
      </c>
      <c r="D773" s="74" t="s">
        <v>95</v>
      </c>
      <c r="E773" s="74" t="s">
        <v>1581</v>
      </c>
      <c r="F773" s="49">
        <v>40.89</v>
      </c>
      <c r="G773" s="49" t="s">
        <v>43</v>
      </c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>
      <c r="A774" s="49">
        <v>773</v>
      </c>
      <c r="B774" s="51" t="s">
        <v>1582</v>
      </c>
      <c r="C774" s="52" t="s">
        <v>52</v>
      </c>
      <c r="D774" s="74" t="s">
        <v>342</v>
      </c>
      <c r="E774" s="74" t="s">
        <v>1583</v>
      </c>
      <c r="F774" s="49">
        <v>58.72</v>
      </c>
      <c r="G774" s="49" t="s">
        <v>43</v>
      </c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>
      <c r="A775" s="49">
        <v>774</v>
      </c>
      <c r="B775" s="51" t="s">
        <v>1584</v>
      </c>
      <c r="C775" s="52" t="s">
        <v>52</v>
      </c>
      <c r="D775" s="74" t="s">
        <v>670</v>
      </c>
      <c r="E775" s="74" t="s">
        <v>20</v>
      </c>
      <c r="F775" s="49">
        <v>46.53</v>
      </c>
      <c r="G775" s="49" t="s">
        <v>43</v>
      </c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>
      <c r="A776" s="49">
        <v>775</v>
      </c>
      <c r="B776" s="51" t="s">
        <v>1585</v>
      </c>
      <c r="C776" s="52" t="s">
        <v>45</v>
      </c>
      <c r="D776" s="74" t="s">
        <v>1322</v>
      </c>
      <c r="E776" s="74" t="s">
        <v>432</v>
      </c>
      <c r="F776" s="49">
        <v>41.77</v>
      </c>
      <c r="G776" s="49" t="s">
        <v>43</v>
      </c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>
      <c r="A777" s="49">
        <v>776</v>
      </c>
      <c r="B777" s="51" t="s">
        <v>1586</v>
      </c>
      <c r="C777" s="52" t="s">
        <v>45</v>
      </c>
      <c r="D777" s="74" t="s">
        <v>1419</v>
      </c>
      <c r="E777" s="74" t="s">
        <v>1587</v>
      </c>
      <c r="F777" s="49">
        <v>55.39</v>
      </c>
      <c r="G777" s="49" t="s">
        <v>43</v>
      </c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>
      <c r="A778" s="49">
        <v>777</v>
      </c>
      <c r="B778" s="51" t="s">
        <v>1588</v>
      </c>
      <c r="C778" s="52" t="s">
        <v>45</v>
      </c>
      <c r="D778" s="74" t="s">
        <v>1589</v>
      </c>
      <c r="E778" s="74" t="s">
        <v>1590</v>
      </c>
      <c r="F778" s="49">
        <v>34.619999999999997</v>
      </c>
      <c r="G778" s="49" t="s">
        <v>43</v>
      </c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>
      <c r="A779" s="49">
        <v>778</v>
      </c>
      <c r="B779" s="51" t="s">
        <v>1591</v>
      </c>
      <c r="C779" s="52" t="s">
        <v>52</v>
      </c>
      <c r="D779" s="74" t="s">
        <v>1592</v>
      </c>
      <c r="E779" s="74" t="s">
        <v>417</v>
      </c>
      <c r="F779" s="49">
        <v>52.36</v>
      </c>
      <c r="G779" s="49" t="s">
        <v>43</v>
      </c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>
      <c r="A780" s="49">
        <v>779</v>
      </c>
      <c r="B780" s="51" t="s">
        <v>1593</v>
      </c>
      <c r="C780" s="52" t="s">
        <v>45</v>
      </c>
      <c r="D780" s="74" t="s">
        <v>1594</v>
      </c>
      <c r="E780" s="74" t="s">
        <v>20</v>
      </c>
      <c r="F780" s="49">
        <v>36.89</v>
      </c>
      <c r="G780" s="49" t="s">
        <v>43</v>
      </c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>
      <c r="A781" s="49">
        <v>780</v>
      </c>
      <c r="B781" s="51" t="s">
        <v>1595</v>
      </c>
      <c r="C781" s="52" t="s">
        <v>52</v>
      </c>
      <c r="D781" s="74" t="s">
        <v>62</v>
      </c>
      <c r="E781" s="74" t="s">
        <v>1596</v>
      </c>
      <c r="F781" s="49">
        <v>28.93</v>
      </c>
      <c r="G781" s="49" t="s">
        <v>43</v>
      </c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>
      <c r="A782" s="49">
        <v>781</v>
      </c>
      <c r="B782" s="51" t="s">
        <v>1597</v>
      </c>
      <c r="C782" s="52" t="s">
        <v>45</v>
      </c>
      <c r="D782" s="74" t="s">
        <v>398</v>
      </c>
      <c r="E782" s="74" t="s">
        <v>1598</v>
      </c>
      <c r="F782" s="49">
        <v>54.03</v>
      </c>
      <c r="G782" s="49" t="s">
        <v>43</v>
      </c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>
      <c r="A783" s="49">
        <v>782</v>
      </c>
      <c r="B783" s="51" t="s">
        <v>1599</v>
      </c>
      <c r="C783" s="52" t="s">
        <v>52</v>
      </c>
      <c r="D783" s="74" t="s">
        <v>1322</v>
      </c>
      <c r="E783" s="74" t="s">
        <v>20</v>
      </c>
      <c r="F783" s="49">
        <v>40.880000000000003</v>
      </c>
      <c r="G783" s="49" t="s">
        <v>43</v>
      </c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>
      <c r="A784" s="49">
        <v>783</v>
      </c>
      <c r="B784" s="51" t="s">
        <v>1600</v>
      </c>
      <c r="C784" s="52" t="s">
        <v>40</v>
      </c>
      <c r="D784" s="74" t="s">
        <v>1419</v>
      </c>
      <c r="E784" s="74" t="s">
        <v>355</v>
      </c>
      <c r="F784" s="49">
        <v>52.24</v>
      </c>
      <c r="G784" s="49" t="s">
        <v>43</v>
      </c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>
      <c r="A785" s="49">
        <v>784</v>
      </c>
      <c r="B785" s="51" t="s">
        <v>1601</v>
      </c>
      <c r="C785" s="52" t="s">
        <v>40</v>
      </c>
      <c r="D785" s="74" t="s">
        <v>768</v>
      </c>
      <c r="E785" s="74" t="s">
        <v>1602</v>
      </c>
      <c r="F785" s="49">
        <v>63.65</v>
      </c>
      <c r="G785" s="49" t="s">
        <v>43</v>
      </c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>
      <c r="A786" s="49">
        <v>785</v>
      </c>
      <c r="B786" s="51" t="s">
        <v>1603</v>
      </c>
      <c r="C786" s="52" t="s">
        <v>45</v>
      </c>
      <c r="D786" s="74" t="s">
        <v>357</v>
      </c>
      <c r="E786" s="74" t="s">
        <v>1604</v>
      </c>
      <c r="F786" s="49">
        <v>46.99</v>
      </c>
      <c r="G786" s="49" t="s">
        <v>43</v>
      </c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>
      <c r="A787" s="49">
        <v>786</v>
      </c>
      <c r="B787" s="51" t="s">
        <v>1605</v>
      </c>
      <c r="C787" s="52" t="s">
        <v>52</v>
      </c>
      <c r="D787" s="74" t="s">
        <v>885</v>
      </c>
      <c r="E787" s="75" t="s">
        <v>1606</v>
      </c>
      <c r="F787" s="49">
        <v>41.27</v>
      </c>
      <c r="G787" s="49" t="s">
        <v>43</v>
      </c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>
      <c r="A788" s="49">
        <v>787</v>
      </c>
      <c r="B788" s="51" t="s">
        <v>1607</v>
      </c>
      <c r="C788" s="52" t="s">
        <v>45</v>
      </c>
      <c r="D788" s="74" t="s">
        <v>1608</v>
      </c>
      <c r="E788" s="74" t="s">
        <v>1609</v>
      </c>
      <c r="F788" s="49">
        <v>39.32</v>
      </c>
      <c r="G788" s="49" t="s">
        <v>43</v>
      </c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>
      <c r="A789" s="49">
        <v>788</v>
      </c>
      <c r="B789" s="51" t="s">
        <v>1610</v>
      </c>
      <c r="C789" s="52" t="s">
        <v>40</v>
      </c>
      <c r="D789" s="74" t="s">
        <v>59</v>
      </c>
      <c r="E789" s="74" t="s">
        <v>740</v>
      </c>
      <c r="F789" s="49">
        <v>57.07</v>
      </c>
      <c r="G789" s="49" t="s">
        <v>43</v>
      </c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>
      <c r="A790" s="49">
        <v>789</v>
      </c>
      <c r="B790" s="51" t="s">
        <v>1611</v>
      </c>
      <c r="C790" s="52" t="s">
        <v>45</v>
      </c>
      <c r="D790" s="74" t="s">
        <v>62</v>
      </c>
      <c r="E790" s="74" t="s">
        <v>20</v>
      </c>
      <c r="F790" s="49">
        <v>57.36</v>
      </c>
      <c r="G790" s="49" t="s">
        <v>43</v>
      </c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>
      <c r="A791" s="49">
        <v>790</v>
      </c>
      <c r="B791" s="51" t="s">
        <v>1612</v>
      </c>
      <c r="C791" s="52" t="s">
        <v>45</v>
      </c>
      <c r="D791" s="74" t="s">
        <v>214</v>
      </c>
      <c r="E791" s="74" t="s">
        <v>20</v>
      </c>
      <c r="F791" s="49">
        <v>38.81</v>
      </c>
      <c r="G791" s="49" t="s">
        <v>43</v>
      </c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>
      <c r="A792" s="49">
        <v>791</v>
      </c>
      <c r="B792" s="51" t="s">
        <v>1613</v>
      </c>
      <c r="C792" s="52" t="s">
        <v>45</v>
      </c>
      <c r="D792" s="74" t="s">
        <v>59</v>
      </c>
      <c r="E792" s="74" t="s">
        <v>615</v>
      </c>
      <c r="F792" s="49">
        <v>65.52</v>
      </c>
      <c r="G792" s="49" t="s">
        <v>43</v>
      </c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>
      <c r="A793" s="49">
        <v>792</v>
      </c>
      <c r="B793" s="51" t="s">
        <v>1614</v>
      </c>
      <c r="C793" s="52" t="s">
        <v>45</v>
      </c>
      <c r="D793" s="74" t="s">
        <v>123</v>
      </c>
      <c r="E793" s="74" t="s">
        <v>1615</v>
      </c>
      <c r="F793" s="49">
        <v>47.21</v>
      </c>
      <c r="G793" s="49" t="s">
        <v>43</v>
      </c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>
      <c r="A794" s="49">
        <v>793</v>
      </c>
      <c r="B794" s="51" t="s">
        <v>1616</v>
      </c>
      <c r="C794" s="52" t="s">
        <v>52</v>
      </c>
      <c r="D794" s="74" t="s">
        <v>670</v>
      </c>
      <c r="E794" s="74" t="s">
        <v>1617</v>
      </c>
      <c r="F794" s="49">
        <v>40.159999999999997</v>
      </c>
      <c r="G794" s="49" t="s">
        <v>43</v>
      </c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>
      <c r="A795" s="49">
        <v>794</v>
      </c>
      <c r="B795" s="51" t="s">
        <v>1618</v>
      </c>
      <c r="C795" s="52" t="s">
        <v>45</v>
      </c>
      <c r="D795" s="74" t="s">
        <v>612</v>
      </c>
      <c r="E795" s="74" t="s">
        <v>1619</v>
      </c>
      <c r="F795" s="49">
        <v>32.5</v>
      </c>
      <c r="G795" s="49" t="s">
        <v>43</v>
      </c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>
      <c r="A796" s="49">
        <v>795</v>
      </c>
      <c r="B796" s="51" t="s">
        <v>1620</v>
      </c>
      <c r="C796" s="52" t="s">
        <v>45</v>
      </c>
      <c r="D796" s="74" t="s">
        <v>123</v>
      </c>
      <c r="E796" s="74" t="s">
        <v>499</v>
      </c>
      <c r="F796" s="49">
        <v>45.97</v>
      </c>
      <c r="G796" s="49" t="s">
        <v>43</v>
      </c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>
      <c r="A797" s="49">
        <v>796</v>
      </c>
      <c r="B797" s="51" t="s">
        <v>1621</v>
      </c>
      <c r="C797" s="52" t="s">
        <v>40</v>
      </c>
      <c r="D797" s="74"/>
      <c r="E797" s="74" t="s">
        <v>1622</v>
      </c>
      <c r="F797" s="49">
        <v>49.7</v>
      </c>
      <c r="G797" s="49" t="s">
        <v>43</v>
      </c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>
      <c r="A798" s="49">
        <v>797</v>
      </c>
      <c r="B798" s="51" t="s">
        <v>1623</v>
      </c>
      <c r="C798" s="52" t="s">
        <v>45</v>
      </c>
      <c r="D798" s="74"/>
      <c r="E798" s="74" t="s">
        <v>1624</v>
      </c>
      <c r="F798" s="49">
        <v>74.599999999999994</v>
      </c>
      <c r="G798" s="49" t="s">
        <v>43</v>
      </c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>
      <c r="A799" s="49">
        <v>798</v>
      </c>
      <c r="B799" s="51" t="s">
        <v>1625</v>
      </c>
      <c r="C799" s="52" t="s">
        <v>52</v>
      </c>
      <c r="D799" s="74"/>
      <c r="E799" s="74"/>
      <c r="F799" s="49">
        <v>43.78</v>
      </c>
      <c r="G799" s="49" t="s">
        <v>43</v>
      </c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>
      <c r="A800" s="49">
        <v>799</v>
      </c>
      <c r="B800" s="51" t="s">
        <v>1626</v>
      </c>
      <c r="C800" s="52" t="s">
        <v>45</v>
      </c>
      <c r="D800" s="74"/>
      <c r="E800" s="74" t="s">
        <v>20</v>
      </c>
      <c r="F800" s="49">
        <v>35.369999999999997</v>
      </c>
      <c r="G800" s="49" t="s">
        <v>43</v>
      </c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>
      <c r="A801" s="49">
        <v>800</v>
      </c>
      <c r="B801" s="51" t="s">
        <v>1627</v>
      </c>
      <c r="C801" s="52" t="s">
        <v>40</v>
      </c>
      <c r="D801" s="74" t="s">
        <v>65</v>
      </c>
      <c r="E801" s="74" t="s">
        <v>20</v>
      </c>
      <c r="F801" s="49">
        <v>61.17</v>
      </c>
      <c r="G801" s="49" t="s">
        <v>43</v>
      </c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>
      <c r="A802" s="49">
        <v>801</v>
      </c>
      <c r="B802" s="51" t="s">
        <v>1628</v>
      </c>
      <c r="C802" s="52" t="s">
        <v>45</v>
      </c>
      <c r="D802" s="74" t="s">
        <v>214</v>
      </c>
      <c r="E802" s="74" t="s">
        <v>1615</v>
      </c>
      <c r="F802" s="49">
        <v>38.65</v>
      </c>
      <c r="G802" s="49" t="s">
        <v>43</v>
      </c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>
      <c r="A803" s="49">
        <v>802</v>
      </c>
      <c r="B803" s="51" t="s">
        <v>1629</v>
      </c>
      <c r="C803" s="52" t="s">
        <v>45</v>
      </c>
      <c r="D803" s="74" t="s">
        <v>790</v>
      </c>
      <c r="E803" s="74" t="s">
        <v>20</v>
      </c>
      <c r="F803" s="49">
        <v>48.35</v>
      </c>
      <c r="G803" s="49" t="s">
        <v>43</v>
      </c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>
      <c r="A804" s="49">
        <v>803</v>
      </c>
      <c r="B804" s="51" t="s">
        <v>1630</v>
      </c>
      <c r="C804" s="52" t="s">
        <v>52</v>
      </c>
      <c r="D804" s="74" t="s">
        <v>732</v>
      </c>
      <c r="E804" s="74" t="s">
        <v>20</v>
      </c>
      <c r="F804" s="49">
        <v>30.43</v>
      </c>
      <c r="G804" s="49" t="s">
        <v>43</v>
      </c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>
      <c r="A805" s="49">
        <v>804</v>
      </c>
      <c r="B805" s="51" t="s">
        <v>1631</v>
      </c>
      <c r="C805" s="52" t="s">
        <v>40</v>
      </c>
      <c r="D805" s="74" t="s">
        <v>59</v>
      </c>
      <c r="E805" s="74" t="s">
        <v>816</v>
      </c>
      <c r="F805" s="49">
        <v>76.650000000000006</v>
      </c>
      <c r="G805" s="49" t="s">
        <v>43</v>
      </c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>
      <c r="A806" s="49">
        <v>805</v>
      </c>
      <c r="B806" s="51" t="s">
        <v>1632</v>
      </c>
      <c r="C806" s="52" t="s">
        <v>52</v>
      </c>
      <c r="D806" s="74" t="s">
        <v>62</v>
      </c>
      <c r="E806" s="74" t="s">
        <v>840</v>
      </c>
      <c r="F806" s="49">
        <v>26.41</v>
      </c>
      <c r="G806" s="49" t="s">
        <v>43</v>
      </c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>
      <c r="A807" s="49">
        <v>806</v>
      </c>
      <c r="B807" s="51" t="s">
        <v>1633</v>
      </c>
      <c r="C807" s="52" t="s">
        <v>40</v>
      </c>
      <c r="D807" s="74"/>
      <c r="E807" s="74" t="s">
        <v>20</v>
      </c>
      <c r="F807" s="49">
        <v>64.569999999999993</v>
      </c>
      <c r="G807" s="49" t="s">
        <v>43</v>
      </c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>
      <c r="A808" s="49">
        <v>807</v>
      </c>
      <c r="B808" s="51" t="s">
        <v>1634</v>
      </c>
      <c r="C808" s="52" t="s">
        <v>45</v>
      </c>
      <c r="D808" s="74"/>
      <c r="E808" s="74" t="s">
        <v>355</v>
      </c>
      <c r="F808" s="49">
        <v>83.37</v>
      </c>
      <c r="G808" s="49" t="s">
        <v>43</v>
      </c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>
      <c r="A809" s="49">
        <v>808</v>
      </c>
      <c r="B809" s="51" t="s">
        <v>1635</v>
      </c>
      <c r="C809" s="52" t="s">
        <v>45</v>
      </c>
      <c r="D809" s="74" t="s">
        <v>214</v>
      </c>
      <c r="E809" s="74" t="s">
        <v>20</v>
      </c>
      <c r="F809" s="49">
        <v>39.549999999999997</v>
      </c>
      <c r="G809" s="49" t="s">
        <v>43</v>
      </c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>
      <c r="A810" s="49">
        <v>809</v>
      </c>
      <c r="B810" s="51" t="s">
        <v>1636</v>
      </c>
      <c r="C810" s="52" t="s">
        <v>45</v>
      </c>
      <c r="D810" s="74" t="s">
        <v>59</v>
      </c>
      <c r="E810" s="74" t="s">
        <v>20</v>
      </c>
      <c r="F810" s="49">
        <v>47.25</v>
      </c>
      <c r="G810" s="49" t="s">
        <v>43</v>
      </c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>
      <c r="A811" s="49">
        <v>810</v>
      </c>
      <c r="B811" s="51" t="s">
        <v>1637</v>
      </c>
      <c r="C811" s="52" t="s">
        <v>52</v>
      </c>
      <c r="D811" s="74" t="s">
        <v>62</v>
      </c>
      <c r="E811" s="74" t="s">
        <v>1638</v>
      </c>
      <c r="F811" s="49">
        <v>47.89</v>
      </c>
      <c r="G811" s="49" t="s">
        <v>43</v>
      </c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>
      <c r="A812" s="49">
        <v>811</v>
      </c>
      <c r="B812" s="51" t="s">
        <v>1639</v>
      </c>
      <c r="C812" s="52" t="s">
        <v>40</v>
      </c>
      <c r="D812" s="74" t="s">
        <v>135</v>
      </c>
      <c r="E812" s="74" t="s">
        <v>1640</v>
      </c>
      <c r="F812" s="49">
        <v>69.33</v>
      </c>
      <c r="G812" s="49" t="s">
        <v>43</v>
      </c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>
      <c r="A813" s="49">
        <v>812</v>
      </c>
      <c r="B813" s="51" t="s">
        <v>1641</v>
      </c>
      <c r="C813" s="52" t="s">
        <v>40</v>
      </c>
      <c r="D813" s="74" t="s">
        <v>62</v>
      </c>
      <c r="E813" s="74" t="s">
        <v>20</v>
      </c>
      <c r="F813" s="49">
        <v>58.04</v>
      </c>
      <c r="G813" s="49" t="s">
        <v>43</v>
      </c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>
      <c r="A814" s="49">
        <v>813</v>
      </c>
      <c r="B814" s="51" t="s">
        <v>1642</v>
      </c>
      <c r="C814" s="52" t="s">
        <v>45</v>
      </c>
      <c r="D814" s="74" t="s">
        <v>214</v>
      </c>
      <c r="E814" s="74" t="s">
        <v>972</v>
      </c>
      <c r="F814" s="49">
        <v>49.45</v>
      </c>
      <c r="G814" s="49" t="s">
        <v>43</v>
      </c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>
      <c r="A815" s="49">
        <v>814</v>
      </c>
      <c r="B815" s="51" t="s">
        <v>1643</v>
      </c>
      <c r="C815" s="52" t="s">
        <v>45</v>
      </c>
      <c r="D815" s="74" t="s">
        <v>414</v>
      </c>
      <c r="E815" s="74" t="s">
        <v>1644</v>
      </c>
      <c r="F815" s="49">
        <v>74.11</v>
      </c>
      <c r="G815" s="49" t="s">
        <v>43</v>
      </c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>
      <c r="A816" s="49">
        <v>815</v>
      </c>
      <c r="B816" s="51" t="s">
        <v>1645</v>
      </c>
      <c r="C816" s="52" t="s">
        <v>52</v>
      </c>
      <c r="D816" s="74" t="s">
        <v>342</v>
      </c>
      <c r="E816" s="74" t="s">
        <v>1646</v>
      </c>
      <c r="F816" s="49">
        <v>42.29</v>
      </c>
      <c r="G816" s="49" t="s">
        <v>43</v>
      </c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>
      <c r="A817" s="49">
        <v>816</v>
      </c>
      <c r="B817" s="51" t="s">
        <v>1647</v>
      </c>
      <c r="C817" s="52" t="s">
        <v>45</v>
      </c>
      <c r="D817" s="74" t="s">
        <v>59</v>
      </c>
      <c r="E817" s="74" t="s">
        <v>20</v>
      </c>
      <c r="F817" s="49">
        <v>47.01</v>
      </c>
      <c r="G817" s="49" t="s">
        <v>43</v>
      </c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>
      <c r="A818" s="49">
        <v>817</v>
      </c>
      <c r="B818" s="51" t="s">
        <v>1648</v>
      </c>
      <c r="C818" s="52" t="s">
        <v>45</v>
      </c>
      <c r="D818" s="74" t="s">
        <v>98</v>
      </c>
      <c r="E818" s="74" t="s">
        <v>20</v>
      </c>
      <c r="F818" s="49">
        <v>57.01</v>
      </c>
      <c r="G818" s="49" t="s">
        <v>43</v>
      </c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>
      <c r="A819" s="49">
        <v>818</v>
      </c>
      <c r="B819" s="51" t="s">
        <v>1649</v>
      </c>
      <c r="C819" s="52" t="s">
        <v>52</v>
      </c>
      <c r="D819" s="74" t="s">
        <v>1650</v>
      </c>
      <c r="E819" s="74" t="s">
        <v>20</v>
      </c>
      <c r="F819" s="49">
        <v>38.520000000000003</v>
      </c>
      <c r="G819" s="49" t="s">
        <v>43</v>
      </c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>
      <c r="A820" s="49">
        <v>819</v>
      </c>
      <c r="B820" s="51" t="s">
        <v>1651</v>
      </c>
      <c r="C820" s="52" t="s">
        <v>40</v>
      </c>
      <c r="D820" s="74" t="s">
        <v>59</v>
      </c>
      <c r="E820" s="74" t="s">
        <v>1652</v>
      </c>
      <c r="F820" s="49">
        <v>44.45</v>
      </c>
      <c r="G820" s="49" t="s">
        <v>43</v>
      </c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>
      <c r="A821" s="49">
        <v>820</v>
      </c>
      <c r="B821" s="51" t="s">
        <v>1653</v>
      </c>
      <c r="C821" s="52" t="s">
        <v>45</v>
      </c>
      <c r="D821" s="74"/>
      <c r="E821" s="74"/>
      <c r="F821" s="49">
        <v>50.49</v>
      </c>
      <c r="G821" s="49" t="s">
        <v>43</v>
      </c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>
      <c r="A822" s="49">
        <v>821</v>
      </c>
      <c r="B822" s="51" t="s">
        <v>1654</v>
      </c>
      <c r="C822" s="52" t="s">
        <v>40</v>
      </c>
      <c r="D822" s="74"/>
      <c r="E822" s="74" t="s">
        <v>1655</v>
      </c>
      <c r="F822" s="49">
        <v>66.540000000000006</v>
      </c>
      <c r="G822" s="49" t="s">
        <v>43</v>
      </c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>
      <c r="A823" s="49">
        <v>822</v>
      </c>
      <c r="B823" s="51" t="s">
        <v>1656</v>
      </c>
      <c r="C823" s="52" t="s">
        <v>45</v>
      </c>
      <c r="D823" s="74"/>
      <c r="E823" s="74"/>
      <c r="F823" s="49">
        <v>42.68</v>
      </c>
      <c r="G823" s="49" t="s">
        <v>43</v>
      </c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>
      <c r="A824" s="49">
        <v>823</v>
      </c>
      <c r="B824" s="51" t="s">
        <v>1657</v>
      </c>
      <c r="C824" s="52" t="s">
        <v>45</v>
      </c>
      <c r="D824" s="74"/>
      <c r="E824" s="74"/>
      <c r="F824" s="49">
        <v>35.380000000000003</v>
      </c>
      <c r="G824" s="49" t="s">
        <v>43</v>
      </c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>
      <c r="A825" s="49">
        <v>824</v>
      </c>
      <c r="B825" s="51" t="s">
        <v>1658</v>
      </c>
      <c r="C825" s="52" t="s">
        <v>40</v>
      </c>
      <c r="D825" s="74" t="s">
        <v>59</v>
      </c>
      <c r="E825" s="74" t="s">
        <v>671</v>
      </c>
      <c r="F825" s="49">
        <v>62.91</v>
      </c>
      <c r="G825" s="49" t="s">
        <v>43</v>
      </c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>
      <c r="A826" s="49">
        <v>825</v>
      </c>
      <c r="B826" s="51" t="s">
        <v>1659</v>
      </c>
      <c r="C826" s="52" t="s">
        <v>45</v>
      </c>
      <c r="D826" s="74" t="s">
        <v>123</v>
      </c>
      <c r="E826" s="74" t="s">
        <v>671</v>
      </c>
      <c r="F826" s="49">
        <v>42.22</v>
      </c>
      <c r="G826" s="49" t="s">
        <v>43</v>
      </c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>
      <c r="A827" s="49">
        <v>826</v>
      </c>
      <c r="B827" s="51" t="s">
        <v>1660</v>
      </c>
      <c r="C827" s="52" t="s">
        <v>45</v>
      </c>
      <c r="D827" s="74" t="s">
        <v>1086</v>
      </c>
      <c r="E827" s="74" t="s">
        <v>1661</v>
      </c>
      <c r="F827" s="49">
        <v>38.19</v>
      </c>
      <c r="G827" s="49" t="s">
        <v>43</v>
      </c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>
      <c r="A828" s="49">
        <v>827</v>
      </c>
      <c r="B828" s="51" t="s">
        <v>1662</v>
      </c>
      <c r="C828" s="52" t="s">
        <v>52</v>
      </c>
      <c r="D828" s="74" t="s">
        <v>805</v>
      </c>
      <c r="E828" s="74" t="s">
        <v>615</v>
      </c>
      <c r="F828" s="49">
        <v>45.18</v>
      </c>
      <c r="G828" s="49" t="s">
        <v>43</v>
      </c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>
      <c r="A829" s="49">
        <v>828</v>
      </c>
      <c r="B829" s="51" t="s">
        <v>1663</v>
      </c>
      <c r="C829" s="52" t="s">
        <v>52</v>
      </c>
      <c r="D829" s="74" t="s">
        <v>1086</v>
      </c>
      <c r="E829" s="74" t="s">
        <v>1664</v>
      </c>
      <c r="F829" s="49">
        <v>44.38</v>
      </c>
      <c r="G829" s="49" t="s">
        <v>43</v>
      </c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>
      <c r="A830" s="49">
        <v>829</v>
      </c>
      <c r="B830" s="51" t="s">
        <v>1665</v>
      </c>
      <c r="C830" s="52" t="s">
        <v>52</v>
      </c>
      <c r="D830" s="74" t="s">
        <v>62</v>
      </c>
      <c r="E830" s="74" t="s">
        <v>1666</v>
      </c>
      <c r="F830" s="49">
        <v>36.67</v>
      </c>
      <c r="G830" s="49" t="s">
        <v>43</v>
      </c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>
      <c r="A831" s="49">
        <v>830</v>
      </c>
      <c r="B831" s="51" t="s">
        <v>1667</v>
      </c>
      <c r="C831" s="52" t="s">
        <v>40</v>
      </c>
      <c r="D831" s="74" t="s">
        <v>123</v>
      </c>
      <c r="E831" s="74" t="s">
        <v>20</v>
      </c>
      <c r="F831" s="49">
        <v>49.21</v>
      </c>
      <c r="G831" s="49" t="s">
        <v>43</v>
      </c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>
      <c r="A832" s="49">
        <v>831</v>
      </c>
      <c r="B832" s="51" t="s">
        <v>1668</v>
      </c>
      <c r="C832" s="52" t="s">
        <v>45</v>
      </c>
      <c r="D832" s="74" t="s">
        <v>59</v>
      </c>
      <c r="E832" s="74" t="s">
        <v>1248</v>
      </c>
      <c r="F832" s="49">
        <v>43.92</v>
      </c>
      <c r="G832" s="49" t="s">
        <v>43</v>
      </c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>
      <c r="A833" s="49">
        <v>832</v>
      </c>
      <c r="B833" s="51" t="s">
        <v>1669</v>
      </c>
      <c r="C833" s="52" t="s">
        <v>40</v>
      </c>
      <c r="D833" s="74" t="s">
        <v>123</v>
      </c>
      <c r="E833" s="74" t="s">
        <v>740</v>
      </c>
      <c r="F833" s="49">
        <v>75.7</v>
      </c>
      <c r="G833" s="49" t="s">
        <v>43</v>
      </c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>
      <c r="A834" s="49">
        <v>833</v>
      </c>
      <c r="B834" s="51" t="s">
        <v>1670</v>
      </c>
      <c r="C834" s="52" t="s">
        <v>45</v>
      </c>
      <c r="D834" s="74" t="s">
        <v>59</v>
      </c>
      <c r="E834" s="74" t="s">
        <v>1671</v>
      </c>
      <c r="F834" s="49">
        <v>50.13</v>
      </c>
      <c r="G834" s="49" t="s">
        <v>43</v>
      </c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>
      <c r="A835" s="49">
        <v>834</v>
      </c>
      <c r="B835" s="51" t="s">
        <v>1672</v>
      </c>
      <c r="C835" s="52" t="s">
        <v>52</v>
      </c>
      <c r="D835" s="74" t="s">
        <v>277</v>
      </c>
      <c r="E835" s="74" t="s">
        <v>20</v>
      </c>
      <c r="F835" s="49">
        <v>43.11</v>
      </c>
      <c r="G835" s="49" t="s">
        <v>43</v>
      </c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>
      <c r="A836" s="49">
        <v>835</v>
      </c>
      <c r="B836" s="51" t="s">
        <v>1673</v>
      </c>
      <c r="C836" s="52" t="s">
        <v>45</v>
      </c>
      <c r="D836" s="74" t="s">
        <v>123</v>
      </c>
      <c r="E836" s="74" t="s">
        <v>20</v>
      </c>
      <c r="F836" s="49">
        <v>58.15</v>
      </c>
      <c r="G836" s="49" t="s">
        <v>43</v>
      </c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>
      <c r="A837" s="49">
        <v>836</v>
      </c>
      <c r="B837" s="51" t="s">
        <v>1674</v>
      </c>
      <c r="C837" s="52" t="s">
        <v>40</v>
      </c>
      <c r="D837" s="74" t="s">
        <v>62</v>
      </c>
      <c r="E837" s="74" t="s">
        <v>1675</v>
      </c>
      <c r="F837" s="49">
        <v>48.92</v>
      </c>
      <c r="G837" s="49" t="s">
        <v>43</v>
      </c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>
      <c r="A838" s="49">
        <v>837</v>
      </c>
      <c r="B838" s="51" t="s">
        <v>1676</v>
      </c>
      <c r="C838" s="52" t="s">
        <v>45</v>
      </c>
      <c r="D838" s="74" t="s">
        <v>214</v>
      </c>
      <c r="E838" s="74" t="s">
        <v>914</v>
      </c>
      <c r="F838" s="49">
        <v>34.24</v>
      </c>
      <c r="G838" s="49" t="s">
        <v>43</v>
      </c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>
      <c r="A839" s="49">
        <v>838</v>
      </c>
      <c r="B839" s="51" t="s">
        <v>1677</v>
      </c>
      <c r="C839" s="52" t="s">
        <v>45</v>
      </c>
      <c r="D839" s="74" t="s">
        <v>1678</v>
      </c>
      <c r="E839" s="74" t="s">
        <v>20</v>
      </c>
      <c r="F839" s="49">
        <v>47.98</v>
      </c>
      <c r="G839" s="49" t="s">
        <v>43</v>
      </c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>
      <c r="A840" s="49">
        <v>839</v>
      </c>
      <c r="B840" s="51" t="s">
        <v>1679</v>
      </c>
      <c r="C840" s="52" t="s">
        <v>52</v>
      </c>
      <c r="D840" s="74" t="s">
        <v>1680</v>
      </c>
      <c r="E840" s="74" t="s">
        <v>1681</v>
      </c>
      <c r="F840" s="49">
        <v>38.340000000000003</v>
      </c>
      <c r="G840" s="49" t="s">
        <v>43</v>
      </c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>
      <c r="A841" s="49">
        <v>840</v>
      </c>
      <c r="B841" s="51" t="s">
        <v>1682</v>
      </c>
      <c r="C841" s="52" t="s">
        <v>40</v>
      </c>
      <c r="D841" s="74" t="s">
        <v>123</v>
      </c>
      <c r="E841" s="74" t="s">
        <v>1683</v>
      </c>
      <c r="F841" s="49">
        <v>36.99</v>
      </c>
      <c r="G841" s="49" t="s">
        <v>43</v>
      </c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>
      <c r="A842" s="49">
        <v>841</v>
      </c>
      <c r="B842" s="51" t="s">
        <v>1684</v>
      </c>
      <c r="C842" s="52" t="s">
        <v>45</v>
      </c>
      <c r="D842" s="74" t="s">
        <v>790</v>
      </c>
      <c r="E842" s="74" t="s">
        <v>355</v>
      </c>
      <c r="F842" s="49">
        <v>63.73</v>
      </c>
      <c r="G842" s="49" t="s">
        <v>43</v>
      </c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>
      <c r="A843" s="49">
        <v>842</v>
      </c>
      <c r="B843" s="51" t="s">
        <v>1685</v>
      </c>
      <c r="C843" s="52" t="s">
        <v>45</v>
      </c>
      <c r="D843" s="74" t="s">
        <v>1686</v>
      </c>
      <c r="E843" s="74" t="s">
        <v>432</v>
      </c>
      <c r="F843" s="49">
        <v>36.08</v>
      </c>
      <c r="G843" s="49" t="s">
        <v>43</v>
      </c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>
      <c r="A844" s="49">
        <v>843</v>
      </c>
      <c r="B844" s="51" t="s">
        <v>1687</v>
      </c>
      <c r="C844" s="52" t="s">
        <v>52</v>
      </c>
      <c r="D844" s="74" t="s">
        <v>1688</v>
      </c>
      <c r="E844" s="74" t="s">
        <v>681</v>
      </c>
      <c r="F844" s="49">
        <v>45.88</v>
      </c>
      <c r="G844" s="49" t="s">
        <v>43</v>
      </c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>
      <c r="A845" s="49">
        <v>844</v>
      </c>
      <c r="B845" s="51" t="s">
        <v>1689</v>
      </c>
      <c r="C845" s="52" t="s">
        <v>40</v>
      </c>
      <c r="D845" s="74" t="s">
        <v>1690</v>
      </c>
      <c r="E845" s="74" t="s">
        <v>1691</v>
      </c>
      <c r="F845" s="49">
        <v>46.33</v>
      </c>
      <c r="G845" s="49" t="s">
        <v>43</v>
      </c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>
      <c r="A846" s="49">
        <v>845</v>
      </c>
      <c r="B846" s="51" t="s">
        <v>1692</v>
      </c>
      <c r="C846" s="52" t="s">
        <v>45</v>
      </c>
      <c r="D846" s="74" t="s">
        <v>1086</v>
      </c>
      <c r="E846" s="74" t="s">
        <v>1693</v>
      </c>
      <c r="F846" s="49">
        <v>36.799999999999997</v>
      </c>
      <c r="G846" s="49" t="s">
        <v>43</v>
      </c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>
      <c r="A847" s="49">
        <v>846</v>
      </c>
      <c r="B847" s="51" t="s">
        <v>1694</v>
      </c>
      <c r="C847" s="52" t="s">
        <v>45</v>
      </c>
      <c r="D847" s="74" t="s">
        <v>1412</v>
      </c>
      <c r="E847" s="74" t="s">
        <v>1695</v>
      </c>
      <c r="F847" s="49">
        <v>53.43</v>
      </c>
      <c r="G847" s="49" t="s">
        <v>43</v>
      </c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>
      <c r="A848" s="49">
        <v>847</v>
      </c>
      <c r="B848" s="51" t="s">
        <v>1696</v>
      </c>
      <c r="C848" s="52" t="s">
        <v>52</v>
      </c>
      <c r="D848" s="74" t="s">
        <v>1697</v>
      </c>
      <c r="E848" s="74" t="s">
        <v>1698</v>
      </c>
      <c r="F848" s="49">
        <v>51.6</v>
      </c>
      <c r="G848" s="49" t="s">
        <v>43</v>
      </c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>
      <c r="A849" s="49">
        <v>848</v>
      </c>
      <c r="B849" s="51" t="s">
        <v>1699</v>
      </c>
      <c r="C849" s="52" t="s">
        <v>45</v>
      </c>
      <c r="D849" s="74" t="s">
        <v>59</v>
      </c>
      <c r="E849" s="74" t="s">
        <v>671</v>
      </c>
      <c r="F849" s="49">
        <v>44.28</v>
      </c>
      <c r="G849" s="49" t="s">
        <v>43</v>
      </c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>
      <c r="A850" s="49">
        <v>849</v>
      </c>
      <c r="B850" s="51" t="s">
        <v>1700</v>
      </c>
      <c r="C850" s="52" t="s">
        <v>40</v>
      </c>
      <c r="D850" s="74" t="s">
        <v>123</v>
      </c>
      <c r="E850" s="74" t="s">
        <v>355</v>
      </c>
      <c r="F850" s="49">
        <v>42.49</v>
      </c>
      <c r="G850" s="49" t="s">
        <v>43</v>
      </c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>
      <c r="A851" s="49">
        <v>850</v>
      </c>
      <c r="B851" s="51" t="s">
        <v>1701</v>
      </c>
      <c r="C851" s="52" t="s">
        <v>52</v>
      </c>
      <c r="D851" s="74" t="s">
        <v>1702</v>
      </c>
      <c r="E851" s="74" t="s">
        <v>1703</v>
      </c>
      <c r="F851" s="49">
        <v>47.26</v>
      </c>
      <c r="G851" s="49" t="s">
        <v>43</v>
      </c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>
      <c r="A852" s="49">
        <v>851</v>
      </c>
      <c r="B852" s="51" t="s">
        <v>1704</v>
      </c>
      <c r="C852" s="52" t="s">
        <v>45</v>
      </c>
      <c r="D852" s="74" t="s">
        <v>805</v>
      </c>
      <c r="E852" s="74" t="s">
        <v>432</v>
      </c>
      <c r="F852" s="49">
        <v>51.12</v>
      </c>
      <c r="G852" s="49" t="s">
        <v>43</v>
      </c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>
      <c r="A853" s="49">
        <v>852</v>
      </c>
      <c r="B853" s="51" t="s">
        <v>1705</v>
      </c>
      <c r="C853" s="52" t="s">
        <v>40</v>
      </c>
      <c r="D853" s="74" t="s">
        <v>670</v>
      </c>
      <c r="E853" s="74" t="s">
        <v>1706</v>
      </c>
      <c r="F853" s="49">
        <v>71.42</v>
      </c>
      <c r="G853" s="49" t="s">
        <v>43</v>
      </c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>
      <c r="A854" s="49">
        <v>853</v>
      </c>
      <c r="B854" s="51" t="s">
        <v>1707</v>
      </c>
      <c r="C854" s="52" t="s">
        <v>45</v>
      </c>
      <c r="D854" s="74" t="s">
        <v>431</v>
      </c>
      <c r="E854" s="74" t="s">
        <v>20</v>
      </c>
      <c r="F854" s="49">
        <v>42.22</v>
      </c>
      <c r="G854" s="49" t="s">
        <v>43</v>
      </c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>
      <c r="A855" s="49">
        <v>854</v>
      </c>
      <c r="B855" s="51" t="s">
        <v>1708</v>
      </c>
      <c r="C855" s="52" t="s">
        <v>52</v>
      </c>
      <c r="D855" s="74" t="s">
        <v>744</v>
      </c>
      <c r="E855" s="74" t="s">
        <v>355</v>
      </c>
      <c r="F855" s="49">
        <v>38.18</v>
      </c>
      <c r="G855" s="49" t="s">
        <v>43</v>
      </c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>
      <c r="A856" s="49">
        <v>855</v>
      </c>
      <c r="B856" s="51" t="s">
        <v>1709</v>
      </c>
      <c r="C856" s="52" t="s">
        <v>45</v>
      </c>
      <c r="D856" s="74" t="s">
        <v>1412</v>
      </c>
      <c r="E856" s="74" t="s">
        <v>1710</v>
      </c>
      <c r="F856" s="49">
        <v>42.62</v>
      </c>
      <c r="G856" s="49" t="s">
        <v>43</v>
      </c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>
      <c r="A857" s="49">
        <v>856</v>
      </c>
      <c r="B857" s="51" t="s">
        <v>1711</v>
      </c>
      <c r="C857" s="52" t="s">
        <v>45</v>
      </c>
      <c r="D857" s="74" t="s">
        <v>95</v>
      </c>
      <c r="E857" s="74" t="s">
        <v>432</v>
      </c>
      <c r="F857" s="49">
        <v>59.79</v>
      </c>
      <c r="G857" s="49" t="s">
        <v>43</v>
      </c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>
      <c r="A858" s="49">
        <v>857</v>
      </c>
      <c r="B858" s="51" t="s">
        <v>1712</v>
      </c>
      <c r="C858" s="52" t="s">
        <v>52</v>
      </c>
      <c r="D858" s="74" t="s">
        <v>875</v>
      </c>
      <c r="E858" s="74" t="s">
        <v>20</v>
      </c>
      <c r="F858" s="49">
        <v>49.44</v>
      </c>
      <c r="G858" s="49" t="s">
        <v>43</v>
      </c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>
      <c r="A859" s="49">
        <v>858</v>
      </c>
      <c r="B859" s="51" t="s">
        <v>1713</v>
      </c>
      <c r="C859" s="52" t="s">
        <v>45</v>
      </c>
      <c r="D859" s="74" t="s">
        <v>62</v>
      </c>
      <c r="E859" s="74" t="s">
        <v>20</v>
      </c>
      <c r="F859" s="49">
        <v>53.51</v>
      </c>
      <c r="G859" s="49" t="s">
        <v>43</v>
      </c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>
      <c r="A860" s="49">
        <v>859</v>
      </c>
      <c r="B860" s="51" t="s">
        <v>1714</v>
      </c>
      <c r="C860" s="52" t="s">
        <v>40</v>
      </c>
      <c r="D860" s="74" t="s">
        <v>59</v>
      </c>
      <c r="E860" s="74" t="s">
        <v>20</v>
      </c>
      <c r="F860" s="49">
        <v>27.53</v>
      </c>
      <c r="G860" s="49" t="s">
        <v>43</v>
      </c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>
      <c r="A861" s="49">
        <v>860</v>
      </c>
      <c r="B861" s="51" t="s">
        <v>1715</v>
      </c>
      <c r="C861" s="52" t="s">
        <v>40</v>
      </c>
      <c r="D861" s="74" t="s">
        <v>360</v>
      </c>
      <c r="E861" s="74" t="s">
        <v>1716</v>
      </c>
      <c r="F861" s="49">
        <v>51.39</v>
      </c>
      <c r="G861" s="49" t="s">
        <v>43</v>
      </c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>
      <c r="A862" s="49">
        <v>861</v>
      </c>
      <c r="B862" s="51" t="s">
        <v>1717</v>
      </c>
      <c r="C862" s="52" t="s">
        <v>45</v>
      </c>
      <c r="D862" s="74" t="s">
        <v>360</v>
      </c>
      <c r="E862" s="74" t="s">
        <v>1718</v>
      </c>
      <c r="F862" s="49">
        <v>72.28</v>
      </c>
      <c r="G862" s="49" t="s">
        <v>43</v>
      </c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>
      <c r="A863" s="49">
        <v>862</v>
      </c>
      <c r="B863" s="51" t="s">
        <v>1719</v>
      </c>
      <c r="C863" s="52" t="s">
        <v>52</v>
      </c>
      <c r="D863" s="74" t="s">
        <v>1720</v>
      </c>
      <c r="E863" s="74" t="s">
        <v>1721</v>
      </c>
      <c r="F863" s="49">
        <v>24.17</v>
      </c>
      <c r="G863" s="49" t="s">
        <v>43</v>
      </c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>
      <c r="A864" s="49">
        <v>863</v>
      </c>
      <c r="B864" s="51" t="s">
        <v>1722</v>
      </c>
      <c r="C864" s="52" t="s">
        <v>45</v>
      </c>
      <c r="D864" s="74" t="s">
        <v>284</v>
      </c>
      <c r="E864" s="74" t="s">
        <v>1723</v>
      </c>
      <c r="F864" s="49">
        <v>54.51</v>
      </c>
      <c r="G864" s="49" t="s">
        <v>43</v>
      </c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>
      <c r="A865" s="49">
        <v>864</v>
      </c>
      <c r="B865" s="51" t="s">
        <v>1724</v>
      </c>
      <c r="C865" s="52" t="s">
        <v>52</v>
      </c>
      <c r="D865" s="74" t="s">
        <v>944</v>
      </c>
      <c r="E865" s="74" t="s">
        <v>1554</v>
      </c>
      <c r="F865" s="49">
        <v>39.909999999999997</v>
      </c>
      <c r="G865" s="49" t="s">
        <v>43</v>
      </c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>
      <c r="A866" s="49">
        <v>865</v>
      </c>
      <c r="B866" s="51" t="s">
        <v>1725</v>
      </c>
      <c r="C866" s="52" t="s">
        <v>45</v>
      </c>
      <c r="D866" s="74" t="s">
        <v>414</v>
      </c>
      <c r="E866" s="74" t="s">
        <v>671</v>
      </c>
      <c r="F866" s="49">
        <v>60.76</v>
      </c>
      <c r="G866" s="49" t="s">
        <v>43</v>
      </c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>
      <c r="A867" s="49">
        <v>866</v>
      </c>
      <c r="B867" s="51" t="s">
        <v>1726</v>
      </c>
      <c r="C867" s="52" t="s">
        <v>45</v>
      </c>
      <c r="D867" s="74" t="s">
        <v>62</v>
      </c>
      <c r="E867" s="74" t="s">
        <v>432</v>
      </c>
      <c r="F867" s="49">
        <v>24.72</v>
      </c>
      <c r="G867" s="49" t="s">
        <v>43</v>
      </c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>
      <c r="A868" s="49">
        <v>867</v>
      </c>
      <c r="B868" s="51" t="s">
        <v>1727</v>
      </c>
      <c r="C868" s="52" t="s">
        <v>40</v>
      </c>
      <c r="D868" s="74" t="s">
        <v>123</v>
      </c>
      <c r="E868" s="74" t="s">
        <v>1728</v>
      </c>
      <c r="F868" s="49">
        <v>62.94</v>
      </c>
      <c r="G868" s="49" t="s">
        <v>43</v>
      </c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>
      <c r="A869" s="49">
        <v>868</v>
      </c>
      <c r="B869" s="51" t="s">
        <v>1729</v>
      </c>
      <c r="C869" s="52" t="s">
        <v>40</v>
      </c>
      <c r="D869" s="74" t="s">
        <v>62</v>
      </c>
      <c r="E869" s="74" t="s">
        <v>1730</v>
      </c>
      <c r="F869" s="49">
        <v>60.27</v>
      </c>
      <c r="G869" s="49" t="s">
        <v>43</v>
      </c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>
      <c r="A870" s="49">
        <v>869</v>
      </c>
      <c r="B870" s="51" t="s">
        <v>1731</v>
      </c>
      <c r="C870" s="52" t="s">
        <v>45</v>
      </c>
      <c r="D870" s="74" t="s">
        <v>62</v>
      </c>
      <c r="E870" s="74"/>
      <c r="F870" s="49">
        <v>52.91</v>
      </c>
      <c r="G870" s="49" t="s">
        <v>43</v>
      </c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>
      <c r="A871" s="49">
        <v>870</v>
      </c>
      <c r="B871" s="51" t="s">
        <v>1732</v>
      </c>
      <c r="C871" s="52" t="s">
        <v>45</v>
      </c>
      <c r="D871" s="74" t="s">
        <v>158</v>
      </c>
      <c r="E871" s="74"/>
      <c r="F871" s="49">
        <v>45.15</v>
      </c>
      <c r="G871" s="49" t="s">
        <v>43</v>
      </c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>
      <c r="A872" s="49">
        <v>871</v>
      </c>
      <c r="B872" s="51" t="s">
        <v>1733</v>
      </c>
      <c r="C872" s="52" t="s">
        <v>52</v>
      </c>
      <c r="D872" s="74" t="s">
        <v>1650</v>
      </c>
      <c r="E872" s="74" t="s">
        <v>1734</v>
      </c>
      <c r="F872" s="49">
        <v>31.02</v>
      </c>
      <c r="G872" s="49" t="s">
        <v>43</v>
      </c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>
      <c r="A873" s="49">
        <v>872</v>
      </c>
      <c r="B873" s="51" t="s">
        <v>1735</v>
      </c>
      <c r="C873" s="52" t="s">
        <v>40</v>
      </c>
      <c r="D873" s="74" t="s">
        <v>277</v>
      </c>
      <c r="E873" s="74" t="s">
        <v>1736</v>
      </c>
      <c r="F873" s="49">
        <v>64.680000000000007</v>
      </c>
      <c r="G873" s="49" t="s">
        <v>43</v>
      </c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>
      <c r="A874" s="49">
        <v>873</v>
      </c>
      <c r="B874" s="51" t="s">
        <v>1737</v>
      </c>
      <c r="C874" s="52" t="s">
        <v>45</v>
      </c>
      <c r="D874" s="74" t="s">
        <v>197</v>
      </c>
      <c r="E874" s="74" t="s">
        <v>1738</v>
      </c>
      <c r="F874" s="49">
        <v>47.58</v>
      </c>
      <c r="G874" s="49" t="s">
        <v>43</v>
      </c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>
      <c r="A875" s="49">
        <v>874</v>
      </c>
      <c r="B875" s="51" t="s">
        <v>1739</v>
      </c>
      <c r="C875" s="52" t="s">
        <v>40</v>
      </c>
      <c r="D875" s="74" t="s">
        <v>360</v>
      </c>
      <c r="E875" s="74" t="s">
        <v>1740</v>
      </c>
      <c r="F875" s="49">
        <v>34.96</v>
      </c>
      <c r="G875" s="49" t="s">
        <v>43</v>
      </c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>
      <c r="A876" s="49">
        <v>875</v>
      </c>
      <c r="B876" s="51" t="s">
        <v>1741</v>
      </c>
      <c r="C876" s="52" t="s">
        <v>45</v>
      </c>
      <c r="D876" s="74" t="s">
        <v>670</v>
      </c>
      <c r="E876" s="74" t="s">
        <v>1742</v>
      </c>
      <c r="F876" s="49">
        <v>51.38</v>
      </c>
      <c r="G876" s="49" t="s">
        <v>43</v>
      </c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>
      <c r="A877" s="49">
        <v>876</v>
      </c>
      <c r="B877" s="51" t="s">
        <v>1743</v>
      </c>
      <c r="C877" s="52" t="s">
        <v>40</v>
      </c>
      <c r="D877" s="74" t="s">
        <v>98</v>
      </c>
      <c r="E877" s="74" t="s">
        <v>1744</v>
      </c>
      <c r="F877" s="49">
        <v>68.14</v>
      </c>
      <c r="G877" s="49" t="s">
        <v>43</v>
      </c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>
      <c r="A878" s="49">
        <v>877</v>
      </c>
      <c r="B878" s="51" t="s">
        <v>1745</v>
      </c>
      <c r="C878" s="52" t="s">
        <v>45</v>
      </c>
      <c r="D878" s="74" t="s">
        <v>1746</v>
      </c>
      <c r="E878" s="74" t="s">
        <v>880</v>
      </c>
      <c r="F878" s="49">
        <v>64.260000000000005</v>
      </c>
      <c r="G878" s="49" t="s">
        <v>43</v>
      </c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>
      <c r="A879" s="49">
        <v>878</v>
      </c>
      <c r="B879" s="51" t="s">
        <v>1747</v>
      </c>
      <c r="C879" s="52" t="s">
        <v>52</v>
      </c>
      <c r="D879" s="74" t="s">
        <v>117</v>
      </c>
      <c r="E879" s="74"/>
      <c r="F879" s="49">
        <v>28.13</v>
      </c>
      <c r="G879" s="49" t="s">
        <v>43</v>
      </c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>
      <c r="A880" s="49">
        <v>879</v>
      </c>
      <c r="B880" s="51" t="s">
        <v>1748</v>
      </c>
      <c r="C880" s="52" t="s">
        <v>52</v>
      </c>
      <c r="D880" s="74" t="s">
        <v>214</v>
      </c>
      <c r="E880" s="74" t="s">
        <v>415</v>
      </c>
      <c r="F880" s="49">
        <v>39.36</v>
      </c>
      <c r="G880" s="49" t="s">
        <v>43</v>
      </c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>
      <c r="A881" s="49">
        <v>880</v>
      </c>
      <c r="B881" s="51" t="s">
        <v>1749</v>
      </c>
      <c r="C881" s="52" t="s">
        <v>45</v>
      </c>
      <c r="D881" s="74" t="s">
        <v>401</v>
      </c>
      <c r="E881" s="74" t="s">
        <v>1750</v>
      </c>
      <c r="F881" s="49">
        <v>24.11</v>
      </c>
      <c r="G881" s="49" t="s">
        <v>43</v>
      </c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>
      <c r="A882" s="49">
        <v>881</v>
      </c>
      <c r="B882" s="51" t="s">
        <v>1751</v>
      </c>
      <c r="C882" s="52" t="s">
        <v>45</v>
      </c>
      <c r="D882" s="74" t="s">
        <v>1565</v>
      </c>
      <c r="E882" s="74" t="s">
        <v>1752</v>
      </c>
      <c r="F882" s="49">
        <v>46.33</v>
      </c>
      <c r="G882" s="49" t="s">
        <v>43</v>
      </c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>
      <c r="A883" s="49">
        <v>882</v>
      </c>
      <c r="B883" s="51" t="s">
        <v>1753</v>
      </c>
      <c r="C883" s="52" t="s">
        <v>52</v>
      </c>
      <c r="D883" s="74" t="s">
        <v>875</v>
      </c>
      <c r="E883" s="74"/>
      <c r="F883" s="49">
        <v>41.11</v>
      </c>
      <c r="G883" s="49" t="s">
        <v>43</v>
      </c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>
      <c r="A884" s="49">
        <v>883</v>
      </c>
      <c r="B884" s="51" t="s">
        <v>1754</v>
      </c>
      <c r="C884" s="52" t="s">
        <v>40</v>
      </c>
      <c r="D884" s="74" t="s">
        <v>62</v>
      </c>
      <c r="E884" s="74"/>
      <c r="F884" s="49">
        <v>67.459999999999994</v>
      </c>
      <c r="G884" s="49" t="s">
        <v>43</v>
      </c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>
      <c r="A885" s="49">
        <v>884</v>
      </c>
      <c r="B885" s="51" t="s">
        <v>1755</v>
      </c>
      <c r="C885" s="52" t="s">
        <v>40</v>
      </c>
      <c r="D885" s="74" t="s">
        <v>135</v>
      </c>
      <c r="E885" s="74" t="s">
        <v>1756</v>
      </c>
      <c r="F885" s="49">
        <v>62.81</v>
      </c>
      <c r="G885" s="49" t="s">
        <v>43</v>
      </c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>
      <c r="A886" s="49">
        <v>885</v>
      </c>
      <c r="B886" s="51" t="s">
        <v>1757</v>
      </c>
      <c r="C886" s="52" t="s">
        <v>45</v>
      </c>
      <c r="D886" s="74" t="s">
        <v>62</v>
      </c>
      <c r="E886" s="74" t="s">
        <v>1758</v>
      </c>
      <c r="F886" s="49">
        <v>68.91</v>
      </c>
      <c r="G886" s="49" t="s">
        <v>43</v>
      </c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>
      <c r="A887" s="49">
        <v>886</v>
      </c>
      <c r="B887" s="51" t="s">
        <v>1759</v>
      </c>
      <c r="C887" s="52" t="s">
        <v>45</v>
      </c>
      <c r="D887" s="74" t="s">
        <v>805</v>
      </c>
      <c r="E887" s="74" t="s">
        <v>1760</v>
      </c>
      <c r="F887" s="49">
        <v>43.69</v>
      </c>
      <c r="G887" s="49" t="s">
        <v>43</v>
      </c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>
      <c r="A888" s="49">
        <v>887</v>
      </c>
      <c r="B888" s="51" t="s">
        <v>1761</v>
      </c>
      <c r="C888" s="52" t="s">
        <v>52</v>
      </c>
      <c r="D888" s="74" t="s">
        <v>1762</v>
      </c>
      <c r="E888" s="74" t="s">
        <v>1763</v>
      </c>
      <c r="F888" s="49">
        <v>26.94</v>
      </c>
      <c r="G888" s="49" t="s">
        <v>43</v>
      </c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>
      <c r="A889" s="49">
        <v>888</v>
      </c>
      <c r="B889" s="51" t="s">
        <v>1764</v>
      </c>
      <c r="C889" s="52" t="s">
        <v>40</v>
      </c>
      <c r="D889" s="74" t="s">
        <v>123</v>
      </c>
      <c r="E889" s="74" t="s">
        <v>1765</v>
      </c>
      <c r="F889" s="49">
        <v>57.7</v>
      </c>
      <c r="G889" s="49" t="s">
        <v>43</v>
      </c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>
      <c r="A890" s="49">
        <v>889</v>
      </c>
      <c r="B890" s="51" t="s">
        <v>1766</v>
      </c>
      <c r="C890" s="52" t="s">
        <v>45</v>
      </c>
      <c r="D890" s="74" t="s">
        <v>414</v>
      </c>
      <c r="E890" s="74" t="s">
        <v>1545</v>
      </c>
      <c r="F890" s="49">
        <v>65.760000000000005</v>
      </c>
      <c r="G890" s="49" t="s">
        <v>43</v>
      </c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>
      <c r="A891" s="49">
        <v>890</v>
      </c>
      <c r="B891" s="51" t="s">
        <v>1767</v>
      </c>
      <c r="C891" s="52" t="s">
        <v>45</v>
      </c>
      <c r="D891" s="74" t="s">
        <v>59</v>
      </c>
      <c r="E891" s="74" t="s">
        <v>742</v>
      </c>
      <c r="F891" s="49">
        <v>73.180000000000007</v>
      </c>
      <c r="G891" s="49" t="s">
        <v>43</v>
      </c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>
      <c r="A892" s="49">
        <v>891</v>
      </c>
      <c r="B892" s="51" t="s">
        <v>1768</v>
      </c>
      <c r="C892" s="52" t="s">
        <v>52</v>
      </c>
      <c r="D892" s="74" t="s">
        <v>1322</v>
      </c>
      <c r="E892" s="74" t="s">
        <v>1769</v>
      </c>
      <c r="F892" s="49">
        <v>31.5</v>
      </c>
      <c r="G892" s="49" t="s">
        <v>43</v>
      </c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>
      <c r="A893" s="49">
        <v>892</v>
      </c>
      <c r="B893" s="51" t="s">
        <v>1770</v>
      </c>
      <c r="C893" s="52" t="s">
        <v>40</v>
      </c>
      <c r="D893" s="74" t="s">
        <v>1771</v>
      </c>
      <c r="E893" s="74"/>
      <c r="F893" s="49">
        <v>58.55</v>
      </c>
      <c r="G893" s="49" t="s">
        <v>43</v>
      </c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>
      <c r="A894" s="49">
        <v>893</v>
      </c>
      <c r="B894" s="51" t="s">
        <v>1772</v>
      </c>
      <c r="C894" s="52" t="s">
        <v>40</v>
      </c>
      <c r="D894" s="74" t="s">
        <v>59</v>
      </c>
      <c r="E894" s="74" t="s">
        <v>671</v>
      </c>
      <c r="F894" s="49">
        <v>65.989999999999995</v>
      </c>
      <c r="G894" s="49" t="s">
        <v>43</v>
      </c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>
      <c r="A895" s="49">
        <v>894</v>
      </c>
      <c r="B895" s="51" t="s">
        <v>1773</v>
      </c>
      <c r="C895" s="52" t="s">
        <v>45</v>
      </c>
      <c r="D895" s="74" t="s">
        <v>1419</v>
      </c>
      <c r="E895" s="74" t="s">
        <v>978</v>
      </c>
      <c r="F895" s="49">
        <v>74.400000000000006</v>
      </c>
      <c r="G895" s="49" t="s">
        <v>43</v>
      </c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>
      <c r="A896" s="49">
        <v>895</v>
      </c>
      <c r="B896" s="51" t="s">
        <v>1774</v>
      </c>
      <c r="C896" s="52" t="s">
        <v>52</v>
      </c>
      <c r="D896" s="74" t="s">
        <v>1522</v>
      </c>
      <c r="E896" s="74" t="s">
        <v>1775</v>
      </c>
      <c r="F896" s="49">
        <v>60.48</v>
      </c>
      <c r="G896" s="49" t="s">
        <v>43</v>
      </c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>
      <c r="A897" s="49">
        <v>896</v>
      </c>
      <c r="B897" s="51" t="s">
        <v>1776</v>
      </c>
      <c r="C897" s="52" t="s">
        <v>40</v>
      </c>
      <c r="D897" s="74" t="s">
        <v>123</v>
      </c>
      <c r="E897" s="74" t="s">
        <v>671</v>
      </c>
      <c r="F897" s="49">
        <v>57.53</v>
      </c>
      <c r="G897" s="49" t="s">
        <v>43</v>
      </c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>
      <c r="A898" s="49">
        <v>897</v>
      </c>
      <c r="B898" s="51" t="s">
        <v>1777</v>
      </c>
      <c r="C898" s="52" t="s">
        <v>40</v>
      </c>
      <c r="D898" s="74" t="s">
        <v>277</v>
      </c>
      <c r="E898" s="74"/>
      <c r="F898" s="49">
        <v>69.66</v>
      </c>
      <c r="G898" s="49" t="s">
        <v>43</v>
      </c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>
      <c r="A899" s="49">
        <v>898</v>
      </c>
      <c r="B899" s="51" t="s">
        <v>1778</v>
      </c>
      <c r="C899" s="52" t="s">
        <v>45</v>
      </c>
      <c r="D899" s="74" t="s">
        <v>802</v>
      </c>
      <c r="E899" s="74"/>
      <c r="F899" s="49">
        <v>35.28</v>
      </c>
      <c r="G899" s="49" t="s">
        <v>43</v>
      </c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>
      <c r="A900" s="49">
        <v>899</v>
      </c>
      <c r="B900" s="51" t="s">
        <v>1779</v>
      </c>
      <c r="C900" s="52" t="s">
        <v>52</v>
      </c>
      <c r="D900" s="74" t="s">
        <v>65</v>
      </c>
      <c r="E900" s="74" t="s">
        <v>432</v>
      </c>
      <c r="F900" s="49">
        <v>51.36</v>
      </c>
      <c r="G900" s="49" t="s">
        <v>43</v>
      </c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>
      <c r="A901" s="49">
        <v>900</v>
      </c>
      <c r="B901" s="51" t="s">
        <v>1780</v>
      </c>
      <c r="C901" s="52" t="s">
        <v>45</v>
      </c>
      <c r="D901" s="74" t="s">
        <v>123</v>
      </c>
      <c r="E901" s="74" t="s">
        <v>1781</v>
      </c>
      <c r="F901" s="49">
        <v>53.06</v>
      </c>
      <c r="G901" s="49" t="s">
        <v>43</v>
      </c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>
      <c r="A902" s="49">
        <v>901</v>
      </c>
      <c r="B902" s="51" t="s">
        <v>1782</v>
      </c>
      <c r="C902" s="52" t="s">
        <v>45</v>
      </c>
      <c r="D902" s="74" t="s">
        <v>401</v>
      </c>
      <c r="E902" s="74" t="s">
        <v>456</v>
      </c>
      <c r="F902" s="49">
        <v>59.76</v>
      </c>
      <c r="G902" s="49" t="s">
        <v>43</v>
      </c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>
      <c r="A903" s="49">
        <v>902</v>
      </c>
      <c r="B903" s="51" t="s">
        <v>1783</v>
      </c>
      <c r="C903" s="52" t="s">
        <v>52</v>
      </c>
      <c r="D903" s="74" t="s">
        <v>815</v>
      </c>
      <c r="E903" s="74" t="s">
        <v>432</v>
      </c>
      <c r="F903" s="49">
        <v>31.1</v>
      </c>
      <c r="G903" s="49" t="s">
        <v>43</v>
      </c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>
      <c r="A904" s="49">
        <v>903</v>
      </c>
      <c r="B904" s="51" t="s">
        <v>1784</v>
      </c>
      <c r="C904" s="52" t="s">
        <v>52</v>
      </c>
      <c r="D904" s="74" t="s">
        <v>749</v>
      </c>
      <c r="E904" s="74"/>
      <c r="F904" s="49">
        <v>49.36</v>
      </c>
      <c r="G904" s="49" t="s">
        <v>43</v>
      </c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>
      <c r="A905" s="49">
        <v>904</v>
      </c>
      <c r="B905" s="51" t="s">
        <v>1785</v>
      </c>
      <c r="C905" s="52" t="s">
        <v>45</v>
      </c>
      <c r="D905" s="74" t="s">
        <v>1086</v>
      </c>
      <c r="E905" s="74" t="s">
        <v>355</v>
      </c>
      <c r="F905" s="49">
        <v>42.34</v>
      </c>
      <c r="G905" s="49" t="s">
        <v>43</v>
      </c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>
      <c r="A906" s="49">
        <v>905</v>
      </c>
      <c r="B906" s="51" t="s">
        <v>1786</v>
      </c>
      <c r="C906" s="52" t="s">
        <v>40</v>
      </c>
      <c r="D906" s="74" t="s">
        <v>123</v>
      </c>
      <c r="E906" s="74" t="s">
        <v>1787</v>
      </c>
      <c r="F906" s="49">
        <v>73.91</v>
      </c>
      <c r="G906" s="49" t="s">
        <v>43</v>
      </c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>
      <c r="A907" s="49">
        <v>906</v>
      </c>
      <c r="B907" s="51" t="s">
        <v>1788</v>
      </c>
      <c r="C907" s="52" t="s">
        <v>52</v>
      </c>
      <c r="D907" s="74" t="s">
        <v>62</v>
      </c>
      <c r="E907" s="74" t="s">
        <v>20</v>
      </c>
      <c r="F907" s="49">
        <v>32.479999999999997</v>
      </c>
      <c r="G907" s="49" t="s">
        <v>43</v>
      </c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>
      <c r="A908" s="49">
        <v>907</v>
      </c>
      <c r="B908" s="51" t="s">
        <v>1789</v>
      </c>
      <c r="C908" s="52" t="s">
        <v>45</v>
      </c>
      <c r="D908" s="74" t="s">
        <v>245</v>
      </c>
      <c r="E908" s="74" t="s">
        <v>1790</v>
      </c>
      <c r="F908" s="49">
        <v>31.74</v>
      </c>
      <c r="G908" s="49" t="s">
        <v>43</v>
      </c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>
      <c r="A909" s="49">
        <v>908</v>
      </c>
      <c r="B909" s="51" t="s">
        <v>1791</v>
      </c>
      <c r="C909" s="52" t="s">
        <v>40</v>
      </c>
      <c r="D909" s="74" t="s">
        <v>62</v>
      </c>
      <c r="E909" s="74" t="s">
        <v>499</v>
      </c>
      <c r="F909" s="49">
        <v>65.56</v>
      </c>
      <c r="G909" s="49" t="s">
        <v>43</v>
      </c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>
      <c r="A910" s="49">
        <v>909</v>
      </c>
      <c r="B910" s="51" t="s">
        <v>1792</v>
      </c>
      <c r="C910" s="52" t="s">
        <v>45</v>
      </c>
      <c r="D910" s="74" t="s">
        <v>342</v>
      </c>
      <c r="E910" s="74" t="s">
        <v>1793</v>
      </c>
      <c r="F910" s="49">
        <v>38.08</v>
      </c>
      <c r="G910" s="49" t="s">
        <v>43</v>
      </c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>
      <c r="A911" s="49">
        <v>910</v>
      </c>
      <c r="B911" s="51" t="s">
        <v>1794</v>
      </c>
      <c r="C911" s="52" t="s">
        <v>45</v>
      </c>
      <c r="D911" s="74" t="s">
        <v>1795</v>
      </c>
      <c r="E911" s="74" t="s">
        <v>499</v>
      </c>
      <c r="F911" s="49">
        <v>26.4</v>
      </c>
      <c r="G911" s="49" t="s">
        <v>43</v>
      </c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>
      <c r="A912" s="49">
        <v>911</v>
      </c>
      <c r="B912" s="51" t="s">
        <v>1796</v>
      </c>
      <c r="C912" s="52" t="s">
        <v>45</v>
      </c>
      <c r="D912" s="74" t="s">
        <v>670</v>
      </c>
      <c r="E912" s="74" t="s">
        <v>816</v>
      </c>
      <c r="F912" s="49">
        <v>50</v>
      </c>
      <c r="G912" s="49" t="s">
        <v>43</v>
      </c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>
      <c r="A913" s="49">
        <v>912</v>
      </c>
      <c r="B913" s="51" t="s">
        <v>1797</v>
      </c>
      <c r="C913" s="52" t="s">
        <v>45</v>
      </c>
      <c r="D913" s="74"/>
      <c r="E913" s="74" t="s">
        <v>1798</v>
      </c>
      <c r="F913" s="49">
        <v>63.46</v>
      </c>
      <c r="G913" s="49" t="s">
        <v>43</v>
      </c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>
      <c r="A914" s="49">
        <v>913</v>
      </c>
      <c r="B914" s="51" t="s">
        <v>1799</v>
      </c>
      <c r="C914" s="52" t="s">
        <v>52</v>
      </c>
      <c r="D914" s="74" t="s">
        <v>1800</v>
      </c>
      <c r="E914" s="74" t="s">
        <v>20</v>
      </c>
      <c r="F914" s="49">
        <v>30.96</v>
      </c>
      <c r="G914" s="49" t="s">
        <v>43</v>
      </c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>
      <c r="A915" s="49">
        <v>914</v>
      </c>
      <c r="B915" s="51" t="s">
        <v>1801</v>
      </c>
      <c r="C915" s="52" t="s">
        <v>40</v>
      </c>
      <c r="D915" s="74" t="s">
        <v>1322</v>
      </c>
      <c r="E915" s="74" t="s">
        <v>20</v>
      </c>
      <c r="F915" s="49">
        <v>34.28</v>
      </c>
      <c r="G915" s="49" t="s">
        <v>43</v>
      </c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>
      <c r="A916" s="49">
        <v>915</v>
      </c>
      <c r="B916" s="51" t="s">
        <v>1802</v>
      </c>
      <c r="C916" s="52" t="s">
        <v>45</v>
      </c>
      <c r="D916" s="74" t="s">
        <v>123</v>
      </c>
      <c r="E916" s="74" t="s">
        <v>1803</v>
      </c>
      <c r="F916" s="49">
        <v>45.04</v>
      </c>
      <c r="G916" s="49" t="s">
        <v>43</v>
      </c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>
      <c r="A917" s="49">
        <v>916</v>
      </c>
      <c r="B917" s="51" t="s">
        <v>1804</v>
      </c>
      <c r="C917" s="52" t="s">
        <v>45</v>
      </c>
      <c r="D917" s="74" t="s">
        <v>59</v>
      </c>
      <c r="E917" s="74" t="s">
        <v>1615</v>
      </c>
      <c r="F917" s="49">
        <v>47.46</v>
      </c>
      <c r="G917" s="49" t="s">
        <v>43</v>
      </c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>
      <c r="A918" s="49">
        <v>917</v>
      </c>
      <c r="B918" s="51" t="s">
        <v>1805</v>
      </c>
      <c r="C918" s="52" t="s">
        <v>40</v>
      </c>
      <c r="D918" s="74" t="s">
        <v>59</v>
      </c>
      <c r="E918" s="74" t="s">
        <v>1347</v>
      </c>
      <c r="F918" s="49">
        <v>57.65</v>
      </c>
      <c r="G918" s="49" t="s">
        <v>43</v>
      </c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>
      <c r="A919" s="49">
        <v>918</v>
      </c>
      <c r="B919" s="51" t="s">
        <v>1806</v>
      </c>
      <c r="C919" s="52" t="s">
        <v>45</v>
      </c>
      <c r="D919" s="74" t="s">
        <v>123</v>
      </c>
      <c r="E919" s="74" t="s">
        <v>1807</v>
      </c>
      <c r="F919" s="49">
        <v>33.39</v>
      </c>
      <c r="G919" s="49" t="s">
        <v>43</v>
      </c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>
      <c r="A920" s="49">
        <v>919</v>
      </c>
      <c r="B920" s="51" t="s">
        <v>1808</v>
      </c>
      <c r="C920" s="52" t="s">
        <v>45</v>
      </c>
      <c r="D920" s="74" t="s">
        <v>414</v>
      </c>
      <c r="E920" s="74" t="s">
        <v>355</v>
      </c>
      <c r="F920" s="49">
        <v>57.01</v>
      </c>
      <c r="G920" s="49" t="s">
        <v>43</v>
      </c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>
      <c r="A921" s="49">
        <v>920</v>
      </c>
      <c r="B921" s="51" t="s">
        <v>1809</v>
      </c>
      <c r="C921" s="52" t="s">
        <v>52</v>
      </c>
      <c r="D921" s="74" t="s">
        <v>214</v>
      </c>
      <c r="E921" s="74" t="s">
        <v>1810</v>
      </c>
      <c r="F921" s="49">
        <v>46.18</v>
      </c>
      <c r="G921" s="49" t="s">
        <v>43</v>
      </c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>
      <c r="A922" s="49">
        <v>921</v>
      </c>
      <c r="B922" s="51" t="s">
        <v>1811</v>
      </c>
      <c r="C922" s="52" t="s">
        <v>45</v>
      </c>
      <c r="D922" s="74" t="s">
        <v>759</v>
      </c>
      <c r="E922" s="74" t="s">
        <v>1812</v>
      </c>
      <c r="F922" s="49">
        <v>73.099999999999994</v>
      </c>
      <c r="G922" s="49" t="s">
        <v>43</v>
      </c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>
      <c r="A923" s="49">
        <v>922</v>
      </c>
      <c r="B923" s="51" t="s">
        <v>1813</v>
      </c>
      <c r="C923" s="52" t="s">
        <v>40</v>
      </c>
      <c r="D923" s="74" t="s">
        <v>184</v>
      </c>
      <c r="E923" s="74" t="s">
        <v>432</v>
      </c>
      <c r="F923" s="49">
        <v>68.62</v>
      </c>
      <c r="G923" s="49" t="s">
        <v>43</v>
      </c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>
      <c r="A924" s="49">
        <v>923</v>
      </c>
      <c r="B924" s="51" t="s">
        <v>1814</v>
      </c>
      <c r="C924" s="52" t="s">
        <v>45</v>
      </c>
      <c r="D924" s="74" t="s">
        <v>1086</v>
      </c>
      <c r="E924" s="74" t="s">
        <v>1815</v>
      </c>
      <c r="F924" s="49">
        <v>35.520000000000003</v>
      </c>
      <c r="G924" s="49" t="s">
        <v>43</v>
      </c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>
      <c r="A925" s="49">
        <v>924</v>
      </c>
      <c r="B925" s="51" t="s">
        <v>1816</v>
      </c>
      <c r="C925" s="52" t="s">
        <v>52</v>
      </c>
      <c r="D925" s="74" t="s">
        <v>1190</v>
      </c>
      <c r="E925" s="74" t="s">
        <v>1817</v>
      </c>
      <c r="F925" s="49">
        <v>41.83</v>
      </c>
      <c r="G925" s="49" t="s">
        <v>43</v>
      </c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>
      <c r="A926" s="49">
        <v>925</v>
      </c>
      <c r="B926" s="51" t="s">
        <v>1818</v>
      </c>
      <c r="C926" s="52" t="s">
        <v>40</v>
      </c>
      <c r="D926" s="74" t="s">
        <v>114</v>
      </c>
      <c r="E926" s="74" t="s">
        <v>20</v>
      </c>
      <c r="F926" s="49">
        <v>42.25</v>
      </c>
      <c r="G926" s="49" t="s">
        <v>43</v>
      </c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>
      <c r="A927" s="49">
        <v>926</v>
      </c>
      <c r="B927" s="51" t="s">
        <v>1819</v>
      </c>
      <c r="C927" s="52" t="s">
        <v>45</v>
      </c>
      <c r="D927" s="74" t="s">
        <v>123</v>
      </c>
      <c r="E927" s="74" t="s">
        <v>20</v>
      </c>
      <c r="F927" s="49">
        <v>51.93</v>
      </c>
      <c r="G927" s="49" t="s">
        <v>43</v>
      </c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>
      <c r="A928" s="49">
        <v>927</v>
      </c>
      <c r="B928" s="51" t="s">
        <v>1820</v>
      </c>
      <c r="C928" s="52" t="s">
        <v>52</v>
      </c>
      <c r="D928" s="74" t="s">
        <v>1821</v>
      </c>
      <c r="E928" s="74" t="s">
        <v>1822</v>
      </c>
      <c r="F928" s="49">
        <v>33.24</v>
      </c>
      <c r="G928" s="49" t="s">
        <v>43</v>
      </c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>
      <c r="A929" s="49">
        <v>928</v>
      </c>
      <c r="B929" s="51" t="s">
        <v>1823</v>
      </c>
      <c r="C929" s="52" t="s">
        <v>52</v>
      </c>
      <c r="D929" s="74" t="s">
        <v>1680</v>
      </c>
      <c r="E929" s="74" t="s">
        <v>1824</v>
      </c>
      <c r="F929" s="49">
        <v>40.21</v>
      </c>
      <c r="G929" s="49" t="s">
        <v>43</v>
      </c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>
      <c r="A930" s="49">
        <v>929</v>
      </c>
      <c r="B930" s="51" t="s">
        <v>1825</v>
      </c>
      <c r="C930" s="52" t="s">
        <v>40</v>
      </c>
      <c r="D930" s="74" t="s">
        <v>59</v>
      </c>
      <c r="E930" s="74" t="s">
        <v>1826</v>
      </c>
      <c r="F930" s="49">
        <v>67.489999999999995</v>
      </c>
      <c r="G930" s="49" t="s">
        <v>43</v>
      </c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>
      <c r="A931" s="49">
        <v>930</v>
      </c>
      <c r="B931" s="51" t="s">
        <v>1827</v>
      </c>
      <c r="C931" s="52" t="s">
        <v>45</v>
      </c>
      <c r="D931" s="74" t="s">
        <v>1828</v>
      </c>
      <c r="E931" s="74" t="s">
        <v>1829</v>
      </c>
      <c r="F931" s="49">
        <v>42.43</v>
      </c>
      <c r="G931" s="49" t="s">
        <v>43</v>
      </c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>
      <c r="A932" s="49">
        <v>931</v>
      </c>
      <c r="B932" s="51" t="s">
        <v>1830</v>
      </c>
      <c r="C932" s="52" t="s">
        <v>45</v>
      </c>
      <c r="D932" s="74" t="s">
        <v>214</v>
      </c>
      <c r="E932" s="74" t="s">
        <v>1831</v>
      </c>
      <c r="F932" s="49">
        <v>62.03</v>
      </c>
      <c r="G932" s="49" t="s">
        <v>43</v>
      </c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>
      <c r="A933" s="49">
        <v>932</v>
      </c>
      <c r="B933" s="51" t="s">
        <v>1832</v>
      </c>
      <c r="C933" s="52" t="s">
        <v>45</v>
      </c>
      <c r="D933" s="74" t="s">
        <v>598</v>
      </c>
      <c r="E933" s="74" t="s">
        <v>20</v>
      </c>
      <c r="F933" s="49">
        <v>57.74</v>
      </c>
      <c r="G933" s="49" t="s">
        <v>43</v>
      </c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>
      <c r="A934" s="49">
        <v>933</v>
      </c>
      <c r="B934" s="51" t="s">
        <v>1833</v>
      </c>
      <c r="C934" s="52" t="s">
        <v>40</v>
      </c>
      <c r="D934" s="74" t="s">
        <v>1834</v>
      </c>
      <c r="E934" s="74" t="s">
        <v>972</v>
      </c>
      <c r="F934" s="49">
        <v>71.52</v>
      </c>
      <c r="G934" s="49" t="s">
        <v>43</v>
      </c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>
      <c r="A935" s="49">
        <v>934</v>
      </c>
      <c r="B935" s="51" t="s">
        <v>1835</v>
      </c>
      <c r="C935" s="52" t="s">
        <v>45</v>
      </c>
      <c r="D935" s="74" t="s">
        <v>724</v>
      </c>
      <c r="E935" s="74" t="s">
        <v>1836</v>
      </c>
      <c r="F935" s="49">
        <v>47.13</v>
      </c>
      <c r="G935" s="49" t="s">
        <v>43</v>
      </c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>
      <c r="A936" s="49">
        <v>935</v>
      </c>
      <c r="B936" s="51" t="s">
        <v>1837</v>
      </c>
      <c r="C936" s="52" t="s">
        <v>45</v>
      </c>
      <c r="D936" s="74" t="s">
        <v>214</v>
      </c>
      <c r="E936" s="74" t="s">
        <v>1838</v>
      </c>
      <c r="F936" s="49">
        <v>44.67</v>
      </c>
      <c r="G936" s="49" t="s">
        <v>43</v>
      </c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>
      <c r="A937" s="49">
        <v>936</v>
      </c>
      <c r="B937" s="51" t="s">
        <v>1839</v>
      </c>
      <c r="C937" s="52" t="s">
        <v>52</v>
      </c>
      <c r="D937" s="74" t="s">
        <v>1840</v>
      </c>
      <c r="E937" s="74" t="s">
        <v>929</v>
      </c>
      <c r="F937" s="49">
        <v>40.78</v>
      </c>
      <c r="G937" s="49" t="s">
        <v>43</v>
      </c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>
      <c r="A938" s="49">
        <v>937</v>
      </c>
      <c r="B938" s="51" t="s">
        <v>1841</v>
      </c>
      <c r="C938" s="52" t="s">
        <v>40</v>
      </c>
      <c r="D938" s="74" t="s">
        <v>59</v>
      </c>
      <c r="E938" s="74" t="s">
        <v>580</v>
      </c>
      <c r="F938" s="49">
        <v>54.11</v>
      </c>
      <c r="G938" s="49" t="s">
        <v>43</v>
      </c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>
      <c r="A939" s="49">
        <v>938</v>
      </c>
      <c r="B939" s="51" t="s">
        <v>1842</v>
      </c>
      <c r="C939" s="52" t="s">
        <v>40</v>
      </c>
      <c r="D939" s="74" t="s">
        <v>1419</v>
      </c>
      <c r="E939" s="74" t="s">
        <v>1843</v>
      </c>
      <c r="F939" s="49">
        <v>80.78</v>
      </c>
      <c r="G939" s="49" t="s">
        <v>43</v>
      </c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>
      <c r="A940" s="49">
        <v>939</v>
      </c>
      <c r="B940" s="51" t="s">
        <v>1844</v>
      </c>
      <c r="C940" s="52" t="s">
        <v>45</v>
      </c>
      <c r="D940" s="74" t="s">
        <v>135</v>
      </c>
      <c r="E940" s="74" t="s">
        <v>1845</v>
      </c>
      <c r="F940" s="49">
        <v>52.01</v>
      </c>
      <c r="G940" s="49" t="s">
        <v>43</v>
      </c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>
      <c r="A941" s="49">
        <v>940</v>
      </c>
      <c r="B941" s="51" t="s">
        <v>1846</v>
      </c>
      <c r="C941" s="52" t="s">
        <v>52</v>
      </c>
      <c r="D941" s="74" t="s">
        <v>214</v>
      </c>
      <c r="E941" s="74" t="s">
        <v>20</v>
      </c>
      <c r="F941" s="49">
        <v>41.4</v>
      </c>
      <c r="G941" s="49" t="s">
        <v>43</v>
      </c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>
      <c r="A942" s="49">
        <v>941</v>
      </c>
      <c r="B942" s="51" t="s">
        <v>1847</v>
      </c>
      <c r="C942" s="52" t="s">
        <v>40</v>
      </c>
      <c r="D942" s="74" t="s">
        <v>123</v>
      </c>
      <c r="E942" s="74" t="s">
        <v>1199</v>
      </c>
      <c r="F942" s="49">
        <v>34.04</v>
      </c>
      <c r="G942" s="49" t="s">
        <v>43</v>
      </c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>
      <c r="A943" s="49">
        <v>942</v>
      </c>
      <c r="B943" s="51" t="s">
        <v>1848</v>
      </c>
      <c r="C943" s="52" t="s">
        <v>40</v>
      </c>
      <c r="D943" s="74" t="s">
        <v>62</v>
      </c>
      <c r="E943" s="74" t="s">
        <v>1371</v>
      </c>
      <c r="F943" s="49">
        <v>72.150000000000006</v>
      </c>
      <c r="G943" s="49" t="s">
        <v>43</v>
      </c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>
      <c r="A944" s="49">
        <v>943</v>
      </c>
      <c r="B944" s="51" t="s">
        <v>1849</v>
      </c>
      <c r="C944" s="52" t="s">
        <v>52</v>
      </c>
      <c r="D944" s="74" t="s">
        <v>214</v>
      </c>
      <c r="E944" s="74" t="s">
        <v>355</v>
      </c>
      <c r="F944" s="49">
        <v>42.64</v>
      </c>
      <c r="G944" s="49" t="s">
        <v>43</v>
      </c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>
      <c r="A945" s="49">
        <v>944</v>
      </c>
      <c r="B945" s="51" t="s">
        <v>1850</v>
      </c>
      <c r="C945" s="52" t="s">
        <v>40</v>
      </c>
      <c r="D945" s="74" t="s">
        <v>360</v>
      </c>
      <c r="E945" s="74" t="s">
        <v>20</v>
      </c>
      <c r="F945" s="49">
        <v>70.150000000000006</v>
      </c>
      <c r="G945" s="49" t="s">
        <v>43</v>
      </c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>
      <c r="A946" s="49">
        <v>945</v>
      </c>
      <c r="B946" s="51" t="s">
        <v>1851</v>
      </c>
      <c r="C946" s="52" t="s">
        <v>45</v>
      </c>
      <c r="D946" s="74" t="s">
        <v>123</v>
      </c>
      <c r="E946" s="74" t="s">
        <v>1852</v>
      </c>
      <c r="F946" s="49">
        <v>45.92</v>
      </c>
      <c r="G946" s="49" t="s">
        <v>43</v>
      </c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>
      <c r="A947" s="49">
        <v>946</v>
      </c>
      <c r="B947" s="51" t="s">
        <v>1853</v>
      </c>
      <c r="C947" s="52" t="s">
        <v>45</v>
      </c>
      <c r="D947" s="74" t="s">
        <v>401</v>
      </c>
      <c r="E947" s="74" t="s">
        <v>415</v>
      </c>
      <c r="F947" s="49">
        <v>60.92</v>
      </c>
      <c r="G947" s="49" t="s">
        <v>43</v>
      </c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>
      <c r="A948" s="49">
        <v>947</v>
      </c>
      <c r="B948" s="51" t="s">
        <v>1854</v>
      </c>
      <c r="C948" s="52" t="s">
        <v>45</v>
      </c>
      <c r="D948" s="74" t="s">
        <v>1190</v>
      </c>
      <c r="E948" s="74" t="s">
        <v>20</v>
      </c>
      <c r="F948" s="49">
        <v>55.32</v>
      </c>
      <c r="G948" s="49" t="s">
        <v>43</v>
      </c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>
      <c r="A949" s="49">
        <v>948</v>
      </c>
      <c r="B949" s="51" t="s">
        <v>1855</v>
      </c>
      <c r="C949" s="52" t="s">
        <v>45</v>
      </c>
      <c r="D949" s="74" t="s">
        <v>360</v>
      </c>
      <c r="E949" s="74" t="s">
        <v>20</v>
      </c>
      <c r="F949" s="49">
        <v>40.44</v>
      </c>
      <c r="G949" s="49" t="s">
        <v>43</v>
      </c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>
      <c r="A950" s="49">
        <v>949</v>
      </c>
      <c r="B950" s="51" t="s">
        <v>1856</v>
      </c>
      <c r="C950" s="52" t="s">
        <v>40</v>
      </c>
      <c r="D950" s="74" t="s">
        <v>62</v>
      </c>
      <c r="E950" s="74" t="s">
        <v>1857</v>
      </c>
      <c r="F950" s="49">
        <v>36.340000000000003</v>
      </c>
      <c r="G950" s="49" t="s">
        <v>43</v>
      </c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>
      <c r="A951" s="49">
        <v>950</v>
      </c>
      <c r="B951" s="51" t="s">
        <v>1858</v>
      </c>
      <c r="C951" s="52" t="s">
        <v>45</v>
      </c>
      <c r="D951" s="74" t="s">
        <v>123</v>
      </c>
      <c r="E951" s="74" t="s">
        <v>1347</v>
      </c>
      <c r="F951" s="49">
        <v>74.16</v>
      </c>
      <c r="G951" s="49" t="s">
        <v>43</v>
      </c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>
      <c r="A952" s="49">
        <v>951</v>
      </c>
      <c r="B952" s="51" t="s">
        <v>1859</v>
      </c>
      <c r="C952" s="52" t="s">
        <v>45</v>
      </c>
      <c r="D952" s="74" t="s">
        <v>414</v>
      </c>
      <c r="E952" s="74" t="s">
        <v>1860</v>
      </c>
      <c r="F952" s="49">
        <v>65.59</v>
      </c>
      <c r="G952" s="49" t="s">
        <v>43</v>
      </c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>
      <c r="A953" s="49">
        <v>952</v>
      </c>
      <c r="B953" s="51" t="s">
        <v>1861</v>
      </c>
      <c r="C953" s="52" t="s">
        <v>52</v>
      </c>
      <c r="D953" s="74" t="s">
        <v>1862</v>
      </c>
      <c r="E953" s="74" t="s">
        <v>20</v>
      </c>
      <c r="F953" s="49">
        <v>29.98</v>
      </c>
      <c r="G953" s="49" t="s">
        <v>43</v>
      </c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>
      <c r="A954" s="49">
        <v>953</v>
      </c>
      <c r="B954" s="51" t="s">
        <v>1863</v>
      </c>
      <c r="C954" s="52" t="s">
        <v>40</v>
      </c>
      <c r="D954" s="74" t="s">
        <v>135</v>
      </c>
      <c r="E954" s="74" t="s">
        <v>1864</v>
      </c>
      <c r="F954" s="49">
        <v>54.43</v>
      </c>
      <c r="G954" s="49" t="s">
        <v>43</v>
      </c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>
      <c r="A955" s="49">
        <v>954</v>
      </c>
      <c r="B955" s="51" t="s">
        <v>1865</v>
      </c>
      <c r="C955" s="52" t="s">
        <v>45</v>
      </c>
      <c r="D955" s="74" t="s">
        <v>41</v>
      </c>
      <c r="E955" s="74" t="s">
        <v>1199</v>
      </c>
      <c r="F955" s="49">
        <v>35.450000000000003</v>
      </c>
      <c r="G955" s="49" t="s">
        <v>43</v>
      </c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>
      <c r="A956" s="49">
        <v>955</v>
      </c>
      <c r="B956" s="51" t="s">
        <v>1866</v>
      </c>
      <c r="C956" s="52" t="s">
        <v>45</v>
      </c>
      <c r="D956" s="74" t="s">
        <v>360</v>
      </c>
      <c r="E956" s="74" t="s">
        <v>20</v>
      </c>
      <c r="F956" s="49">
        <v>33.130000000000003</v>
      </c>
      <c r="G956" s="49" t="s">
        <v>43</v>
      </c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>
      <c r="A957" s="49">
        <v>956</v>
      </c>
      <c r="B957" s="51" t="s">
        <v>1867</v>
      </c>
      <c r="C957" s="52" t="s">
        <v>52</v>
      </c>
      <c r="D957" s="74" t="s">
        <v>214</v>
      </c>
      <c r="E957" s="74"/>
      <c r="F957" s="49">
        <v>39.68</v>
      </c>
      <c r="G957" s="49" t="s">
        <v>43</v>
      </c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>
      <c r="A958" s="49">
        <v>957</v>
      </c>
      <c r="B958" s="51" t="s">
        <v>1868</v>
      </c>
      <c r="C958" s="52" t="s">
        <v>45</v>
      </c>
      <c r="D958" s="74" t="s">
        <v>135</v>
      </c>
      <c r="E958" s="74" t="s">
        <v>1231</v>
      </c>
      <c r="F958" s="49">
        <v>39.619999999999997</v>
      </c>
      <c r="G958" s="49" t="s">
        <v>43</v>
      </c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>
      <c r="A959" s="49">
        <v>958</v>
      </c>
      <c r="B959" s="51" t="s">
        <v>1869</v>
      </c>
      <c r="C959" s="52" t="s">
        <v>45</v>
      </c>
      <c r="D959" s="74" t="s">
        <v>414</v>
      </c>
      <c r="E959" s="74" t="s">
        <v>1870</v>
      </c>
      <c r="F959" s="49">
        <v>51.78</v>
      </c>
      <c r="G959" s="49" t="s">
        <v>43</v>
      </c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>
      <c r="A960" s="49">
        <v>959</v>
      </c>
      <c r="B960" s="51" t="s">
        <v>1871</v>
      </c>
      <c r="C960" s="52" t="s">
        <v>45</v>
      </c>
      <c r="D960" s="74" t="s">
        <v>1680</v>
      </c>
      <c r="E960" s="74" t="s">
        <v>1356</v>
      </c>
      <c r="F960" s="49">
        <v>66.010000000000005</v>
      </c>
      <c r="G960" s="49" t="s">
        <v>43</v>
      </c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>
      <c r="A961" s="49">
        <v>960</v>
      </c>
      <c r="B961" s="51" t="s">
        <v>1872</v>
      </c>
      <c r="C961" s="52" t="s">
        <v>52</v>
      </c>
      <c r="D961" s="74" t="s">
        <v>214</v>
      </c>
      <c r="E961" s="74" t="s">
        <v>20</v>
      </c>
      <c r="F961" s="49">
        <v>53.44</v>
      </c>
      <c r="G961" s="49" t="s">
        <v>43</v>
      </c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>
      <c r="A962" s="49">
        <v>961</v>
      </c>
      <c r="B962" s="51" t="s">
        <v>1873</v>
      </c>
      <c r="C962" s="52" t="s">
        <v>40</v>
      </c>
      <c r="D962" s="74" t="s">
        <v>135</v>
      </c>
      <c r="E962" s="74" t="s">
        <v>1874</v>
      </c>
      <c r="F962" s="49">
        <v>73.52</v>
      </c>
      <c r="G962" s="49" t="s">
        <v>43</v>
      </c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>
      <c r="A963" s="49">
        <v>962</v>
      </c>
      <c r="B963" s="51" t="s">
        <v>1875</v>
      </c>
      <c r="C963" s="52" t="s">
        <v>45</v>
      </c>
      <c r="D963" s="74" t="s">
        <v>123</v>
      </c>
      <c r="E963" s="74" t="s">
        <v>1876</v>
      </c>
      <c r="F963" s="49">
        <v>44.91</v>
      </c>
      <c r="G963" s="49" t="s">
        <v>43</v>
      </c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>
      <c r="A964" s="49">
        <v>963</v>
      </c>
      <c r="B964" s="51" t="s">
        <v>1877</v>
      </c>
      <c r="C964" s="52" t="s">
        <v>45</v>
      </c>
      <c r="D964" s="74" t="s">
        <v>1771</v>
      </c>
      <c r="E964" s="74" t="s">
        <v>1615</v>
      </c>
      <c r="F964" s="49">
        <v>50.22</v>
      </c>
      <c r="G964" s="49" t="s">
        <v>43</v>
      </c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>
      <c r="A965" s="49">
        <v>964</v>
      </c>
      <c r="B965" s="51" t="s">
        <v>1878</v>
      </c>
      <c r="C965" s="52" t="s">
        <v>52</v>
      </c>
      <c r="D965" s="74" t="s">
        <v>815</v>
      </c>
      <c r="E965" s="74" t="s">
        <v>1003</v>
      </c>
      <c r="F965" s="49">
        <v>43.33</v>
      </c>
      <c r="G965" s="49" t="s">
        <v>43</v>
      </c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>
      <c r="A966" s="49">
        <v>965</v>
      </c>
      <c r="B966" s="51" t="s">
        <v>1879</v>
      </c>
      <c r="C966" s="52" t="s">
        <v>40</v>
      </c>
      <c r="D966" s="74" t="s">
        <v>414</v>
      </c>
      <c r="E966" s="74" t="s">
        <v>1880</v>
      </c>
      <c r="F966" s="49">
        <v>67.64</v>
      </c>
      <c r="G966" s="49" t="s">
        <v>43</v>
      </c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>
      <c r="A967" s="49">
        <v>966</v>
      </c>
      <c r="B967" s="51" t="s">
        <v>1881</v>
      </c>
      <c r="C967" s="52" t="s">
        <v>45</v>
      </c>
      <c r="D967" s="74" t="s">
        <v>168</v>
      </c>
      <c r="E967" s="74" t="s">
        <v>1882</v>
      </c>
      <c r="F967" s="49">
        <v>47.17</v>
      </c>
      <c r="G967" s="49" t="s">
        <v>43</v>
      </c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>
      <c r="A968" s="49">
        <v>967</v>
      </c>
      <c r="B968" s="51" t="s">
        <v>1883</v>
      </c>
      <c r="C968" s="52" t="s">
        <v>45</v>
      </c>
      <c r="D968" s="74" t="s">
        <v>214</v>
      </c>
      <c r="E968" s="74" t="s">
        <v>1884</v>
      </c>
      <c r="F968" s="49">
        <v>39.07</v>
      </c>
      <c r="G968" s="49" t="s">
        <v>43</v>
      </c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>
      <c r="A969" s="49">
        <v>968</v>
      </c>
      <c r="B969" s="51" t="s">
        <v>1885</v>
      </c>
      <c r="C969" s="52" t="s">
        <v>52</v>
      </c>
      <c r="D969" s="74" t="s">
        <v>1886</v>
      </c>
      <c r="E969" s="74" t="s">
        <v>1887</v>
      </c>
      <c r="F969" s="49">
        <v>36.85</v>
      </c>
      <c r="G969" s="49" t="s">
        <v>43</v>
      </c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>
      <c r="A970" s="49">
        <v>969</v>
      </c>
      <c r="B970" s="51" t="s">
        <v>1888</v>
      </c>
      <c r="C970" s="52" t="s">
        <v>45</v>
      </c>
      <c r="D970" s="74" t="s">
        <v>184</v>
      </c>
      <c r="E970" s="74" t="s">
        <v>1889</v>
      </c>
      <c r="F970" s="49">
        <v>66.94</v>
      </c>
      <c r="G970" s="49" t="s">
        <v>43</v>
      </c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>
      <c r="A971" s="49">
        <v>970</v>
      </c>
      <c r="B971" s="51" t="s">
        <v>1890</v>
      </c>
      <c r="C971" s="52" t="s">
        <v>40</v>
      </c>
      <c r="D971" s="74" t="s">
        <v>398</v>
      </c>
      <c r="E971" s="74"/>
      <c r="F971" s="49">
        <v>39.78</v>
      </c>
      <c r="G971" s="49" t="s">
        <v>43</v>
      </c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>
      <c r="A972" s="49">
        <v>971</v>
      </c>
      <c r="B972" s="51" t="s">
        <v>1891</v>
      </c>
      <c r="C972" s="52" t="s">
        <v>45</v>
      </c>
      <c r="D972" s="74" t="s">
        <v>277</v>
      </c>
      <c r="E972" s="74" t="s">
        <v>1540</v>
      </c>
      <c r="F972" s="49">
        <v>45.06</v>
      </c>
      <c r="G972" s="49" t="s">
        <v>43</v>
      </c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>
      <c r="A973" s="49">
        <v>972</v>
      </c>
      <c r="B973" s="51" t="s">
        <v>1892</v>
      </c>
      <c r="C973" s="52" t="s">
        <v>52</v>
      </c>
      <c r="D973" s="74" t="s">
        <v>62</v>
      </c>
      <c r="E973" s="74" t="s">
        <v>989</v>
      </c>
      <c r="F973" s="49">
        <v>41.39</v>
      </c>
      <c r="G973" s="49" t="s">
        <v>43</v>
      </c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>
      <c r="A974" s="49">
        <v>973</v>
      </c>
      <c r="B974" s="51" t="s">
        <v>1893</v>
      </c>
      <c r="C974" s="52" t="s">
        <v>45</v>
      </c>
      <c r="D974" s="74" t="s">
        <v>1894</v>
      </c>
      <c r="E974" s="74" t="s">
        <v>1895</v>
      </c>
      <c r="F974" s="49">
        <v>63.43</v>
      </c>
      <c r="G974" s="49" t="s">
        <v>43</v>
      </c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>
      <c r="A975" s="49">
        <v>974</v>
      </c>
      <c r="B975" s="51" t="s">
        <v>1896</v>
      </c>
      <c r="C975" s="52" t="s">
        <v>45</v>
      </c>
      <c r="D975" s="74" t="s">
        <v>41</v>
      </c>
      <c r="E975" s="74" t="s">
        <v>1897</v>
      </c>
      <c r="F975" s="49">
        <v>48.24</v>
      </c>
      <c r="G975" s="49" t="s">
        <v>43</v>
      </c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>
      <c r="A976" s="49">
        <v>975</v>
      </c>
      <c r="B976" s="51" t="s">
        <v>1898</v>
      </c>
      <c r="C976" s="52" t="s">
        <v>52</v>
      </c>
      <c r="D976" s="74" t="s">
        <v>1899</v>
      </c>
      <c r="E976" s="74" t="s">
        <v>20</v>
      </c>
      <c r="F976" s="49">
        <v>42.67</v>
      </c>
      <c r="G976" s="49" t="s">
        <v>43</v>
      </c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>
      <c r="A977" s="49">
        <v>976</v>
      </c>
      <c r="B977" s="51" t="s">
        <v>1900</v>
      </c>
      <c r="C977" s="52" t="s">
        <v>40</v>
      </c>
      <c r="D977" s="74" t="s">
        <v>713</v>
      </c>
      <c r="E977" s="74" t="s">
        <v>1829</v>
      </c>
      <c r="F977" s="49">
        <v>57.57</v>
      </c>
      <c r="G977" s="49" t="s">
        <v>43</v>
      </c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>
      <c r="A978" s="49">
        <v>977</v>
      </c>
      <c r="B978" s="51" t="s">
        <v>1901</v>
      </c>
      <c r="C978" s="52" t="s">
        <v>40</v>
      </c>
      <c r="D978" s="74" t="s">
        <v>73</v>
      </c>
      <c r="E978" s="74" t="s">
        <v>1902</v>
      </c>
      <c r="F978" s="49">
        <v>72.28</v>
      </c>
      <c r="G978" s="49" t="s">
        <v>43</v>
      </c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>
      <c r="A979" s="49">
        <v>978</v>
      </c>
      <c r="B979" s="51" t="s">
        <v>1903</v>
      </c>
      <c r="C979" s="52" t="s">
        <v>45</v>
      </c>
      <c r="D979" s="74" t="s">
        <v>1904</v>
      </c>
      <c r="E979" s="74" t="s">
        <v>1231</v>
      </c>
      <c r="F979" s="49">
        <v>46.36</v>
      </c>
      <c r="G979" s="49" t="s">
        <v>43</v>
      </c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>
      <c r="A980" s="49">
        <v>979</v>
      </c>
      <c r="B980" s="51" t="s">
        <v>1905</v>
      </c>
      <c r="C980" s="52" t="s">
        <v>45</v>
      </c>
      <c r="D980" s="74" t="s">
        <v>277</v>
      </c>
      <c r="E980" s="74" t="s">
        <v>1097</v>
      </c>
      <c r="F980" s="49">
        <v>68.180000000000007</v>
      </c>
      <c r="G980" s="49" t="s">
        <v>43</v>
      </c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>
      <c r="A981" s="49">
        <v>980</v>
      </c>
      <c r="B981" s="51" t="s">
        <v>1906</v>
      </c>
      <c r="C981" s="52" t="s">
        <v>52</v>
      </c>
      <c r="D981" s="74" t="s">
        <v>1907</v>
      </c>
      <c r="E981" s="74" t="s">
        <v>1908</v>
      </c>
      <c r="F981" s="49">
        <v>73.09</v>
      </c>
      <c r="G981" s="49" t="s">
        <v>43</v>
      </c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>
      <c r="A982" s="49">
        <v>981</v>
      </c>
      <c r="B982" s="51" t="s">
        <v>1909</v>
      </c>
      <c r="C982" s="52" t="s">
        <v>45</v>
      </c>
      <c r="D982" s="74" t="s">
        <v>1031</v>
      </c>
      <c r="E982" s="74" t="s">
        <v>1910</v>
      </c>
      <c r="F982" s="49">
        <v>52.77</v>
      </c>
      <c r="G982" s="49" t="s">
        <v>43</v>
      </c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>
      <c r="A983" s="49">
        <v>982</v>
      </c>
      <c r="B983" s="51" t="s">
        <v>1911</v>
      </c>
      <c r="C983" s="52" t="s">
        <v>52</v>
      </c>
      <c r="D983" s="74" t="s">
        <v>214</v>
      </c>
      <c r="E983" s="74" t="s">
        <v>1912</v>
      </c>
      <c r="F983" s="49">
        <v>55.81</v>
      </c>
      <c r="G983" s="49" t="s">
        <v>43</v>
      </c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>
      <c r="A984" s="49">
        <v>983</v>
      </c>
      <c r="B984" s="51" t="s">
        <v>1913</v>
      </c>
      <c r="C984" s="52" t="s">
        <v>45</v>
      </c>
      <c r="D984" s="74" t="s">
        <v>214</v>
      </c>
      <c r="E984" s="74" t="s">
        <v>1914</v>
      </c>
      <c r="F984" s="49">
        <v>59.72</v>
      </c>
      <c r="G984" s="49" t="s">
        <v>43</v>
      </c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>
      <c r="A985" s="49">
        <v>984</v>
      </c>
      <c r="B985" s="51" t="s">
        <v>1915</v>
      </c>
      <c r="C985" s="52" t="s">
        <v>45</v>
      </c>
      <c r="D985" s="74" t="s">
        <v>360</v>
      </c>
      <c r="E985" s="74" t="s">
        <v>1916</v>
      </c>
      <c r="F985" s="49">
        <v>36.9</v>
      </c>
      <c r="G985" s="49" t="s">
        <v>43</v>
      </c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>
      <c r="A986" s="49">
        <v>985</v>
      </c>
      <c r="B986" s="51" t="s">
        <v>1917</v>
      </c>
      <c r="C986" s="52" t="s">
        <v>40</v>
      </c>
      <c r="D986" s="74" t="s">
        <v>123</v>
      </c>
      <c r="E986" s="74" t="s">
        <v>1219</v>
      </c>
      <c r="F986" s="49">
        <v>61.49</v>
      </c>
      <c r="G986" s="49" t="s">
        <v>43</v>
      </c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>
      <c r="A987" s="49">
        <v>986</v>
      </c>
      <c r="B987" s="51" t="s">
        <v>1918</v>
      </c>
      <c r="C987" s="52" t="s">
        <v>45</v>
      </c>
      <c r="D987" s="74" t="s">
        <v>1086</v>
      </c>
      <c r="E987" s="74" t="s">
        <v>1919</v>
      </c>
      <c r="F987" s="49">
        <v>67.02</v>
      </c>
      <c r="G987" s="49" t="s">
        <v>43</v>
      </c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>
      <c r="A988" s="49">
        <v>987</v>
      </c>
      <c r="B988" s="51" t="s">
        <v>1920</v>
      </c>
      <c r="C988" s="52" t="s">
        <v>45</v>
      </c>
      <c r="D988" s="74" t="s">
        <v>1123</v>
      </c>
      <c r="E988" s="74" t="s">
        <v>1921</v>
      </c>
      <c r="F988" s="49">
        <v>35.020000000000003</v>
      </c>
      <c r="G988" s="49" t="s">
        <v>43</v>
      </c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>
      <c r="A989" s="49">
        <v>988</v>
      </c>
      <c r="B989" s="51" t="s">
        <v>1922</v>
      </c>
      <c r="C989" s="52" t="s">
        <v>45</v>
      </c>
      <c r="D989" s="74" t="s">
        <v>277</v>
      </c>
      <c r="E989" s="74" t="s">
        <v>20</v>
      </c>
      <c r="F989" s="49">
        <v>45.58</v>
      </c>
      <c r="G989" s="49" t="s">
        <v>43</v>
      </c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>
      <c r="A990" s="49">
        <v>989</v>
      </c>
      <c r="B990" s="51" t="s">
        <v>1923</v>
      </c>
      <c r="C990" s="52" t="s">
        <v>40</v>
      </c>
      <c r="D990" s="74" t="s">
        <v>123</v>
      </c>
      <c r="E990" s="74" t="s">
        <v>671</v>
      </c>
      <c r="F990" s="49">
        <v>44.07</v>
      </c>
      <c r="G990" s="49" t="s">
        <v>43</v>
      </c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>
      <c r="A991" s="49">
        <v>990</v>
      </c>
      <c r="B991" s="51" t="s">
        <v>1924</v>
      </c>
      <c r="C991" s="52" t="s">
        <v>45</v>
      </c>
      <c r="D991" s="74" t="s">
        <v>931</v>
      </c>
      <c r="E991" s="74" t="s">
        <v>1925</v>
      </c>
      <c r="F991" s="49">
        <v>44.19</v>
      </c>
      <c r="G991" s="49" t="s">
        <v>43</v>
      </c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>
      <c r="A992" s="49">
        <v>991</v>
      </c>
      <c r="B992" s="51" t="s">
        <v>1926</v>
      </c>
      <c r="C992" s="52" t="s">
        <v>45</v>
      </c>
      <c r="D992" s="74" t="s">
        <v>1795</v>
      </c>
      <c r="E992" s="74" t="s">
        <v>1927</v>
      </c>
      <c r="F992" s="49">
        <v>45.11</v>
      </c>
      <c r="G992" s="49" t="s">
        <v>43</v>
      </c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>
      <c r="A993" s="49">
        <v>992</v>
      </c>
      <c r="B993" s="51" t="s">
        <v>1928</v>
      </c>
      <c r="C993" s="52" t="s">
        <v>52</v>
      </c>
      <c r="D993" s="74" t="s">
        <v>1929</v>
      </c>
      <c r="E993" s="74" t="s">
        <v>1930</v>
      </c>
      <c r="F993" s="49">
        <v>47.66</v>
      </c>
      <c r="G993" s="49" t="s">
        <v>43</v>
      </c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>
      <c r="A994" s="49">
        <v>993</v>
      </c>
      <c r="B994" s="51" t="s">
        <v>1931</v>
      </c>
      <c r="C994" s="52" t="s">
        <v>40</v>
      </c>
      <c r="D994" s="74" t="s">
        <v>287</v>
      </c>
      <c r="E994" s="74" t="s">
        <v>1932</v>
      </c>
      <c r="F994" s="49">
        <v>51.89</v>
      </c>
      <c r="G994" s="49" t="s">
        <v>43</v>
      </c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>
      <c r="A995" s="49">
        <v>994</v>
      </c>
      <c r="B995" s="51" t="s">
        <v>1933</v>
      </c>
      <c r="C995" s="52" t="s">
        <v>45</v>
      </c>
      <c r="D995" s="74" t="s">
        <v>342</v>
      </c>
      <c r="E995" s="74" t="s">
        <v>1934</v>
      </c>
      <c r="F995" s="49">
        <v>47.35</v>
      </c>
      <c r="G995" s="49" t="s">
        <v>43</v>
      </c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>
      <c r="A996" s="49">
        <v>995</v>
      </c>
      <c r="B996" s="51" t="s">
        <v>1935</v>
      </c>
      <c r="C996" s="52" t="s">
        <v>52</v>
      </c>
      <c r="D996" s="74" t="s">
        <v>1936</v>
      </c>
      <c r="E996" s="74" t="s">
        <v>1937</v>
      </c>
      <c r="F996" s="49">
        <v>46.35</v>
      </c>
      <c r="G996" s="49" t="s">
        <v>43</v>
      </c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>
      <c r="A997" s="49">
        <v>996</v>
      </c>
      <c r="B997" s="51" t="s">
        <v>1938</v>
      </c>
      <c r="C997" s="52" t="s">
        <v>52</v>
      </c>
      <c r="D997" s="74" t="s">
        <v>1939</v>
      </c>
      <c r="E997" s="74" t="s">
        <v>493</v>
      </c>
      <c r="F997" s="49">
        <v>47.78</v>
      </c>
      <c r="G997" s="49" t="s">
        <v>43</v>
      </c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>
      <c r="A998" s="49">
        <v>997</v>
      </c>
      <c r="B998" s="51" t="s">
        <v>1940</v>
      </c>
      <c r="C998" s="52" t="s">
        <v>40</v>
      </c>
      <c r="D998" s="74" t="s">
        <v>1941</v>
      </c>
      <c r="E998" s="74" t="s">
        <v>1942</v>
      </c>
      <c r="F998" s="49">
        <v>50.11</v>
      </c>
      <c r="G998" s="49" t="s">
        <v>43</v>
      </c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>
      <c r="A999" s="49">
        <v>998</v>
      </c>
      <c r="B999" s="51" t="s">
        <v>1943</v>
      </c>
      <c r="C999" s="52" t="s">
        <v>45</v>
      </c>
      <c r="D999" s="74" t="s">
        <v>414</v>
      </c>
      <c r="E999" s="74" t="s">
        <v>671</v>
      </c>
      <c r="F999" s="49">
        <v>62.66</v>
      </c>
      <c r="G999" s="49" t="s">
        <v>43</v>
      </c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>
      <c r="A1000" s="49">
        <v>999</v>
      </c>
      <c r="B1000" s="51" t="s">
        <v>1944</v>
      </c>
      <c r="C1000" s="52" t="s">
        <v>40</v>
      </c>
      <c r="D1000" s="74" t="s">
        <v>123</v>
      </c>
      <c r="E1000" s="74" t="s">
        <v>1237</v>
      </c>
      <c r="F1000" s="49">
        <v>66.61</v>
      </c>
      <c r="G1000" s="49" t="s">
        <v>43</v>
      </c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  <row r="1001" spans="1:26">
      <c r="A1001" s="49">
        <v>1000</v>
      </c>
      <c r="B1001" s="51" t="s">
        <v>1945</v>
      </c>
      <c r="C1001" s="52" t="s">
        <v>52</v>
      </c>
      <c r="D1001" s="74" t="s">
        <v>214</v>
      </c>
      <c r="E1001" s="74" t="s">
        <v>355</v>
      </c>
      <c r="F1001" s="49">
        <v>39.549999999999997</v>
      </c>
      <c r="G1001" s="49" t="s">
        <v>43</v>
      </c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</row>
    <row r="1002" spans="1:26">
      <c r="A1002" s="49">
        <v>1001</v>
      </c>
      <c r="B1002" s="51" t="s">
        <v>1946</v>
      </c>
      <c r="C1002" s="52" t="s">
        <v>52</v>
      </c>
      <c r="D1002" s="74" t="s">
        <v>135</v>
      </c>
      <c r="E1002" s="74" t="s">
        <v>1824</v>
      </c>
      <c r="F1002" s="49">
        <v>35.82</v>
      </c>
      <c r="G1002" s="49" t="s">
        <v>43</v>
      </c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</row>
    <row r="1003" spans="1:26">
      <c r="A1003" s="49">
        <v>1002</v>
      </c>
      <c r="B1003" s="51" t="s">
        <v>1947</v>
      </c>
      <c r="C1003" s="52" t="s">
        <v>40</v>
      </c>
      <c r="D1003" s="74" t="s">
        <v>41</v>
      </c>
      <c r="E1003" s="74" t="s">
        <v>1948</v>
      </c>
      <c r="F1003" s="49">
        <v>67.430000000000007</v>
      </c>
      <c r="G1003" s="49" t="s">
        <v>43</v>
      </c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</row>
    <row r="1004" spans="1:26">
      <c r="A1004" s="49">
        <v>1003</v>
      </c>
      <c r="B1004" s="51" t="s">
        <v>1949</v>
      </c>
      <c r="C1004" s="52" t="s">
        <v>45</v>
      </c>
      <c r="D1004" s="74" t="s">
        <v>95</v>
      </c>
      <c r="E1004" s="74" t="s">
        <v>1927</v>
      </c>
      <c r="F1004" s="49">
        <v>54.71</v>
      </c>
      <c r="G1004" s="49" t="s">
        <v>43</v>
      </c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</row>
    <row r="1005" spans="1:26">
      <c r="A1005" s="49">
        <v>1004</v>
      </c>
      <c r="B1005" s="51" t="s">
        <v>1950</v>
      </c>
      <c r="C1005" s="52" t="s">
        <v>45</v>
      </c>
      <c r="D1005" s="74" t="s">
        <v>975</v>
      </c>
      <c r="E1005" s="74" t="s">
        <v>1951</v>
      </c>
      <c r="F1005" s="49">
        <v>58.12</v>
      </c>
      <c r="G1005" s="49" t="s">
        <v>43</v>
      </c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</row>
    <row r="1006" spans="1:26">
      <c r="A1006" s="49">
        <v>1005</v>
      </c>
      <c r="B1006" s="51" t="s">
        <v>1952</v>
      </c>
      <c r="C1006" s="52" t="s">
        <v>40</v>
      </c>
      <c r="D1006" s="74" t="s">
        <v>360</v>
      </c>
      <c r="E1006" s="74" t="s">
        <v>1953</v>
      </c>
      <c r="F1006" s="49">
        <v>51.06</v>
      </c>
      <c r="G1006" s="49" t="s">
        <v>43</v>
      </c>
      <c r="H1006" s="50"/>
      <c r="I1006" s="50"/>
      <c r="J1006" s="50"/>
      <c r="K1006" s="50"/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</row>
    <row r="1007" spans="1:26">
      <c r="A1007" s="49">
        <v>1006</v>
      </c>
      <c r="B1007" s="51" t="s">
        <v>1954</v>
      </c>
      <c r="C1007" s="52" t="s">
        <v>45</v>
      </c>
      <c r="D1007" s="74" t="s">
        <v>62</v>
      </c>
      <c r="E1007" s="74" t="s">
        <v>989</v>
      </c>
      <c r="F1007" s="49">
        <v>53.28</v>
      </c>
      <c r="G1007" s="49" t="s">
        <v>43</v>
      </c>
      <c r="H1007" s="50"/>
      <c r="I1007" s="50"/>
      <c r="J1007" s="50"/>
      <c r="K1007" s="50"/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</row>
    <row r="1008" spans="1:26">
      <c r="A1008" s="49">
        <v>1007</v>
      </c>
      <c r="B1008" s="51" t="s">
        <v>1955</v>
      </c>
      <c r="C1008" s="52" t="s">
        <v>45</v>
      </c>
      <c r="D1008" s="74" t="s">
        <v>158</v>
      </c>
      <c r="E1008" s="74" t="s">
        <v>355</v>
      </c>
      <c r="F1008" s="49">
        <v>49.85</v>
      </c>
      <c r="G1008" s="49" t="s">
        <v>43</v>
      </c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</row>
    <row r="1009" spans="1:26">
      <c r="A1009" s="49">
        <v>1008</v>
      </c>
      <c r="B1009" s="51" t="s">
        <v>1956</v>
      </c>
      <c r="C1009" s="52" t="s">
        <v>45</v>
      </c>
      <c r="D1009" s="74" t="s">
        <v>414</v>
      </c>
      <c r="E1009" s="74" t="s">
        <v>1957</v>
      </c>
      <c r="F1009" s="49">
        <v>78.319999999999993</v>
      </c>
      <c r="G1009" s="49" t="s">
        <v>43</v>
      </c>
      <c r="H1009" s="50"/>
      <c r="I1009" s="50"/>
      <c r="J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</row>
    <row r="1010" spans="1:26">
      <c r="A1010" s="49">
        <v>1009</v>
      </c>
      <c r="B1010" s="51" t="s">
        <v>1958</v>
      </c>
      <c r="C1010" s="52" t="s">
        <v>40</v>
      </c>
      <c r="D1010" s="74" t="s">
        <v>62</v>
      </c>
      <c r="E1010" s="74" t="s">
        <v>1067</v>
      </c>
      <c r="F1010" s="49">
        <v>59.48</v>
      </c>
      <c r="G1010" s="49" t="s">
        <v>43</v>
      </c>
      <c r="H1010" s="50"/>
      <c r="I1010" s="50"/>
      <c r="J1010" s="50"/>
      <c r="K1010" s="50"/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</row>
    <row r="1011" spans="1:26">
      <c r="A1011" s="49">
        <v>1010</v>
      </c>
      <c r="B1011" s="51" t="s">
        <v>1959</v>
      </c>
      <c r="C1011" s="52" t="s">
        <v>40</v>
      </c>
      <c r="D1011" s="74" t="s">
        <v>123</v>
      </c>
      <c r="E1011" s="74" t="s">
        <v>1960</v>
      </c>
      <c r="F1011" s="49">
        <v>47.48</v>
      </c>
      <c r="G1011" s="49" t="s">
        <v>43</v>
      </c>
      <c r="H1011" s="50"/>
      <c r="I1011" s="50"/>
      <c r="J1011" s="50"/>
      <c r="K1011" s="50"/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</row>
    <row r="1012" spans="1:26">
      <c r="A1012" s="49">
        <v>1011</v>
      </c>
      <c r="B1012" s="51" t="s">
        <v>1961</v>
      </c>
      <c r="C1012" s="52" t="s">
        <v>45</v>
      </c>
      <c r="D1012" s="74" t="s">
        <v>128</v>
      </c>
      <c r="E1012" s="74" t="s">
        <v>1084</v>
      </c>
      <c r="F1012" s="49">
        <v>57.55</v>
      </c>
      <c r="G1012" s="49" t="s">
        <v>43</v>
      </c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  <c r="Y1012" s="50"/>
      <c r="Z1012" s="50"/>
    </row>
    <row r="1013" spans="1:26">
      <c r="A1013" s="49">
        <v>1012</v>
      </c>
      <c r="B1013" s="51" t="s">
        <v>1962</v>
      </c>
      <c r="C1013" s="52" t="s">
        <v>52</v>
      </c>
      <c r="D1013" s="74" t="s">
        <v>815</v>
      </c>
      <c r="E1013" s="74" t="s">
        <v>20</v>
      </c>
      <c r="F1013" s="49">
        <v>37.32</v>
      </c>
      <c r="G1013" s="49" t="s">
        <v>43</v>
      </c>
      <c r="H1013" s="50"/>
      <c r="I1013" s="50"/>
      <c r="J1013" s="50"/>
      <c r="K1013" s="50"/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</row>
    <row r="1014" spans="1:26">
      <c r="A1014" s="49">
        <v>1013</v>
      </c>
      <c r="B1014" s="51" t="s">
        <v>1963</v>
      </c>
      <c r="C1014" s="52" t="s">
        <v>40</v>
      </c>
      <c r="D1014" s="74" t="s">
        <v>123</v>
      </c>
      <c r="E1014" s="74" t="s">
        <v>989</v>
      </c>
      <c r="F1014" s="49">
        <v>53.12</v>
      </c>
      <c r="G1014" s="49" t="s">
        <v>43</v>
      </c>
      <c r="H1014" s="50"/>
      <c r="I1014" s="50"/>
      <c r="J1014" s="50"/>
      <c r="K1014" s="50"/>
      <c r="L1014" s="50"/>
      <c r="M1014" s="50"/>
      <c r="N1014" s="50"/>
      <c r="O1014" s="50"/>
      <c r="P1014" s="50"/>
      <c r="Q1014" s="50"/>
      <c r="R1014" s="50"/>
      <c r="S1014" s="50"/>
      <c r="T1014" s="50"/>
      <c r="U1014" s="50"/>
      <c r="V1014" s="50"/>
      <c r="W1014" s="50"/>
      <c r="X1014" s="50"/>
      <c r="Y1014" s="50"/>
      <c r="Z1014" s="50"/>
    </row>
    <row r="1015" spans="1:26">
      <c r="A1015" s="49">
        <v>1014</v>
      </c>
      <c r="B1015" s="51" t="s">
        <v>1964</v>
      </c>
      <c r="C1015" s="52" t="s">
        <v>45</v>
      </c>
      <c r="D1015" s="74" t="s">
        <v>123</v>
      </c>
      <c r="E1015" s="74" t="s">
        <v>1965</v>
      </c>
      <c r="F1015" s="49">
        <v>52.27</v>
      </c>
      <c r="G1015" s="49" t="s">
        <v>43</v>
      </c>
      <c r="H1015" s="50"/>
      <c r="I1015" s="50"/>
      <c r="J1015" s="50"/>
      <c r="K1015" s="50"/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  <c r="Y1015" s="50"/>
      <c r="Z1015" s="50"/>
    </row>
    <row r="1016" spans="1:26">
      <c r="A1016" s="49">
        <v>1015</v>
      </c>
      <c r="B1016" s="51" t="s">
        <v>1966</v>
      </c>
      <c r="C1016" s="52" t="s">
        <v>45</v>
      </c>
      <c r="D1016" s="74" t="s">
        <v>62</v>
      </c>
      <c r="E1016" s="74" t="s">
        <v>20</v>
      </c>
      <c r="F1016" s="49">
        <v>31.68</v>
      </c>
      <c r="G1016" s="49" t="s">
        <v>43</v>
      </c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0"/>
      <c r="U1016" s="50"/>
      <c r="V1016" s="50"/>
      <c r="W1016" s="50"/>
      <c r="X1016" s="50"/>
      <c r="Y1016" s="50"/>
      <c r="Z1016" s="50"/>
    </row>
    <row r="1017" spans="1:26">
      <c r="A1017" s="49">
        <v>1016</v>
      </c>
      <c r="B1017" s="51" t="s">
        <v>1967</v>
      </c>
      <c r="C1017" s="52" t="s">
        <v>45</v>
      </c>
      <c r="D1017" s="74" t="s">
        <v>59</v>
      </c>
      <c r="E1017" s="74" t="s">
        <v>20</v>
      </c>
      <c r="F1017" s="49">
        <v>59.06</v>
      </c>
      <c r="G1017" s="49" t="s">
        <v>43</v>
      </c>
      <c r="H1017" s="50"/>
      <c r="I1017" s="50"/>
      <c r="J1017" s="50"/>
      <c r="K1017" s="50"/>
      <c r="L1017" s="50"/>
      <c r="M1017" s="50"/>
      <c r="N1017" s="50"/>
      <c r="O1017" s="50"/>
      <c r="P1017" s="50"/>
      <c r="Q1017" s="50"/>
      <c r="R1017" s="50"/>
      <c r="S1017" s="50"/>
      <c r="T1017" s="50"/>
      <c r="U1017" s="50"/>
      <c r="V1017" s="50"/>
      <c r="W1017" s="50"/>
      <c r="X1017" s="50"/>
      <c r="Y1017" s="50"/>
      <c r="Z1017" s="50"/>
    </row>
    <row r="1018" spans="1:26">
      <c r="A1018" s="49">
        <v>1017</v>
      </c>
      <c r="B1018" s="51" t="s">
        <v>1968</v>
      </c>
      <c r="C1018" s="52" t="s">
        <v>45</v>
      </c>
      <c r="D1018" s="74" t="s">
        <v>62</v>
      </c>
      <c r="E1018" s="74" t="s">
        <v>1969</v>
      </c>
      <c r="F1018" s="49">
        <v>58.61</v>
      </c>
      <c r="G1018" s="49" t="s">
        <v>43</v>
      </c>
      <c r="H1018" s="50"/>
      <c r="I1018" s="50"/>
      <c r="J1018" s="50"/>
      <c r="K1018" s="50"/>
      <c r="L1018" s="50"/>
      <c r="M1018" s="50"/>
      <c r="N1018" s="50"/>
      <c r="O1018" s="50"/>
      <c r="P1018" s="50"/>
      <c r="Q1018" s="50"/>
      <c r="R1018" s="50"/>
      <c r="S1018" s="50"/>
      <c r="T1018" s="50"/>
      <c r="U1018" s="50"/>
      <c r="V1018" s="50"/>
      <c r="W1018" s="50"/>
      <c r="X1018" s="50"/>
      <c r="Y1018" s="50"/>
      <c r="Z1018" s="50"/>
    </row>
    <row r="1019" spans="1:26">
      <c r="A1019" s="49">
        <v>1018</v>
      </c>
      <c r="B1019" s="51" t="s">
        <v>1970</v>
      </c>
      <c r="C1019" s="52" t="s">
        <v>40</v>
      </c>
      <c r="D1019" s="74" t="s">
        <v>123</v>
      </c>
      <c r="E1019" s="74"/>
      <c r="F1019" s="49">
        <v>47.44</v>
      </c>
      <c r="G1019" s="49" t="s">
        <v>43</v>
      </c>
      <c r="H1019" s="50"/>
      <c r="I1019" s="50"/>
      <c r="J1019" s="50"/>
      <c r="K1019" s="50"/>
      <c r="L1019" s="50"/>
      <c r="M1019" s="50"/>
      <c r="N1019" s="50"/>
      <c r="O1019" s="50"/>
      <c r="P1019" s="50"/>
      <c r="Q1019" s="50"/>
      <c r="R1019" s="50"/>
      <c r="S1019" s="50"/>
      <c r="T1019" s="50"/>
      <c r="U1019" s="50"/>
      <c r="V1019" s="50"/>
      <c r="W1019" s="50"/>
      <c r="X1019" s="50"/>
      <c r="Y1019" s="50"/>
      <c r="Z1019" s="50"/>
    </row>
    <row r="1020" spans="1:26">
      <c r="A1020" s="49">
        <v>1019</v>
      </c>
      <c r="B1020" s="51" t="s">
        <v>1971</v>
      </c>
      <c r="C1020" s="52" t="s">
        <v>45</v>
      </c>
      <c r="D1020" s="74" t="s">
        <v>1972</v>
      </c>
      <c r="E1020" s="74" t="s">
        <v>1973</v>
      </c>
      <c r="F1020" s="49">
        <v>57.13</v>
      </c>
      <c r="G1020" s="49" t="s">
        <v>43</v>
      </c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  <c r="S1020" s="50"/>
      <c r="T1020" s="50"/>
      <c r="U1020" s="50"/>
      <c r="V1020" s="50"/>
      <c r="W1020" s="50"/>
      <c r="X1020" s="50"/>
      <c r="Y1020" s="50"/>
      <c r="Z1020" s="50"/>
    </row>
    <row r="1021" spans="1:26">
      <c r="A1021" s="49">
        <v>1020</v>
      </c>
      <c r="B1021" s="51" t="s">
        <v>1974</v>
      </c>
      <c r="C1021" s="52" t="s">
        <v>45</v>
      </c>
      <c r="D1021" s="74" t="s">
        <v>805</v>
      </c>
      <c r="E1021" s="74" t="s">
        <v>20</v>
      </c>
      <c r="F1021" s="49">
        <v>57</v>
      </c>
      <c r="G1021" s="49" t="s">
        <v>43</v>
      </c>
      <c r="H1021" s="50"/>
      <c r="I1021" s="50"/>
      <c r="J1021" s="50"/>
      <c r="K1021" s="50"/>
      <c r="L1021" s="50"/>
      <c r="M1021" s="50"/>
      <c r="N1021" s="50"/>
      <c r="O1021" s="50"/>
      <c r="P1021" s="50"/>
      <c r="Q1021" s="50"/>
      <c r="R1021" s="50"/>
      <c r="S1021" s="50"/>
      <c r="T1021" s="50"/>
      <c r="U1021" s="50"/>
      <c r="V1021" s="50"/>
      <c r="W1021" s="50"/>
      <c r="X1021" s="50"/>
      <c r="Y1021" s="50"/>
      <c r="Z1021" s="50"/>
    </row>
    <row r="1022" spans="1:26">
      <c r="A1022" s="49">
        <v>1021</v>
      </c>
      <c r="B1022" s="51" t="s">
        <v>1975</v>
      </c>
      <c r="C1022" s="52" t="s">
        <v>40</v>
      </c>
      <c r="D1022" s="74" t="s">
        <v>401</v>
      </c>
      <c r="E1022" s="74" t="s">
        <v>417</v>
      </c>
      <c r="F1022" s="49">
        <v>77.510000000000005</v>
      </c>
      <c r="G1022" s="49" t="s">
        <v>43</v>
      </c>
      <c r="H1022" s="50"/>
      <c r="I1022" s="50"/>
      <c r="J1022" s="50"/>
      <c r="K1022" s="50"/>
      <c r="L1022" s="50"/>
      <c r="M1022" s="50"/>
      <c r="N1022" s="50"/>
      <c r="O1022" s="50"/>
      <c r="P1022" s="50"/>
      <c r="Q1022" s="50"/>
      <c r="R1022" s="50"/>
      <c r="S1022" s="50"/>
      <c r="T1022" s="50"/>
      <c r="U1022" s="50"/>
      <c r="V1022" s="50"/>
      <c r="W1022" s="50"/>
      <c r="X1022" s="50"/>
      <c r="Y1022" s="50"/>
      <c r="Z1022" s="50"/>
    </row>
    <row r="1023" spans="1:26">
      <c r="A1023" s="49">
        <v>1022</v>
      </c>
      <c r="B1023" s="51" t="s">
        <v>1976</v>
      </c>
      <c r="C1023" s="52" t="s">
        <v>40</v>
      </c>
      <c r="D1023" s="74" t="s">
        <v>414</v>
      </c>
      <c r="E1023" s="74" t="s">
        <v>432</v>
      </c>
      <c r="F1023" s="49">
        <v>66.319999999999993</v>
      </c>
      <c r="G1023" s="49" t="s">
        <v>43</v>
      </c>
      <c r="H1023" s="50"/>
      <c r="I1023" s="50"/>
      <c r="J1023" s="50"/>
      <c r="K1023" s="50"/>
      <c r="L1023" s="50"/>
      <c r="M1023" s="50"/>
      <c r="N1023" s="50"/>
      <c r="O1023" s="50"/>
      <c r="P1023" s="50"/>
      <c r="Q1023" s="50"/>
      <c r="R1023" s="50"/>
      <c r="S1023" s="50"/>
      <c r="T1023" s="50"/>
      <c r="U1023" s="50"/>
      <c r="V1023" s="50"/>
      <c r="W1023" s="50"/>
      <c r="X1023" s="50"/>
      <c r="Y1023" s="50"/>
      <c r="Z1023" s="50"/>
    </row>
    <row r="1024" spans="1:26">
      <c r="A1024" s="49">
        <v>1023</v>
      </c>
      <c r="B1024" s="51" t="s">
        <v>1977</v>
      </c>
      <c r="C1024" s="52" t="s">
        <v>45</v>
      </c>
      <c r="D1024" s="74" t="s">
        <v>1978</v>
      </c>
      <c r="E1024" s="74" t="s">
        <v>355</v>
      </c>
      <c r="F1024" s="49">
        <v>56.45</v>
      </c>
      <c r="G1024" s="49" t="s">
        <v>43</v>
      </c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  <c r="S1024" s="50"/>
      <c r="T1024" s="50"/>
      <c r="U1024" s="50"/>
      <c r="V1024" s="50"/>
      <c r="W1024" s="50"/>
      <c r="X1024" s="50"/>
      <c r="Y1024" s="50"/>
      <c r="Z1024" s="50"/>
    </row>
    <row r="1025" spans="1:26">
      <c r="A1025" s="49">
        <v>1024</v>
      </c>
      <c r="B1025" s="51" t="s">
        <v>1979</v>
      </c>
      <c r="C1025" s="52" t="s">
        <v>45</v>
      </c>
      <c r="D1025" s="74" t="s">
        <v>214</v>
      </c>
      <c r="E1025" s="74" t="s">
        <v>355</v>
      </c>
      <c r="F1025" s="49">
        <v>48.8</v>
      </c>
      <c r="G1025" s="49" t="s">
        <v>43</v>
      </c>
      <c r="H1025" s="50"/>
      <c r="I1025" s="50"/>
      <c r="J1025" s="50"/>
      <c r="K1025" s="50"/>
      <c r="L1025" s="50"/>
      <c r="M1025" s="50"/>
      <c r="N1025" s="50"/>
      <c r="O1025" s="50"/>
      <c r="P1025" s="50"/>
      <c r="Q1025" s="50"/>
      <c r="R1025" s="50"/>
      <c r="S1025" s="50"/>
      <c r="T1025" s="50"/>
      <c r="U1025" s="50"/>
      <c r="V1025" s="50"/>
      <c r="W1025" s="50"/>
      <c r="X1025" s="50"/>
      <c r="Y1025" s="50"/>
      <c r="Z1025" s="50"/>
    </row>
    <row r="1026" spans="1:26">
      <c r="A1026" s="49">
        <v>1025</v>
      </c>
      <c r="B1026" s="51" t="s">
        <v>1980</v>
      </c>
      <c r="C1026" s="52" t="s">
        <v>40</v>
      </c>
      <c r="D1026" s="74" t="s">
        <v>815</v>
      </c>
      <c r="E1026" s="74" t="s">
        <v>1981</v>
      </c>
      <c r="F1026" s="49">
        <v>66.13</v>
      </c>
      <c r="G1026" s="49" t="s">
        <v>43</v>
      </c>
      <c r="H1026" s="50"/>
      <c r="I1026" s="50"/>
      <c r="J1026" s="50"/>
      <c r="K1026" s="50"/>
      <c r="L1026" s="50"/>
      <c r="M1026" s="50"/>
      <c r="N1026" s="50"/>
      <c r="O1026" s="50"/>
      <c r="P1026" s="50"/>
      <c r="Q1026" s="50"/>
      <c r="R1026" s="50"/>
      <c r="S1026" s="50"/>
      <c r="T1026" s="50"/>
      <c r="U1026" s="50"/>
      <c r="V1026" s="50"/>
      <c r="W1026" s="50"/>
      <c r="X1026" s="50"/>
      <c r="Y1026" s="50"/>
      <c r="Z1026" s="50"/>
    </row>
    <row r="1027" spans="1:26">
      <c r="A1027" s="49">
        <v>1026</v>
      </c>
      <c r="B1027" s="51" t="s">
        <v>1982</v>
      </c>
      <c r="C1027" s="52" t="s">
        <v>45</v>
      </c>
      <c r="D1027" s="74" t="s">
        <v>277</v>
      </c>
      <c r="E1027" s="74" t="s">
        <v>1042</v>
      </c>
      <c r="F1027" s="49">
        <v>64.95</v>
      </c>
      <c r="G1027" s="49" t="s">
        <v>43</v>
      </c>
      <c r="H1027" s="50"/>
      <c r="I1027" s="50"/>
      <c r="J1027" s="50"/>
      <c r="K1027" s="50"/>
      <c r="L1027" s="50"/>
      <c r="M1027" s="50"/>
      <c r="N1027" s="50"/>
      <c r="O1027" s="50"/>
      <c r="P1027" s="50"/>
      <c r="Q1027" s="50"/>
      <c r="R1027" s="50"/>
      <c r="S1027" s="50"/>
      <c r="T1027" s="50"/>
      <c r="U1027" s="50"/>
      <c r="V1027" s="50"/>
      <c r="W1027" s="50"/>
      <c r="X1027" s="50"/>
      <c r="Y1027" s="50"/>
      <c r="Z1027" s="50"/>
    </row>
    <row r="1028" spans="1:26">
      <c r="A1028" s="49">
        <v>1027</v>
      </c>
      <c r="B1028" s="51" t="s">
        <v>1983</v>
      </c>
      <c r="C1028" s="52" t="s">
        <v>45</v>
      </c>
      <c r="D1028" s="74" t="s">
        <v>214</v>
      </c>
      <c r="E1028" s="74" t="s">
        <v>1984</v>
      </c>
      <c r="F1028" s="49">
        <v>53.55</v>
      </c>
      <c r="G1028" s="49" t="s">
        <v>43</v>
      </c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  <c r="S1028" s="50"/>
      <c r="T1028" s="50"/>
      <c r="U1028" s="50"/>
      <c r="V1028" s="50"/>
      <c r="W1028" s="50"/>
      <c r="X1028" s="50"/>
      <c r="Y1028" s="50"/>
      <c r="Z1028" s="50"/>
    </row>
    <row r="1029" spans="1:26">
      <c r="A1029" s="49">
        <v>1028</v>
      </c>
      <c r="B1029" s="51" t="s">
        <v>1985</v>
      </c>
      <c r="C1029" s="52" t="s">
        <v>52</v>
      </c>
      <c r="D1029" s="74" t="s">
        <v>277</v>
      </c>
      <c r="E1029" s="74" t="s">
        <v>1986</v>
      </c>
      <c r="F1029" s="49">
        <v>69.77</v>
      </c>
      <c r="G1029" s="49" t="s">
        <v>43</v>
      </c>
      <c r="H1029" s="50"/>
      <c r="I1029" s="50"/>
      <c r="J1029" s="50"/>
      <c r="K1029" s="50"/>
      <c r="L1029" s="50"/>
      <c r="M1029" s="50"/>
      <c r="N1029" s="50"/>
      <c r="O1029" s="50"/>
      <c r="P1029" s="50"/>
      <c r="Q1029" s="50"/>
      <c r="R1029" s="50"/>
      <c r="S1029" s="50"/>
      <c r="T1029" s="50"/>
      <c r="U1029" s="50"/>
      <c r="V1029" s="50"/>
      <c r="W1029" s="50"/>
      <c r="X1029" s="50"/>
      <c r="Y1029" s="50"/>
      <c r="Z1029" s="50"/>
    </row>
    <row r="1030" spans="1:26">
      <c r="A1030" s="49">
        <v>1029</v>
      </c>
      <c r="B1030" s="51" t="s">
        <v>1987</v>
      </c>
      <c r="C1030" s="52" t="s">
        <v>40</v>
      </c>
      <c r="D1030" s="74" t="s">
        <v>360</v>
      </c>
      <c r="E1030" s="74" t="s">
        <v>1518</v>
      </c>
      <c r="F1030" s="49">
        <v>56.13</v>
      </c>
      <c r="G1030" s="49" t="s">
        <v>43</v>
      </c>
      <c r="H1030" s="50"/>
      <c r="I1030" s="50"/>
      <c r="J1030" s="50"/>
      <c r="K1030" s="50"/>
      <c r="L1030" s="50"/>
      <c r="M1030" s="50"/>
      <c r="N1030" s="50"/>
      <c r="O1030" s="50"/>
      <c r="P1030" s="50"/>
      <c r="Q1030" s="50"/>
      <c r="R1030" s="50"/>
      <c r="S1030" s="50"/>
      <c r="T1030" s="50"/>
      <c r="U1030" s="50"/>
      <c r="V1030" s="50"/>
      <c r="W1030" s="50"/>
      <c r="X1030" s="50"/>
      <c r="Y1030" s="50"/>
      <c r="Z1030" s="50"/>
    </row>
    <row r="1031" spans="1:26">
      <c r="A1031" s="49">
        <v>1030</v>
      </c>
      <c r="B1031" s="51" t="s">
        <v>1988</v>
      </c>
      <c r="C1031" s="52" t="s">
        <v>40</v>
      </c>
      <c r="D1031" s="74" t="s">
        <v>431</v>
      </c>
      <c r="E1031" s="74" t="s">
        <v>1317</v>
      </c>
      <c r="F1031" s="49">
        <v>65.31</v>
      </c>
      <c r="G1031" s="49" t="s">
        <v>43</v>
      </c>
      <c r="H1031" s="50"/>
      <c r="I1031" s="50"/>
      <c r="J1031" s="50"/>
      <c r="K1031" s="50"/>
      <c r="L1031" s="50"/>
      <c r="M1031" s="50"/>
      <c r="N1031" s="50"/>
      <c r="O1031" s="50"/>
      <c r="P1031" s="50"/>
      <c r="Q1031" s="50"/>
      <c r="R1031" s="50"/>
      <c r="S1031" s="50"/>
      <c r="T1031" s="50"/>
      <c r="U1031" s="50"/>
      <c r="V1031" s="50"/>
      <c r="W1031" s="50"/>
      <c r="X1031" s="50"/>
      <c r="Y1031" s="50"/>
      <c r="Z1031" s="50"/>
    </row>
    <row r="1032" spans="1:26">
      <c r="A1032" s="49">
        <v>1031</v>
      </c>
      <c r="B1032" s="51" t="s">
        <v>1989</v>
      </c>
      <c r="C1032" s="52" t="s">
        <v>45</v>
      </c>
      <c r="D1032" s="74" t="s">
        <v>123</v>
      </c>
      <c r="E1032" s="74" t="s">
        <v>1681</v>
      </c>
      <c r="F1032" s="49">
        <v>57.41</v>
      </c>
      <c r="G1032" s="49" t="s">
        <v>43</v>
      </c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  <c r="S1032" s="50"/>
      <c r="T1032" s="50"/>
      <c r="U1032" s="50"/>
      <c r="V1032" s="50"/>
      <c r="W1032" s="50"/>
      <c r="X1032" s="50"/>
      <c r="Y1032" s="50"/>
      <c r="Z1032" s="50"/>
    </row>
    <row r="1033" spans="1:26">
      <c r="A1033" s="49">
        <v>1032</v>
      </c>
      <c r="B1033" s="51" t="s">
        <v>1990</v>
      </c>
      <c r="C1033" s="52" t="s">
        <v>52</v>
      </c>
      <c r="D1033" s="74" t="s">
        <v>1400</v>
      </c>
      <c r="E1033" s="74" t="s">
        <v>1615</v>
      </c>
      <c r="F1033" s="49">
        <v>47.78</v>
      </c>
      <c r="G1033" s="49" t="s">
        <v>43</v>
      </c>
      <c r="H1033" s="50"/>
      <c r="I1033" s="50"/>
      <c r="J1033" s="50"/>
      <c r="K1033" s="50"/>
      <c r="L1033" s="50"/>
      <c r="M1033" s="50"/>
      <c r="N1033" s="50"/>
      <c r="O1033" s="50"/>
      <c r="P1033" s="50"/>
      <c r="Q1033" s="50"/>
      <c r="R1033" s="50"/>
      <c r="S1033" s="50"/>
      <c r="T1033" s="50"/>
      <c r="U1033" s="50"/>
      <c r="V1033" s="50"/>
      <c r="W1033" s="50"/>
      <c r="X1033" s="50"/>
      <c r="Y1033" s="50"/>
      <c r="Z1033" s="50"/>
    </row>
    <row r="1034" spans="1:26">
      <c r="A1034" s="49">
        <v>1033</v>
      </c>
      <c r="B1034" s="51" t="s">
        <v>1991</v>
      </c>
      <c r="C1034" s="52" t="s">
        <v>40</v>
      </c>
      <c r="D1034" s="74" t="s">
        <v>1589</v>
      </c>
      <c r="E1034" s="74" t="s">
        <v>671</v>
      </c>
      <c r="F1034" s="49">
        <v>41.07</v>
      </c>
      <c r="G1034" s="49" t="s">
        <v>43</v>
      </c>
      <c r="H1034" s="50"/>
      <c r="I1034" s="50"/>
      <c r="J1034" s="50"/>
      <c r="K1034" s="50"/>
      <c r="L1034" s="50"/>
      <c r="M1034" s="50"/>
      <c r="N1034" s="50"/>
      <c r="O1034" s="50"/>
      <c r="P1034" s="50"/>
      <c r="Q1034" s="50"/>
      <c r="R1034" s="50"/>
      <c r="S1034" s="50"/>
      <c r="T1034" s="50"/>
      <c r="U1034" s="50"/>
      <c r="V1034" s="50"/>
      <c r="W1034" s="50"/>
      <c r="X1034" s="50"/>
      <c r="Y1034" s="50"/>
      <c r="Z1034" s="50"/>
    </row>
    <row r="1035" spans="1:26">
      <c r="A1035" s="49">
        <v>1034</v>
      </c>
      <c r="B1035" s="51" t="s">
        <v>1992</v>
      </c>
      <c r="C1035" s="52" t="s">
        <v>45</v>
      </c>
      <c r="D1035" s="74" t="s">
        <v>805</v>
      </c>
      <c r="E1035" s="74" t="s">
        <v>1993</v>
      </c>
      <c r="F1035" s="49">
        <v>44.43</v>
      </c>
      <c r="G1035" s="49" t="s">
        <v>43</v>
      </c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50"/>
      <c r="T1035" s="50"/>
      <c r="U1035" s="50"/>
      <c r="V1035" s="50"/>
      <c r="W1035" s="50"/>
      <c r="X1035" s="50"/>
      <c r="Y1035" s="50"/>
      <c r="Z1035" s="50"/>
    </row>
    <row r="1036" spans="1:26">
      <c r="A1036" s="49">
        <v>1035</v>
      </c>
      <c r="B1036" s="51" t="s">
        <v>1994</v>
      </c>
      <c r="C1036" s="52" t="s">
        <v>45</v>
      </c>
      <c r="D1036" s="74" t="s">
        <v>123</v>
      </c>
      <c r="E1036" s="74" t="s">
        <v>432</v>
      </c>
      <c r="F1036" s="49">
        <v>55.95</v>
      </c>
      <c r="G1036" s="49" t="s">
        <v>43</v>
      </c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  <c r="S1036" s="50"/>
      <c r="T1036" s="50"/>
      <c r="U1036" s="50"/>
      <c r="V1036" s="50"/>
      <c r="W1036" s="50"/>
      <c r="X1036" s="50"/>
      <c r="Y1036" s="50"/>
      <c r="Z1036" s="50"/>
    </row>
    <row r="1037" spans="1:26">
      <c r="A1037" s="49">
        <v>1036</v>
      </c>
      <c r="B1037" s="51" t="s">
        <v>1995</v>
      </c>
      <c r="C1037" s="52" t="s">
        <v>52</v>
      </c>
      <c r="D1037" s="74" t="s">
        <v>342</v>
      </c>
      <c r="E1037" s="74" t="s">
        <v>1996</v>
      </c>
      <c r="F1037" s="49">
        <v>35.380000000000003</v>
      </c>
      <c r="G1037" s="49" t="s">
        <v>43</v>
      </c>
      <c r="H1037" s="50"/>
      <c r="I1037" s="50"/>
      <c r="J1037" s="50"/>
      <c r="K1037" s="50"/>
      <c r="L1037" s="50"/>
      <c r="M1037" s="50"/>
      <c r="N1037" s="50"/>
      <c r="O1037" s="50"/>
      <c r="P1037" s="50"/>
      <c r="Q1037" s="50"/>
      <c r="R1037" s="50"/>
      <c r="S1037" s="50"/>
      <c r="T1037" s="50"/>
      <c r="U1037" s="50"/>
      <c r="V1037" s="50"/>
      <c r="W1037" s="50"/>
      <c r="X1037" s="50"/>
      <c r="Y1037" s="50"/>
      <c r="Z1037" s="50"/>
    </row>
    <row r="1038" spans="1:26">
      <c r="A1038" s="49">
        <v>1037</v>
      </c>
      <c r="B1038" s="51" t="s">
        <v>1997</v>
      </c>
      <c r="C1038" s="52" t="s">
        <v>40</v>
      </c>
      <c r="D1038" s="74" t="s">
        <v>62</v>
      </c>
      <c r="E1038" s="74" t="s">
        <v>20</v>
      </c>
      <c r="F1038" s="49">
        <v>37.78</v>
      </c>
      <c r="G1038" s="49" t="s">
        <v>43</v>
      </c>
      <c r="H1038" s="50"/>
      <c r="I1038" s="50"/>
      <c r="J1038" s="50"/>
      <c r="K1038" s="50"/>
      <c r="L1038" s="50"/>
      <c r="M1038" s="50"/>
      <c r="N1038" s="50"/>
      <c r="O1038" s="50"/>
      <c r="P1038" s="50"/>
      <c r="Q1038" s="50"/>
      <c r="R1038" s="50"/>
      <c r="S1038" s="50"/>
      <c r="T1038" s="50"/>
      <c r="U1038" s="50"/>
      <c r="V1038" s="50"/>
      <c r="W1038" s="50"/>
      <c r="X1038" s="50"/>
      <c r="Y1038" s="50"/>
      <c r="Z1038" s="50"/>
    </row>
    <row r="1039" spans="1:26">
      <c r="A1039" s="49">
        <v>1038</v>
      </c>
      <c r="B1039" s="51" t="s">
        <v>1998</v>
      </c>
      <c r="C1039" s="52" t="s">
        <v>45</v>
      </c>
      <c r="D1039" s="74" t="s">
        <v>1999</v>
      </c>
      <c r="E1039" s="74" t="s">
        <v>2000</v>
      </c>
      <c r="F1039" s="49">
        <v>80.38</v>
      </c>
      <c r="G1039" s="49" t="s">
        <v>43</v>
      </c>
      <c r="H1039" s="50"/>
      <c r="I1039" s="50"/>
      <c r="J1039" s="50"/>
      <c r="K1039" s="50"/>
      <c r="L1039" s="50"/>
      <c r="M1039" s="50"/>
      <c r="N1039" s="50"/>
      <c r="O1039" s="50"/>
      <c r="P1039" s="50"/>
      <c r="Q1039" s="50"/>
      <c r="R1039" s="50"/>
      <c r="S1039" s="50"/>
      <c r="T1039" s="50"/>
      <c r="U1039" s="50"/>
      <c r="V1039" s="50"/>
      <c r="W1039" s="50"/>
      <c r="X1039" s="50"/>
      <c r="Y1039" s="50"/>
      <c r="Z1039" s="50"/>
    </row>
    <row r="1040" spans="1:26">
      <c r="A1040" s="49">
        <v>1039</v>
      </c>
      <c r="B1040" s="51" t="s">
        <v>2001</v>
      </c>
      <c r="C1040" s="52" t="s">
        <v>45</v>
      </c>
      <c r="D1040" s="74" t="s">
        <v>214</v>
      </c>
      <c r="E1040" s="74" t="s">
        <v>1356</v>
      </c>
      <c r="F1040" s="49">
        <v>48.31</v>
      </c>
      <c r="G1040" s="49" t="s">
        <v>43</v>
      </c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  <c r="S1040" s="50"/>
      <c r="T1040" s="50"/>
      <c r="U1040" s="50"/>
      <c r="V1040" s="50"/>
      <c r="W1040" s="50"/>
      <c r="X1040" s="50"/>
      <c r="Y1040" s="50"/>
      <c r="Z1040" s="50"/>
    </row>
    <row r="1041" spans="1:26">
      <c r="A1041" s="49">
        <v>1040</v>
      </c>
      <c r="B1041" s="51" t="s">
        <v>2002</v>
      </c>
      <c r="C1041" s="52" t="s">
        <v>45</v>
      </c>
      <c r="D1041" s="74" t="s">
        <v>2003</v>
      </c>
      <c r="E1041" s="74" t="s">
        <v>671</v>
      </c>
      <c r="F1041" s="49">
        <v>52.48</v>
      </c>
      <c r="G1041" s="49" t="s">
        <v>43</v>
      </c>
      <c r="H1041" s="50"/>
      <c r="I1041" s="50"/>
      <c r="J1041" s="50"/>
      <c r="K1041" s="50"/>
      <c r="L1041" s="50"/>
      <c r="M1041" s="50"/>
      <c r="N1041" s="50"/>
      <c r="O1041" s="50"/>
      <c r="P1041" s="50"/>
      <c r="Q1041" s="50"/>
      <c r="R1041" s="50"/>
      <c r="S1041" s="50"/>
      <c r="T1041" s="50"/>
      <c r="U1041" s="50"/>
      <c r="V1041" s="50"/>
      <c r="W1041" s="50"/>
      <c r="X1041" s="50"/>
      <c r="Y1041" s="50"/>
      <c r="Z1041" s="50"/>
    </row>
    <row r="1042" spans="1:26">
      <c r="A1042" s="49">
        <v>1041</v>
      </c>
      <c r="B1042" s="51" t="s">
        <v>2004</v>
      </c>
      <c r="C1042" s="52" t="s">
        <v>45</v>
      </c>
      <c r="D1042" s="74" t="s">
        <v>62</v>
      </c>
      <c r="E1042" s="74" t="s">
        <v>2005</v>
      </c>
      <c r="F1042" s="49">
        <v>48.43</v>
      </c>
      <c r="G1042" s="49" t="s">
        <v>43</v>
      </c>
      <c r="H1042" s="50"/>
      <c r="I1042" s="50"/>
      <c r="J1042" s="50"/>
      <c r="K1042" s="50"/>
      <c r="L1042" s="50"/>
      <c r="M1042" s="50"/>
      <c r="N1042" s="50"/>
      <c r="O1042" s="50"/>
      <c r="P1042" s="50"/>
      <c r="Q1042" s="50"/>
      <c r="R1042" s="50"/>
      <c r="S1042" s="50"/>
      <c r="T1042" s="50"/>
      <c r="U1042" s="50"/>
      <c r="V1042" s="50"/>
      <c r="W1042" s="50"/>
      <c r="X1042" s="50"/>
      <c r="Y1042" s="50"/>
      <c r="Z1042" s="50"/>
    </row>
    <row r="1043" spans="1:26">
      <c r="A1043" s="49">
        <v>1042</v>
      </c>
      <c r="B1043" s="51" t="s">
        <v>2006</v>
      </c>
      <c r="C1043" s="52" t="s">
        <v>40</v>
      </c>
      <c r="D1043" s="74" t="s">
        <v>1941</v>
      </c>
      <c r="E1043" s="74" t="s">
        <v>608</v>
      </c>
      <c r="F1043" s="49">
        <v>48.28</v>
      </c>
      <c r="G1043" s="49" t="s">
        <v>43</v>
      </c>
      <c r="H1043" s="50"/>
      <c r="I1043" s="50"/>
      <c r="J1043" s="50"/>
      <c r="K1043" s="50"/>
      <c r="L1043" s="50"/>
      <c r="M1043" s="50"/>
      <c r="N1043" s="50"/>
      <c r="O1043" s="50"/>
      <c r="P1043" s="50"/>
      <c r="Q1043" s="50"/>
      <c r="R1043" s="50"/>
      <c r="S1043" s="50"/>
      <c r="T1043" s="50"/>
      <c r="U1043" s="50"/>
      <c r="V1043" s="50"/>
      <c r="W1043" s="50"/>
      <c r="X1043" s="50"/>
      <c r="Y1043" s="50"/>
      <c r="Z1043" s="50"/>
    </row>
    <row r="1044" spans="1:26">
      <c r="A1044" s="49">
        <v>1043</v>
      </c>
      <c r="B1044" s="51" t="s">
        <v>2007</v>
      </c>
      <c r="C1044" s="52" t="s">
        <v>45</v>
      </c>
      <c r="D1044" s="74" t="s">
        <v>1941</v>
      </c>
      <c r="E1044" s="74" t="s">
        <v>671</v>
      </c>
      <c r="F1044" s="49">
        <v>64.739999999999995</v>
      </c>
      <c r="G1044" s="49" t="s">
        <v>43</v>
      </c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  <c r="S1044" s="50"/>
      <c r="T1044" s="50"/>
      <c r="U1044" s="50"/>
      <c r="V1044" s="50"/>
      <c r="W1044" s="50"/>
      <c r="X1044" s="50"/>
      <c r="Y1044" s="50"/>
      <c r="Z1044" s="50"/>
    </row>
    <row r="1045" spans="1:26">
      <c r="A1045" s="49">
        <v>1044</v>
      </c>
      <c r="B1045" s="51" t="s">
        <v>2008</v>
      </c>
      <c r="C1045" s="52" t="s">
        <v>52</v>
      </c>
      <c r="D1045" s="74" t="s">
        <v>1031</v>
      </c>
      <c r="E1045" s="74" t="s">
        <v>2009</v>
      </c>
      <c r="F1045" s="49">
        <v>32.229999999999997</v>
      </c>
      <c r="G1045" s="49" t="s">
        <v>43</v>
      </c>
      <c r="H1045" s="50"/>
      <c r="I1045" s="50"/>
      <c r="J1045" s="50"/>
      <c r="K1045" s="50"/>
      <c r="L1045" s="50"/>
      <c r="M1045" s="50"/>
      <c r="N1045" s="50"/>
      <c r="O1045" s="50"/>
      <c r="P1045" s="50"/>
      <c r="Q1045" s="50"/>
      <c r="R1045" s="50"/>
      <c r="S1045" s="50"/>
      <c r="T1045" s="50"/>
      <c r="U1045" s="50"/>
      <c r="V1045" s="50"/>
      <c r="W1045" s="50"/>
      <c r="X1045" s="50"/>
      <c r="Y1045" s="50"/>
      <c r="Z1045" s="50"/>
    </row>
    <row r="1046" spans="1:26">
      <c r="A1046" s="49">
        <v>1045</v>
      </c>
      <c r="B1046" s="51" t="s">
        <v>2010</v>
      </c>
      <c r="C1046" s="52" t="s">
        <v>45</v>
      </c>
      <c r="D1046" s="74"/>
      <c r="E1046" s="74" t="s">
        <v>432</v>
      </c>
      <c r="F1046" s="49">
        <v>67.75</v>
      </c>
      <c r="G1046" s="49" t="s">
        <v>459</v>
      </c>
      <c r="H1046" s="50"/>
      <c r="I1046" s="50"/>
      <c r="J1046" s="50"/>
      <c r="K1046" s="50"/>
      <c r="L1046" s="50"/>
      <c r="M1046" s="50"/>
      <c r="N1046" s="50"/>
      <c r="O1046" s="50"/>
      <c r="P1046" s="50"/>
      <c r="Q1046" s="50"/>
      <c r="R1046" s="50"/>
      <c r="S1046" s="50"/>
      <c r="T1046" s="50"/>
      <c r="U1046" s="50"/>
      <c r="V1046" s="50"/>
      <c r="W1046" s="50"/>
      <c r="X1046" s="50"/>
      <c r="Y1046" s="50"/>
      <c r="Z1046" s="50"/>
    </row>
    <row r="1047" spans="1:26">
      <c r="A1047" s="49">
        <v>1046</v>
      </c>
      <c r="B1047" s="51" t="s">
        <v>2011</v>
      </c>
      <c r="C1047" s="52" t="s">
        <v>40</v>
      </c>
      <c r="D1047" s="74" t="s">
        <v>1113</v>
      </c>
      <c r="E1047" s="74" t="s">
        <v>432</v>
      </c>
      <c r="F1047" s="49">
        <v>62.09</v>
      </c>
      <c r="G1047" s="49" t="s">
        <v>43</v>
      </c>
      <c r="H1047" s="50"/>
      <c r="I1047" s="50"/>
      <c r="J1047" s="50"/>
      <c r="K1047" s="50"/>
      <c r="L1047" s="50"/>
      <c r="M1047" s="50"/>
      <c r="N1047" s="50"/>
      <c r="O1047" s="50"/>
      <c r="P1047" s="50"/>
      <c r="Q1047" s="50"/>
      <c r="R1047" s="50"/>
      <c r="S1047" s="50"/>
      <c r="T1047" s="50"/>
      <c r="U1047" s="50"/>
      <c r="V1047" s="50"/>
      <c r="W1047" s="50"/>
      <c r="X1047" s="50"/>
      <c r="Y1047" s="50"/>
      <c r="Z1047" s="50"/>
    </row>
    <row r="1048" spans="1:26">
      <c r="A1048" s="49">
        <v>1047</v>
      </c>
      <c r="B1048" s="51" t="s">
        <v>2012</v>
      </c>
      <c r="C1048" s="52" t="s">
        <v>40</v>
      </c>
      <c r="D1048" s="74" t="s">
        <v>401</v>
      </c>
      <c r="E1048" s="74" t="s">
        <v>2013</v>
      </c>
      <c r="F1048" s="49">
        <v>67.959999999999994</v>
      </c>
      <c r="G1048" s="49" t="s">
        <v>43</v>
      </c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</row>
    <row r="1049" spans="1:26">
      <c r="A1049" s="49">
        <v>1048</v>
      </c>
      <c r="B1049" s="51" t="s">
        <v>2014</v>
      </c>
      <c r="C1049" s="52" t="s">
        <v>45</v>
      </c>
      <c r="D1049" s="74" t="s">
        <v>2015</v>
      </c>
      <c r="E1049" s="74" t="s">
        <v>2016</v>
      </c>
      <c r="F1049" s="49">
        <v>54.21</v>
      </c>
      <c r="G1049" s="49" t="s">
        <v>43</v>
      </c>
      <c r="H1049" s="50"/>
      <c r="I1049" s="50"/>
      <c r="J1049" s="50"/>
      <c r="K1049" s="50"/>
      <c r="L1049" s="50"/>
      <c r="M1049" s="50"/>
      <c r="N1049" s="50"/>
      <c r="O1049" s="50"/>
      <c r="P1049" s="50"/>
      <c r="Q1049" s="50"/>
      <c r="R1049" s="50"/>
      <c r="S1049" s="50"/>
      <c r="T1049" s="50"/>
      <c r="U1049" s="50"/>
      <c r="V1049" s="50"/>
      <c r="W1049" s="50"/>
      <c r="X1049" s="50"/>
      <c r="Y1049" s="50"/>
      <c r="Z1049" s="50"/>
    </row>
    <row r="1050" spans="1:26">
      <c r="A1050" s="49">
        <v>1049</v>
      </c>
      <c r="B1050" s="51" t="s">
        <v>2017</v>
      </c>
      <c r="C1050" s="52" t="s">
        <v>45</v>
      </c>
      <c r="D1050" s="74" t="s">
        <v>214</v>
      </c>
      <c r="E1050" s="74" t="s">
        <v>432</v>
      </c>
      <c r="F1050" s="49">
        <v>43.83</v>
      </c>
      <c r="G1050" s="49" t="s">
        <v>43</v>
      </c>
      <c r="H1050" s="50"/>
      <c r="I1050" s="50"/>
      <c r="J1050" s="50"/>
      <c r="K1050" s="50"/>
      <c r="L1050" s="50"/>
      <c r="M1050" s="50"/>
      <c r="N1050" s="50"/>
      <c r="O1050" s="50"/>
      <c r="P1050" s="50"/>
      <c r="Q1050" s="50"/>
      <c r="R1050" s="50"/>
      <c r="S1050" s="50"/>
      <c r="T1050" s="50"/>
      <c r="U1050" s="50"/>
      <c r="V1050" s="50"/>
      <c r="W1050" s="50"/>
      <c r="X1050" s="50"/>
      <c r="Y1050" s="50"/>
      <c r="Z1050" s="50"/>
    </row>
    <row r="1051" spans="1:26">
      <c r="A1051" s="49">
        <v>1050</v>
      </c>
      <c r="B1051" s="51" t="s">
        <v>2018</v>
      </c>
      <c r="C1051" s="52" t="s">
        <v>40</v>
      </c>
      <c r="D1051" s="74"/>
      <c r="E1051" s="74" t="s">
        <v>432</v>
      </c>
      <c r="F1051" s="49">
        <v>71.64</v>
      </c>
      <c r="G1051" s="49" t="s">
        <v>459</v>
      </c>
      <c r="H1051" s="50"/>
      <c r="I1051" s="50"/>
      <c r="J1051" s="50"/>
      <c r="K1051" s="50"/>
      <c r="L1051" s="50"/>
      <c r="M1051" s="50"/>
      <c r="N1051" s="50"/>
      <c r="O1051" s="50"/>
      <c r="P1051" s="50"/>
      <c r="Q1051" s="50"/>
      <c r="R1051" s="50"/>
      <c r="S1051" s="50"/>
      <c r="T1051" s="50"/>
      <c r="U1051" s="50"/>
      <c r="V1051" s="50"/>
      <c r="W1051" s="50"/>
      <c r="X1051" s="50"/>
      <c r="Y1051" s="50"/>
      <c r="Z1051" s="50"/>
    </row>
    <row r="1052" spans="1:26">
      <c r="A1052" s="49">
        <v>1051</v>
      </c>
      <c r="B1052" s="51" t="s">
        <v>2019</v>
      </c>
      <c r="C1052" s="52" t="s">
        <v>40</v>
      </c>
      <c r="D1052" s="74" t="s">
        <v>123</v>
      </c>
      <c r="E1052" s="74" t="s">
        <v>2020</v>
      </c>
      <c r="F1052" s="49">
        <v>70.58</v>
      </c>
      <c r="G1052" s="49" t="s">
        <v>43</v>
      </c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50"/>
      <c r="T1052" s="50"/>
      <c r="U1052" s="50"/>
      <c r="V1052" s="50"/>
      <c r="W1052" s="50"/>
      <c r="X1052" s="50"/>
      <c r="Y1052" s="50"/>
      <c r="Z1052" s="50"/>
    </row>
    <row r="1053" spans="1:26">
      <c r="A1053" s="49">
        <v>1052</v>
      </c>
      <c r="B1053" s="51" t="s">
        <v>2021</v>
      </c>
      <c r="C1053" s="52" t="s">
        <v>45</v>
      </c>
      <c r="D1053" s="74" t="s">
        <v>2003</v>
      </c>
      <c r="E1053" s="74" t="s">
        <v>1927</v>
      </c>
      <c r="F1053" s="49">
        <v>55.01</v>
      </c>
      <c r="G1053" s="49" t="s">
        <v>43</v>
      </c>
      <c r="H1053" s="50"/>
      <c r="I1053" s="50"/>
      <c r="J1053" s="50"/>
      <c r="K1053" s="50"/>
      <c r="L1053" s="50"/>
      <c r="M1053" s="50"/>
      <c r="N1053" s="50"/>
      <c r="O1053" s="50"/>
      <c r="P1053" s="50"/>
      <c r="Q1053" s="50"/>
      <c r="R1053" s="50"/>
      <c r="S1053" s="50"/>
      <c r="T1053" s="50"/>
      <c r="U1053" s="50"/>
      <c r="V1053" s="50"/>
      <c r="W1053" s="50"/>
      <c r="X1053" s="50"/>
      <c r="Y1053" s="50"/>
      <c r="Z1053" s="50"/>
    </row>
    <row r="1054" spans="1:26">
      <c r="A1054" s="49">
        <v>1053</v>
      </c>
      <c r="B1054" s="51" t="s">
        <v>2022</v>
      </c>
      <c r="C1054" s="52" t="s">
        <v>45</v>
      </c>
      <c r="D1054" s="74" t="s">
        <v>158</v>
      </c>
      <c r="E1054" s="74" t="s">
        <v>2023</v>
      </c>
      <c r="F1054" s="49">
        <v>48.42</v>
      </c>
      <c r="G1054" s="49" t="s">
        <v>43</v>
      </c>
      <c r="H1054" s="50"/>
      <c r="I1054" s="50"/>
      <c r="J1054" s="50"/>
      <c r="K1054" s="50"/>
      <c r="L1054" s="50"/>
      <c r="M1054" s="50"/>
      <c r="N1054" s="50"/>
      <c r="O1054" s="50"/>
      <c r="P1054" s="50"/>
      <c r="Q1054" s="50"/>
      <c r="R1054" s="50"/>
      <c r="S1054" s="50"/>
      <c r="T1054" s="50"/>
      <c r="U1054" s="50"/>
      <c r="V1054" s="50"/>
      <c r="W1054" s="50"/>
      <c r="X1054" s="50"/>
      <c r="Y1054" s="50"/>
      <c r="Z1054" s="50"/>
    </row>
    <row r="1055" spans="1:26">
      <c r="A1055" s="49">
        <v>1054</v>
      </c>
      <c r="B1055" s="51" t="s">
        <v>2024</v>
      </c>
      <c r="C1055" s="52" t="s">
        <v>45</v>
      </c>
      <c r="D1055" s="74" t="s">
        <v>2025</v>
      </c>
      <c r="E1055" s="74" t="s">
        <v>1231</v>
      </c>
      <c r="F1055" s="49">
        <v>42.21</v>
      </c>
      <c r="G1055" s="49" t="s">
        <v>43</v>
      </c>
      <c r="H1055" s="50"/>
      <c r="I1055" s="50"/>
      <c r="J1055" s="50"/>
      <c r="K1055" s="50"/>
      <c r="L1055" s="50"/>
      <c r="M1055" s="50"/>
      <c r="N1055" s="50"/>
      <c r="O1055" s="50"/>
      <c r="P1055" s="50"/>
      <c r="Q1055" s="50"/>
      <c r="R1055" s="50"/>
      <c r="S1055" s="50"/>
      <c r="T1055" s="50"/>
      <c r="U1055" s="50"/>
      <c r="V1055" s="50"/>
      <c r="W1055" s="50"/>
      <c r="X1055" s="50"/>
      <c r="Y1055" s="50"/>
      <c r="Z1055" s="50"/>
    </row>
    <row r="1056" spans="1:26">
      <c r="A1056" s="49">
        <v>1055</v>
      </c>
      <c r="B1056" s="51" t="s">
        <v>2026</v>
      </c>
      <c r="C1056" s="52" t="s">
        <v>45</v>
      </c>
      <c r="D1056" s="74" t="s">
        <v>770</v>
      </c>
      <c r="E1056" s="74" t="s">
        <v>417</v>
      </c>
      <c r="F1056" s="49">
        <v>56.93</v>
      </c>
      <c r="G1056" s="49" t="s">
        <v>43</v>
      </c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  <c r="S1056" s="50"/>
      <c r="T1056" s="50"/>
      <c r="U1056" s="50"/>
      <c r="V1056" s="50"/>
      <c r="W1056" s="50"/>
      <c r="X1056" s="50"/>
      <c r="Y1056" s="50"/>
      <c r="Z1056" s="50"/>
    </row>
    <row r="1057" spans="1:26">
      <c r="A1057" s="49">
        <v>1056</v>
      </c>
      <c r="B1057" s="51" t="s">
        <v>2027</v>
      </c>
      <c r="C1057" s="52" t="s">
        <v>40</v>
      </c>
      <c r="D1057" s="74" t="s">
        <v>62</v>
      </c>
      <c r="E1057" s="74" t="s">
        <v>20</v>
      </c>
      <c r="F1057" s="49">
        <v>49.46</v>
      </c>
      <c r="G1057" s="49" t="s">
        <v>43</v>
      </c>
      <c r="H1057" s="50"/>
      <c r="I1057" s="50"/>
      <c r="J1057" s="50"/>
      <c r="K1057" s="50"/>
      <c r="L1057" s="50"/>
      <c r="M1057" s="50"/>
      <c r="N1057" s="50"/>
      <c r="O1057" s="50"/>
      <c r="P1057" s="50"/>
      <c r="Q1057" s="50"/>
      <c r="R1057" s="50"/>
      <c r="S1057" s="50"/>
      <c r="T1057" s="50"/>
      <c r="U1057" s="50"/>
      <c r="V1057" s="50"/>
      <c r="W1057" s="50"/>
      <c r="X1057" s="50"/>
      <c r="Y1057" s="50"/>
      <c r="Z1057" s="50"/>
    </row>
    <row r="1058" spans="1:26">
      <c r="A1058" s="49">
        <v>1057</v>
      </c>
      <c r="B1058" s="51" t="s">
        <v>2028</v>
      </c>
      <c r="C1058" s="52" t="s">
        <v>45</v>
      </c>
      <c r="D1058" s="74" t="s">
        <v>2029</v>
      </c>
      <c r="E1058" s="74" t="s">
        <v>2030</v>
      </c>
      <c r="F1058" s="49">
        <v>58.06</v>
      </c>
      <c r="G1058" s="49" t="s">
        <v>43</v>
      </c>
      <c r="H1058" s="50"/>
      <c r="I1058" s="50"/>
      <c r="J1058" s="50"/>
      <c r="K1058" s="50"/>
      <c r="L1058" s="50"/>
      <c r="M1058" s="50"/>
      <c r="N1058" s="50"/>
      <c r="O1058" s="50"/>
      <c r="P1058" s="50"/>
      <c r="Q1058" s="50"/>
      <c r="R1058" s="50"/>
      <c r="S1058" s="50"/>
      <c r="T1058" s="50"/>
      <c r="U1058" s="50"/>
      <c r="V1058" s="50"/>
      <c r="W1058" s="50"/>
      <c r="X1058" s="50"/>
      <c r="Y1058" s="50"/>
      <c r="Z1058" s="50"/>
    </row>
    <row r="1059" spans="1:26">
      <c r="A1059" s="49">
        <v>1058</v>
      </c>
      <c r="B1059" s="51" t="s">
        <v>2031</v>
      </c>
      <c r="C1059" s="52" t="s">
        <v>45</v>
      </c>
      <c r="D1059" s="74" t="s">
        <v>1361</v>
      </c>
      <c r="E1059" s="74" t="s">
        <v>1543</v>
      </c>
      <c r="F1059" s="49">
        <v>41.51</v>
      </c>
      <c r="G1059" s="49" t="s">
        <v>43</v>
      </c>
      <c r="H1059" s="50"/>
      <c r="I1059" s="50"/>
      <c r="J1059" s="50"/>
      <c r="K1059" s="50"/>
      <c r="L1059" s="50"/>
      <c r="M1059" s="50"/>
      <c r="N1059" s="50"/>
      <c r="O1059" s="50"/>
      <c r="P1059" s="50"/>
      <c r="Q1059" s="50"/>
      <c r="R1059" s="50"/>
      <c r="S1059" s="50"/>
      <c r="T1059" s="50"/>
      <c r="U1059" s="50"/>
      <c r="V1059" s="50"/>
      <c r="W1059" s="50"/>
      <c r="X1059" s="50"/>
      <c r="Y1059" s="50"/>
      <c r="Z1059" s="50"/>
    </row>
    <row r="1060" spans="1:26">
      <c r="A1060" s="49">
        <v>1059</v>
      </c>
      <c r="B1060" s="51" t="s">
        <v>2032</v>
      </c>
      <c r="C1060" s="52" t="s">
        <v>45</v>
      </c>
      <c r="D1060" s="74" t="s">
        <v>790</v>
      </c>
      <c r="E1060" s="74" t="s">
        <v>20</v>
      </c>
      <c r="F1060" s="49">
        <v>45.03</v>
      </c>
      <c r="G1060" s="49" t="s">
        <v>43</v>
      </c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  <c r="S1060" s="50"/>
      <c r="T1060" s="50"/>
      <c r="U1060" s="50"/>
      <c r="V1060" s="50"/>
      <c r="W1060" s="50"/>
      <c r="X1060" s="50"/>
      <c r="Y1060" s="50"/>
      <c r="Z1060" s="50"/>
    </row>
    <row r="1061" spans="1:26">
      <c r="A1061" s="49">
        <v>1060</v>
      </c>
      <c r="B1061" s="51" t="s">
        <v>2033</v>
      </c>
      <c r="C1061" s="52" t="s">
        <v>45</v>
      </c>
      <c r="D1061" s="74" t="s">
        <v>670</v>
      </c>
      <c r="E1061" s="74" t="s">
        <v>2034</v>
      </c>
      <c r="F1061" s="49">
        <v>54.52</v>
      </c>
      <c r="G1061" s="49" t="s">
        <v>43</v>
      </c>
      <c r="H1061" s="50"/>
      <c r="I1061" s="50"/>
      <c r="J1061" s="50"/>
      <c r="K1061" s="50"/>
      <c r="L1061" s="50"/>
      <c r="M1061" s="50"/>
      <c r="N1061" s="50"/>
      <c r="O1061" s="50"/>
      <c r="P1061" s="50"/>
      <c r="Q1061" s="50"/>
      <c r="R1061" s="50"/>
      <c r="S1061" s="50"/>
      <c r="T1061" s="50"/>
      <c r="U1061" s="50"/>
      <c r="V1061" s="50"/>
      <c r="W1061" s="50"/>
      <c r="X1061" s="50"/>
      <c r="Y1061" s="50"/>
      <c r="Z1061" s="50"/>
    </row>
    <row r="1062" spans="1:26">
      <c r="A1062" s="49">
        <v>1061</v>
      </c>
      <c r="B1062" s="51" t="s">
        <v>2035</v>
      </c>
      <c r="C1062" s="52" t="s">
        <v>45</v>
      </c>
      <c r="D1062" s="74" t="s">
        <v>1190</v>
      </c>
      <c r="E1062" s="74"/>
      <c r="F1062" s="49">
        <v>64.97</v>
      </c>
      <c r="G1062" s="49" t="s">
        <v>43</v>
      </c>
      <c r="H1062" s="50"/>
      <c r="I1062" s="50"/>
      <c r="J1062" s="50"/>
      <c r="K1062" s="50"/>
      <c r="L1062" s="50"/>
      <c r="M1062" s="50"/>
      <c r="N1062" s="50"/>
      <c r="O1062" s="50"/>
      <c r="P1062" s="50"/>
      <c r="Q1062" s="50"/>
      <c r="R1062" s="50"/>
      <c r="S1062" s="50"/>
      <c r="T1062" s="50"/>
      <c r="U1062" s="50"/>
      <c r="V1062" s="50"/>
      <c r="W1062" s="50"/>
      <c r="X1062" s="50"/>
      <c r="Y1062" s="50"/>
      <c r="Z1062" s="50"/>
    </row>
    <row r="1063" spans="1:26">
      <c r="A1063" s="49">
        <v>1062</v>
      </c>
      <c r="B1063" s="51" t="s">
        <v>2036</v>
      </c>
      <c r="C1063" s="52" t="s">
        <v>45</v>
      </c>
      <c r="D1063" s="74" t="s">
        <v>59</v>
      </c>
      <c r="E1063" s="74" t="s">
        <v>957</v>
      </c>
      <c r="F1063" s="49">
        <v>56.44</v>
      </c>
      <c r="G1063" s="49" t="s">
        <v>43</v>
      </c>
      <c r="H1063" s="50"/>
      <c r="I1063" s="50"/>
      <c r="J1063" s="50"/>
      <c r="K1063" s="50"/>
      <c r="L1063" s="50"/>
      <c r="M1063" s="50"/>
      <c r="N1063" s="50"/>
      <c r="O1063" s="50"/>
      <c r="P1063" s="50"/>
      <c r="Q1063" s="50"/>
      <c r="R1063" s="50"/>
      <c r="S1063" s="50"/>
      <c r="T1063" s="50"/>
      <c r="U1063" s="50"/>
      <c r="V1063" s="50"/>
      <c r="W1063" s="50"/>
      <c r="X1063" s="50"/>
      <c r="Y1063" s="50"/>
      <c r="Z1063" s="50"/>
    </row>
    <row r="1064" spans="1:26">
      <c r="A1064" s="49">
        <v>1063</v>
      </c>
      <c r="B1064" s="51" t="s">
        <v>2037</v>
      </c>
      <c r="C1064" s="52" t="s">
        <v>52</v>
      </c>
      <c r="D1064" s="74" t="s">
        <v>401</v>
      </c>
      <c r="E1064" s="74" t="s">
        <v>2038</v>
      </c>
      <c r="F1064" s="49">
        <v>70.59</v>
      </c>
      <c r="G1064" s="49" t="s">
        <v>43</v>
      </c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  <c r="S1064" s="50"/>
      <c r="T1064" s="50"/>
      <c r="U1064" s="50"/>
      <c r="V1064" s="50"/>
      <c r="W1064" s="50"/>
      <c r="X1064" s="50"/>
      <c r="Y1064" s="50"/>
      <c r="Z1064" s="50"/>
    </row>
    <row r="1065" spans="1:26">
      <c r="A1065" s="49">
        <v>1064</v>
      </c>
      <c r="B1065" s="51" t="s">
        <v>2039</v>
      </c>
      <c r="C1065" s="52" t="s">
        <v>40</v>
      </c>
      <c r="D1065" s="74" t="s">
        <v>128</v>
      </c>
      <c r="E1065" s="74" t="s">
        <v>1356</v>
      </c>
      <c r="F1065" s="49">
        <v>67.099999999999994</v>
      </c>
      <c r="G1065" s="49" t="s">
        <v>43</v>
      </c>
      <c r="H1065" s="50"/>
      <c r="I1065" s="50"/>
      <c r="J1065" s="50"/>
      <c r="K1065" s="50"/>
      <c r="L1065" s="50"/>
      <c r="M1065" s="50"/>
      <c r="N1065" s="50"/>
      <c r="O1065" s="50"/>
      <c r="P1065" s="50"/>
      <c r="Q1065" s="50"/>
      <c r="R1065" s="50"/>
      <c r="S1065" s="50"/>
      <c r="T1065" s="50"/>
      <c r="U1065" s="50"/>
      <c r="V1065" s="50"/>
      <c r="W1065" s="50"/>
      <c r="X1065" s="50"/>
      <c r="Y1065" s="50"/>
      <c r="Z1065" s="50"/>
    </row>
    <row r="1066" spans="1:26">
      <c r="A1066" s="49">
        <v>1065</v>
      </c>
      <c r="B1066" s="51" t="s">
        <v>2040</v>
      </c>
      <c r="C1066" s="52" t="s">
        <v>40</v>
      </c>
      <c r="D1066" s="74" t="s">
        <v>1978</v>
      </c>
      <c r="E1066" s="74" t="s">
        <v>432</v>
      </c>
      <c r="F1066" s="49">
        <v>59.79</v>
      </c>
      <c r="G1066" s="49" t="s">
        <v>43</v>
      </c>
      <c r="H1066" s="50"/>
      <c r="I1066" s="50"/>
      <c r="J1066" s="50"/>
      <c r="K1066" s="50"/>
      <c r="L1066" s="50"/>
      <c r="M1066" s="50"/>
      <c r="N1066" s="50"/>
      <c r="O1066" s="50"/>
      <c r="P1066" s="50"/>
      <c r="Q1066" s="50"/>
      <c r="R1066" s="50"/>
      <c r="S1066" s="50"/>
      <c r="T1066" s="50"/>
      <c r="U1066" s="50"/>
      <c r="V1066" s="50"/>
      <c r="W1066" s="50"/>
      <c r="X1066" s="50"/>
      <c r="Y1066" s="50"/>
      <c r="Z1066" s="50"/>
    </row>
    <row r="1067" spans="1:26">
      <c r="A1067" s="49">
        <v>1066</v>
      </c>
      <c r="B1067" s="51" t="s">
        <v>2041</v>
      </c>
      <c r="C1067" s="52" t="s">
        <v>45</v>
      </c>
      <c r="D1067" s="74" t="s">
        <v>376</v>
      </c>
      <c r="E1067" s="74" t="s">
        <v>355</v>
      </c>
      <c r="F1067" s="49">
        <v>54.35</v>
      </c>
      <c r="G1067" s="49" t="s">
        <v>43</v>
      </c>
      <c r="H1067" s="50"/>
      <c r="I1067" s="50"/>
      <c r="J1067" s="50"/>
      <c r="K1067" s="50"/>
      <c r="L1067" s="50"/>
      <c r="M1067" s="50"/>
      <c r="N1067" s="50"/>
      <c r="O1067" s="50"/>
      <c r="P1067" s="50"/>
      <c r="Q1067" s="50"/>
      <c r="R1067" s="50"/>
      <c r="S1067" s="50"/>
      <c r="T1067" s="50"/>
      <c r="U1067" s="50"/>
      <c r="V1067" s="50"/>
      <c r="W1067" s="50"/>
      <c r="X1067" s="50"/>
      <c r="Y1067" s="50"/>
      <c r="Z1067" s="50"/>
    </row>
    <row r="1068" spans="1:26">
      <c r="A1068" s="49">
        <v>1067</v>
      </c>
      <c r="B1068" s="51" t="s">
        <v>2042</v>
      </c>
      <c r="C1068" s="52" t="s">
        <v>52</v>
      </c>
      <c r="D1068" s="74" t="s">
        <v>815</v>
      </c>
      <c r="E1068" s="74" t="s">
        <v>432</v>
      </c>
      <c r="F1068" s="49">
        <v>38.99</v>
      </c>
      <c r="G1068" s="49" t="s">
        <v>43</v>
      </c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  <c r="S1068" s="50"/>
      <c r="T1068" s="50"/>
      <c r="U1068" s="50"/>
      <c r="V1068" s="50"/>
      <c r="W1068" s="50"/>
      <c r="X1068" s="50"/>
      <c r="Y1068" s="50"/>
      <c r="Z1068" s="50"/>
    </row>
    <row r="1069" spans="1:26">
      <c r="A1069" s="49">
        <v>1068</v>
      </c>
      <c r="B1069" s="51" t="s">
        <v>2043</v>
      </c>
      <c r="C1069" s="52" t="s">
        <v>40</v>
      </c>
      <c r="D1069" s="74"/>
      <c r="E1069" s="74" t="s">
        <v>432</v>
      </c>
      <c r="F1069" s="49">
        <v>83.39</v>
      </c>
      <c r="G1069" s="49" t="s">
        <v>459</v>
      </c>
      <c r="H1069" s="50"/>
      <c r="I1069" s="50"/>
      <c r="J1069" s="50"/>
      <c r="K1069" s="50"/>
      <c r="L1069" s="50"/>
      <c r="M1069" s="50"/>
      <c r="N1069" s="50"/>
      <c r="O1069" s="50"/>
      <c r="P1069" s="50"/>
      <c r="Q1069" s="50"/>
      <c r="R1069" s="50"/>
      <c r="S1069" s="50"/>
      <c r="T1069" s="50"/>
      <c r="U1069" s="50"/>
      <c r="V1069" s="50"/>
      <c r="W1069" s="50"/>
      <c r="X1069" s="50"/>
      <c r="Y1069" s="50"/>
      <c r="Z1069" s="50"/>
    </row>
    <row r="1070" spans="1:26">
      <c r="A1070" s="49">
        <v>1069</v>
      </c>
      <c r="B1070" s="51" t="s">
        <v>2044</v>
      </c>
      <c r="C1070" s="52" t="s">
        <v>40</v>
      </c>
      <c r="D1070" s="74"/>
      <c r="E1070" s="74" t="s">
        <v>432</v>
      </c>
      <c r="F1070" s="49">
        <v>83.05</v>
      </c>
      <c r="G1070" s="49" t="s">
        <v>459</v>
      </c>
      <c r="H1070" s="50"/>
      <c r="I1070" s="50"/>
      <c r="J1070" s="50"/>
      <c r="K1070" s="50"/>
      <c r="L1070" s="50"/>
      <c r="M1070" s="50"/>
      <c r="N1070" s="50"/>
      <c r="O1070" s="50"/>
      <c r="P1070" s="50"/>
      <c r="Q1070" s="50"/>
      <c r="R1070" s="50"/>
      <c r="S1070" s="50"/>
      <c r="T1070" s="50"/>
      <c r="U1070" s="50"/>
      <c r="V1070" s="50"/>
      <c r="W1070" s="50"/>
      <c r="X1070" s="50"/>
      <c r="Y1070" s="50"/>
      <c r="Z1070" s="50"/>
    </row>
    <row r="1071" spans="1:26">
      <c r="A1071" s="49">
        <v>1070</v>
      </c>
      <c r="B1071" s="51" t="s">
        <v>2045</v>
      </c>
      <c r="C1071" s="52" t="s">
        <v>45</v>
      </c>
      <c r="D1071" s="74"/>
      <c r="E1071" s="74" t="s">
        <v>432</v>
      </c>
      <c r="F1071" s="49">
        <v>48.54</v>
      </c>
      <c r="G1071" s="49" t="s">
        <v>459</v>
      </c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50"/>
      <c r="T1071" s="50"/>
      <c r="U1071" s="50"/>
      <c r="V1071" s="50"/>
      <c r="W1071" s="50"/>
      <c r="X1071" s="50"/>
      <c r="Y1071" s="50"/>
      <c r="Z1071" s="50"/>
    </row>
    <row r="1072" spans="1:26">
      <c r="A1072" s="49">
        <v>1071</v>
      </c>
      <c r="B1072" s="51" t="s">
        <v>2046</v>
      </c>
      <c r="C1072" s="52" t="s">
        <v>40</v>
      </c>
      <c r="D1072" s="74" t="s">
        <v>59</v>
      </c>
      <c r="E1072" s="74" t="s">
        <v>2047</v>
      </c>
      <c r="F1072" s="49">
        <v>53.28</v>
      </c>
      <c r="G1072" s="49" t="s">
        <v>43</v>
      </c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  <c r="S1072" s="50"/>
      <c r="T1072" s="50"/>
      <c r="U1072" s="50"/>
      <c r="V1072" s="50"/>
      <c r="W1072" s="50"/>
      <c r="X1072" s="50"/>
      <c r="Y1072" s="50"/>
      <c r="Z1072" s="50"/>
    </row>
    <row r="1073" spans="1:26">
      <c r="A1073" s="49">
        <v>1072</v>
      </c>
      <c r="B1073" s="51" t="s">
        <v>2048</v>
      </c>
      <c r="C1073" s="52" t="s">
        <v>45</v>
      </c>
      <c r="D1073" s="74" t="s">
        <v>135</v>
      </c>
      <c r="E1073" s="74"/>
      <c r="F1073" s="49">
        <v>60.79</v>
      </c>
      <c r="G1073" s="49" t="s">
        <v>43</v>
      </c>
      <c r="H1073" s="50"/>
      <c r="I1073" s="50"/>
      <c r="J1073" s="50"/>
      <c r="K1073" s="50"/>
      <c r="L1073" s="50"/>
      <c r="M1073" s="50"/>
      <c r="N1073" s="50"/>
      <c r="O1073" s="50"/>
      <c r="P1073" s="50"/>
      <c r="Q1073" s="50"/>
      <c r="R1073" s="50"/>
      <c r="S1073" s="50"/>
      <c r="T1073" s="50"/>
      <c r="U1073" s="50"/>
      <c r="V1073" s="50"/>
      <c r="W1073" s="50"/>
      <c r="X1073" s="50"/>
      <c r="Y1073" s="50"/>
      <c r="Z1073" s="50"/>
    </row>
    <row r="1074" spans="1:26">
      <c r="A1074" s="49">
        <v>1073</v>
      </c>
      <c r="B1074" s="51" t="s">
        <v>2049</v>
      </c>
      <c r="C1074" s="52" t="s">
        <v>45</v>
      </c>
      <c r="D1074" s="74" t="s">
        <v>62</v>
      </c>
      <c r="E1074" s="74" t="s">
        <v>2050</v>
      </c>
      <c r="F1074" s="49">
        <v>33.729999999999997</v>
      </c>
      <c r="G1074" s="49" t="s">
        <v>43</v>
      </c>
      <c r="H1074" s="50"/>
      <c r="I1074" s="50"/>
      <c r="J1074" s="50"/>
      <c r="K1074" s="50"/>
      <c r="L1074" s="50"/>
      <c r="M1074" s="50"/>
      <c r="N1074" s="50"/>
      <c r="O1074" s="50"/>
      <c r="P1074" s="50"/>
      <c r="Q1074" s="50"/>
      <c r="R1074" s="50"/>
      <c r="S1074" s="50"/>
      <c r="T1074" s="50"/>
      <c r="U1074" s="50"/>
      <c r="V1074" s="50"/>
      <c r="W1074" s="50"/>
      <c r="X1074" s="50"/>
      <c r="Y1074" s="50"/>
      <c r="Z1074" s="50"/>
    </row>
    <row r="1075" spans="1:26">
      <c r="A1075" s="49">
        <v>1074</v>
      </c>
      <c r="B1075" s="51" t="s">
        <v>2051</v>
      </c>
      <c r="C1075" s="52" t="s">
        <v>52</v>
      </c>
      <c r="D1075" s="74" t="s">
        <v>1904</v>
      </c>
      <c r="E1075" s="74" t="s">
        <v>355</v>
      </c>
      <c r="F1075" s="49">
        <v>59.37</v>
      </c>
      <c r="G1075" s="49" t="s">
        <v>43</v>
      </c>
      <c r="H1075" s="50"/>
      <c r="I1075" s="50"/>
      <c r="J1075" s="50"/>
      <c r="K1075" s="50"/>
      <c r="L1075" s="50"/>
      <c r="M1075" s="50"/>
      <c r="N1075" s="50"/>
      <c r="O1075" s="50"/>
      <c r="P1075" s="50"/>
      <c r="Q1075" s="50"/>
      <c r="R1075" s="50"/>
      <c r="S1075" s="50"/>
      <c r="T1075" s="50"/>
      <c r="U1075" s="50"/>
      <c r="V1075" s="50"/>
      <c r="W1075" s="50"/>
      <c r="X1075" s="50"/>
      <c r="Y1075" s="50"/>
      <c r="Z1075" s="50"/>
    </row>
    <row r="1076" spans="1:26">
      <c r="A1076" s="49">
        <v>1075</v>
      </c>
      <c r="B1076" s="51" t="s">
        <v>2052</v>
      </c>
      <c r="C1076" s="52" t="s">
        <v>40</v>
      </c>
      <c r="D1076" s="74"/>
      <c r="E1076" s="74" t="s">
        <v>671</v>
      </c>
      <c r="F1076" s="49">
        <v>64.47</v>
      </c>
      <c r="G1076" s="49" t="s">
        <v>459</v>
      </c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  <c r="S1076" s="50"/>
      <c r="T1076" s="50"/>
      <c r="U1076" s="50"/>
      <c r="V1076" s="50"/>
      <c r="W1076" s="50"/>
      <c r="X1076" s="50"/>
      <c r="Y1076" s="50"/>
      <c r="Z1076" s="50"/>
    </row>
    <row r="1077" spans="1:26">
      <c r="A1077" s="49">
        <v>1076</v>
      </c>
      <c r="B1077" s="51" t="s">
        <v>2053</v>
      </c>
      <c r="C1077" s="52" t="s">
        <v>40</v>
      </c>
      <c r="D1077" s="74"/>
      <c r="E1077" s="74" t="s">
        <v>671</v>
      </c>
      <c r="F1077" s="49">
        <v>53.36</v>
      </c>
      <c r="G1077" s="49" t="s">
        <v>459</v>
      </c>
      <c r="H1077" s="50"/>
      <c r="I1077" s="50"/>
      <c r="J1077" s="50"/>
      <c r="K1077" s="50"/>
      <c r="L1077" s="50"/>
      <c r="M1077" s="50"/>
      <c r="N1077" s="50"/>
      <c r="O1077" s="50"/>
      <c r="P1077" s="50"/>
      <c r="Q1077" s="50"/>
      <c r="R1077" s="50"/>
      <c r="S1077" s="50"/>
      <c r="T1077" s="50"/>
      <c r="U1077" s="50"/>
      <c r="V1077" s="50"/>
      <c r="W1077" s="50"/>
      <c r="X1077" s="50"/>
      <c r="Y1077" s="50"/>
      <c r="Z1077" s="50"/>
    </row>
    <row r="1078" spans="1:26">
      <c r="A1078" s="49">
        <v>1077</v>
      </c>
      <c r="B1078" s="51" t="s">
        <v>2054</v>
      </c>
      <c r="C1078" s="52" t="s">
        <v>45</v>
      </c>
      <c r="D1078" s="74"/>
      <c r="E1078" s="74" t="s">
        <v>671</v>
      </c>
      <c r="F1078" s="49">
        <v>74.709999999999994</v>
      </c>
      <c r="G1078" s="49" t="s">
        <v>459</v>
      </c>
      <c r="H1078" s="50"/>
      <c r="I1078" s="50"/>
      <c r="J1078" s="50"/>
      <c r="K1078" s="50"/>
      <c r="L1078" s="50"/>
      <c r="M1078" s="50"/>
      <c r="N1078" s="50"/>
      <c r="O1078" s="50"/>
      <c r="P1078" s="50"/>
      <c r="Q1078" s="50"/>
      <c r="R1078" s="50"/>
      <c r="S1078" s="50"/>
      <c r="T1078" s="50"/>
      <c r="U1078" s="50"/>
      <c r="V1078" s="50"/>
      <c r="W1078" s="50"/>
      <c r="X1078" s="50"/>
      <c r="Y1078" s="50"/>
      <c r="Z1078" s="50"/>
    </row>
    <row r="1079" spans="1:26">
      <c r="A1079" s="49">
        <v>1078</v>
      </c>
      <c r="B1079" s="51" t="s">
        <v>2055</v>
      </c>
      <c r="C1079" s="52" t="s">
        <v>40</v>
      </c>
      <c r="D1079" s="74" t="s">
        <v>135</v>
      </c>
      <c r="E1079" s="74" t="s">
        <v>20</v>
      </c>
      <c r="F1079" s="49">
        <v>64.42</v>
      </c>
      <c r="G1079" s="49" t="s">
        <v>43</v>
      </c>
      <c r="H1079" s="50"/>
      <c r="I1079" s="50"/>
      <c r="J1079" s="50"/>
      <c r="K1079" s="50"/>
      <c r="L1079" s="50"/>
      <c r="M1079" s="50"/>
      <c r="N1079" s="50"/>
      <c r="O1079" s="50"/>
      <c r="P1079" s="50"/>
      <c r="Q1079" s="50"/>
      <c r="R1079" s="50"/>
      <c r="S1079" s="50"/>
      <c r="T1079" s="50"/>
      <c r="U1079" s="50"/>
      <c r="V1079" s="50"/>
      <c r="W1079" s="50"/>
      <c r="X1079" s="50"/>
      <c r="Y1079" s="50"/>
      <c r="Z1079" s="50"/>
    </row>
    <row r="1080" spans="1:26">
      <c r="A1080" s="49">
        <v>1079</v>
      </c>
      <c r="B1080" s="51" t="s">
        <v>2056</v>
      </c>
      <c r="C1080" s="52" t="s">
        <v>45</v>
      </c>
      <c r="D1080" s="74" t="s">
        <v>161</v>
      </c>
      <c r="E1080" s="74" t="s">
        <v>1347</v>
      </c>
      <c r="F1080" s="49">
        <v>75.38</v>
      </c>
      <c r="G1080" s="49" t="s">
        <v>43</v>
      </c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  <c r="S1080" s="50"/>
      <c r="T1080" s="50"/>
      <c r="U1080" s="50"/>
      <c r="V1080" s="50"/>
      <c r="W1080" s="50"/>
      <c r="X1080" s="50"/>
      <c r="Y1080" s="50"/>
      <c r="Z1080" s="50"/>
    </row>
    <row r="1081" spans="1:26">
      <c r="A1081" s="49">
        <v>1080</v>
      </c>
      <c r="B1081" s="51" t="s">
        <v>2057</v>
      </c>
      <c r="C1081" s="52" t="s">
        <v>45</v>
      </c>
      <c r="D1081" s="74" t="s">
        <v>805</v>
      </c>
      <c r="E1081" s="74" t="s">
        <v>432</v>
      </c>
      <c r="F1081" s="49">
        <v>48.79</v>
      </c>
      <c r="G1081" s="49" t="s">
        <v>43</v>
      </c>
      <c r="H1081" s="50"/>
      <c r="I1081" s="50"/>
      <c r="J1081" s="50"/>
      <c r="K1081" s="50"/>
      <c r="L1081" s="50"/>
      <c r="M1081" s="50"/>
      <c r="N1081" s="50"/>
      <c r="O1081" s="50"/>
      <c r="P1081" s="50"/>
      <c r="Q1081" s="50"/>
      <c r="R1081" s="50"/>
      <c r="S1081" s="50"/>
      <c r="T1081" s="50"/>
      <c r="U1081" s="50"/>
      <c r="V1081" s="50"/>
      <c r="W1081" s="50"/>
      <c r="X1081" s="50"/>
      <c r="Y1081" s="50"/>
      <c r="Z1081" s="50"/>
    </row>
    <row r="1082" spans="1:26">
      <c r="A1082" s="49">
        <v>1081</v>
      </c>
      <c r="B1082" s="51" t="s">
        <v>2058</v>
      </c>
      <c r="C1082" s="52" t="s">
        <v>45</v>
      </c>
      <c r="D1082" s="74" t="s">
        <v>59</v>
      </c>
      <c r="E1082" s="74" t="s">
        <v>2059</v>
      </c>
      <c r="F1082" s="49">
        <v>49.36</v>
      </c>
      <c r="G1082" s="49" t="s">
        <v>43</v>
      </c>
      <c r="H1082" s="50"/>
      <c r="I1082" s="50"/>
      <c r="J1082" s="50"/>
      <c r="K1082" s="50"/>
      <c r="L1082" s="50"/>
      <c r="M1082" s="50"/>
      <c r="N1082" s="50"/>
      <c r="O1082" s="50"/>
      <c r="P1082" s="50"/>
      <c r="Q1082" s="50"/>
      <c r="R1082" s="50"/>
      <c r="S1082" s="50"/>
      <c r="T1082" s="50"/>
      <c r="U1082" s="50"/>
      <c r="V1082" s="50"/>
      <c r="W1082" s="50"/>
      <c r="X1082" s="50"/>
      <c r="Y1082" s="50"/>
      <c r="Z1082" s="50"/>
    </row>
    <row r="1083" spans="1:26">
      <c r="A1083" s="49">
        <v>1082</v>
      </c>
      <c r="B1083" s="51" t="s">
        <v>2060</v>
      </c>
      <c r="C1083" s="52" t="s">
        <v>40</v>
      </c>
      <c r="D1083" s="74"/>
      <c r="E1083" s="74" t="s">
        <v>432</v>
      </c>
      <c r="F1083" s="49">
        <v>71.209999999999994</v>
      </c>
      <c r="G1083" s="49" t="s">
        <v>459</v>
      </c>
      <c r="H1083" s="50"/>
      <c r="I1083" s="50"/>
      <c r="J1083" s="50"/>
      <c r="K1083" s="50"/>
      <c r="L1083" s="50"/>
      <c r="M1083" s="50"/>
      <c r="N1083" s="50"/>
      <c r="O1083" s="50"/>
      <c r="P1083" s="50"/>
      <c r="Q1083" s="50"/>
      <c r="R1083" s="50"/>
      <c r="S1083" s="50"/>
      <c r="T1083" s="50"/>
      <c r="U1083" s="50"/>
      <c r="V1083" s="50"/>
      <c r="W1083" s="50"/>
      <c r="X1083" s="50"/>
      <c r="Y1083" s="50"/>
      <c r="Z1083" s="50"/>
    </row>
    <row r="1084" spans="1:26">
      <c r="A1084" s="49">
        <v>1083</v>
      </c>
      <c r="B1084" s="51" t="s">
        <v>2061</v>
      </c>
      <c r="C1084" s="52" t="s">
        <v>40</v>
      </c>
      <c r="D1084" s="74"/>
      <c r="E1084" s="74" t="s">
        <v>432</v>
      </c>
      <c r="F1084" s="49">
        <v>50.4</v>
      </c>
      <c r="G1084" s="49" t="s">
        <v>459</v>
      </c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  <c r="S1084" s="50"/>
      <c r="T1084" s="50"/>
      <c r="U1084" s="50"/>
      <c r="V1084" s="50"/>
      <c r="W1084" s="50"/>
      <c r="X1084" s="50"/>
      <c r="Y1084" s="50"/>
      <c r="Z1084" s="50"/>
    </row>
    <row r="1085" spans="1:26">
      <c r="A1085" s="49">
        <v>1084</v>
      </c>
      <c r="B1085" s="51" t="s">
        <v>2062</v>
      </c>
      <c r="C1085" s="52" t="s">
        <v>40</v>
      </c>
      <c r="D1085" s="74"/>
      <c r="E1085" s="74" t="s">
        <v>432</v>
      </c>
      <c r="F1085" s="49">
        <v>54.42</v>
      </c>
      <c r="G1085" s="49" t="s">
        <v>459</v>
      </c>
      <c r="H1085" s="50"/>
      <c r="I1085" s="50"/>
      <c r="J1085" s="50"/>
      <c r="K1085" s="50"/>
      <c r="L1085" s="50"/>
      <c r="M1085" s="50"/>
      <c r="N1085" s="50"/>
      <c r="O1085" s="50"/>
      <c r="P1085" s="50"/>
      <c r="Q1085" s="50"/>
      <c r="R1085" s="50"/>
      <c r="S1085" s="50"/>
      <c r="T1085" s="50"/>
      <c r="U1085" s="50"/>
      <c r="V1085" s="50"/>
      <c r="W1085" s="50"/>
      <c r="X1085" s="50"/>
      <c r="Y1085" s="50"/>
      <c r="Z1085" s="50"/>
    </row>
    <row r="1086" spans="1:26">
      <c r="A1086" s="49">
        <v>1085</v>
      </c>
      <c r="B1086" s="51" t="s">
        <v>2063</v>
      </c>
      <c r="C1086" s="52" t="s">
        <v>40</v>
      </c>
      <c r="D1086" s="74" t="s">
        <v>123</v>
      </c>
      <c r="E1086" s="74" t="s">
        <v>432</v>
      </c>
      <c r="F1086" s="49">
        <v>74.489999999999995</v>
      </c>
      <c r="G1086" s="49" t="s">
        <v>43</v>
      </c>
      <c r="H1086" s="50"/>
      <c r="I1086" s="50"/>
      <c r="J1086" s="50"/>
      <c r="K1086" s="50"/>
      <c r="L1086" s="50"/>
      <c r="M1086" s="50"/>
      <c r="N1086" s="50"/>
      <c r="O1086" s="50"/>
      <c r="P1086" s="50"/>
      <c r="Q1086" s="50"/>
      <c r="R1086" s="50"/>
      <c r="S1086" s="50"/>
      <c r="T1086" s="50"/>
      <c r="U1086" s="50"/>
      <c r="V1086" s="50"/>
      <c r="W1086" s="50"/>
      <c r="X1086" s="50"/>
      <c r="Y1086" s="50"/>
      <c r="Z1086" s="50"/>
    </row>
    <row r="1087" spans="1:26">
      <c r="A1087" s="49">
        <v>1086</v>
      </c>
      <c r="B1087" s="51" t="s">
        <v>2064</v>
      </c>
      <c r="C1087" s="52" t="s">
        <v>40</v>
      </c>
      <c r="D1087" s="74" t="s">
        <v>2065</v>
      </c>
      <c r="E1087" s="74" t="s">
        <v>2066</v>
      </c>
      <c r="F1087" s="49">
        <v>79.08</v>
      </c>
      <c r="G1087" s="49" t="s">
        <v>43</v>
      </c>
      <c r="H1087" s="50"/>
      <c r="I1087" s="50"/>
      <c r="J1087" s="50"/>
      <c r="K1087" s="50"/>
      <c r="L1087" s="50"/>
      <c r="M1087" s="50"/>
      <c r="N1087" s="50"/>
      <c r="O1087" s="50"/>
      <c r="P1087" s="50"/>
      <c r="Q1087" s="50"/>
      <c r="R1087" s="50"/>
      <c r="S1087" s="50"/>
      <c r="T1087" s="50"/>
      <c r="U1087" s="50"/>
      <c r="V1087" s="50"/>
      <c r="W1087" s="50"/>
      <c r="X1087" s="50"/>
      <c r="Y1087" s="50"/>
      <c r="Z1087" s="50"/>
    </row>
    <row r="1088" spans="1:26">
      <c r="A1088" s="49">
        <v>1087</v>
      </c>
      <c r="B1088" s="51" t="s">
        <v>2067</v>
      </c>
      <c r="C1088" s="52" t="s">
        <v>45</v>
      </c>
      <c r="D1088" s="74" t="s">
        <v>161</v>
      </c>
      <c r="E1088" s="74" t="s">
        <v>20</v>
      </c>
      <c r="F1088" s="49">
        <v>62.77</v>
      </c>
      <c r="G1088" s="49" t="s">
        <v>43</v>
      </c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  <c r="S1088" s="50"/>
      <c r="T1088" s="50"/>
      <c r="U1088" s="50"/>
      <c r="V1088" s="50"/>
      <c r="W1088" s="50"/>
      <c r="X1088" s="50"/>
      <c r="Y1088" s="50"/>
      <c r="Z1088" s="50"/>
    </row>
    <row r="1089" spans="1:26">
      <c r="A1089" s="49">
        <v>1088</v>
      </c>
      <c r="B1089" s="51" t="s">
        <v>2068</v>
      </c>
      <c r="C1089" s="52" t="s">
        <v>52</v>
      </c>
      <c r="D1089" s="74" t="s">
        <v>192</v>
      </c>
      <c r="E1089" s="74" t="s">
        <v>20</v>
      </c>
      <c r="F1089" s="49">
        <v>43.09</v>
      </c>
      <c r="G1089" s="49" t="s">
        <v>43</v>
      </c>
      <c r="H1089" s="50"/>
      <c r="I1089" s="50"/>
      <c r="J1089" s="50"/>
      <c r="K1089" s="50"/>
      <c r="L1089" s="50"/>
      <c r="M1089" s="50"/>
      <c r="N1089" s="50"/>
      <c r="O1089" s="50"/>
      <c r="P1089" s="50"/>
      <c r="Q1089" s="50"/>
      <c r="R1089" s="50"/>
      <c r="S1089" s="50"/>
      <c r="T1089" s="50"/>
      <c r="U1089" s="50"/>
      <c r="V1089" s="50"/>
      <c r="W1089" s="50"/>
      <c r="X1089" s="50"/>
      <c r="Y1089" s="50"/>
      <c r="Z1089" s="50"/>
    </row>
    <row r="1090" spans="1:26">
      <c r="A1090" s="49">
        <v>1089</v>
      </c>
      <c r="B1090" s="51" t="s">
        <v>2069</v>
      </c>
      <c r="C1090" s="52" t="s">
        <v>40</v>
      </c>
      <c r="D1090" s="74" t="s">
        <v>123</v>
      </c>
      <c r="E1090" s="74" t="s">
        <v>20</v>
      </c>
      <c r="F1090" s="49">
        <v>54.47</v>
      </c>
      <c r="G1090" s="49" t="s">
        <v>43</v>
      </c>
      <c r="H1090" s="50"/>
      <c r="I1090" s="50"/>
      <c r="J1090" s="50"/>
      <c r="K1090" s="50"/>
      <c r="L1090" s="50"/>
      <c r="M1090" s="50"/>
      <c r="N1090" s="50"/>
      <c r="O1090" s="50"/>
      <c r="P1090" s="50"/>
      <c r="Q1090" s="50"/>
      <c r="R1090" s="50"/>
      <c r="S1090" s="50"/>
      <c r="T1090" s="50"/>
      <c r="U1090" s="50"/>
      <c r="V1090" s="50"/>
      <c r="W1090" s="50"/>
      <c r="X1090" s="50"/>
      <c r="Y1090" s="50"/>
      <c r="Z1090" s="50"/>
    </row>
    <row r="1091" spans="1:26">
      <c r="A1091" s="49">
        <v>1090</v>
      </c>
      <c r="B1091" s="51" t="s">
        <v>2070</v>
      </c>
      <c r="C1091" s="52" t="s">
        <v>45</v>
      </c>
      <c r="D1091" s="74" t="s">
        <v>2071</v>
      </c>
      <c r="E1091" s="74" t="s">
        <v>20</v>
      </c>
      <c r="F1091" s="49">
        <v>58.36</v>
      </c>
      <c r="G1091" s="49" t="s">
        <v>43</v>
      </c>
      <c r="H1091" s="50"/>
      <c r="I1091" s="50"/>
      <c r="J1091" s="50"/>
      <c r="K1091" s="50"/>
      <c r="L1091" s="50"/>
      <c r="M1091" s="50"/>
      <c r="N1091" s="50"/>
      <c r="O1091" s="50"/>
      <c r="P1091" s="50"/>
      <c r="Q1091" s="50"/>
      <c r="R1091" s="50"/>
      <c r="S1091" s="50"/>
      <c r="T1091" s="50"/>
      <c r="U1091" s="50"/>
      <c r="V1091" s="50"/>
      <c r="W1091" s="50"/>
      <c r="X1091" s="50"/>
      <c r="Y1091" s="50"/>
      <c r="Z1091" s="50"/>
    </row>
    <row r="1092" spans="1:26">
      <c r="A1092" s="49">
        <v>1091</v>
      </c>
      <c r="B1092" s="51" t="s">
        <v>2072</v>
      </c>
      <c r="C1092" s="52" t="s">
        <v>45</v>
      </c>
      <c r="D1092" s="74" t="s">
        <v>342</v>
      </c>
      <c r="E1092" s="74" t="s">
        <v>1097</v>
      </c>
      <c r="F1092" s="49">
        <v>37.76</v>
      </c>
      <c r="G1092" s="49" t="s">
        <v>43</v>
      </c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  <c r="S1092" s="50"/>
      <c r="T1092" s="50"/>
      <c r="U1092" s="50"/>
      <c r="V1092" s="50"/>
      <c r="W1092" s="50"/>
      <c r="X1092" s="50"/>
      <c r="Y1092" s="50"/>
      <c r="Z1092" s="50"/>
    </row>
    <row r="1093" spans="1:26">
      <c r="A1093" s="49">
        <v>1092</v>
      </c>
      <c r="B1093" s="51" t="s">
        <v>2073</v>
      </c>
      <c r="C1093" s="52" t="s">
        <v>52</v>
      </c>
      <c r="D1093" s="74" t="s">
        <v>214</v>
      </c>
      <c r="E1093" s="74" t="s">
        <v>989</v>
      </c>
      <c r="F1093" s="49">
        <v>51.05</v>
      </c>
      <c r="G1093" s="49" t="s">
        <v>43</v>
      </c>
      <c r="H1093" s="50"/>
      <c r="I1093" s="50"/>
      <c r="J1093" s="50"/>
      <c r="K1093" s="50"/>
      <c r="L1093" s="50"/>
      <c r="M1093" s="50"/>
      <c r="N1093" s="50"/>
      <c r="O1093" s="50"/>
      <c r="P1093" s="50"/>
      <c r="Q1093" s="50"/>
      <c r="R1093" s="50"/>
      <c r="S1093" s="50"/>
      <c r="T1093" s="50"/>
      <c r="U1093" s="50"/>
      <c r="V1093" s="50"/>
      <c r="W1093" s="50"/>
      <c r="X1093" s="50"/>
      <c r="Y1093" s="50"/>
      <c r="Z1093" s="50"/>
    </row>
    <row r="1094" spans="1:26">
      <c r="A1094" s="49">
        <v>1093</v>
      </c>
      <c r="B1094" s="51" t="s">
        <v>2074</v>
      </c>
      <c r="C1094" s="52" t="s">
        <v>45</v>
      </c>
      <c r="D1094" s="74" t="s">
        <v>853</v>
      </c>
      <c r="E1094" s="74" t="s">
        <v>989</v>
      </c>
      <c r="F1094" s="49">
        <v>47.59</v>
      </c>
      <c r="G1094" s="49" t="s">
        <v>43</v>
      </c>
      <c r="H1094" s="50"/>
      <c r="I1094" s="50"/>
      <c r="J1094" s="50"/>
      <c r="K1094" s="50"/>
      <c r="L1094" s="50"/>
      <c r="M1094" s="50"/>
      <c r="N1094" s="50"/>
      <c r="O1094" s="50"/>
      <c r="P1094" s="50"/>
      <c r="Q1094" s="50"/>
      <c r="R1094" s="50"/>
      <c r="S1094" s="50"/>
      <c r="T1094" s="50"/>
      <c r="U1094" s="50"/>
      <c r="V1094" s="50"/>
      <c r="W1094" s="50"/>
      <c r="X1094" s="50"/>
      <c r="Y1094" s="50"/>
      <c r="Z1094" s="50"/>
    </row>
    <row r="1095" spans="1:26">
      <c r="A1095" s="49">
        <v>1094</v>
      </c>
      <c r="B1095" s="51" t="s">
        <v>2075</v>
      </c>
      <c r="C1095" s="52" t="s">
        <v>45</v>
      </c>
      <c r="D1095" s="74" t="s">
        <v>360</v>
      </c>
      <c r="E1095" s="74" t="s">
        <v>2076</v>
      </c>
      <c r="F1095" s="49">
        <v>56.58</v>
      </c>
      <c r="G1095" s="49" t="s">
        <v>43</v>
      </c>
      <c r="H1095" s="50"/>
      <c r="I1095" s="50"/>
      <c r="J1095" s="50"/>
      <c r="K1095" s="50"/>
      <c r="L1095" s="50"/>
      <c r="M1095" s="50"/>
      <c r="N1095" s="50"/>
      <c r="O1095" s="50"/>
      <c r="P1095" s="50"/>
      <c r="Q1095" s="50"/>
      <c r="R1095" s="50"/>
      <c r="S1095" s="50"/>
      <c r="T1095" s="50"/>
      <c r="U1095" s="50"/>
      <c r="V1095" s="50"/>
      <c r="W1095" s="50"/>
      <c r="X1095" s="50"/>
      <c r="Y1095" s="50"/>
      <c r="Z1095" s="50"/>
    </row>
    <row r="1096" spans="1:26">
      <c r="A1096" s="49">
        <v>1095</v>
      </c>
      <c r="B1096" s="51" t="s">
        <v>2077</v>
      </c>
      <c r="C1096" s="52" t="s">
        <v>52</v>
      </c>
      <c r="D1096" s="74" t="s">
        <v>670</v>
      </c>
      <c r="E1096" s="74" t="s">
        <v>816</v>
      </c>
      <c r="F1096" s="49">
        <v>35.82</v>
      </c>
      <c r="G1096" s="49" t="s">
        <v>43</v>
      </c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  <c r="S1096" s="50"/>
      <c r="T1096" s="50"/>
      <c r="U1096" s="50"/>
      <c r="V1096" s="50"/>
      <c r="W1096" s="50"/>
      <c r="X1096" s="50"/>
      <c r="Y1096" s="50"/>
      <c r="Z1096" s="50"/>
    </row>
    <row r="1097" spans="1:26">
      <c r="A1097" s="49">
        <v>1096</v>
      </c>
      <c r="B1097" s="51" t="s">
        <v>2078</v>
      </c>
      <c r="C1097" s="52" t="s">
        <v>52</v>
      </c>
      <c r="D1097" s="74" t="s">
        <v>59</v>
      </c>
      <c r="E1097" s="74" t="s">
        <v>880</v>
      </c>
      <c r="F1097" s="49">
        <v>62.25</v>
      </c>
      <c r="G1097" s="49" t="s">
        <v>43</v>
      </c>
      <c r="H1097" s="50"/>
      <c r="I1097" s="50"/>
      <c r="J1097" s="50"/>
      <c r="K1097" s="50"/>
      <c r="L1097" s="50"/>
      <c r="M1097" s="50"/>
      <c r="N1097" s="50"/>
      <c r="O1097" s="50"/>
      <c r="P1097" s="50"/>
      <c r="Q1097" s="50"/>
      <c r="R1097" s="50"/>
      <c r="S1097" s="50"/>
      <c r="T1097" s="50"/>
      <c r="U1097" s="50"/>
      <c r="V1097" s="50"/>
      <c r="W1097" s="50"/>
      <c r="X1097" s="50"/>
      <c r="Y1097" s="50"/>
      <c r="Z1097" s="50"/>
    </row>
    <row r="1098" spans="1:26">
      <c r="A1098" s="49">
        <v>1097</v>
      </c>
      <c r="B1098" s="51" t="s">
        <v>2079</v>
      </c>
      <c r="C1098" s="52" t="s">
        <v>52</v>
      </c>
      <c r="D1098" s="74"/>
      <c r="E1098" s="74" t="s">
        <v>1129</v>
      </c>
      <c r="F1098" s="49">
        <v>54.26</v>
      </c>
      <c r="G1098" s="49" t="s">
        <v>459</v>
      </c>
      <c r="H1098" s="50"/>
      <c r="I1098" s="50"/>
      <c r="J1098" s="50"/>
      <c r="K1098" s="50"/>
      <c r="L1098" s="50"/>
      <c r="M1098" s="50"/>
      <c r="N1098" s="50"/>
      <c r="O1098" s="50"/>
      <c r="P1098" s="50"/>
      <c r="Q1098" s="50"/>
      <c r="R1098" s="50"/>
      <c r="S1098" s="50"/>
      <c r="T1098" s="50"/>
      <c r="U1098" s="50"/>
      <c r="V1098" s="50"/>
      <c r="W1098" s="50"/>
      <c r="X1098" s="50"/>
      <c r="Y1098" s="50"/>
      <c r="Z1098" s="50"/>
    </row>
    <row r="1099" spans="1:26">
      <c r="A1099" s="49">
        <v>1098</v>
      </c>
      <c r="B1099" s="51" t="s">
        <v>2080</v>
      </c>
      <c r="C1099" s="52" t="s">
        <v>45</v>
      </c>
      <c r="D1099" s="74"/>
      <c r="E1099" s="74"/>
      <c r="F1099" s="49">
        <v>43.82</v>
      </c>
      <c r="G1099" s="49" t="s">
        <v>459</v>
      </c>
      <c r="H1099" s="50"/>
      <c r="I1099" s="50"/>
      <c r="J1099" s="50"/>
      <c r="K1099" s="50"/>
      <c r="L1099" s="50"/>
      <c r="M1099" s="50"/>
      <c r="N1099" s="50"/>
      <c r="O1099" s="50"/>
      <c r="P1099" s="50"/>
      <c r="Q1099" s="50"/>
      <c r="R1099" s="50"/>
      <c r="S1099" s="50"/>
      <c r="T1099" s="50"/>
      <c r="U1099" s="50"/>
      <c r="V1099" s="50"/>
      <c r="W1099" s="50"/>
      <c r="X1099" s="50"/>
      <c r="Y1099" s="50"/>
      <c r="Z1099" s="50"/>
    </row>
    <row r="1100" spans="1:26">
      <c r="A1100" s="49">
        <v>1099</v>
      </c>
      <c r="B1100" s="51" t="s">
        <v>2081</v>
      </c>
      <c r="C1100" s="52" t="s">
        <v>40</v>
      </c>
      <c r="D1100" s="74" t="s">
        <v>123</v>
      </c>
      <c r="E1100" s="74" t="s">
        <v>355</v>
      </c>
      <c r="F1100" s="49">
        <v>60.47</v>
      </c>
      <c r="G1100" s="49" t="s">
        <v>43</v>
      </c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  <c r="S1100" s="50"/>
      <c r="T1100" s="50"/>
      <c r="U1100" s="50"/>
      <c r="V1100" s="50"/>
      <c r="W1100" s="50"/>
      <c r="X1100" s="50"/>
      <c r="Y1100" s="50"/>
      <c r="Z1100" s="50"/>
    </row>
    <row r="1101" spans="1:26">
      <c r="A1101" s="49">
        <v>1100</v>
      </c>
      <c r="B1101" s="51" t="s">
        <v>2082</v>
      </c>
      <c r="C1101" s="52" t="s">
        <v>45</v>
      </c>
      <c r="D1101" s="74" t="s">
        <v>2083</v>
      </c>
      <c r="E1101" s="74" t="s">
        <v>432</v>
      </c>
      <c r="F1101" s="49">
        <v>72.25</v>
      </c>
      <c r="G1101" s="49" t="s">
        <v>43</v>
      </c>
      <c r="H1101" s="50"/>
      <c r="I1101" s="50"/>
      <c r="J1101" s="50"/>
      <c r="K1101" s="50"/>
      <c r="L1101" s="50"/>
      <c r="M1101" s="50"/>
      <c r="N1101" s="50"/>
      <c r="O1101" s="50"/>
      <c r="P1101" s="50"/>
      <c r="Q1101" s="50"/>
      <c r="R1101" s="50"/>
      <c r="S1101" s="50"/>
      <c r="T1101" s="50"/>
      <c r="U1101" s="50"/>
      <c r="V1101" s="50"/>
      <c r="W1101" s="50"/>
      <c r="X1101" s="50"/>
      <c r="Y1101" s="50"/>
      <c r="Z1101" s="50"/>
    </row>
    <row r="1102" spans="1:26">
      <c r="A1102" s="49">
        <v>1101</v>
      </c>
      <c r="B1102" s="51" t="s">
        <v>2084</v>
      </c>
      <c r="C1102" s="52" t="s">
        <v>45</v>
      </c>
      <c r="D1102" s="74" t="s">
        <v>732</v>
      </c>
      <c r="E1102" s="74" t="s">
        <v>2085</v>
      </c>
      <c r="F1102" s="49">
        <v>65.55</v>
      </c>
      <c r="G1102" s="49" t="s">
        <v>43</v>
      </c>
      <c r="H1102" s="50"/>
      <c r="I1102" s="50"/>
      <c r="J1102" s="50"/>
      <c r="K1102" s="50"/>
      <c r="L1102" s="50"/>
      <c r="M1102" s="50"/>
      <c r="N1102" s="50"/>
      <c r="O1102" s="50"/>
      <c r="P1102" s="50"/>
      <c r="Q1102" s="50"/>
      <c r="R1102" s="50"/>
      <c r="S1102" s="50"/>
      <c r="T1102" s="50"/>
      <c r="U1102" s="50"/>
      <c r="V1102" s="50"/>
      <c r="W1102" s="50"/>
      <c r="X1102" s="50"/>
      <c r="Y1102" s="50"/>
      <c r="Z1102" s="50"/>
    </row>
    <row r="1103" spans="1:26">
      <c r="A1103" s="49">
        <v>1102</v>
      </c>
      <c r="B1103" s="51" t="s">
        <v>2086</v>
      </c>
      <c r="C1103" s="52" t="s">
        <v>45</v>
      </c>
      <c r="D1103" s="74" t="s">
        <v>1680</v>
      </c>
      <c r="E1103" s="74" t="s">
        <v>355</v>
      </c>
      <c r="F1103" s="49">
        <v>49.26</v>
      </c>
      <c r="G1103" s="49" t="s">
        <v>43</v>
      </c>
      <c r="H1103" s="50"/>
      <c r="I1103" s="50"/>
      <c r="J1103" s="50"/>
      <c r="K1103" s="50"/>
      <c r="L1103" s="50"/>
      <c r="M1103" s="50"/>
      <c r="N1103" s="50"/>
      <c r="O1103" s="50"/>
      <c r="P1103" s="50"/>
      <c r="Q1103" s="50"/>
      <c r="R1103" s="50"/>
      <c r="S1103" s="50"/>
      <c r="T1103" s="50"/>
      <c r="U1103" s="50"/>
      <c r="V1103" s="50"/>
      <c r="W1103" s="50"/>
      <c r="X1103" s="50"/>
      <c r="Y1103" s="50"/>
      <c r="Z1103" s="50"/>
    </row>
    <row r="1104" spans="1:26">
      <c r="A1104" s="49">
        <v>1103</v>
      </c>
      <c r="B1104" s="51" t="s">
        <v>2087</v>
      </c>
      <c r="C1104" s="52" t="s">
        <v>40</v>
      </c>
      <c r="D1104" s="74" t="s">
        <v>62</v>
      </c>
      <c r="E1104" s="74"/>
      <c r="F1104" s="49">
        <v>60.29</v>
      </c>
      <c r="G1104" s="49" t="s">
        <v>43</v>
      </c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  <c r="S1104" s="50"/>
      <c r="T1104" s="50"/>
      <c r="U1104" s="50"/>
      <c r="V1104" s="50"/>
      <c r="W1104" s="50"/>
      <c r="X1104" s="50"/>
      <c r="Y1104" s="50"/>
      <c r="Z1104" s="50"/>
    </row>
    <row r="1105" spans="1:26">
      <c r="A1105" s="49">
        <v>1104</v>
      </c>
      <c r="B1105" s="51" t="s">
        <v>2088</v>
      </c>
      <c r="C1105" s="52" t="s">
        <v>45</v>
      </c>
      <c r="D1105" s="74" t="s">
        <v>2089</v>
      </c>
      <c r="E1105" s="74" t="s">
        <v>541</v>
      </c>
      <c r="F1105" s="49">
        <v>71.48</v>
      </c>
      <c r="G1105" s="49" t="s">
        <v>43</v>
      </c>
      <c r="H1105" s="50"/>
      <c r="I1105" s="50"/>
      <c r="J1105" s="50"/>
      <c r="K1105" s="50"/>
      <c r="L1105" s="50"/>
      <c r="M1105" s="50"/>
      <c r="N1105" s="50"/>
      <c r="O1105" s="50"/>
      <c r="P1105" s="50"/>
      <c r="Q1105" s="50"/>
      <c r="R1105" s="50"/>
      <c r="S1105" s="50"/>
      <c r="T1105" s="50"/>
      <c r="U1105" s="50"/>
      <c r="V1105" s="50"/>
      <c r="W1105" s="50"/>
      <c r="X1105" s="50"/>
      <c r="Y1105" s="50"/>
      <c r="Z1105" s="50"/>
    </row>
    <row r="1106" spans="1:26">
      <c r="A1106" s="49">
        <v>1105</v>
      </c>
      <c r="B1106" s="51" t="s">
        <v>2090</v>
      </c>
      <c r="C1106" s="52" t="s">
        <v>45</v>
      </c>
      <c r="D1106" s="74" t="s">
        <v>214</v>
      </c>
      <c r="E1106" s="74" t="s">
        <v>972</v>
      </c>
      <c r="F1106" s="49">
        <v>58.14</v>
      </c>
      <c r="G1106" s="49" t="s">
        <v>43</v>
      </c>
      <c r="H1106" s="50"/>
      <c r="I1106" s="50"/>
      <c r="J1106" s="50"/>
      <c r="K1106" s="50"/>
      <c r="L1106" s="50"/>
      <c r="M1106" s="50"/>
      <c r="N1106" s="50"/>
      <c r="O1106" s="50"/>
      <c r="P1106" s="50"/>
      <c r="Q1106" s="50"/>
      <c r="R1106" s="50"/>
      <c r="S1106" s="50"/>
      <c r="T1106" s="50"/>
      <c r="U1106" s="50"/>
      <c r="V1106" s="50"/>
      <c r="W1106" s="50"/>
      <c r="X1106" s="50"/>
      <c r="Y1106" s="50"/>
      <c r="Z1106" s="50"/>
    </row>
    <row r="1107" spans="1:26">
      <c r="A1107" s="49">
        <v>1106</v>
      </c>
      <c r="B1107" s="51" t="s">
        <v>2091</v>
      </c>
      <c r="C1107" s="52" t="s">
        <v>52</v>
      </c>
      <c r="D1107" s="74" t="s">
        <v>59</v>
      </c>
      <c r="E1107" s="74" t="s">
        <v>2092</v>
      </c>
      <c r="F1107" s="49">
        <v>58.33</v>
      </c>
      <c r="G1107" s="49" t="s">
        <v>43</v>
      </c>
      <c r="H1107" s="50"/>
      <c r="I1107" s="50"/>
      <c r="J1107" s="50"/>
      <c r="K1107" s="50"/>
      <c r="L1107" s="50"/>
      <c r="M1107" s="50"/>
      <c r="N1107" s="50"/>
      <c r="O1107" s="50"/>
      <c r="P1107" s="50"/>
      <c r="Q1107" s="50"/>
      <c r="R1107" s="50"/>
      <c r="S1107" s="50"/>
      <c r="T1107" s="50"/>
      <c r="U1107" s="50"/>
      <c r="V1107" s="50"/>
      <c r="W1107" s="50"/>
      <c r="X1107" s="50"/>
      <c r="Y1107" s="50"/>
      <c r="Z1107" s="50"/>
    </row>
    <row r="1108" spans="1:26">
      <c r="A1108" s="49">
        <v>1107</v>
      </c>
      <c r="B1108" s="51" t="s">
        <v>2093</v>
      </c>
      <c r="C1108" s="52" t="s">
        <v>45</v>
      </c>
      <c r="D1108" s="74"/>
      <c r="E1108" s="74" t="s">
        <v>608</v>
      </c>
      <c r="F1108" s="49">
        <v>44.85</v>
      </c>
      <c r="G1108" s="49" t="s">
        <v>459</v>
      </c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  <c r="S1108" s="50"/>
      <c r="T1108" s="50"/>
      <c r="U1108" s="50"/>
      <c r="V1108" s="50"/>
      <c r="W1108" s="50"/>
      <c r="X1108" s="50"/>
      <c r="Y1108" s="50"/>
      <c r="Z1108" s="50"/>
    </row>
    <row r="1109" spans="1:26">
      <c r="A1109" s="49">
        <v>1108</v>
      </c>
      <c r="B1109" s="51" t="s">
        <v>2094</v>
      </c>
      <c r="C1109" s="52" t="s">
        <v>40</v>
      </c>
      <c r="D1109" s="74" t="s">
        <v>59</v>
      </c>
      <c r="E1109" s="74" t="s">
        <v>2095</v>
      </c>
      <c r="F1109" s="49">
        <v>87.03</v>
      </c>
      <c r="G1109" s="49" t="s">
        <v>43</v>
      </c>
      <c r="H1109" s="50"/>
      <c r="I1109" s="50"/>
      <c r="J1109" s="50"/>
      <c r="K1109" s="50"/>
      <c r="L1109" s="50"/>
      <c r="M1109" s="50"/>
      <c r="N1109" s="50"/>
      <c r="O1109" s="50"/>
      <c r="P1109" s="50"/>
      <c r="Q1109" s="50"/>
      <c r="R1109" s="50"/>
      <c r="S1109" s="50"/>
      <c r="T1109" s="50"/>
      <c r="U1109" s="50"/>
      <c r="V1109" s="50"/>
      <c r="W1109" s="50"/>
      <c r="X1109" s="50"/>
      <c r="Y1109" s="50"/>
      <c r="Z1109" s="50"/>
    </row>
    <row r="1110" spans="1:26">
      <c r="A1110" s="49">
        <v>1109</v>
      </c>
      <c r="B1110" s="51" t="s">
        <v>2096</v>
      </c>
      <c r="C1110" s="52" t="s">
        <v>45</v>
      </c>
      <c r="D1110" s="74" t="s">
        <v>1322</v>
      </c>
      <c r="E1110" s="74" t="s">
        <v>2097</v>
      </c>
      <c r="F1110" s="49">
        <v>52.15</v>
      </c>
      <c r="G1110" s="49" t="s">
        <v>43</v>
      </c>
      <c r="H1110" s="50"/>
      <c r="I1110" s="50"/>
      <c r="J1110" s="50"/>
      <c r="K1110" s="50"/>
      <c r="L1110" s="50"/>
      <c r="M1110" s="50"/>
      <c r="N1110" s="50"/>
      <c r="O1110" s="50"/>
      <c r="P1110" s="50"/>
      <c r="Q1110" s="50"/>
      <c r="R1110" s="50"/>
      <c r="S1110" s="50"/>
      <c r="T1110" s="50"/>
      <c r="U1110" s="50"/>
      <c r="V1110" s="50"/>
      <c r="W1110" s="50"/>
      <c r="X1110" s="50"/>
      <c r="Y1110" s="50"/>
      <c r="Z1110" s="50"/>
    </row>
    <row r="1111" spans="1:26">
      <c r="A1111" s="49">
        <v>1110</v>
      </c>
      <c r="B1111" s="51" t="s">
        <v>2098</v>
      </c>
      <c r="C1111" s="52" t="s">
        <v>45</v>
      </c>
      <c r="D1111" s="74" t="s">
        <v>277</v>
      </c>
      <c r="E1111" s="74" t="s">
        <v>355</v>
      </c>
      <c r="F1111" s="49">
        <v>66.400000000000006</v>
      </c>
      <c r="G1111" s="49" t="s">
        <v>43</v>
      </c>
      <c r="H1111" s="50"/>
      <c r="I1111" s="50"/>
      <c r="J1111" s="50"/>
      <c r="K1111" s="50"/>
      <c r="L1111" s="50"/>
      <c r="M1111" s="50"/>
      <c r="N1111" s="50"/>
      <c r="O1111" s="50"/>
      <c r="P1111" s="50"/>
      <c r="Q1111" s="50"/>
      <c r="R1111" s="50"/>
      <c r="S1111" s="50"/>
      <c r="T1111" s="50"/>
      <c r="U1111" s="50"/>
      <c r="V1111" s="50"/>
      <c r="W1111" s="50"/>
      <c r="X1111" s="50"/>
      <c r="Y1111" s="50"/>
      <c r="Z1111" s="50"/>
    </row>
    <row r="1112" spans="1:26">
      <c r="A1112" s="49">
        <v>1111</v>
      </c>
      <c r="B1112" s="51" t="s">
        <v>2099</v>
      </c>
      <c r="C1112" s="52" t="s">
        <v>45</v>
      </c>
      <c r="D1112" s="74" t="s">
        <v>2100</v>
      </c>
      <c r="E1112" s="74" t="s">
        <v>2101</v>
      </c>
      <c r="F1112" s="49">
        <v>69.87</v>
      </c>
      <c r="G1112" s="49" t="s">
        <v>43</v>
      </c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  <c r="S1112" s="50"/>
      <c r="T1112" s="50"/>
      <c r="U1112" s="50"/>
      <c r="V1112" s="50"/>
      <c r="W1112" s="50"/>
      <c r="X1112" s="50"/>
      <c r="Y1112" s="50"/>
      <c r="Z1112" s="50"/>
    </row>
    <row r="1113" spans="1:26">
      <c r="A1113" s="49">
        <v>1112</v>
      </c>
      <c r="B1113" s="51" t="s">
        <v>2102</v>
      </c>
      <c r="C1113" s="52" t="s">
        <v>45</v>
      </c>
      <c r="D1113" s="74"/>
      <c r="E1113" s="74" t="s">
        <v>2103</v>
      </c>
      <c r="F1113" s="49">
        <v>68.94</v>
      </c>
      <c r="G1113" s="49" t="s">
        <v>459</v>
      </c>
      <c r="H1113" s="50"/>
      <c r="I1113" s="50"/>
      <c r="J1113" s="50"/>
      <c r="K1113" s="50"/>
      <c r="L1113" s="50"/>
      <c r="M1113" s="50"/>
      <c r="N1113" s="50"/>
      <c r="O1113" s="50"/>
      <c r="P1113" s="50"/>
      <c r="Q1113" s="50"/>
      <c r="R1113" s="50"/>
      <c r="S1113" s="50"/>
      <c r="T1113" s="50"/>
      <c r="U1113" s="50"/>
      <c r="V1113" s="50"/>
      <c r="W1113" s="50"/>
      <c r="X1113" s="50"/>
      <c r="Y1113" s="50"/>
      <c r="Z1113" s="50"/>
    </row>
    <row r="1114" spans="1:26">
      <c r="A1114" s="49">
        <v>1113</v>
      </c>
      <c r="B1114" s="51" t="s">
        <v>2104</v>
      </c>
      <c r="C1114" s="52" t="s">
        <v>40</v>
      </c>
      <c r="D1114" s="74"/>
      <c r="E1114" s="74" t="s">
        <v>671</v>
      </c>
      <c r="F1114" s="49">
        <v>63.34</v>
      </c>
      <c r="G1114" s="49" t="s">
        <v>459</v>
      </c>
      <c r="H1114" s="50"/>
      <c r="I1114" s="50"/>
      <c r="J1114" s="50"/>
      <c r="K1114" s="50"/>
      <c r="L1114" s="50"/>
      <c r="M1114" s="50"/>
      <c r="N1114" s="50"/>
      <c r="O1114" s="50"/>
      <c r="P1114" s="50"/>
      <c r="Q1114" s="50"/>
      <c r="R1114" s="50"/>
      <c r="S1114" s="50"/>
      <c r="T1114" s="50"/>
      <c r="U1114" s="50"/>
      <c r="V1114" s="50"/>
      <c r="W1114" s="50"/>
      <c r="X1114" s="50"/>
      <c r="Y1114" s="50"/>
      <c r="Z1114" s="50"/>
    </row>
    <row r="1115" spans="1:26">
      <c r="A1115" s="49">
        <v>1118</v>
      </c>
      <c r="B1115" s="51" t="s">
        <v>2105</v>
      </c>
      <c r="C1115" s="52" t="s">
        <v>40</v>
      </c>
      <c r="D1115" s="74"/>
      <c r="E1115" s="74" t="s">
        <v>432</v>
      </c>
      <c r="F1115" s="49">
        <v>57.16</v>
      </c>
      <c r="G1115" s="49" t="s">
        <v>43</v>
      </c>
      <c r="H1115" s="50"/>
      <c r="I1115" s="50"/>
      <c r="J1115" s="50"/>
      <c r="K1115" s="50"/>
      <c r="L1115" s="50"/>
      <c r="M1115" s="50"/>
      <c r="N1115" s="50"/>
      <c r="O1115" s="50"/>
      <c r="P1115" s="50"/>
      <c r="Q1115" s="50"/>
      <c r="R1115" s="50"/>
      <c r="S1115" s="50"/>
      <c r="T1115" s="50"/>
      <c r="U1115" s="50"/>
      <c r="V1115" s="50"/>
      <c r="W1115" s="50"/>
      <c r="X1115" s="50"/>
      <c r="Y1115" s="50"/>
      <c r="Z1115" s="50"/>
    </row>
    <row r="1116" spans="1:26">
      <c r="A1116" s="49">
        <v>1119</v>
      </c>
      <c r="B1116" s="51" t="s">
        <v>2106</v>
      </c>
      <c r="C1116" s="52" t="s">
        <v>40</v>
      </c>
      <c r="D1116" s="74" t="s">
        <v>59</v>
      </c>
      <c r="E1116" s="74" t="s">
        <v>432</v>
      </c>
      <c r="F1116" s="49">
        <v>89.38</v>
      </c>
      <c r="G1116" s="49" t="s">
        <v>43</v>
      </c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  <c r="S1116" s="50"/>
      <c r="T1116" s="50"/>
      <c r="U1116" s="50"/>
      <c r="V1116" s="50"/>
      <c r="W1116" s="50"/>
      <c r="X1116" s="50"/>
      <c r="Y1116" s="50"/>
      <c r="Z1116" s="50"/>
    </row>
    <row r="1117" spans="1:26">
      <c r="A1117" s="49">
        <v>1120</v>
      </c>
      <c r="B1117" s="51" t="s">
        <v>2107</v>
      </c>
      <c r="C1117" s="52" t="s">
        <v>45</v>
      </c>
      <c r="D1117" s="74" t="s">
        <v>414</v>
      </c>
      <c r="E1117" s="74" t="s">
        <v>1716</v>
      </c>
      <c r="F1117" s="49">
        <v>62.06</v>
      </c>
      <c r="G1117" s="49" t="s">
        <v>43</v>
      </c>
      <c r="H1117" s="50"/>
      <c r="I1117" s="50"/>
      <c r="J1117" s="50"/>
      <c r="K1117" s="50"/>
      <c r="L1117" s="50"/>
      <c r="M1117" s="50"/>
      <c r="N1117" s="50"/>
      <c r="O1117" s="50"/>
      <c r="P1117" s="50"/>
      <c r="Q1117" s="50"/>
      <c r="R1117" s="50"/>
      <c r="S1117" s="50"/>
      <c r="T1117" s="50"/>
      <c r="U1117" s="50"/>
      <c r="V1117" s="50"/>
      <c r="W1117" s="50"/>
      <c r="X1117" s="50"/>
      <c r="Y1117" s="50"/>
      <c r="Z1117" s="50"/>
    </row>
    <row r="1118" spans="1:26">
      <c r="A1118" s="49">
        <v>1121</v>
      </c>
      <c r="B1118" s="51" t="s">
        <v>2108</v>
      </c>
      <c r="C1118" s="52" t="s">
        <v>52</v>
      </c>
      <c r="D1118" s="74" t="s">
        <v>62</v>
      </c>
      <c r="E1118" s="74" t="s">
        <v>20</v>
      </c>
      <c r="F1118" s="49">
        <v>56.64</v>
      </c>
      <c r="G1118" s="49" t="s">
        <v>43</v>
      </c>
      <c r="H1118" s="50"/>
      <c r="I1118" s="50"/>
      <c r="J1118" s="50"/>
      <c r="K1118" s="50"/>
      <c r="L1118" s="50"/>
      <c r="M1118" s="50"/>
      <c r="N1118" s="50"/>
      <c r="O1118" s="50"/>
      <c r="P1118" s="50"/>
      <c r="Q1118" s="50"/>
      <c r="R1118" s="50"/>
      <c r="S1118" s="50"/>
      <c r="T1118" s="50"/>
      <c r="U1118" s="50"/>
      <c r="V1118" s="50"/>
      <c r="W1118" s="50"/>
      <c r="X1118" s="50"/>
      <c r="Y1118" s="50"/>
      <c r="Z1118" s="50"/>
    </row>
    <row r="1119" spans="1:26">
      <c r="A1119" s="49">
        <v>1122</v>
      </c>
      <c r="B1119" s="51" t="s">
        <v>2109</v>
      </c>
      <c r="C1119" s="52" t="s">
        <v>40</v>
      </c>
      <c r="D1119" s="74" t="s">
        <v>184</v>
      </c>
      <c r="E1119" s="74" t="s">
        <v>2110</v>
      </c>
      <c r="F1119" s="49">
        <v>67.569999999999993</v>
      </c>
      <c r="G1119" s="49" t="s">
        <v>43</v>
      </c>
      <c r="H1119" s="50"/>
      <c r="I1119" s="50"/>
      <c r="J1119" s="50"/>
      <c r="K1119" s="50"/>
      <c r="L1119" s="50"/>
      <c r="M1119" s="50"/>
      <c r="N1119" s="50"/>
      <c r="O1119" s="50"/>
      <c r="P1119" s="50"/>
      <c r="Q1119" s="50"/>
      <c r="R1119" s="50"/>
      <c r="S1119" s="50"/>
      <c r="T1119" s="50"/>
      <c r="U1119" s="50"/>
      <c r="V1119" s="50"/>
      <c r="W1119" s="50"/>
      <c r="X1119" s="50"/>
      <c r="Y1119" s="50"/>
      <c r="Z1119" s="50"/>
    </row>
    <row r="1120" spans="1:26">
      <c r="A1120" s="49">
        <v>1123</v>
      </c>
      <c r="B1120" s="51" t="s">
        <v>2111</v>
      </c>
      <c r="C1120" s="52" t="s">
        <v>45</v>
      </c>
      <c r="D1120" s="74" t="s">
        <v>277</v>
      </c>
      <c r="E1120" s="74" t="s">
        <v>417</v>
      </c>
      <c r="F1120" s="49">
        <v>66.69</v>
      </c>
      <c r="G1120" s="49" t="s">
        <v>43</v>
      </c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  <c r="S1120" s="50"/>
      <c r="T1120" s="50"/>
      <c r="U1120" s="50"/>
      <c r="V1120" s="50"/>
      <c r="W1120" s="50"/>
      <c r="X1120" s="50"/>
      <c r="Y1120" s="50"/>
      <c r="Z1120" s="50"/>
    </row>
    <row r="1121" spans="1:26">
      <c r="A1121" s="49">
        <v>1124</v>
      </c>
      <c r="B1121" s="51" t="s">
        <v>2112</v>
      </c>
      <c r="C1121" s="52" t="s">
        <v>45</v>
      </c>
      <c r="D1121" s="74" t="s">
        <v>401</v>
      </c>
      <c r="E1121" s="74" t="s">
        <v>2113</v>
      </c>
      <c r="F1121" s="49">
        <v>32.58</v>
      </c>
      <c r="G1121" s="49" t="s">
        <v>43</v>
      </c>
      <c r="H1121" s="50"/>
      <c r="I1121" s="50"/>
      <c r="J1121" s="50"/>
      <c r="K1121" s="50"/>
      <c r="L1121" s="50"/>
      <c r="M1121" s="50"/>
      <c r="N1121" s="50"/>
      <c r="O1121" s="50"/>
      <c r="P1121" s="50"/>
      <c r="Q1121" s="50"/>
      <c r="R1121" s="50"/>
      <c r="S1121" s="50"/>
      <c r="T1121" s="50"/>
      <c r="U1121" s="50"/>
      <c r="V1121" s="50"/>
      <c r="W1121" s="50"/>
      <c r="X1121" s="50"/>
      <c r="Y1121" s="50"/>
      <c r="Z1121" s="50"/>
    </row>
    <row r="1122" spans="1:26">
      <c r="A1122" s="49">
        <v>1125</v>
      </c>
      <c r="B1122" s="51" t="s">
        <v>2114</v>
      </c>
      <c r="C1122" s="52" t="s">
        <v>52</v>
      </c>
      <c r="D1122" s="74" t="s">
        <v>802</v>
      </c>
      <c r="E1122" s="74" t="s">
        <v>20</v>
      </c>
      <c r="F1122" s="49">
        <v>46.18</v>
      </c>
      <c r="G1122" s="49" t="s">
        <v>43</v>
      </c>
      <c r="H1122" s="50"/>
      <c r="I1122" s="50"/>
      <c r="J1122" s="50"/>
      <c r="K1122" s="50"/>
      <c r="L1122" s="50"/>
      <c r="M1122" s="50"/>
      <c r="N1122" s="50"/>
      <c r="O1122" s="50"/>
      <c r="P1122" s="50"/>
      <c r="Q1122" s="50"/>
      <c r="R1122" s="50"/>
      <c r="S1122" s="50"/>
      <c r="T1122" s="50"/>
      <c r="U1122" s="50"/>
      <c r="V1122" s="50"/>
      <c r="W1122" s="50"/>
      <c r="X1122" s="50"/>
      <c r="Y1122" s="50"/>
      <c r="Z1122" s="50"/>
    </row>
    <row r="1123" spans="1:26">
      <c r="A1123" s="49">
        <v>1126</v>
      </c>
      <c r="B1123" s="51" t="s">
        <v>2115</v>
      </c>
      <c r="C1123" s="52" t="s">
        <v>45</v>
      </c>
      <c r="D1123" s="74"/>
      <c r="E1123" s="74" t="s">
        <v>2116</v>
      </c>
      <c r="F1123" s="49">
        <v>68.31</v>
      </c>
      <c r="G1123" s="49" t="s">
        <v>459</v>
      </c>
      <c r="H1123" s="50"/>
      <c r="I1123" s="50"/>
      <c r="J1123" s="50"/>
      <c r="K1123" s="50"/>
      <c r="L1123" s="50"/>
      <c r="M1123" s="50"/>
      <c r="N1123" s="50"/>
      <c r="O1123" s="50"/>
      <c r="P1123" s="50"/>
      <c r="Q1123" s="50"/>
      <c r="R1123" s="50"/>
      <c r="S1123" s="50"/>
      <c r="T1123" s="50"/>
      <c r="U1123" s="50"/>
      <c r="V1123" s="50"/>
      <c r="W1123" s="50"/>
      <c r="X1123" s="50"/>
      <c r="Y1123" s="50"/>
      <c r="Z1123" s="50"/>
    </row>
    <row r="1124" spans="1:26">
      <c r="A1124" s="49">
        <v>1127</v>
      </c>
      <c r="B1124" s="51" t="s">
        <v>2117</v>
      </c>
      <c r="C1124" s="52" t="s">
        <v>52</v>
      </c>
      <c r="D1124" s="74"/>
      <c r="E1124" s="74" t="s">
        <v>608</v>
      </c>
      <c r="F1124" s="49">
        <v>48.6</v>
      </c>
      <c r="G1124" s="49" t="s">
        <v>459</v>
      </c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  <c r="S1124" s="50"/>
      <c r="T1124" s="50"/>
      <c r="U1124" s="50"/>
      <c r="V1124" s="50"/>
      <c r="W1124" s="50"/>
      <c r="X1124" s="50"/>
      <c r="Y1124" s="50"/>
      <c r="Z1124" s="50"/>
    </row>
    <row r="1125" spans="1:26">
      <c r="A1125" s="49">
        <v>1128</v>
      </c>
      <c r="B1125" s="51" t="s">
        <v>2118</v>
      </c>
      <c r="C1125" s="52" t="s">
        <v>40</v>
      </c>
      <c r="D1125" s="74" t="s">
        <v>123</v>
      </c>
      <c r="E1125" s="74" t="s">
        <v>432</v>
      </c>
      <c r="F1125" s="49">
        <v>47.47</v>
      </c>
      <c r="G1125" s="49" t="s">
        <v>43</v>
      </c>
      <c r="H1125" s="50"/>
      <c r="I1125" s="50"/>
      <c r="J1125" s="50"/>
      <c r="K1125" s="50"/>
      <c r="L1125" s="50"/>
      <c r="M1125" s="50"/>
      <c r="N1125" s="50"/>
      <c r="O1125" s="50"/>
      <c r="P1125" s="50"/>
      <c r="Q1125" s="50"/>
      <c r="R1125" s="50"/>
      <c r="S1125" s="50"/>
      <c r="T1125" s="50"/>
      <c r="U1125" s="50"/>
      <c r="V1125" s="50"/>
      <c r="W1125" s="50"/>
      <c r="X1125" s="50"/>
      <c r="Y1125" s="50"/>
      <c r="Z1125" s="50"/>
    </row>
    <row r="1126" spans="1:26">
      <c r="A1126" s="49">
        <v>1129</v>
      </c>
      <c r="B1126" s="51" t="s">
        <v>2119</v>
      </c>
      <c r="C1126" s="52" t="s">
        <v>45</v>
      </c>
      <c r="D1126" s="74" t="s">
        <v>744</v>
      </c>
      <c r="E1126" s="74" t="s">
        <v>432</v>
      </c>
      <c r="F1126" s="49">
        <v>38.729999999999997</v>
      </c>
      <c r="G1126" s="49" t="s">
        <v>43</v>
      </c>
      <c r="H1126" s="50"/>
      <c r="I1126" s="50"/>
      <c r="J1126" s="50"/>
      <c r="K1126" s="50"/>
      <c r="L1126" s="50"/>
      <c r="M1126" s="50"/>
      <c r="N1126" s="50"/>
      <c r="O1126" s="50"/>
      <c r="P1126" s="50"/>
      <c r="Q1126" s="50"/>
      <c r="R1126" s="50"/>
      <c r="S1126" s="50"/>
      <c r="T1126" s="50"/>
      <c r="U1126" s="50"/>
      <c r="V1126" s="50"/>
      <c r="W1126" s="50"/>
      <c r="X1126" s="50"/>
      <c r="Y1126" s="50"/>
      <c r="Z1126" s="50"/>
    </row>
    <row r="1127" spans="1:26">
      <c r="A1127" s="49">
        <v>1130</v>
      </c>
      <c r="B1127" s="51" t="s">
        <v>2120</v>
      </c>
      <c r="C1127" s="52" t="s">
        <v>45</v>
      </c>
      <c r="D1127" s="74" t="s">
        <v>2121</v>
      </c>
      <c r="E1127" s="74" t="s">
        <v>2122</v>
      </c>
      <c r="F1127" s="49">
        <v>65.61</v>
      </c>
      <c r="G1127" s="49" t="s">
        <v>43</v>
      </c>
      <c r="H1127" s="50"/>
      <c r="I1127" s="50"/>
      <c r="J1127" s="50"/>
      <c r="K1127" s="50"/>
      <c r="L1127" s="50"/>
      <c r="M1127" s="50"/>
      <c r="N1127" s="50"/>
      <c r="O1127" s="50"/>
      <c r="P1127" s="50"/>
      <c r="Q1127" s="50"/>
      <c r="R1127" s="50"/>
      <c r="S1127" s="50"/>
      <c r="T1127" s="50"/>
      <c r="U1127" s="50"/>
      <c r="V1127" s="50"/>
      <c r="W1127" s="50"/>
      <c r="X1127" s="50"/>
      <c r="Y1127" s="50"/>
      <c r="Z1127" s="50"/>
    </row>
    <row r="1128" spans="1:26">
      <c r="A1128" s="49">
        <v>1131</v>
      </c>
      <c r="B1128" s="51" t="s">
        <v>2123</v>
      </c>
      <c r="C1128" s="52" t="s">
        <v>45</v>
      </c>
      <c r="D1128" s="74" t="s">
        <v>575</v>
      </c>
      <c r="E1128" s="74" t="s">
        <v>1347</v>
      </c>
      <c r="F1128" s="49">
        <v>53.27</v>
      </c>
      <c r="G1128" s="49" t="s">
        <v>43</v>
      </c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  <c r="S1128" s="50"/>
      <c r="T1128" s="50"/>
      <c r="U1128" s="50"/>
      <c r="V1128" s="50"/>
      <c r="W1128" s="50"/>
      <c r="X1128" s="50"/>
      <c r="Y1128" s="50"/>
      <c r="Z1128" s="50"/>
    </row>
    <row r="1129" spans="1:26">
      <c r="A1129" s="49">
        <v>1132</v>
      </c>
      <c r="B1129" s="51" t="s">
        <v>2124</v>
      </c>
      <c r="C1129" s="52" t="s">
        <v>45</v>
      </c>
      <c r="D1129" s="74"/>
      <c r="E1129" s="74" t="s">
        <v>671</v>
      </c>
      <c r="F1129" s="49">
        <v>34.07</v>
      </c>
      <c r="G1129" s="49" t="s">
        <v>459</v>
      </c>
      <c r="H1129" s="50"/>
      <c r="I1129" s="50"/>
      <c r="J1129" s="50"/>
      <c r="K1129" s="50"/>
      <c r="L1129" s="50"/>
      <c r="M1129" s="50"/>
      <c r="N1129" s="50"/>
      <c r="O1129" s="50"/>
      <c r="P1129" s="50"/>
      <c r="Q1129" s="50"/>
      <c r="R1129" s="50"/>
      <c r="S1129" s="50"/>
      <c r="T1129" s="50"/>
      <c r="U1129" s="50"/>
      <c r="V1129" s="50"/>
      <c r="W1129" s="50"/>
      <c r="X1129" s="50"/>
      <c r="Y1129" s="50"/>
      <c r="Z1129" s="50"/>
    </row>
    <row r="1130" spans="1:26">
      <c r="A1130" s="49">
        <v>1133</v>
      </c>
      <c r="B1130" s="51" t="s">
        <v>2125</v>
      </c>
      <c r="C1130" s="52" t="s">
        <v>40</v>
      </c>
      <c r="D1130" s="74" t="s">
        <v>41</v>
      </c>
      <c r="E1130" s="74" t="s">
        <v>432</v>
      </c>
      <c r="F1130" s="49">
        <v>67.150000000000006</v>
      </c>
      <c r="G1130" s="49" t="s">
        <v>43</v>
      </c>
      <c r="H1130" s="50"/>
      <c r="I1130" s="50"/>
      <c r="J1130" s="50"/>
      <c r="K1130" s="50"/>
      <c r="L1130" s="50"/>
      <c r="M1130" s="50"/>
      <c r="N1130" s="50"/>
      <c r="O1130" s="50"/>
      <c r="P1130" s="50"/>
      <c r="Q1130" s="50"/>
      <c r="R1130" s="50"/>
      <c r="S1130" s="50"/>
      <c r="T1130" s="50"/>
      <c r="U1130" s="50"/>
      <c r="V1130" s="50"/>
      <c r="W1130" s="50"/>
      <c r="X1130" s="50"/>
      <c r="Y1130" s="50"/>
      <c r="Z1130" s="50"/>
    </row>
    <row r="1131" spans="1:26">
      <c r="A1131" s="49">
        <v>1134</v>
      </c>
      <c r="B1131" s="51" t="s">
        <v>2126</v>
      </c>
      <c r="C1131" s="52" t="s">
        <v>40</v>
      </c>
      <c r="D1131" s="74" t="s">
        <v>62</v>
      </c>
      <c r="E1131" s="74" t="s">
        <v>432</v>
      </c>
      <c r="F1131" s="49">
        <v>78.14</v>
      </c>
      <c r="G1131" s="49" t="s">
        <v>43</v>
      </c>
      <c r="H1131" s="50"/>
      <c r="I1131" s="50"/>
      <c r="J1131" s="50"/>
      <c r="K1131" s="50"/>
      <c r="L1131" s="50"/>
      <c r="M1131" s="50"/>
      <c r="N1131" s="50"/>
      <c r="O1131" s="50"/>
      <c r="P1131" s="50"/>
      <c r="Q1131" s="50"/>
      <c r="R1131" s="50"/>
      <c r="S1131" s="50"/>
      <c r="T1131" s="50"/>
      <c r="U1131" s="50"/>
      <c r="V1131" s="50"/>
      <c r="W1131" s="50"/>
      <c r="X1131" s="50"/>
      <c r="Y1131" s="50"/>
      <c r="Z1131" s="50"/>
    </row>
    <row r="1132" spans="1:26">
      <c r="A1132" s="49">
        <v>1135</v>
      </c>
      <c r="B1132" s="51" t="s">
        <v>2127</v>
      </c>
      <c r="C1132" s="52" t="s">
        <v>45</v>
      </c>
      <c r="D1132" s="74" t="s">
        <v>931</v>
      </c>
      <c r="E1132" s="74" t="s">
        <v>642</v>
      </c>
      <c r="F1132" s="49">
        <v>56.99</v>
      </c>
      <c r="G1132" s="49" t="s">
        <v>43</v>
      </c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  <c r="S1132" s="50"/>
      <c r="T1132" s="50"/>
      <c r="U1132" s="50"/>
      <c r="V1132" s="50"/>
      <c r="W1132" s="50"/>
      <c r="X1132" s="50"/>
      <c r="Y1132" s="50"/>
      <c r="Z1132" s="50"/>
    </row>
    <row r="1133" spans="1:26">
      <c r="A1133" s="49">
        <v>1136</v>
      </c>
      <c r="B1133" s="51" t="s">
        <v>2128</v>
      </c>
      <c r="C1133" s="52" t="s">
        <v>52</v>
      </c>
      <c r="D1133" s="74" t="s">
        <v>2129</v>
      </c>
      <c r="E1133" s="74" t="s">
        <v>1266</v>
      </c>
      <c r="F1133" s="49">
        <v>60.78</v>
      </c>
      <c r="G1133" s="49" t="s">
        <v>43</v>
      </c>
      <c r="H1133" s="50"/>
      <c r="I1133" s="50"/>
      <c r="J1133" s="50"/>
      <c r="K1133" s="50"/>
      <c r="L1133" s="50"/>
      <c r="M1133" s="50"/>
      <c r="N1133" s="50"/>
      <c r="O1133" s="50"/>
      <c r="P1133" s="50"/>
      <c r="Q1133" s="50"/>
      <c r="R1133" s="50"/>
      <c r="S1133" s="50"/>
      <c r="T1133" s="50"/>
      <c r="U1133" s="50"/>
      <c r="V1133" s="50"/>
      <c r="W1133" s="50"/>
      <c r="X1133" s="50"/>
      <c r="Y1133" s="50"/>
      <c r="Z1133" s="50"/>
    </row>
    <row r="1134" spans="1:26">
      <c r="A1134" s="49">
        <v>1137</v>
      </c>
      <c r="B1134" s="51" t="s">
        <v>2130</v>
      </c>
      <c r="C1134" s="52" t="s">
        <v>40</v>
      </c>
      <c r="D1134" s="74" t="s">
        <v>1594</v>
      </c>
      <c r="E1134" s="74" t="s">
        <v>2131</v>
      </c>
      <c r="F1134" s="49">
        <v>55.96</v>
      </c>
      <c r="G1134" s="49" t="s">
        <v>43</v>
      </c>
      <c r="H1134" s="50"/>
      <c r="I1134" s="50"/>
      <c r="J1134" s="50"/>
      <c r="K1134" s="50"/>
      <c r="L1134" s="50"/>
      <c r="M1134" s="50"/>
      <c r="N1134" s="50"/>
      <c r="O1134" s="50"/>
      <c r="P1134" s="50"/>
      <c r="Q1134" s="50"/>
      <c r="R1134" s="50"/>
      <c r="S1134" s="50"/>
      <c r="T1134" s="50"/>
      <c r="U1134" s="50"/>
      <c r="V1134" s="50"/>
      <c r="W1134" s="50"/>
      <c r="X1134" s="50"/>
      <c r="Y1134" s="50"/>
      <c r="Z1134" s="50"/>
    </row>
    <row r="1135" spans="1:26">
      <c r="A1135" s="49">
        <v>1138</v>
      </c>
      <c r="B1135" s="51" t="s">
        <v>2132</v>
      </c>
      <c r="C1135" s="52" t="s">
        <v>45</v>
      </c>
      <c r="D1135" s="74" t="s">
        <v>168</v>
      </c>
      <c r="E1135" s="74" t="s">
        <v>2133</v>
      </c>
      <c r="F1135" s="49">
        <v>48.28</v>
      </c>
      <c r="G1135" s="49" t="s">
        <v>43</v>
      </c>
      <c r="H1135" s="50"/>
      <c r="I1135" s="50"/>
      <c r="J1135" s="50"/>
      <c r="K1135" s="50"/>
      <c r="L1135" s="50"/>
      <c r="M1135" s="50"/>
      <c r="N1135" s="50"/>
      <c r="O1135" s="50"/>
      <c r="P1135" s="50"/>
      <c r="Q1135" s="50"/>
      <c r="R1135" s="50"/>
      <c r="S1135" s="50"/>
      <c r="T1135" s="50"/>
      <c r="U1135" s="50"/>
      <c r="V1135" s="50"/>
      <c r="W1135" s="50"/>
      <c r="X1135" s="50"/>
      <c r="Y1135" s="50"/>
      <c r="Z1135" s="50"/>
    </row>
    <row r="1136" spans="1:26">
      <c r="A1136" s="49">
        <v>1139</v>
      </c>
      <c r="B1136" s="51" t="s">
        <v>2134</v>
      </c>
      <c r="C1136" s="52" t="s">
        <v>45</v>
      </c>
      <c r="D1136" s="74" t="s">
        <v>214</v>
      </c>
      <c r="E1136" s="74" t="s">
        <v>2135</v>
      </c>
      <c r="F1136" s="49">
        <v>46.66</v>
      </c>
      <c r="G1136" s="49" t="s">
        <v>43</v>
      </c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  <c r="S1136" s="50"/>
      <c r="T1136" s="50"/>
      <c r="U1136" s="50"/>
      <c r="V1136" s="50"/>
      <c r="W1136" s="50"/>
      <c r="X1136" s="50"/>
      <c r="Y1136" s="50"/>
      <c r="Z1136" s="50"/>
    </row>
    <row r="1137" spans="1:26">
      <c r="A1137" s="49">
        <v>1140</v>
      </c>
      <c r="B1137" s="51" t="s">
        <v>2136</v>
      </c>
      <c r="C1137" s="52" t="s">
        <v>45</v>
      </c>
      <c r="D1137" s="74" t="s">
        <v>214</v>
      </c>
      <c r="E1137" s="74" t="s">
        <v>2137</v>
      </c>
      <c r="F1137" s="49">
        <v>62.33</v>
      </c>
      <c r="G1137" s="49" t="s">
        <v>43</v>
      </c>
      <c r="H1137" s="50"/>
      <c r="I1137" s="50"/>
      <c r="J1137" s="50"/>
      <c r="K1137" s="50"/>
      <c r="L1137" s="50"/>
      <c r="M1137" s="50"/>
      <c r="N1137" s="50"/>
      <c r="O1137" s="50"/>
      <c r="P1137" s="50"/>
      <c r="Q1137" s="50"/>
      <c r="R1137" s="50"/>
      <c r="S1137" s="50"/>
      <c r="T1137" s="50"/>
      <c r="U1137" s="50"/>
      <c r="V1137" s="50"/>
      <c r="W1137" s="50"/>
      <c r="X1137" s="50"/>
      <c r="Y1137" s="50"/>
      <c r="Z1137" s="50"/>
    </row>
    <row r="1138" spans="1:26">
      <c r="A1138" s="49">
        <v>1141</v>
      </c>
      <c r="B1138" s="51" t="s">
        <v>2138</v>
      </c>
      <c r="C1138" s="52" t="s">
        <v>40</v>
      </c>
      <c r="D1138" s="74"/>
      <c r="E1138" s="74" t="s">
        <v>671</v>
      </c>
      <c r="F1138" s="49">
        <v>54.17</v>
      </c>
      <c r="G1138" s="49" t="s">
        <v>459</v>
      </c>
      <c r="H1138" s="50"/>
      <c r="I1138" s="50"/>
      <c r="J1138" s="50"/>
      <c r="K1138" s="50"/>
      <c r="L1138" s="50"/>
      <c r="M1138" s="50"/>
      <c r="N1138" s="50"/>
      <c r="O1138" s="50"/>
      <c r="P1138" s="50"/>
      <c r="Q1138" s="50"/>
      <c r="R1138" s="50"/>
      <c r="S1138" s="50"/>
      <c r="T1138" s="50"/>
      <c r="U1138" s="50"/>
      <c r="V1138" s="50"/>
      <c r="W1138" s="50"/>
      <c r="X1138" s="50"/>
      <c r="Y1138" s="50"/>
      <c r="Z1138" s="50"/>
    </row>
    <row r="1139" spans="1:26">
      <c r="A1139" s="49">
        <v>1142</v>
      </c>
      <c r="B1139" s="51" t="s">
        <v>2139</v>
      </c>
      <c r="C1139" s="52" t="s">
        <v>40</v>
      </c>
      <c r="D1139" s="74"/>
      <c r="E1139" s="74" t="s">
        <v>671</v>
      </c>
      <c r="F1139" s="49">
        <v>34.49</v>
      </c>
      <c r="G1139" s="49" t="s">
        <v>459</v>
      </c>
      <c r="H1139" s="50"/>
      <c r="I1139" s="50"/>
      <c r="J1139" s="50"/>
      <c r="K1139" s="50"/>
      <c r="L1139" s="50"/>
      <c r="M1139" s="50"/>
      <c r="N1139" s="50"/>
      <c r="O1139" s="50"/>
      <c r="P1139" s="50"/>
      <c r="Q1139" s="50"/>
      <c r="R1139" s="50"/>
      <c r="S1139" s="50"/>
      <c r="T1139" s="50"/>
      <c r="U1139" s="50"/>
      <c r="V1139" s="50"/>
      <c r="W1139" s="50"/>
      <c r="X1139" s="50"/>
      <c r="Y1139" s="50"/>
      <c r="Z1139" s="50"/>
    </row>
    <row r="1140" spans="1:26">
      <c r="A1140" s="49">
        <v>1143</v>
      </c>
      <c r="B1140" s="51" t="s">
        <v>2140</v>
      </c>
      <c r="C1140" s="52" t="s">
        <v>45</v>
      </c>
      <c r="D1140" s="74" t="s">
        <v>214</v>
      </c>
      <c r="E1140" s="74" t="s">
        <v>2141</v>
      </c>
      <c r="F1140" s="49">
        <v>58.34</v>
      </c>
      <c r="G1140" s="49" t="s">
        <v>43</v>
      </c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  <c r="S1140" s="50"/>
      <c r="T1140" s="50"/>
      <c r="U1140" s="50"/>
      <c r="V1140" s="50"/>
      <c r="W1140" s="50"/>
      <c r="X1140" s="50"/>
      <c r="Y1140" s="50"/>
      <c r="Z1140" s="50"/>
    </row>
    <row r="1141" spans="1:26">
      <c r="A1141" s="49">
        <v>1144</v>
      </c>
      <c r="B1141" s="51" t="s">
        <v>2142</v>
      </c>
      <c r="C1141" s="52" t="s">
        <v>45</v>
      </c>
      <c r="D1141" s="74" t="s">
        <v>123</v>
      </c>
      <c r="E1141" s="74" t="s">
        <v>20</v>
      </c>
      <c r="F1141" s="49">
        <v>45.1</v>
      </c>
      <c r="G1141" s="49" t="s">
        <v>43</v>
      </c>
      <c r="H1141" s="50"/>
      <c r="I1141" s="50"/>
      <c r="J1141" s="50"/>
      <c r="K1141" s="50"/>
      <c r="L1141" s="50"/>
      <c r="M1141" s="50"/>
      <c r="N1141" s="50"/>
      <c r="O1141" s="50"/>
      <c r="P1141" s="50"/>
      <c r="Q1141" s="50"/>
      <c r="R1141" s="50"/>
      <c r="S1141" s="50"/>
      <c r="T1141" s="50"/>
      <c r="U1141" s="50"/>
      <c r="V1141" s="50"/>
      <c r="W1141" s="50"/>
      <c r="X1141" s="50"/>
      <c r="Y1141" s="50"/>
      <c r="Z1141" s="50"/>
    </row>
    <row r="1142" spans="1:26">
      <c r="A1142" s="49">
        <v>1145</v>
      </c>
      <c r="B1142" s="51" t="s">
        <v>2143</v>
      </c>
      <c r="C1142" s="52" t="s">
        <v>45</v>
      </c>
      <c r="D1142" s="74" t="s">
        <v>277</v>
      </c>
      <c r="E1142" s="74" t="s">
        <v>1347</v>
      </c>
      <c r="F1142" s="49">
        <v>51.12</v>
      </c>
      <c r="G1142" s="49" t="s">
        <v>43</v>
      </c>
      <c r="H1142" s="50"/>
      <c r="I1142" s="50"/>
      <c r="J1142" s="50"/>
      <c r="K1142" s="50"/>
      <c r="L1142" s="50"/>
      <c r="M1142" s="50"/>
      <c r="N1142" s="50"/>
      <c r="O1142" s="50"/>
      <c r="P1142" s="50"/>
      <c r="Q1142" s="50"/>
      <c r="R1142" s="50"/>
      <c r="S1142" s="50"/>
      <c r="T1142" s="50"/>
      <c r="U1142" s="50"/>
      <c r="V1142" s="50"/>
      <c r="W1142" s="50"/>
      <c r="X1142" s="50"/>
      <c r="Y1142" s="50"/>
      <c r="Z1142" s="50"/>
    </row>
    <row r="1143" spans="1:26">
      <c r="A1143" s="49">
        <v>1146</v>
      </c>
      <c r="B1143" s="51" t="s">
        <v>2144</v>
      </c>
      <c r="C1143" s="52" t="s">
        <v>45</v>
      </c>
      <c r="D1143" s="74" t="s">
        <v>123</v>
      </c>
      <c r="E1143" s="74" t="s">
        <v>2145</v>
      </c>
      <c r="F1143" s="49">
        <v>36.9</v>
      </c>
      <c r="G1143" s="49" t="s">
        <v>43</v>
      </c>
      <c r="H1143" s="50"/>
      <c r="I1143" s="50"/>
      <c r="J1143" s="50"/>
      <c r="K1143" s="50"/>
      <c r="L1143" s="50"/>
      <c r="M1143" s="50"/>
      <c r="N1143" s="50"/>
      <c r="O1143" s="50"/>
      <c r="P1143" s="50"/>
      <c r="Q1143" s="50"/>
      <c r="R1143" s="50"/>
      <c r="S1143" s="50"/>
      <c r="T1143" s="50"/>
      <c r="U1143" s="50"/>
      <c r="V1143" s="50"/>
      <c r="W1143" s="50"/>
      <c r="X1143" s="50"/>
      <c r="Y1143" s="50"/>
      <c r="Z1143" s="50"/>
    </row>
    <row r="1144" spans="1:26">
      <c r="A1144" s="49">
        <v>1147</v>
      </c>
      <c r="B1144" s="51" t="s">
        <v>2146</v>
      </c>
      <c r="C1144" s="52" t="s">
        <v>52</v>
      </c>
      <c r="D1144" s="74" t="s">
        <v>2147</v>
      </c>
      <c r="E1144" s="74" t="s">
        <v>20</v>
      </c>
      <c r="F1144" s="49">
        <v>58.35</v>
      </c>
      <c r="G1144" s="49" t="s">
        <v>43</v>
      </c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  <c r="S1144" s="50"/>
      <c r="T1144" s="50"/>
      <c r="U1144" s="50"/>
      <c r="V1144" s="50"/>
      <c r="W1144" s="50"/>
      <c r="X1144" s="50"/>
      <c r="Y1144" s="50"/>
      <c r="Z1144" s="50"/>
    </row>
    <row r="1145" spans="1:26">
      <c r="A1145" s="49">
        <v>1148</v>
      </c>
      <c r="B1145" s="51" t="s">
        <v>2148</v>
      </c>
      <c r="C1145" s="52" t="s">
        <v>40</v>
      </c>
      <c r="D1145" s="74"/>
      <c r="E1145" s="74" t="s">
        <v>608</v>
      </c>
      <c r="F1145" s="49">
        <v>75.319999999999993</v>
      </c>
      <c r="G1145" s="49" t="s">
        <v>459</v>
      </c>
      <c r="H1145" s="50"/>
      <c r="I1145" s="50"/>
      <c r="J1145" s="50"/>
      <c r="K1145" s="50"/>
      <c r="L1145" s="50"/>
      <c r="M1145" s="50"/>
      <c r="N1145" s="50"/>
      <c r="O1145" s="50"/>
      <c r="P1145" s="50"/>
      <c r="Q1145" s="50"/>
      <c r="R1145" s="50"/>
      <c r="S1145" s="50"/>
      <c r="T1145" s="50"/>
      <c r="U1145" s="50"/>
      <c r="V1145" s="50"/>
      <c r="W1145" s="50"/>
      <c r="X1145" s="50"/>
      <c r="Y1145" s="50"/>
      <c r="Z1145" s="50"/>
    </row>
    <row r="1146" spans="1:26">
      <c r="A1146" s="49">
        <v>1149</v>
      </c>
      <c r="B1146" s="51" t="s">
        <v>2149</v>
      </c>
      <c r="C1146" s="52" t="s">
        <v>45</v>
      </c>
      <c r="D1146" s="74"/>
      <c r="E1146" s="74" t="s">
        <v>608</v>
      </c>
      <c r="F1146" s="49">
        <v>48.01</v>
      </c>
      <c r="G1146" s="49" t="s">
        <v>459</v>
      </c>
      <c r="H1146" s="50"/>
      <c r="I1146" s="50"/>
      <c r="J1146" s="50"/>
      <c r="K1146" s="50"/>
      <c r="L1146" s="50"/>
      <c r="M1146" s="50"/>
      <c r="N1146" s="50"/>
      <c r="O1146" s="50"/>
      <c r="P1146" s="50"/>
      <c r="Q1146" s="50"/>
      <c r="R1146" s="50"/>
      <c r="S1146" s="50"/>
      <c r="T1146" s="50"/>
      <c r="U1146" s="50"/>
      <c r="V1146" s="50"/>
      <c r="W1146" s="50"/>
      <c r="X1146" s="50"/>
      <c r="Y1146" s="50"/>
      <c r="Z1146" s="50"/>
    </row>
    <row r="1147" spans="1:26">
      <c r="A1147" s="49">
        <v>1150</v>
      </c>
      <c r="B1147" s="51" t="s">
        <v>2150</v>
      </c>
      <c r="C1147" s="52" t="s">
        <v>40</v>
      </c>
      <c r="D1147" s="74" t="s">
        <v>128</v>
      </c>
      <c r="E1147" s="74" t="s">
        <v>2151</v>
      </c>
      <c r="F1147" s="49">
        <v>59.97</v>
      </c>
      <c r="G1147" s="49" t="s">
        <v>43</v>
      </c>
      <c r="H1147" s="50"/>
      <c r="I1147" s="50"/>
      <c r="J1147" s="50"/>
      <c r="K1147" s="50"/>
      <c r="L1147" s="50"/>
      <c r="M1147" s="50"/>
      <c r="N1147" s="50"/>
      <c r="O1147" s="50"/>
      <c r="P1147" s="50"/>
      <c r="Q1147" s="50"/>
      <c r="R1147" s="50"/>
      <c r="S1147" s="50"/>
      <c r="T1147" s="50"/>
      <c r="U1147" s="50"/>
      <c r="V1147" s="50"/>
      <c r="W1147" s="50"/>
      <c r="X1147" s="50"/>
      <c r="Y1147" s="50"/>
      <c r="Z1147" s="50"/>
    </row>
    <row r="1148" spans="1:26">
      <c r="A1148" s="49">
        <v>1151</v>
      </c>
      <c r="B1148" s="51" t="s">
        <v>2152</v>
      </c>
      <c r="C1148" s="52" t="s">
        <v>45</v>
      </c>
      <c r="D1148" s="74" t="s">
        <v>2003</v>
      </c>
      <c r="E1148" s="74" t="s">
        <v>2085</v>
      </c>
      <c r="F1148" s="49">
        <v>59.16</v>
      </c>
      <c r="G1148" s="49" t="s">
        <v>43</v>
      </c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  <c r="S1148" s="50"/>
      <c r="T1148" s="50"/>
      <c r="U1148" s="50"/>
      <c r="V1148" s="50"/>
      <c r="W1148" s="50"/>
      <c r="X1148" s="50"/>
      <c r="Y1148" s="50"/>
      <c r="Z1148" s="50"/>
    </row>
    <row r="1149" spans="1:26">
      <c r="A1149" s="49">
        <v>1152</v>
      </c>
      <c r="B1149" s="51" t="s">
        <v>2153</v>
      </c>
      <c r="C1149" s="52" t="s">
        <v>45</v>
      </c>
      <c r="D1149" s="74" t="s">
        <v>2065</v>
      </c>
      <c r="E1149" s="74" t="s">
        <v>432</v>
      </c>
      <c r="F1149" s="49">
        <v>43.47</v>
      </c>
      <c r="G1149" s="49" t="s">
        <v>43</v>
      </c>
      <c r="H1149" s="50"/>
      <c r="I1149" s="50"/>
      <c r="J1149" s="50"/>
      <c r="K1149" s="50"/>
      <c r="L1149" s="50"/>
      <c r="M1149" s="50"/>
      <c r="N1149" s="50"/>
      <c r="O1149" s="50"/>
      <c r="P1149" s="50"/>
      <c r="Q1149" s="50"/>
      <c r="R1149" s="50"/>
      <c r="S1149" s="50"/>
      <c r="T1149" s="50"/>
      <c r="U1149" s="50"/>
      <c r="V1149" s="50"/>
      <c r="W1149" s="50"/>
      <c r="X1149" s="50"/>
      <c r="Y1149" s="50"/>
      <c r="Z1149" s="50"/>
    </row>
    <row r="1150" spans="1:26">
      <c r="A1150" s="49">
        <v>1153</v>
      </c>
      <c r="B1150" s="51" t="s">
        <v>2154</v>
      </c>
      <c r="C1150" s="52" t="s">
        <v>52</v>
      </c>
      <c r="D1150" s="74" t="s">
        <v>1941</v>
      </c>
      <c r="E1150" s="74" t="s">
        <v>355</v>
      </c>
      <c r="F1150" s="49">
        <v>35.79</v>
      </c>
      <c r="G1150" s="49" t="s">
        <v>43</v>
      </c>
      <c r="H1150" s="50"/>
      <c r="I1150" s="50"/>
      <c r="J1150" s="50"/>
      <c r="K1150" s="50"/>
      <c r="L1150" s="50"/>
      <c r="M1150" s="50"/>
      <c r="N1150" s="50"/>
      <c r="O1150" s="50"/>
      <c r="P1150" s="50"/>
      <c r="Q1150" s="50"/>
      <c r="R1150" s="50"/>
      <c r="S1150" s="50"/>
      <c r="T1150" s="50"/>
      <c r="U1150" s="50"/>
      <c r="V1150" s="50"/>
      <c r="W1150" s="50"/>
      <c r="X1150" s="50"/>
      <c r="Y1150" s="50"/>
      <c r="Z1150" s="50"/>
    </row>
    <row r="1151" spans="1:26">
      <c r="A1151" s="49">
        <v>1154</v>
      </c>
      <c r="B1151" s="51" t="s">
        <v>2155</v>
      </c>
      <c r="C1151" s="52" t="s">
        <v>40</v>
      </c>
      <c r="D1151" s="74" t="s">
        <v>62</v>
      </c>
      <c r="E1151" s="74" t="s">
        <v>2156</v>
      </c>
      <c r="F1151" s="49">
        <v>49.01</v>
      </c>
      <c r="G1151" s="49" t="s">
        <v>43</v>
      </c>
      <c r="H1151" s="50"/>
      <c r="I1151" s="50"/>
      <c r="J1151" s="50"/>
      <c r="K1151" s="50"/>
      <c r="L1151" s="50"/>
      <c r="M1151" s="50"/>
      <c r="N1151" s="50"/>
      <c r="O1151" s="50"/>
      <c r="P1151" s="50"/>
      <c r="Q1151" s="50"/>
      <c r="R1151" s="50"/>
      <c r="S1151" s="50"/>
      <c r="T1151" s="50"/>
      <c r="U1151" s="50"/>
      <c r="V1151" s="50"/>
      <c r="W1151" s="50"/>
      <c r="X1151" s="50"/>
      <c r="Y1151" s="50"/>
      <c r="Z1151" s="50"/>
    </row>
    <row r="1152" spans="1:26">
      <c r="A1152" s="49">
        <v>1155</v>
      </c>
      <c r="B1152" s="51" t="s">
        <v>2157</v>
      </c>
      <c r="C1152" s="52" t="s">
        <v>45</v>
      </c>
      <c r="D1152" s="74" t="s">
        <v>214</v>
      </c>
      <c r="E1152" s="74" t="s">
        <v>112</v>
      </c>
      <c r="F1152" s="49">
        <v>49.2</v>
      </c>
      <c r="G1152" s="49" t="s">
        <v>43</v>
      </c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  <c r="S1152" s="50"/>
      <c r="T1152" s="50"/>
      <c r="U1152" s="50"/>
      <c r="V1152" s="50"/>
      <c r="W1152" s="50"/>
      <c r="X1152" s="50"/>
      <c r="Y1152" s="50"/>
      <c r="Z1152" s="50"/>
    </row>
    <row r="1153" spans="1:26">
      <c r="A1153" s="49">
        <v>1156</v>
      </c>
      <c r="B1153" s="51" t="s">
        <v>2158</v>
      </c>
      <c r="C1153" s="52" t="s">
        <v>45</v>
      </c>
      <c r="D1153" s="74" t="s">
        <v>59</v>
      </c>
      <c r="E1153" s="74" t="s">
        <v>2159</v>
      </c>
      <c r="F1153" s="49">
        <v>48.34</v>
      </c>
      <c r="G1153" s="49" t="s">
        <v>43</v>
      </c>
      <c r="H1153" s="50"/>
      <c r="I1153" s="50"/>
      <c r="J1153" s="50"/>
      <c r="K1153" s="50"/>
      <c r="L1153" s="50"/>
      <c r="M1153" s="50"/>
      <c r="N1153" s="50"/>
      <c r="O1153" s="50"/>
      <c r="P1153" s="50"/>
      <c r="Q1153" s="50"/>
      <c r="R1153" s="50"/>
      <c r="S1153" s="50"/>
      <c r="T1153" s="50"/>
      <c r="U1153" s="50"/>
      <c r="V1153" s="50"/>
      <c r="W1153" s="50"/>
      <c r="X1153" s="50"/>
      <c r="Y1153" s="50"/>
      <c r="Z1153" s="50"/>
    </row>
    <row r="1154" spans="1:26">
      <c r="A1154" s="49">
        <v>1157</v>
      </c>
      <c r="B1154" s="51" t="s">
        <v>2160</v>
      </c>
      <c r="C1154" s="52" t="s">
        <v>52</v>
      </c>
      <c r="D1154" s="74" t="s">
        <v>2161</v>
      </c>
      <c r="E1154" s="74" t="s">
        <v>2162</v>
      </c>
      <c r="F1154" s="49">
        <v>38.86</v>
      </c>
      <c r="G1154" s="49" t="s">
        <v>43</v>
      </c>
      <c r="H1154" s="50"/>
      <c r="I1154" s="50"/>
      <c r="J1154" s="50"/>
      <c r="K1154" s="50"/>
      <c r="L1154" s="50"/>
      <c r="M1154" s="50"/>
      <c r="N1154" s="50"/>
      <c r="O1154" s="50"/>
      <c r="P1154" s="50"/>
      <c r="Q1154" s="50"/>
      <c r="R1154" s="50"/>
      <c r="S1154" s="50"/>
      <c r="T1154" s="50"/>
      <c r="U1154" s="50"/>
      <c r="V1154" s="50"/>
      <c r="W1154" s="50"/>
      <c r="X1154" s="50"/>
      <c r="Y1154" s="50"/>
      <c r="Z1154" s="50"/>
    </row>
    <row r="1155" spans="1:26">
      <c r="A1155" s="49">
        <v>1158</v>
      </c>
      <c r="B1155" s="51" t="s">
        <v>2163</v>
      </c>
      <c r="C1155" s="52" t="s">
        <v>45</v>
      </c>
      <c r="D1155" s="74"/>
      <c r="E1155" s="74" t="s">
        <v>2164</v>
      </c>
      <c r="F1155" s="49">
        <v>60.55</v>
      </c>
      <c r="G1155" s="49" t="s">
        <v>459</v>
      </c>
      <c r="H1155" s="50"/>
      <c r="I1155" s="50"/>
      <c r="J1155" s="50"/>
      <c r="K1155" s="50"/>
      <c r="L1155" s="50"/>
      <c r="M1155" s="50"/>
      <c r="N1155" s="50"/>
      <c r="O1155" s="50"/>
      <c r="P1155" s="50"/>
      <c r="Q1155" s="50"/>
      <c r="R1155" s="50"/>
      <c r="S1155" s="50"/>
      <c r="T1155" s="50"/>
      <c r="U1155" s="50"/>
      <c r="V1155" s="50"/>
      <c r="W1155" s="50"/>
      <c r="X1155" s="50"/>
      <c r="Y1155" s="50"/>
      <c r="Z1155" s="50"/>
    </row>
    <row r="1156" spans="1:26">
      <c r="A1156" s="49">
        <v>1159</v>
      </c>
      <c r="B1156" s="51" t="s">
        <v>2165</v>
      </c>
      <c r="C1156" s="52" t="s">
        <v>52</v>
      </c>
      <c r="D1156" s="74"/>
      <c r="E1156" s="74" t="s">
        <v>2164</v>
      </c>
      <c r="F1156" s="49">
        <v>51.52</v>
      </c>
      <c r="G1156" s="49" t="s">
        <v>459</v>
      </c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  <c r="S1156" s="50"/>
      <c r="T1156" s="50"/>
      <c r="U1156" s="50"/>
      <c r="V1156" s="50"/>
      <c r="W1156" s="50"/>
      <c r="X1156" s="50"/>
      <c r="Y1156" s="50"/>
      <c r="Z1156" s="50"/>
    </row>
    <row r="1157" spans="1:26">
      <c r="A1157" s="49">
        <v>1160</v>
      </c>
      <c r="B1157" s="51" t="s">
        <v>2166</v>
      </c>
      <c r="C1157" s="52" t="s">
        <v>40</v>
      </c>
      <c r="D1157" s="74" t="s">
        <v>41</v>
      </c>
      <c r="E1157" s="74" t="s">
        <v>432</v>
      </c>
      <c r="F1157" s="49">
        <v>67.34</v>
      </c>
      <c r="G1157" s="49" t="s">
        <v>43</v>
      </c>
      <c r="H1157" s="50"/>
      <c r="I1157" s="50"/>
      <c r="J1157" s="50"/>
      <c r="K1157" s="50"/>
      <c r="L1157" s="50"/>
      <c r="M1157" s="50"/>
      <c r="N1157" s="50"/>
      <c r="O1157" s="50"/>
      <c r="P1157" s="50"/>
      <c r="Q1157" s="50"/>
      <c r="R1157" s="50"/>
      <c r="S1157" s="50"/>
      <c r="T1157" s="50"/>
      <c r="U1157" s="50"/>
      <c r="V1157" s="50"/>
      <c r="W1157" s="50"/>
      <c r="X1157" s="50"/>
      <c r="Y1157" s="50"/>
      <c r="Z1157" s="50"/>
    </row>
    <row r="1158" spans="1:26">
      <c r="A1158" s="49">
        <v>1161</v>
      </c>
      <c r="B1158" s="51" t="s">
        <v>2167</v>
      </c>
      <c r="C1158" s="52" t="s">
        <v>45</v>
      </c>
      <c r="D1158" s="74" t="s">
        <v>1941</v>
      </c>
      <c r="E1158" s="74" t="s">
        <v>355</v>
      </c>
      <c r="F1158" s="49">
        <v>72.010000000000005</v>
      </c>
      <c r="G1158" s="49" t="s">
        <v>43</v>
      </c>
      <c r="H1158" s="50"/>
      <c r="I1158" s="50"/>
      <c r="J1158" s="50"/>
      <c r="K1158" s="50"/>
      <c r="L1158" s="50"/>
      <c r="M1158" s="50"/>
      <c r="N1158" s="50"/>
      <c r="O1158" s="50"/>
      <c r="P1158" s="50"/>
      <c r="Q1158" s="50"/>
      <c r="R1158" s="50"/>
      <c r="S1158" s="50"/>
      <c r="T1158" s="50"/>
      <c r="U1158" s="50"/>
      <c r="V1158" s="50"/>
      <c r="W1158" s="50"/>
      <c r="X1158" s="50"/>
      <c r="Y1158" s="50"/>
      <c r="Z1158" s="50"/>
    </row>
    <row r="1159" spans="1:26">
      <c r="A1159" s="49">
        <v>1162</v>
      </c>
      <c r="B1159" s="51" t="s">
        <v>2168</v>
      </c>
      <c r="C1159" s="52" t="s">
        <v>45</v>
      </c>
      <c r="D1159" s="74" t="s">
        <v>744</v>
      </c>
      <c r="E1159" s="74" t="s">
        <v>2169</v>
      </c>
      <c r="F1159" s="49">
        <v>42.78</v>
      </c>
      <c r="G1159" s="49" t="s">
        <v>43</v>
      </c>
      <c r="H1159" s="50"/>
      <c r="I1159" s="50"/>
      <c r="J1159" s="50"/>
      <c r="K1159" s="50"/>
      <c r="L1159" s="50"/>
      <c r="M1159" s="50"/>
      <c r="N1159" s="50"/>
      <c r="O1159" s="50"/>
      <c r="P1159" s="50"/>
      <c r="Q1159" s="50"/>
      <c r="R1159" s="50"/>
      <c r="S1159" s="50"/>
      <c r="T1159" s="50"/>
      <c r="U1159" s="50"/>
      <c r="V1159" s="50"/>
      <c r="W1159" s="50"/>
      <c r="X1159" s="50"/>
      <c r="Y1159" s="50"/>
      <c r="Z1159" s="50"/>
    </row>
    <row r="1160" spans="1:26">
      <c r="A1160" s="49">
        <v>1163</v>
      </c>
      <c r="B1160" s="51" t="s">
        <v>2170</v>
      </c>
      <c r="C1160" s="52" t="s">
        <v>52</v>
      </c>
      <c r="D1160" s="74" t="s">
        <v>2171</v>
      </c>
      <c r="E1160" s="74" t="s">
        <v>2172</v>
      </c>
      <c r="F1160" s="49">
        <v>33.36</v>
      </c>
      <c r="G1160" s="49" t="s">
        <v>43</v>
      </c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  <c r="S1160" s="50"/>
      <c r="T1160" s="50"/>
      <c r="U1160" s="50"/>
      <c r="V1160" s="50"/>
      <c r="W1160" s="50"/>
      <c r="X1160" s="50"/>
      <c r="Y1160" s="50"/>
      <c r="Z1160" s="50"/>
    </row>
    <row r="1161" spans="1:26">
      <c r="A1161" s="49">
        <v>1164</v>
      </c>
      <c r="B1161" s="51" t="s">
        <v>2173</v>
      </c>
      <c r="C1161" s="52" t="s">
        <v>45</v>
      </c>
      <c r="D1161" s="74"/>
      <c r="E1161" s="74"/>
      <c r="F1161" s="49">
        <v>64.650000000000006</v>
      </c>
      <c r="G1161" s="49" t="s">
        <v>459</v>
      </c>
      <c r="H1161" s="50"/>
      <c r="I1161" s="50"/>
      <c r="J1161" s="50"/>
      <c r="K1161" s="50"/>
      <c r="L1161" s="50"/>
      <c r="M1161" s="50"/>
      <c r="N1161" s="50"/>
      <c r="O1161" s="50"/>
      <c r="P1161" s="50"/>
      <c r="Q1161" s="50"/>
      <c r="R1161" s="50"/>
      <c r="S1161" s="50"/>
      <c r="T1161" s="50"/>
      <c r="U1161" s="50"/>
      <c r="V1161" s="50"/>
      <c r="W1161" s="50"/>
      <c r="X1161" s="50"/>
      <c r="Y1161" s="50"/>
      <c r="Z1161" s="50"/>
    </row>
    <row r="1162" spans="1:26">
      <c r="A1162" s="49">
        <v>1165</v>
      </c>
      <c r="B1162" s="51" t="s">
        <v>2174</v>
      </c>
      <c r="C1162" s="52" t="s">
        <v>40</v>
      </c>
      <c r="D1162" s="74" t="s">
        <v>59</v>
      </c>
      <c r="E1162" s="74" t="s">
        <v>20</v>
      </c>
      <c r="F1162" s="49">
        <v>84.72</v>
      </c>
      <c r="G1162" s="49" t="s">
        <v>43</v>
      </c>
      <c r="H1162" s="50"/>
      <c r="I1162" s="50"/>
      <c r="J1162" s="50"/>
      <c r="K1162" s="50"/>
      <c r="L1162" s="50"/>
      <c r="M1162" s="50"/>
      <c r="N1162" s="50"/>
      <c r="O1162" s="50"/>
      <c r="P1162" s="50"/>
      <c r="Q1162" s="50"/>
      <c r="R1162" s="50"/>
      <c r="S1162" s="50"/>
      <c r="T1162" s="50"/>
      <c r="U1162" s="50"/>
      <c r="V1162" s="50"/>
      <c r="W1162" s="50"/>
      <c r="X1162" s="50"/>
      <c r="Y1162" s="50"/>
      <c r="Z1162" s="50"/>
    </row>
    <row r="1163" spans="1:26">
      <c r="A1163" s="49">
        <v>1166</v>
      </c>
      <c r="B1163" s="51" t="s">
        <v>2175</v>
      </c>
      <c r="C1163" s="52" t="s">
        <v>45</v>
      </c>
      <c r="D1163" s="74" t="s">
        <v>446</v>
      </c>
      <c r="E1163" s="74" t="s">
        <v>2176</v>
      </c>
      <c r="F1163" s="49">
        <v>56.73</v>
      </c>
      <c r="G1163" s="49" t="s">
        <v>43</v>
      </c>
      <c r="H1163" s="50"/>
      <c r="I1163" s="50"/>
      <c r="J1163" s="50"/>
      <c r="K1163" s="50"/>
      <c r="L1163" s="50"/>
      <c r="M1163" s="50"/>
      <c r="N1163" s="50"/>
      <c r="O1163" s="50"/>
      <c r="P1163" s="50"/>
      <c r="Q1163" s="50"/>
      <c r="R1163" s="50"/>
      <c r="S1163" s="50"/>
      <c r="T1163" s="50"/>
      <c r="U1163" s="50"/>
      <c r="V1163" s="50"/>
      <c r="W1163" s="50"/>
      <c r="X1163" s="50"/>
      <c r="Y1163" s="50"/>
      <c r="Z1163" s="50"/>
    </row>
    <row r="1164" spans="1:26">
      <c r="A1164" s="49">
        <v>1167</v>
      </c>
      <c r="B1164" s="51" t="s">
        <v>2177</v>
      </c>
      <c r="C1164" s="52" t="s">
        <v>45</v>
      </c>
      <c r="D1164" s="74" t="s">
        <v>360</v>
      </c>
      <c r="E1164" s="74" t="s">
        <v>355</v>
      </c>
      <c r="F1164" s="49">
        <v>62.24</v>
      </c>
      <c r="G1164" s="49" t="s">
        <v>43</v>
      </c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  <c r="S1164" s="50"/>
      <c r="T1164" s="50"/>
      <c r="U1164" s="50"/>
      <c r="V1164" s="50"/>
      <c r="W1164" s="50"/>
      <c r="X1164" s="50"/>
      <c r="Y1164" s="50"/>
      <c r="Z1164" s="50"/>
    </row>
    <row r="1165" spans="1:26">
      <c r="A1165" s="49">
        <v>1168</v>
      </c>
      <c r="B1165" s="51" t="s">
        <v>2178</v>
      </c>
      <c r="C1165" s="52" t="s">
        <v>52</v>
      </c>
      <c r="D1165" s="74" t="s">
        <v>931</v>
      </c>
      <c r="E1165" s="74" t="s">
        <v>2179</v>
      </c>
      <c r="F1165" s="49">
        <v>60.45</v>
      </c>
      <c r="G1165" s="49" t="s">
        <v>43</v>
      </c>
      <c r="H1165" s="50"/>
      <c r="I1165" s="50"/>
      <c r="J1165" s="50"/>
      <c r="K1165" s="50"/>
      <c r="L1165" s="50"/>
      <c r="M1165" s="50"/>
      <c r="N1165" s="50"/>
      <c r="O1165" s="50"/>
      <c r="P1165" s="50"/>
      <c r="Q1165" s="50"/>
      <c r="R1165" s="50"/>
      <c r="S1165" s="50"/>
      <c r="T1165" s="50"/>
      <c r="U1165" s="50"/>
      <c r="V1165" s="50"/>
      <c r="W1165" s="50"/>
      <c r="X1165" s="50"/>
      <c r="Y1165" s="50"/>
      <c r="Z1165" s="50"/>
    </row>
    <row r="1166" spans="1:26">
      <c r="A1166" s="49">
        <v>1169</v>
      </c>
      <c r="B1166" s="51" t="s">
        <v>2180</v>
      </c>
      <c r="C1166" s="52" t="s">
        <v>45</v>
      </c>
      <c r="D1166" s="74" t="s">
        <v>2181</v>
      </c>
      <c r="E1166" s="74" t="s">
        <v>1540</v>
      </c>
      <c r="F1166" s="49">
        <v>31.14</v>
      </c>
      <c r="G1166" s="49" t="s">
        <v>43</v>
      </c>
      <c r="H1166" s="50"/>
      <c r="I1166" s="50"/>
      <c r="J1166" s="50"/>
      <c r="K1166" s="50"/>
      <c r="L1166" s="50"/>
      <c r="M1166" s="50"/>
      <c r="N1166" s="50"/>
      <c r="O1166" s="50"/>
      <c r="P1166" s="50"/>
      <c r="Q1166" s="50"/>
      <c r="R1166" s="50"/>
      <c r="S1166" s="50"/>
      <c r="T1166" s="50"/>
      <c r="U1166" s="50"/>
      <c r="V1166" s="50"/>
      <c r="W1166" s="50"/>
      <c r="X1166" s="50"/>
      <c r="Y1166" s="50"/>
      <c r="Z1166" s="50"/>
    </row>
    <row r="1167" spans="1:26">
      <c r="A1167" s="49">
        <v>1170</v>
      </c>
      <c r="B1167" s="51" t="s">
        <v>2182</v>
      </c>
      <c r="C1167" s="52" t="s">
        <v>40</v>
      </c>
      <c r="D1167" s="74" t="s">
        <v>2181</v>
      </c>
      <c r="E1167" s="74" t="s">
        <v>978</v>
      </c>
      <c r="F1167" s="49">
        <v>58.57</v>
      </c>
      <c r="G1167" s="49" t="s">
        <v>43</v>
      </c>
      <c r="H1167" s="50"/>
      <c r="I1167" s="50"/>
      <c r="J1167" s="50"/>
      <c r="K1167" s="50"/>
      <c r="L1167" s="50"/>
      <c r="M1167" s="50"/>
      <c r="N1167" s="50"/>
      <c r="O1167" s="50"/>
      <c r="P1167" s="50"/>
      <c r="Q1167" s="50"/>
      <c r="R1167" s="50"/>
      <c r="S1167" s="50"/>
      <c r="T1167" s="50"/>
      <c r="U1167" s="50"/>
      <c r="V1167" s="50"/>
      <c r="W1167" s="50"/>
      <c r="X1167" s="50"/>
      <c r="Y1167" s="50"/>
      <c r="Z1167" s="50"/>
    </row>
    <row r="1168" spans="1:26">
      <c r="A1168" s="49">
        <v>1171</v>
      </c>
      <c r="B1168" s="51" t="s">
        <v>2183</v>
      </c>
      <c r="C1168" s="52" t="s">
        <v>45</v>
      </c>
      <c r="D1168" s="74" t="s">
        <v>98</v>
      </c>
      <c r="E1168" s="74" t="s">
        <v>1356</v>
      </c>
      <c r="F1168" s="49">
        <v>41.31</v>
      </c>
      <c r="G1168" s="49" t="s">
        <v>43</v>
      </c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  <c r="S1168" s="50"/>
      <c r="T1168" s="50"/>
      <c r="U1168" s="50"/>
      <c r="V1168" s="50"/>
      <c r="W1168" s="50"/>
      <c r="X1168" s="50"/>
      <c r="Y1168" s="50"/>
      <c r="Z1168" s="50"/>
    </row>
    <row r="1169" spans="1:26">
      <c r="A1169" s="49">
        <v>1172</v>
      </c>
      <c r="B1169" s="51" t="s">
        <v>2184</v>
      </c>
      <c r="C1169" s="52" t="s">
        <v>52</v>
      </c>
      <c r="D1169" s="74" t="s">
        <v>390</v>
      </c>
      <c r="E1169" s="74" t="s">
        <v>2185</v>
      </c>
      <c r="F1169" s="49">
        <v>38.630000000000003</v>
      </c>
      <c r="G1169" s="49" t="s">
        <v>43</v>
      </c>
      <c r="H1169" s="50"/>
      <c r="I1169" s="50"/>
      <c r="J1169" s="50"/>
      <c r="K1169" s="50"/>
      <c r="L1169" s="50"/>
      <c r="M1169" s="50"/>
      <c r="N1169" s="50"/>
      <c r="O1169" s="50"/>
      <c r="P1169" s="50"/>
      <c r="Q1169" s="50"/>
      <c r="R1169" s="50"/>
      <c r="S1169" s="50"/>
      <c r="T1169" s="50"/>
      <c r="U1169" s="50"/>
      <c r="V1169" s="50"/>
      <c r="W1169" s="50"/>
      <c r="X1169" s="50"/>
      <c r="Y1169" s="50"/>
      <c r="Z1169" s="50"/>
    </row>
    <row r="1170" spans="1:26">
      <c r="A1170" s="49">
        <v>1173</v>
      </c>
      <c r="B1170" s="51" t="s">
        <v>2186</v>
      </c>
      <c r="C1170" s="52" t="s">
        <v>40</v>
      </c>
      <c r="D1170" s="74"/>
      <c r="E1170" s="74" t="s">
        <v>2187</v>
      </c>
      <c r="F1170" s="49">
        <v>79.39</v>
      </c>
      <c r="G1170" s="49" t="s">
        <v>459</v>
      </c>
      <c r="H1170" s="50"/>
      <c r="I1170" s="50"/>
      <c r="J1170" s="50"/>
      <c r="K1170" s="50"/>
      <c r="L1170" s="50"/>
      <c r="M1170" s="50"/>
      <c r="N1170" s="50"/>
      <c r="O1170" s="50"/>
      <c r="P1170" s="50"/>
      <c r="Q1170" s="50"/>
      <c r="R1170" s="50"/>
      <c r="S1170" s="50"/>
      <c r="T1170" s="50"/>
      <c r="U1170" s="50"/>
      <c r="V1170" s="50"/>
      <c r="W1170" s="50"/>
      <c r="X1170" s="50"/>
      <c r="Y1170" s="50"/>
      <c r="Z1170" s="50"/>
    </row>
    <row r="1171" spans="1:26">
      <c r="A1171" s="49">
        <v>1174</v>
      </c>
      <c r="B1171" s="51" t="s">
        <v>2188</v>
      </c>
      <c r="C1171" s="52" t="s">
        <v>45</v>
      </c>
      <c r="D1171" s="74"/>
      <c r="E1171" s="74" t="s">
        <v>2187</v>
      </c>
      <c r="F1171" s="49">
        <v>57.67</v>
      </c>
      <c r="G1171" s="49" t="s">
        <v>459</v>
      </c>
      <c r="H1171" s="50"/>
      <c r="I1171" s="50"/>
      <c r="J1171" s="50"/>
      <c r="K1171" s="50"/>
      <c r="L1171" s="50"/>
      <c r="M1171" s="50"/>
      <c r="N1171" s="50"/>
      <c r="O1171" s="50"/>
      <c r="P1171" s="50"/>
      <c r="Q1171" s="50"/>
      <c r="R1171" s="50"/>
      <c r="S1171" s="50"/>
      <c r="T1171" s="50"/>
      <c r="U1171" s="50"/>
      <c r="V1171" s="50"/>
      <c r="W1171" s="50"/>
      <c r="X1171" s="50"/>
      <c r="Y1171" s="50"/>
      <c r="Z1171" s="50"/>
    </row>
    <row r="1172" spans="1:26">
      <c r="A1172" s="49">
        <v>1175</v>
      </c>
      <c r="B1172" s="51" t="s">
        <v>2189</v>
      </c>
      <c r="C1172" s="52" t="s">
        <v>40</v>
      </c>
      <c r="D1172" s="74" t="s">
        <v>62</v>
      </c>
      <c r="E1172" s="74" t="s">
        <v>432</v>
      </c>
      <c r="F1172" s="49">
        <v>50.8</v>
      </c>
      <c r="G1172" s="49" t="s">
        <v>43</v>
      </c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  <c r="S1172" s="50"/>
      <c r="T1172" s="50"/>
      <c r="U1172" s="50"/>
      <c r="V1172" s="50"/>
      <c r="W1172" s="50"/>
      <c r="X1172" s="50"/>
      <c r="Y1172" s="50"/>
      <c r="Z1172" s="50"/>
    </row>
    <row r="1173" spans="1:26">
      <c r="A1173" s="49">
        <v>1176</v>
      </c>
      <c r="B1173" s="51" t="s">
        <v>2190</v>
      </c>
      <c r="C1173" s="52" t="s">
        <v>40</v>
      </c>
      <c r="D1173" s="74" t="s">
        <v>2003</v>
      </c>
      <c r="E1173" s="74" t="s">
        <v>432</v>
      </c>
      <c r="F1173" s="49">
        <v>54.05</v>
      </c>
      <c r="G1173" s="49" t="s">
        <v>43</v>
      </c>
      <c r="H1173" s="50"/>
      <c r="I1173" s="50"/>
      <c r="J1173" s="50"/>
      <c r="K1173" s="50"/>
      <c r="L1173" s="50"/>
      <c r="M1173" s="50"/>
      <c r="N1173" s="50"/>
      <c r="O1173" s="50"/>
      <c r="P1173" s="50"/>
      <c r="Q1173" s="50"/>
      <c r="R1173" s="50"/>
      <c r="S1173" s="50"/>
      <c r="T1173" s="50"/>
      <c r="U1173" s="50"/>
      <c r="V1173" s="50"/>
      <c r="W1173" s="50"/>
      <c r="X1173" s="50"/>
      <c r="Y1173" s="50"/>
      <c r="Z1173" s="50"/>
    </row>
    <row r="1174" spans="1:26">
      <c r="A1174" s="49">
        <v>1177</v>
      </c>
      <c r="B1174" s="51" t="s">
        <v>2191</v>
      </c>
      <c r="C1174" s="52" t="s">
        <v>45</v>
      </c>
      <c r="D1174" s="74" t="s">
        <v>2181</v>
      </c>
      <c r="E1174" s="74" t="s">
        <v>1401</v>
      </c>
      <c r="F1174" s="49">
        <v>34.21</v>
      </c>
      <c r="G1174" s="49" t="s">
        <v>43</v>
      </c>
      <c r="H1174" s="50"/>
      <c r="I1174" s="50"/>
      <c r="J1174" s="50"/>
      <c r="K1174" s="50"/>
      <c r="L1174" s="50"/>
      <c r="M1174" s="50"/>
      <c r="N1174" s="50"/>
      <c r="O1174" s="50"/>
      <c r="P1174" s="50"/>
      <c r="Q1174" s="50"/>
      <c r="R1174" s="50"/>
      <c r="S1174" s="50"/>
      <c r="T1174" s="50"/>
      <c r="U1174" s="50"/>
      <c r="V1174" s="50"/>
      <c r="W1174" s="50"/>
      <c r="X1174" s="50"/>
      <c r="Y1174" s="50"/>
      <c r="Z1174" s="50"/>
    </row>
    <row r="1175" spans="1:26">
      <c r="A1175" s="49">
        <v>1178</v>
      </c>
      <c r="B1175" s="51" t="s">
        <v>2192</v>
      </c>
      <c r="C1175" s="52" t="s">
        <v>52</v>
      </c>
      <c r="D1175" s="74" t="s">
        <v>365</v>
      </c>
      <c r="E1175" s="74" t="s">
        <v>1824</v>
      </c>
      <c r="F1175" s="49">
        <v>37.770000000000003</v>
      </c>
      <c r="G1175" s="49" t="s">
        <v>43</v>
      </c>
      <c r="H1175" s="50"/>
      <c r="I1175" s="50"/>
      <c r="J1175" s="50"/>
      <c r="K1175" s="50"/>
      <c r="L1175" s="50"/>
      <c r="M1175" s="50"/>
      <c r="N1175" s="50"/>
      <c r="O1175" s="50"/>
      <c r="P1175" s="50"/>
      <c r="Q1175" s="50"/>
      <c r="R1175" s="50"/>
      <c r="S1175" s="50"/>
      <c r="T1175" s="50"/>
      <c r="U1175" s="50"/>
      <c r="V1175" s="50"/>
      <c r="W1175" s="50"/>
      <c r="X1175" s="50"/>
      <c r="Y1175" s="50"/>
      <c r="Z1175" s="50"/>
    </row>
    <row r="1176" spans="1:26">
      <c r="A1176" s="49">
        <v>1179</v>
      </c>
      <c r="B1176" s="51" t="s">
        <v>2193</v>
      </c>
      <c r="C1176" s="52" t="s">
        <v>40</v>
      </c>
      <c r="D1176" s="74"/>
      <c r="E1176" s="74" t="s">
        <v>355</v>
      </c>
      <c r="F1176" s="49">
        <v>79.62</v>
      </c>
      <c r="G1176" s="49" t="s">
        <v>459</v>
      </c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  <c r="S1176" s="50"/>
      <c r="T1176" s="50"/>
      <c r="U1176" s="50"/>
      <c r="V1176" s="50"/>
      <c r="W1176" s="50"/>
      <c r="X1176" s="50"/>
      <c r="Y1176" s="50"/>
      <c r="Z1176" s="50"/>
    </row>
    <row r="1177" spans="1:26">
      <c r="A1177" s="49">
        <v>1180</v>
      </c>
      <c r="B1177" s="51" t="s">
        <v>2194</v>
      </c>
      <c r="C1177" s="52" t="s">
        <v>40</v>
      </c>
      <c r="D1177" s="74" t="s">
        <v>65</v>
      </c>
      <c r="E1177" s="74" t="s">
        <v>2195</v>
      </c>
      <c r="F1177" s="49">
        <v>76.87</v>
      </c>
      <c r="G1177" s="49" t="s">
        <v>43</v>
      </c>
      <c r="H1177" s="50"/>
      <c r="I1177" s="50"/>
      <c r="J1177" s="50"/>
      <c r="K1177" s="50"/>
      <c r="L1177" s="50"/>
      <c r="M1177" s="50"/>
      <c r="N1177" s="50"/>
      <c r="O1177" s="50"/>
      <c r="P1177" s="50"/>
      <c r="Q1177" s="50"/>
      <c r="R1177" s="50"/>
      <c r="S1177" s="50"/>
      <c r="T1177" s="50"/>
      <c r="U1177" s="50"/>
      <c r="V1177" s="50"/>
      <c r="W1177" s="50"/>
      <c r="X1177" s="50"/>
      <c r="Y1177" s="50"/>
      <c r="Z1177" s="50"/>
    </row>
    <row r="1178" spans="1:26">
      <c r="A1178" s="49">
        <v>1181</v>
      </c>
      <c r="B1178" s="51" t="s">
        <v>2196</v>
      </c>
      <c r="C1178" s="52" t="s">
        <v>45</v>
      </c>
      <c r="D1178" s="74" t="s">
        <v>59</v>
      </c>
      <c r="E1178" s="74" t="s">
        <v>2197</v>
      </c>
      <c r="F1178" s="49">
        <v>44.41</v>
      </c>
      <c r="G1178" s="49" t="s">
        <v>43</v>
      </c>
      <c r="H1178" s="50"/>
      <c r="I1178" s="50"/>
      <c r="J1178" s="50"/>
      <c r="K1178" s="50"/>
      <c r="L1178" s="50"/>
      <c r="M1178" s="50"/>
      <c r="N1178" s="50"/>
      <c r="O1178" s="50"/>
      <c r="P1178" s="50"/>
      <c r="Q1178" s="50"/>
      <c r="R1178" s="50"/>
      <c r="S1178" s="50"/>
      <c r="T1178" s="50"/>
      <c r="U1178" s="50"/>
      <c r="V1178" s="50"/>
      <c r="W1178" s="50"/>
      <c r="X1178" s="50"/>
      <c r="Y1178" s="50"/>
      <c r="Z1178" s="50"/>
    </row>
    <row r="1179" spans="1:26">
      <c r="A1179" s="49">
        <v>1182</v>
      </c>
      <c r="B1179" s="51" t="s">
        <v>2198</v>
      </c>
      <c r="C1179" s="52" t="s">
        <v>45</v>
      </c>
      <c r="D1179" s="74" t="s">
        <v>670</v>
      </c>
      <c r="E1179" s="74" t="s">
        <v>20</v>
      </c>
      <c r="F1179" s="49">
        <v>52.85</v>
      </c>
      <c r="G1179" s="49" t="s">
        <v>43</v>
      </c>
      <c r="H1179" s="50"/>
      <c r="I1179" s="50"/>
      <c r="J1179" s="50"/>
      <c r="K1179" s="50"/>
      <c r="L1179" s="50"/>
      <c r="M1179" s="50"/>
      <c r="N1179" s="50"/>
      <c r="O1179" s="50"/>
      <c r="P1179" s="50"/>
      <c r="Q1179" s="50"/>
      <c r="R1179" s="50"/>
      <c r="S1179" s="50"/>
      <c r="T1179" s="50"/>
      <c r="U1179" s="50"/>
      <c r="V1179" s="50"/>
      <c r="W1179" s="50"/>
      <c r="X1179" s="50"/>
      <c r="Y1179" s="50"/>
      <c r="Z1179" s="50"/>
    </row>
    <row r="1180" spans="1:26">
      <c r="A1180" s="49">
        <v>1183</v>
      </c>
      <c r="B1180" s="51" t="s">
        <v>2199</v>
      </c>
      <c r="C1180" s="52" t="s">
        <v>52</v>
      </c>
      <c r="D1180" s="74" t="s">
        <v>713</v>
      </c>
      <c r="E1180" s="74" t="s">
        <v>2200</v>
      </c>
      <c r="F1180" s="49">
        <v>53.83</v>
      </c>
      <c r="G1180" s="49" t="s">
        <v>43</v>
      </c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  <c r="S1180" s="50"/>
      <c r="T1180" s="50"/>
      <c r="U1180" s="50"/>
      <c r="V1180" s="50"/>
      <c r="W1180" s="50"/>
      <c r="X1180" s="50"/>
      <c r="Y1180" s="50"/>
      <c r="Z1180" s="50"/>
    </row>
    <row r="1181" spans="1:26">
      <c r="A1181" s="49">
        <v>1184</v>
      </c>
      <c r="B1181" s="51" t="s">
        <v>2201</v>
      </c>
      <c r="C1181" s="52" t="s">
        <v>40</v>
      </c>
      <c r="D1181" s="74" t="s">
        <v>123</v>
      </c>
      <c r="E1181" s="74" t="s">
        <v>20</v>
      </c>
      <c r="F1181" s="49">
        <v>54.6</v>
      </c>
      <c r="G1181" s="49" t="s">
        <v>43</v>
      </c>
      <c r="H1181" s="50"/>
      <c r="I1181" s="50"/>
      <c r="J1181" s="50"/>
      <c r="K1181" s="50"/>
      <c r="L1181" s="50"/>
      <c r="M1181" s="50"/>
      <c r="N1181" s="50"/>
      <c r="O1181" s="50"/>
      <c r="P1181" s="50"/>
      <c r="Q1181" s="50"/>
      <c r="R1181" s="50"/>
      <c r="S1181" s="50"/>
      <c r="T1181" s="50"/>
      <c r="U1181" s="50"/>
      <c r="V1181" s="50"/>
      <c r="W1181" s="50"/>
      <c r="X1181" s="50"/>
      <c r="Y1181" s="50"/>
      <c r="Z1181" s="50"/>
    </row>
    <row r="1182" spans="1:26">
      <c r="A1182" s="49">
        <v>1185</v>
      </c>
      <c r="B1182" s="51" t="s">
        <v>2202</v>
      </c>
      <c r="C1182" s="52" t="s">
        <v>40</v>
      </c>
      <c r="D1182" s="74" t="s">
        <v>123</v>
      </c>
      <c r="E1182" s="74" t="s">
        <v>2203</v>
      </c>
      <c r="F1182" s="49">
        <v>64.150000000000006</v>
      </c>
      <c r="G1182" s="49" t="s">
        <v>43</v>
      </c>
      <c r="H1182" s="50"/>
      <c r="I1182" s="50"/>
      <c r="J1182" s="50"/>
      <c r="K1182" s="50"/>
      <c r="L1182" s="50"/>
      <c r="M1182" s="50"/>
      <c r="N1182" s="50"/>
      <c r="O1182" s="50"/>
      <c r="P1182" s="50"/>
      <c r="Q1182" s="50"/>
      <c r="R1182" s="50"/>
      <c r="S1182" s="50"/>
      <c r="T1182" s="50"/>
      <c r="U1182" s="50"/>
      <c r="V1182" s="50"/>
      <c r="W1182" s="50"/>
      <c r="X1182" s="50"/>
      <c r="Y1182" s="50"/>
      <c r="Z1182" s="50"/>
    </row>
    <row r="1183" spans="1:26">
      <c r="A1183" s="49">
        <v>1186</v>
      </c>
      <c r="B1183" s="51" t="s">
        <v>2204</v>
      </c>
      <c r="C1183" s="52" t="s">
        <v>45</v>
      </c>
      <c r="D1183" s="74" t="s">
        <v>214</v>
      </c>
      <c r="E1183" s="74" t="s">
        <v>2205</v>
      </c>
      <c r="F1183" s="49">
        <v>36.99</v>
      </c>
      <c r="G1183" s="49" t="s">
        <v>43</v>
      </c>
      <c r="H1183" s="50"/>
      <c r="I1183" s="50"/>
      <c r="J1183" s="50"/>
      <c r="K1183" s="50"/>
      <c r="L1183" s="50"/>
      <c r="M1183" s="50"/>
      <c r="N1183" s="50"/>
      <c r="O1183" s="50"/>
      <c r="P1183" s="50"/>
      <c r="Q1183" s="50"/>
      <c r="R1183" s="50"/>
      <c r="S1183" s="50"/>
      <c r="T1183" s="50"/>
      <c r="U1183" s="50"/>
      <c r="V1183" s="50"/>
      <c r="W1183" s="50"/>
      <c r="X1183" s="50"/>
      <c r="Y1183" s="50"/>
      <c r="Z1183" s="50"/>
    </row>
    <row r="1184" spans="1:26">
      <c r="A1184" s="49">
        <v>1187</v>
      </c>
      <c r="B1184" s="51" t="s">
        <v>2206</v>
      </c>
      <c r="C1184" s="52" t="s">
        <v>52</v>
      </c>
      <c r="D1184" s="74" t="s">
        <v>214</v>
      </c>
      <c r="E1184" s="74"/>
      <c r="F1184" s="49">
        <v>41.33</v>
      </c>
      <c r="G1184" s="49" t="s">
        <v>43</v>
      </c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  <c r="S1184" s="50"/>
      <c r="T1184" s="50"/>
      <c r="U1184" s="50"/>
      <c r="V1184" s="50"/>
      <c r="W1184" s="50"/>
      <c r="X1184" s="50"/>
      <c r="Y1184" s="50"/>
      <c r="Z1184" s="50"/>
    </row>
    <row r="1185" spans="1:26">
      <c r="A1185" s="49">
        <v>1189</v>
      </c>
      <c r="B1185" s="51" t="s">
        <v>2207</v>
      </c>
      <c r="C1185" s="52" t="s">
        <v>40</v>
      </c>
      <c r="D1185" s="74" t="s">
        <v>168</v>
      </c>
      <c r="E1185" s="74" t="s">
        <v>2208</v>
      </c>
      <c r="F1185" s="49">
        <v>60.99</v>
      </c>
      <c r="G1185" s="49" t="s">
        <v>43</v>
      </c>
      <c r="H1185" s="50"/>
      <c r="I1185" s="50"/>
      <c r="J1185" s="50"/>
      <c r="K1185" s="50"/>
      <c r="L1185" s="50"/>
      <c r="M1185" s="50"/>
      <c r="N1185" s="50"/>
      <c r="O1185" s="50"/>
      <c r="P1185" s="50"/>
      <c r="Q1185" s="50"/>
      <c r="R1185" s="50"/>
      <c r="S1185" s="50"/>
      <c r="T1185" s="50"/>
      <c r="U1185" s="50"/>
      <c r="V1185" s="50"/>
      <c r="W1185" s="50"/>
      <c r="X1185" s="50"/>
      <c r="Y1185" s="50"/>
      <c r="Z1185" s="50"/>
    </row>
    <row r="1186" spans="1:26">
      <c r="A1186" s="49">
        <v>1190</v>
      </c>
      <c r="B1186" s="51" t="s">
        <v>2209</v>
      </c>
      <c r="C1186" s="52" t="s">
        <v>45</v>
      </c>
      <c r="D1186" s="74" t="s">
        <v>401</v>
      </c>
      <c r="E1186" s="74" t="s">
        <v>499</v>
      </c>
      <c r="F1186" s="49">
        <v>60.86</v>
      </c>
      <c r="G1186" s="49" t="s">
        <v>43</v>
      </c>
      <c r="H1186" s="50"/>
      <c r="I1186" s="50"/>
      <c r="J1186" s="50"/>
      <c r="K1186" s="50"/>
      <c r="L1186" s="50"/>
      <c r="M1186" s="50"/>
      <c r="N1186" s="50"/>
      <c r="O1186" s="50"/>
      <c r="P1186" s="50"/>
      <c r="Q1186" s="50"/>
      <c r="R1186" s="50"/>
      <c r="S1186" s="50"/>
      <c r="T1186" s="50"/>
      <c r="U1186" s="50"/>
      <c r="V1186" s="50"/>
      <c r="W1186" s="50"/>
      <c r="X1186" s="50"/>
      <c r="Y1186" s="50"/>
      <c r="Z1186" s="50"/>
    </row>
    <row r="1187" spans="1:26">
      <c r="A1187" s="49">
        <v>1191</v>
      </c>
      <c r="B1187" s="51" t="s">
        <v>2210</v>
      </c>
      <c r="C1187" s="52" t="s">
        <v>45</v>
      </c>
      <c r="D1187" s="74" t="s">
        <v>214</v>
      </c>
      <c r="E1187" s="74"/>
      <c r="F1187" s="49">
        <v>25.86</v>
      </c>
      <c r="G1187" s="49" t="s">
        <v>43</v>
      </c>
      <c r="H1187" s="50"/>
      <c r="I1187" s="50"/>
      <c r="J1187" s="50"/>
      <c r="K1187" s="50"/>
      <c r="L1187" s="50"/>
      <c r="M1187" s="50"/>
      <c r="N1187" s="50"/>
      <c r="O1187" s="50"/>
      <c r="P1187" s="50"/>
      <c r="Q1187" s="50"/>
      <c r="R1187" s="50"/>
      <c r="S1187" s="50"/>
      <c r="T1187" s="50"/>
      <c r="U1187" s="50"/>
      <c r="V1187" s="50"/>
      <c r="W1187" s="50"/>
      <c r="X1187" s="50"/>
      <c r="Y1187" s="50"/>
      <c r="Z1187" s="50"/>
    </row>
    <row r="1188" spans="1:26">
      <c r="A1188" s="49">
        <v>1192</v>
      </c>
      <c r="B1188" s="51" t="s">
        <v>2211</v>
      </c>
      <c r="C1188" s="52" t="s">
        <v>52</v>
      </c>
      <c r="D1188" s="74" t="s">
        <v>805</v>
      </c>
      <c r="E1188" s="74" t="s">
        <v>456</v>
      </c>
      <c r="F1188" s="49">
        <v>48.64</v>
      </c>
      <c r="G1188" s="49" t="s">
        <v>43</v>
      </c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  <c r="S1188" s="50"/>
      <c r="T1188" s="50"/>
      <c r="U1188" s="50"/>
      <c r="V1188" s="50"/>
      <c r="W1188" s="50"/>
      <c r="X1188" s="50"/>
      <c r="Y1188" s="50"/>
      <c r="Z1188" s="50"/>
    </row>
    <row r="1189" spans="1:26">
      <c r="A1189" s="49">
        <v>1193</v>
      </c>
      <c r="B1189" s="51" t="s">
        <v>2212</v>
      </c>
      <c r="C1189" s="52" t="s">
        <v>45</v>
      </c>
      <c r="D1189" s="74"/>
      <c r="E1189" s="74" t="s">
        <v>2213</v>
      </c>
      <c r="F1189" s="49">
        <v>67.94</v>
      </c>
      <c r="G1189" s="49" t="s">
        <v>459</v>
      </c>
      <c r="H1189" s="50"/>
      <c r="I1189" s="50"/>
      <c r="J1189" s="50"/>
      <c r="K1189" s="50"/>
      <c r="L1189" s="50"/>
      <c r="M1189" s="50"/>
      <c r="N1189" s="50"/>
      <c r="O1189" s="50"/>
      <c r="P1189" s="50"/>
      <c r="Q1189" s="50"/>
      <c r="R1189" s="50"/>
      <c r="S1189" s="50"/>
      <c r="T1189" s="50"/>
      <c r="U1189" s="50"/>
      <c r="V1189" s="50"/>
      <c r="W1189" s="50"/>
      <c r="X1189" s="50"/>
      <c r="Y1189" s="50"/>
      <c r="Z1189" s="50"/>
    </row>
    <row r="1190" spans="1:26">
      <c r="A1190" s="49">
        <v>1194</v>
      </c>
      <c r="B1190" s="51" t="s">
        <v>2214</v>
      </c>
      <c r="C1190" s="52" t="s">
        <v>52</v>
      </c>
      <c r="D1190" s="74"/>
      <c r="E1190" s="74" t="s">
        <v>1965</v>
      </c>
      <c r="F1190" s="49">
        <v>52.75</v>
      </c>
      <c r="G1190" s="49" t="s">
        <v>459</v>
      </c>
      <c r="H1190" s="50"/>
      <c r="I1190" s="50"/>
      <c r="J1190" s="50"/>
      <c r="K1190" s="50"/>
      <c r="L1190" s="50"/>
      <c r="M1190" s="50"/>
      <c r="N1190" s="50"/>
      <c r="O1190" s="50"/>
      <c r="P1190" s="50"/>
      <c r="Q1190" s="50"/>
      <c r="R1190" s="50"/>
      <c r="S1190" s="50"/>
      <c r="T1190" s="50"/>
      <c r="U1190" s="50"/>
      <c r="V1190" s="50"/>
      <c r="W1190" s="50"/>
      <c r="X1190" s="50"/>
      <c r="Y1190" s="50"/>
      <c r="Z1190" s="50"/>
    </row>
    <row r="1191" spans="1:26">
      <c r="A1191" s="49">
        <v>1196</v>
      </c>
      <c r="B1191" s="51" t="s">
        <v>2215</v>
      </c>
      <c r="C1191" s="52" t="s">
        <v>40</v>
      </c>
      <c r="D1191" s="74" t="s">
        <v>360</v>
      </c>
      <c r="E1191" s="74" t="s">
        <v>2195</v>
      </c>
      <c r="F1191" s="49">
        <v>68.400000000000006</v>
      </c>
      <c r="G1191" s="49" t="s">
        <v>43</v>
      </c>
      <c r="H1191" s="50"/>
      <c r="I1191" s="50"/>
      <c r="J1191" s="50"/>
      <c r="K1191" s="50"/>
      <c r="L1191" s="50"/>
      <c r="M1191" s="50"/>
      <c r="N1191" s="50"/>
      <c r="O1191" s="50"/>
      <c r="P1191" s="50"/>
      <c r="Q1191" s="50"/>
      <c r="R1191" s="50"/>
      <c r="S1191" s="50"/>
      <c r="T1191" s="50"/>
      <c r="U1191" s="50"/>
      <c r="V1191" s="50"/>
      <c r="W1191" s="50"/>
      <c r="X1191" s="50"/>
      <c r="Y1191" s="50"/>
      <c r="Z1191" s="50"/>
    </row>
    <row r="1192" spans="1:26">
      <c r="A1192" s="49">
        <v>1197</v>
      </c>
      <c r="B1192" s="51" t="s">
        <v>2216</v>
      </c>
      <c r="C1192" s="52" t="s">
        <v>45</v>
      </c>
      <c r="D1192" s="74" t="s">
        <v>342</v>
      </c>
      <c r="E1192" s="74" t="s">
        <v>1843</v>
      </c>
      <c r="F1192" s="49">
        <v>35.869999999999997</v>
      </c>
      <c r="G1192" s="49" t="s">
        <v>43</v>
      </c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  <c r="S1192" s="50"/>
      <c r="T1192" s="50"/>
      <c r="U1192" s="50"/>
      <c r="V1192" s="50"/>
      <c r="W1192" s="50"/>
      <c r="X1192" s="50"/>
      <c r="Y1192" s="50"/>
      <c r="Z1192" s="50"/>
    </row>
    <row r="1193" spans="1:26">
      <c r="A1193" s="49">
        <v>1198</v>
      </c>
      <c r="B1193" s="51" t="s">
        <v>2217</v>
      </c>
      <c r="C1193" s="52" t="s">
        <v>45</v>
      </c>
      <c r="D1193" s="74" t="s">
        <v>1031</v>
      </c>
      <c r="E1193" s="74" t="s">
        <v>257</v>
      </c>
      <c r="F1193" s="49">
        <v>74.900000000000006</v>
      </c>
      <c r="G1193" s="49" t="s">
        <v>43</v>
      </c>
      <c r="H1193" s="50"/>
      <c r="I1193" s="50"/>
      <c r="J1193" s="50"/>
      <c r="K1193" s="50"/>
      <c r="L1193" s="50"/>
      <c r="M1193" s="50"/>
      <c r="N1193" s="50"/>
      <c r="O1193" s="50"/>
      <c r="P1193" s="50"/>
      <c r="Q1193" s="50"/>
      <c r="R1193" s="50"/>
      <c r="S1193" s="50"/>
      <c r="T1193" s="50"/>
      <c r="U1193" s="50"/>
      <c r="V1193" s="50"/>
      <c r="W1193" s="50"/>
      <c r="X1193" s="50"/>
      <c r="Y1193" s="50"/>
      <c r="Z1193" s="50"/>
    </row>
    <row r="1194" spans="1:26">
      <c r="A1194" s="49">
        <v>1199</v>
      </c>
      <c r="B1194" s="51" t="s">
        <v>2218</v>
      </c>
      <c r="C1194" s="52" t="s">
        <v>52</v>
      </c>
      <c r="D1194" s="74" t="s">
        <v>815</v>
      </c>
      <c r="E1194" s="74" t="s">
        <v>20</v>
      </c>
      <c r="F1194" s="49">
        <v>37.01</v>
      </c>
      <c r="G1194" s="49" t="s">
        <v>43</v>
      </c>
      <c r="H1194" s="50"/>
      <c r="I1194" s="50"/>
      <c r="J1194" s="50"/>
      <c r="K1194" s="50"/>
      <c r="L1194" s="50"/>
      <c r="M1194" s="50"/>
      <c r="N1194" s="50"/>
      <c r="O1194" s="50"/>
      <c r="P1194" s="50"/>
      <c r="Q1194" s="50"/>
      <c r="R1194" s="50"/>
      <c r="S1194" s="50"/>
      <c r="T1194" s="50"/>
      <c r="U1194" s="50"/>
      <c r="V1194" s="50"/>
      <c r="W1194" s="50"/>
      <c r="X1194" s="50"/>
      <c r="Y1194" s="50"/>
      <c r="Z1194" s="50"/>
    </row>
    <row r="1195" spans="1:26">
      <c r="A1195" s="49">
        <v>1200</v>
      </c>
      <c r="B1195" s="51" t="s">
        <v>2219</v>
      </c>
      <c r="C1195" s="52" t="s">
        <v>40</v>
      </c>
      <c r="D1195" s="74" t="s">
        <v>123</v>
      </c>
      <c r="E1195" s="74" t="s">
        <v>2220</v>
      </c>
      <c r="F1195" s="49">
        <v>66.62</v>
      </c>
      <c r="G1195" s="49" t="s">
        <v>43</v>
      </c>
      <c r="H1195" s="50"/>
      <c r="I1195" s="50"/>
      <c r="J1195" s="50"/>
      <c r="K1195" s="50"/>
      <c r="L1195" s="50"/>
      <c r="M1195" s="50"/>
      <c r="N1195" s="50"/>
      <c r="O1195" s="50"/>
      <c r="P1195" s="50"/>
      <c r="Q1195" s="50"/>
      <c r="R1195" s="50"/>
      <c r="S1195" s="50"/>
      <c r="T1195" s="50"/>
      <c r="U1195" s="50"/>
      <c r="V1195" s="50"/>
      <c r="W1195" s="50"/>
      <c r="X1195" s="50"/>
      <c r="Y1195" s="50"/>
      <c r="Z1195" s="50"/>
    </row>
    <row r="1196" spans="1:26">
      <c r="A1196" s="49">
        <v>1201</v>
      </c>
      <c r="B1196" s="51" t="s">
        <v>2221</v>
      </c>
      <c r="C1196" s="52" t="s">
        <v>45</v>
      </c>
      <c r="D1196" s="74" t="s">
        <v>117</v>
      </c>
      <c r="E1196" s="74" t="s">
        <v>2222</v>
      </c>
      <c r="F1196" s="49">
        <v>25.51</v>
      </c>
      <c r="G1196" s="49" t="s">
        <v>43</v>
      </c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  <c r="S1196" s="50"/>
      <c r="T1196" s="50"/>
      <c r="U1196" s="50"/>
      <c r="V1196" s="50"/>
      <c r="W1196" s="50"/>
      <c r="X1196" s="50"/>
      <c r="Y1196" s="50"/>
      <c r="Z1196" s="50"/>
    </row>
    <row r="1197" spans="1:26">
      <c r="A1197" s="49">
        <v>1202</v>
      </c>
      <c r="B1197" s="51" t="s">
        <v>2223</v>
      </c>
      <c r="C1197" s="52" t="s">
        <v>45</v>
      </c>
      <c r="D1197" s="74" t="s">
        <v>345</v>
      </c>
      <c r="E1197" s="74" t="s">
        <v>2224</v>
      </c>
      <c r="F1197" s="49">
        <v>45.9</v>
      </c>
      <c r="G1197" s="49" t="s">
        <v>43</v>
      </c>
      <c r="H1197" s="50"/>
      <c r="I1197" s="50"/>
      <c r="J1197" s="50"/>
      <c r="K1197" s="50"/>
      <c r="L1197" s="50"/>
      <c r="M1197" s="50"/>
      <c r="N1197" s="50"/>
      <c r="O1197" s="50"/>
      <c r="P1197" s="50"/>
      <c r="Q1197" s="50"/>
      <c r="R1197" s="50"/>
      <c r="S1197" s="50"/>
      <c r="T1197" s="50"/>
      <c r="U1197" s="50"/>
      <c r="V1197" s="50"/>
      <c r="W1197" s="50"/>
      <c r="X1197" s="50"/>
      <c r="Y1197" s="50"/>
      <c r="Z1197" s="50"/>
    </row>
    <row r="1198" spans="1:26">
      <c r="A1198" s="49">
        <v>1203</v>
      </c>
      <c r="B1198" s="51" t="s">
        <v>2225</v>
      </c>
      <c r="C1198" s="52" t="s">
        <v>52</v>
      </c>
      <c r="D1198" s="74" t="s">
        <v>2226</v>
      </c>
      <c r="E1198" s="74" t="s">
        <v>20</v>
      </c>
      <c r="F1198" s="49">
        <v>47.04</v>
      </c>
      <c r="G1198" s="49" t="s">
        <v>43</v>
      </c>
      <c r="H1198" s="50"/>
      <c r="I1198" s="50"/>
      <c r="J1198" s="50"/>
      <c r="K1198" s="50"/>
      <c r="L1198" s="50"/>
      <c r="M1198" s="50"/>
      <c r="N1198" s="50"/>
      <c r="O1198" s="50"/>
      <c r="P1198" s="50"/>
      <c r="Q1198" s="50"/>
      <c r="R1198" s="50"/>
      <c r="S1198" s="50"/>
      <c r="T1198" s="50"/>
      <c r="U1198" s="50"/>
      <c r="V1198" s="50"/>
      <c r="W1198" s="50"/>
      <c r="X1198" s="50"/>
      <c r="Y1198" s="50"/>
      <c r="Z1198" s="50"/>
    </row>
    <row r="1199" spans="1:26">
      <c r="A1199" s="49">
        <v>1204</v>
      </c>
      <c r="B1199" s="51" t="s">
        <v>2227</v>
      </c>
      <c r="C1199" s="52" t="s">
        <v>45</v>
      </c>
      <c r="D1199" s="74"/>
      <c r="E1199" s="74" t="s">
        <v>1965</v>
      </c>
      <c r="F1199" s="49">
        <v>68.790000000000006</v>
      </c>
      <c r="G1199" s="49" t="s">
        <v>459</v>
      </c>
      <c r="H1199" s="50"/>
      <c r="I1199" s="50"/>
      <c r="J1199" s="50"/>
      <c r="K1199" s="50"/>
      <c r="L1199" s="50"/>
      <c r="M1199" s="50"/>
      <c r="N1199" s="50"/>
      <c r="O1199" s="50"/>
      <c r="P1199" s="50"/>
      <c r="Q1199" s="50"/>
      <c r="R1199" s="50"/>
      <c r="S1199" s="50"/>
      <c r="T1199" s="50"/>
      <c r="U1199" s="50"/>
      <c r="V1199" s="50"/>
      <c r="W1199" s="50"/>
      <c r="X1199" s="50"/>
      <c r="Y1199" s="50"/>
      <c r="Z1199" s="50"/>
    </row>
    <row r="1200" spans="1:26">
      <c r="A1200" s="49">
        <v>1205</v>
      </c>
      <c r="B1200" s="51" t="s">
        <v>2228</v>
      </c>
      <c r="C1200" s="52" t="s">
        <v>45</v>
      </c>
      <c r="D1200" s="74"/>
      <c r="E1200" s="74" t="s">
        <v>1598</v>
      </c>
      <c r="F1200" s="49">
        <v>45.37</v>
      </c>
      <c r="G1200" s="49" t="s">
        <v>459</v>
      </c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  <c r="S1200" s="50"/>
      <c r="T1200" s="50"/>
      <c r="U1200" s="50"/>
      <c r="V1200" s="50"/>
      <c r="W1200" s="50"/>
      <c r="X1200" s="50"/>
      <c r="Y1200" s="50"/>
      <c r="Z1200" s="50"/>
    </row>
    <row r="1201" spans="1:26">
      <c r="A1201" s="49">
        <v>1206</v>
      </c>
      <c r="B1201" s="51" t="s">
        <v>2229</v>
      </c>
      <c r="C1201" s="52" t="s">
        <v>52</v>
      </c>
      <c r="D1201" s="74" t="s">
        <v>390</v>
      </c>
      <c r="E1201" s="74" t="s">
        <v>2230</v>
      </c>
      <c r="F1201" s="49">
        <v>57.18</v>
      </c>
      <c r="G1201" s="49" t="s">
        <v>43</v>
      </c>
      <c r="H1201" s="50"/>
      <c r="I1201" s="50"/>
      <c r="J1201" s="50"/>
      <c r="K1201" s="50"/>
      <c r="L1201" s="50"/>
      <c r="M1201" s="50"/>
      <c r="N1201" s="50"/>
      <c r="O1201" s="50"/>
      <c r="P1201" s="50"/>
      <c r="Q1201" s="50"/>
      <c r="R1201" s="50"/>
      <c r="S1201" s="50"/>
      <c r="T1201" s="50"/>
      <c r="U1201" s="50"/>
      <c r="V1201" s="50"/>
      <c r="W1201" s="50"/>
      <c r="X1201" s="50"/>
      <c r="Y1201" s="50"/>
      <c r="Z1201" s="50"/>
    </row>
    <row r="1202" spans="1:26">
      <c r="A1202" s="49">
        <v>1207</v>
      </c>
      <c r="B1202" s="51" t="s">
        <v>2231</v>
      </c>
      <c r="C1202" s="52" t="s">
        <v>40</v>
      </c>
      <c r="D1202" s="74" t="s">
        <v>135</v>
      </c>
      <c r="E1202" s="74" t="s">
        <v>20</v>
      </c>
      <c r="F1202" s="49">
        <v>71.28</v>
      </c>
      <c r="G1202" s="49" t="s">
        <v>43</v>
      </c>
      <c r="H1202" s="50"/>
      <c r="I1202" s="50"/>
      <c r="J1202" s="50"/>
      <c r="K1202" s="50"/>
      <c r="L1202" s="50"/>
      <c r="M1202" s="50"/>
      <c r="N1202" s="50"/>
      <c r="O1202" s="50"/>
      <c r="P1202" s="50"/>
      <c r="Q1202" s="50"/>
      <c r="R1202" s="50"/>
      <c r="S1202" s="50"/>
      <c r="T1202" s="50"/>
      <c r="U1202" s="50"/>
      <c r="V1202" s="50"/>
      <c r="W1202" s="50"/>
      <c r="X1202" s="50"/>
      <c r="Y1202" s="50"/>
      <c r="Z1202" s="50"/>
    </row>
    <row r="1203" spans="1:26">
      <c r="A1203" s="49">
        <v>1208</v>
      </c>
      <c r="B1203" s="51" t="s">
        <v>2232</v>
      </c>
      <c r="C1203" s="52" t="s">
        <v>45</v>
      </c>
      <c r="D1203" s="74" t="s">
        <v>2003</v>
      </c>
      <c r="E1203" s="74" t="s">
        <v>2233</v>
      </c>
      <c r="F1203" s="49">
        <v>40.83</v>
      </c>
      <c r="G1203" s="49" t="s">
        <v>43</v>
      </c>
      <c r="H1203" s="50"/>
      <c r="I1203" s="50"/>
      <c r="J1203" s="50"/>
      <c r="K1203" s="50"/>
      <c r="L1203" s="50"/>
      <c r="M1203" s="50"/>
      <c r="N1203" s="50"/>
      <c r="O1203" s="50"/>
      <c r="P1203" s="50"/>
      <c r="Q1203" s="50"/>
      <c r="R1203" s="50"/>
      <c r="S1203" s="50"/>
      <c r="T1203" s="50"/>
      <c r="U1203" s="50"/>
      <c r="V1203" s="50"/>
      <c r="W1203" s="50"/>
      <c r="X1203" s="50"/>
      <c r="Y1203" s="50"/>
      <c r="Z1203" s="50"/>
    </row>
    <row r="1204" spans="1:26">
      <c r="A1204" s="49">
        <v>1209</v>
      </c>
      <c r="B1204" s="51" t="s">
        <v>2234</v>
      </c>
      <c r="C1204" s="52" t="s">
        <v>45</v>
      </c>
      <c r="D1204" s="74" t="s">
        <v>401</v>
      </c>
      <c r="E1204" s="74" t="s">
        <v>2235</v>
      </c>
      <c r="F1204" s="49">
        <v>56.24</v>
      </c>
      <c r="G1204" s="49" t="s">
        <v>43</v>
      </c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  <c r="S1204" s="50"/>
      <c r="T1204" s="50"/>
      <c r="U1204" s="50"/>
      <c r="V1204" s="50"/>
      <c r="W1204" s="50"/>
      <c r="X1204" s="50"/>
      <c r="Y1204" s="50"/>
      <c r="Z1204" s="50"/>
    </row>
    <row r="1205" spans="1:26">
      <c r="A1205" s="49">
        <v>1210</v>
      </c>
      <c r="B1205" s="51" t="s">
        <v>2236</v>
      </c>
      <c r="C1205" s="52" t="s">
        <v>52</v>
      </c>
      <c r="D1205" s="74" t="s">
        <v>342</v>
      </c>
      <c r="E1205" s="74" t="s">
        <v>2237</v>
      </c>
      <c r="F1205" s="49">
        <v>44.97</v>
      </c>
      <c r="G1205" s="49" t="s">
        <v>43</v>
      </c>
      <c r="H1205" s="50"/>
      <c r="I1205" s="50"/>
      <c r="J1205" s="50"/>
      <c r="K1205" s="50"/>
      <c r="L1205" s="50"/>
      <c r="M1205" s="50"/>
      <c r="N1205" s="50"/>
      <c r="O1205" s="50"/>
      <c r="P1205" s="50"/>
      <c r="Q1205" s="50"/>
      <c r="R1205" s="50"/>
      <c r="S1205" s="50"/>
      <c r="T1205" s="50"/>
      <c r="U1205" s="50"/>
      <c r="V1205" s="50"/>
      <c r="W1205" s="50"/>
      <c r="X1205" s="50"/>
      <c r="Y1205" s="50"/>
      <c r="Z1205" s="50"/>
    </row>
    <row r="1206" spans="1:26">
      <c r="A1206" s="49">
        <v>1211</v>
      </c>
      <c r="B1206" s="51" t="s">
        <v>2238</v>
      </c>
      <c r="C1206" s="52" t="s">
        <v>40</v>
      </c>
      <c r="D1206" s="74"/>
      <c r="E1206" s="74" t="s">
        <v>671</v>
      </c>
      <c r="F1206" s="49">
        <v>67.88</v>
      </c>
      <c r="G1206" s="49" t="s">
        <v>459</v>
      </c>
      <c r="H1206" s="50"/>
      <c r="I1206" s="50"/>
      <c r="J1206" s="50"/>
      <c r="K1206" s="50"/>
      <c r="L1206" s="50"/>
      <c r="M1206" s="50"/>
      <c r="N1206" s="50"/>
      <c r="O1206" s="50"/>
      <c r="P1206" s="50"/>
      <c r="Q1206" s="50"/>
      <c r="R1206" s="50"/>
      <c r="S1206" s="50"/>
      <c r="T1206" s="50"/>
      <c r="U1206" s="50"/>
      <c r="V1206" s="50"/>
      <c r="W1206" s="50"/>
      <c r="X1206" s="50"/>
      <c r="Y1206" s="50"/>
      <c r="Z1206" s="50"/>
    </row>
    <row r="1207" spans="1:26">
      <c r="A1207" s="49">
        <v>1212</v>
      </c>
      <c r="B1207" s="51" t="s">
        <v>2239</v>
      </c>
      <c r="C1207" s="52" t="s">
        <v>45</v>
      </c>
      <c r="D1207" s="74"/>
      <c r="E1207" s="74" t="s">
        <v>2240</v>
      </c>
      <c r="F1207" s="49">
        <v>55.36</v>
      </c>
      <c r="G1207" s="49" t="s">
        <v>459</v>
      </c>
      <c r="H1207" s="50"/>
      <c r="I1207" s="50"/>
      <c r="J1207" s="50"/>
      <c r="K1207" s="50"/>
      <c r="L1207" s="50"/>
      <c r="M1207" s="50"/>
      <c r="N1207" s="50"/>
      <c r="O1207" s="50"/>
      <c r="P1207" s="50"/>
      <c r="Q1207" s="50"/>
      <c r="R1207" s="50"/>
      <c r="S1207" s="50"/>
      <c r="T1207" s="50"/>
      <c r="U1207" s="50"/>
      <c r="V1207" s="50"/>
      <c r="W1207" s="50"/>
      <c r="X1207" s="50"/>
      <c r="Y1207" s="50"/>
      <c r="Z1207" s="50"/>
    </row>
    <row r="1208" spans="1:26">
      <c r="A1208" s="49">
        <v>1213</v>
      </c>
      <c r="B1208" s="51" t="s">
        <v>2241</v>
      </c>
      <c r="C1208" s="52" t="s">
        <v>40</v>
      </c>
      <c r="D1208" s="74" t="s">
        <v>1828</v>
      </c>
      <c r="E1208" s="74" t="s">
        <v>2242</v>
      </c>
      <c r="F1208" s="49">
        <v>78.680000000000007</v>
      </c>
      <c r="G1208" s="49" t="s">
        <v>43</v>
      </c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  <c r="S1208" s="50"/>
      <c r="T1208" s="50"/>
      <c r="U1208" s="50"/>
      <c r="V1208" s="50"/>
      <c r="W1208" s="50"/>
      <c r="X1208" s="50"/>
      <c r="Y1208" s="50"/>
      <c r="Z1208" s="50"/>
    </row>
    <row r="1209" spans="1:26">
      <c r="A1209" s="49">
        <v>1214</v>
      </c>
      <c r="B1209" s="51" t="s">
        <v>2243</v>
      </c>
      <c r="C1209" s="52" t="s">
        <v>45</v>
      </c>
      <c r="D1209" s="74" t="s">
        <v>1999</v>
      </c>
      <c r="E1209" s="74" t="s">
        <v>432</v>
      </c>
      <c r="F1209" s="49">
        <v>67.42</v>
      </c>
      <c r="G1209" s="49" t="s">
        <v>43</v>
      </c>
      <c r="H1209" s="50"/>
      <c r="I1209" s="50"/>
      <c r="J1209" s="50"/>
      <c r="K1209" s="50"/>
      <c r="L1209" s="50"/>
      <c r="M1209" s="50"/>
      <c r="N1209" s="50"/>
      <c r="O1209" s="50"/>
      <c r="P1209" s="50"/>
      <c r="Q1209" s="50"/>
      <c r="R1209" s="50"/>
      <c r="S1209" s="50"/>
      <c r="T1209" s="50"/>
      <c r="U1209" s="50"/>
      <c r="V1209" s="50"/>
      <c r="W1209" s="50"/>
      <c r="X1209" s="50"/>
      <c r="Y1209" s="50"/>
      <c r="Z1209" s="50"/>
    </row>
    <row r="1210" spans="1:26">
      <c r="A1210" s="49">
        <v>1215</v>
      </c>
      <c r="B1210" s="51" t="s">
        <v>2244</v>
      </c>
      <c r="C1210" s="52" t="s">
        <v>45</v>
      </c>
      <c r="D1210" s="74" t="s">
        <v>161</v>
      </c>
      <c r="E1210" s="74" t="s">
        <v>2245</v>
      </c>
      <c r="F1210" s="49">
        <v>40.85</v>
      </c>
      <c r="G1210" s="49" t="s">
        <v>43</v>
      </c>
      <c r="H1210" s="50"/>
      <c r="I1210" s="50"/>
      <c r="J1210" s="50"/>
      <c r="K1210" s="50"/>
      <c r="L1210" s="50"/>
      <c r="M1210" s="50"/>
      <c r="N1210" s="50"/>
      <c r="O1210" s="50"/>
      <c r="P1210" s="50"/>
      <c r="Q1210" s="50"/>
      <c r="R1210" s="50"/>
      <c r="S1210" s="50"/>
      <c r="T1210" s="50"/>
      <c r="U1210" s="50"/>
      <c r="V1210" s="50"/>
      <c r="W1210" s="50"/>
      <c r="X1210" s="50"/>
      <c r="Y1210" s="50"/>
      <c r="Z1210" s="50"/>
    </row>
    <row r="1211" spans="1:26">
      <c r="A1211" s="49">
        <v>1216</v>
      </c>
      <c r="B1211" s="51" t="s">
        <v>2246</v>
      </c>
      <c r="C1211" s="52" t="s">
        <v>52</v>
      </c>
      <c r="D1211" s="74" t="s">
        <v>56</v>
      </c>
      <c r="E1211" s="74" t="s">
        <v>671</v>
      </c>
      <c r="F1211" s="49">
        <v>47.28</v>
      </c>
      <c r="G1211" s="49" t="s">
        <v>43</v>
      </c>
      <c r="H1211" s="50"/>
      <c r="I1211" s="50"/>
      <c r="J1211" s="50"/>
      <c r="K1211" s="50"/>
      <c r="L1211" s="50"/>
      <c r="M1211" s="50"/>
      <c r="N1211" s="50"/>
      <c r="O1211" s="50"/>
      <c r="P1211" s="50"/>
      <c r="Q1211" s="50"/>
      <c r="R1211" s="50"/>
      <c r="S1211" s="50"/>
      <c r="T1211" s="50"/>
      <c r="U1211" s="50"/>
      <c r="V1211" s="50"/>
      <c r="W1211" s="50"/>
      <c r="X1211" s="50"/>
      <c r="Y1211" s="50"/>
      <c r="Z1211" s="50"/>
    </row>
    <row r="1212" spans="1:26">
      <c r="A1212" s="49">
        <v>1217</v>
      </c>
      <c r="B1212" s="51" t="s">
        <v>2247</v>
      </c>
      <c r="C1212" s="52" t="s">
        <v>40</v>
      </c>
      <c r="D1212" s="74" t="s">
        <v>2248</v>
      </c>
      <c r="E1212" s="74" t="s">
        <v>2249</v>
      </c>
      <c r="F1212" s="49">
        <v>64.23</v>
      </c>
      <c r="G1212" s="49" t="s">
        <v>43</v>
      </c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  <c r="S1212" s="50"/>
      <c r="T1212" s="50"/>
      <c r="U1212" s="50"/>
      <c r="V1212" s="50"/>
      <c r="W1212" s="50"/>
      <c r="X1212" s="50"/>
      <c r="Y1212" s="50"/>
      <c r="Z1212" s="50"/>
    </row>
    <row r="1213" spans="1:26">
      <c r="A1213" s="49">
        <v>1218</v>
      </c>
      <c r="B1213" s="51" t="s">
        <v>2250</v>
      </c>
      <c r="C1213" s="52" t="s">
        <v>45</v>
      </c>
      <c r="D1213" s="74" t="s">
        <v>815</v>
      </c>
      <c r="E1213" s="74" t="s">
        <v>20</v>
      </c>
      <c r="F1213" s="49">
        <v>43.71</v>
      </c>
      <c r="G1213" s="49" t="s">
        <v>43</v>
      </c>
      <c r="H1213" s="50"/>
      <c r="I1213" s="50"/>
      <c r="J1213" s="50"/>
      <c r="K1213" s="50"/>
      <c r="L1213" s="50"/>
      <c r="M1213" s="50"/>
      <c r="N1213" s="50"/>
      <c r="O1213" s="50"/>
      <c r="P1213" s="50"/>
      <c r="Q1213" s="50"/>
      <c r="R1213" s="50"/>
      <c r="S1213" s="50"/>
      <c r="T1213" s="50"/>
      <c r="U1213" s="50"/>
      <c r="V1213" s="50"/>
      <c r="W1213" s="50"/>
      <c r="X1213" s="50"/>
      <c r="Y1213" s="50"/>
      <c r="Z1213" s="50"/>
    </row>
    <row r="1214" spans="1:26">
      <c r="A1214" s="49">
        <v>1219</v>
      </c>
      <c r="B1214" s="51" t="s">
        <v>2251</v>
      </c>
      <c r="C1214" s="52" t="s">
        <v>45</v>
      </c>
      <c r="D1214" s="74" t="s">
        <v>161</v>
      </c>
      <c r="E1214" s="74" t="s">
        <v>1615</v>
      </c>
      <c r="F1214" s="49">
        <v>64.67</v>
      </c>
      <c r="G1214" s="49" t="s">
        <v>43</v>
      </c>
      <c r="H1214" s="50"/>
      <c r="I1214" s="50"/>
      <c r="J1214" s="50"/>
      <c r="K1214" s="50"/>
      <c r="L1214" s="50"/>
      <c r="M1214" s="50"/>
      <c r="N1214" s="50"/>
      <c r="O1214" s="50"/>
      <c r="P1214" s="50"/>
      <c r="Q1214" s="50"/>
      <c r="R1214" s="50"/>
      <c r="S1214" s="50"/>
      <c r="T1214" s="50"/>
      <c r="U1214" s="50"/>
      <c r="V1214" s="50"/>
      <c r="W1214" s="50"/>
      <c r="X1214" s="50"/>
      <c r="Y1214" s="50"/>
      <c r="Z1214" s="50"/>
    </row>
    <row r="1215" spans="1:26">
      <c r="A1215" s="49">
        <v>1220</v>
      </c>
      <c r="B1215" s="51" t="s">
        <v>2252</v>
      </c>
      <c r="C1215" s="52" t="s">
        <v>52</v>
      </c>
      <c r="D1215" s="74" t="s">
        <v>214</v>
      </c>
      <c r="E1215" s="75" t="s">
        <v>2253</v>
      </c>
      <c r="F1215" s="49">
        <v>53.56</v>
      </c>
      <c r="G1215" s="49" t="s">
        <v>43</v>
      </c>
      <c r="H1215" s="50"/>
      <c r="I1215" s="50"/>
      <c r="J1215" s="50"/>
      <c r="K1215" s="50"/>
      <c r="L1215" s="50"/>
      <c r="M1215" s="50"/>
      <c r="N1215" s="50"/>
      <c r="O1215" s="50"/>
      <c r="P1215" s="50"/>
      <c r="Q1215" s="50"/>
      <c r="R1215" s="50"/>
      <c r="S1215" s="50"/>
      <c r="T1215" s="50"/>
      <c r="U1215" s="50"/>
      <c r="V1215" s="50"/>
      <c r="W1215" s="50"/>
      <c r="X1215" s="50"/>
      <c r="Y1215" s="50"/>
      <c r="Z1215" s="50"/>
    </row>
    <row r="1216" spans="1:26">
      <c r="A1216" s="49">
        <v>1221</v>
      </c>
      <c r="B1216" s="51" t="s">
        <v>2254</v>
      </c>
      <c r="C1216" s="52" t="s">
        <v>40</v>
      </c>
      <c r="D1216" s="74" t="s">
        <v>1840</v>
      </c>
      <c r="E1216" s="74" t="s">
        <v>493</v>
      </c>
      <c r="F1216" s="49">
        <v>82.77</v>
      </c>
      <c r="G1216" s="49" t="s">
        <v>43</v>
      </c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  <c r="S1216" s="50"/>
      <c r="T1216" s="50"/>
      <c r="U1216" s="50"/>
      <c r="V1216" s="50"/>
      <c r="W1216" s="50"/>
      <c r="X1216" s="50"/>
      <c r="Y1216" s="50"/>
      <c r="Z1216" s="50"/>
    </row>
    <row r="1217" spans="1:26">
      <c r="A1217" s="49">
        <v>1222</v>
      </c>
      <c r="B1217" s="51" t="s">
        <v>2255</v>
      </c>
      <c r="C1217" s="52" t="s">
        <v>45</v>
      </c>
      <c r="D1217" s="74" t="s">
        <v>123</v>
      </c>
      <c r="E1217" s="75" t="s">
        <v>2256</v>
      </c>
      <c r="F1217" s="49">
        <v>68.260000000000005</v>
      </c>
      <c r="G1217" s="49" t="s">
        <v>43</v>
      </c>
      <c r="H1217" s="50"/>
      <c r="I1217" s="50"/>
      <c r="J1217" s="50"/>
      <c r="K1217" s="50"/>
      <c r="L1217" s="50"/>
      <c r="M1217" s="50"/>
      <c r="N1217" s="50"/>
      <c r="O1217" s="50"/>
      <c r="P1217" s="50"/>
      <c r="Q1217" s="50"/>
      <c r="R1217" s="50"/>
      <c r="S1217" s="50"/>
      <c r="T1217" s="50"/>
      <c r="U1217" s="50"/>
      <c r="V1217" s="50"/>
      <c r="W1217" s="50"/>
      <c r="X1217" s="50"/>
      <c r="Y1217" s="50"/>
      <c r="Z1217" s="50"/>
    </row>
    <row r="1218" spans="1:26">
      <c r="A1218" s="49">
        <v>1223</v>
      </c>
      <c r="B1218" s="51" t="s">
        <v>2257</v>
      </c>
      <c r="C1218" s="52" t="s">
        <v>45</v>
      </c>
      <c r="D1218" s="74" t="s">
        <v>214</v>
      </c>
      <c r="E1218" s="74" t="s">
        <v>2258</v>
      </c>
      <c r="F1218" s="49">
        <v>45.4</v>
      </c>
      <c r="G1218" s="49" t="s">
        <v>43</v>
      </c>
      <c r="H1218" s="50"/>
      <c r="I1218" s="50"/>
      <c r="J1218" s="50"/>
      <c r="K1218" s="50"/>
      <c r="L1218" s="50"/>
      <c r="M1218" s="50"/>
      <c r="N1218" s="50"/>
      <c r="O1218" s="50"/>
      <c r="P1218" s="50"/>
      <c r="Q1218" s="50"/>
      <c r="R1218" s="50"/>
      <c r="S1218" s="50"/>
      <c r="T1218" s="50"/>
      <c r="U1218" s="50"/>
      <c r="V1218" s="50"/>
      <c r="W1218" s="50"/>
      <c r="X1218" s="50"/>
      <c r="Y1218" s="50"/>
      <c r="Z1218" s="50"/>
    </row>
    <row r="1219" spans="1:26">
      <c r="A1219" s="49">
        <v>1224</v>
      </c>
      <c r="B1219" s="51" t="s">
        <v>2259</v>
      </c>
      <c r="C1219" s="52" t="s">
        <v>52</v>
      </c>
      <c r="D1219" s="74" t="s">
        <v>135</v>
      </c>
      <c r="E1219" s="74" t="s">
        <v>2222</v>
      </c>
      <c r="F1219" s="49">
        <v>33.33</v>
      </c>
      <c r="G1219" s="49" t="s">
        <v>43</v>
      </c>
      <c r="H1219" s="50"/>
      <c r="I1219" s="50"/>
      <c r="J1219" s="50"/>
      <c r="K1219" s="50"/>
      <c r="L1219" s="50"/>
      <c r="M1219" s="50"/>
      <c r="N1219" s="50"/>
      <c r="O1219" s="50"/>
      <c r="P1219" s="50"/>
      <c r="Q1219" s="50"/>
      <c r="R1219" s="50"/>
      <c r="S1219" s="50"/>
      <c r="T1219" s="50"/>
      <c r="U1219" s="50"/>
      <c r="V1219" s="50"/>
      <c r="W1219" s="50"/>
      <c r="X1219" s="50"/>
      <c r="Y1219" s="50"/>
      <c r="Z1219" s="50"/>
    </row>
    <row r="1220" spans="1:26">
      <c r="A1220" s="49">
        <v>1225</v>
      </c>
      <c r="B1220" s="51" t="s">
        <v>2260</v>
      </c>
      <c r="C1220" s="52" t="s">
        <v>52</v>
      </c>
      <c r="D1220" s="74"/>
      <c r="E1220" s="74" t="s">
        <v>671</v>
      </c>
      <c r="F1220" s="49">
        <v>61.15</v>
      </c>
      <c r="G1220" s="49" t="s">
        <v>459</v>
      </c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  <c r="S1220" s="50"/>
      <c r="T1220" s="50"/>
      <c r="U1220" s="50"/>
      <c r="V1220" s="50"/>
      <c r="W1220" s="50"/>
      <c r="X1220" s="50"/>
      <c r="Y1220" s="50"/>
      <c r="Z1220" s="50"/>
    </row>
    <row r="1221" spans="1:26">
      <c r="A1221" s="49">
        <v>1227</v>
      </c>
      <c r="B1221" s="51" t="s">
        <v>2261</v>
      </c>
      <c r="C1221" s="52" t="s">
        <v>45</v>
      </c>
      <c r="D1221" s="74" t="s">
        <v>2262</v>
      </c>
      <c r="E1221" s="74" t="s">
        <v>2263</v>
      </c>
      <c r="F1221" s="49">
        <v>60.22</v>
      </c>
      <c r="G1221" s="49" t="s">
        <v>43</v>
      </c>
      <c r="H1221" s="50"/>
      <c r="I1221" s="50"/>
      <c r="J1221" s="50"/>
      <c r="K1221" s="50"/>
      <c r="L1221" s="50"/>
      <c r="M1221" s="50"/>
      <c r="N1221" s="50"/>
      <c r="O1221" s="50"/>
      <c r="P1221" s="50"/>
      <c r="Q1221" s="50"/>
      <c r="R1221" s="50"/>
      <c r="S1221" s="50"/>
      <c r="T1221" s="50"/>
      <c r="U1221" s="50"/>
      <c r="V1221" s="50"/>
      <c r="W1221" s="50"/>
      <c r="X1221" s="50"/>
      <c r="Y1221" s="50"/>
      <c r="Z1221" s="50"/>
    </row>
    <row r="1222" spans="1:26">
      <c r="A1222" s="49">
        <v>1228</v>
      </c>
      <c r="B1222" s="51" t="s">
        <v>2264</v>
      </c>
      <c r="C1222" s="52" t="s">
        <v>40</v>
      </c>
      <c r="D1222" s="74" t="s">
        <v>62</v>
      </c>
      <c r="E1222" s="74" t="s">
        <v>2220</v>
      </c>
      <c r="F1222" s="49">
        <v>53.21</v>
      </c>
      <c r="G1222" s="49" t="s">
        <v>43</v>
      </c>
      <c r="H1222" s="50"/>
      <c r="I1222" s="50"/>
      <c r="J1222" s="50"/>
      <c r="K1222" s="50"/>
      <c r="L1222" s="50"/>
      <c r="M1222" s="50"/>
      <c r="N1222" s="50"/>
      <c r="O1222" s="50"/>
      <c r="P1222" s="50"/>
      <c r="Q1222" s="50"/>
      <c r="R1222" s="50"/>
      <c r="S1222" s="50"/>
      <c r="T1222" s="50"/>
      <c r="U1222" s="50"/>
      <c r="V1222" s="50"/>
      <c r="W1222" s="50"/>
      <c r="X1222" s="50"/>
      <c r="Y1222" s="50"/>
      <c r="Z1222" s="50"/>
    </row>
    <row r="1223" spans="1:26">
      <c r="A1223" s="49">
        <v>1229</v>
      </c>
      <c r="B1223" s="51" t="s">
        <v>2265</v>
      </c>
      <c r="C1223" s="52" t="s">
        <v>45</v>
      </c>
      <c r="D1223" s="74" t="s">
        <v>913</v>
      </c>
      <c r="E1223" s="74" t="s">
        <v>2266</v>
      </c>
      <c r="F1223" s="49">
        <v>51.43</v>
      </c>
      <c r="G1223" s="49" t="s">
        <v>43</v>
      </c>
      <c r="H1223" s="50"/>
      <c r="I1223" s="50"/>
      <c r="J1223" s="50"/>
      <c r="K1223" s="50"/>
      <c r="L1223" s="50"/>
      <c r="M1223" s="50"/>
      <c r="N1223" s="50"/>
      <c r="O1223" s="50"/>
      <c r="P1223" s="50"/>
      <c r="Q1223" s="50"/>
      <c r="R1223" s="50"/>
      <c r="S1223" s="50"/>
      <c r="T1223" s="50"/>
      <c r="U1223" s="50"/>
      <c r="V1223" s="50"/>
      <c r="W1223" s="50"/>
      <c r="X1223" s="50"/>
      <c r="Y1223" s="50"/>
      <c r="Z1223" s="50"/>
    </row>
    <row r="1224" spans="1:26">
      <c r="A1224" s="49">
        <v>1230</v>
      </c>
      <c r="B1224" s="51" t="s">
        <v>2267</v>
      </c>
      <c r="C1224" s="52" t="s">
        <v>45</v>
      </c>
      <c r="D1224" s="74" t="s">
        <v>815</v>
      </c>
      <c r="E1224" s="74" t="s">
        <v>2268</v>
      </c>
      <c r="F1224" s="49">
        <v>47.93</v>
      </c>
      <c r="G1224" s="49" t="s">
        <v>43</v>
      </c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  <c r="S1224" s="50"/>
      <c r="T1224" s="50"/>
      <c r="U1224" s="50"/>
      <c r="V1224" s="50"/>
      <c r="W1224" s="50"/>
      <c r="X1224" s="50"/>
      <c r="Y1224" s="50"/>
      <c r="Z1224" s="50"/>
    </row>
    <row r="1225" spans="1:26">
      <c r="A1225" s="49">
        <v>1231</v>
      </c>
      <c r="B1225" s="51" t="s">
        <v>2269</v>
      </c>
      <c r="C1225" s="52" t="s">
        <v>52</v>
      </c>
      <c r="D1225" s="74" t="s">
        <v>2100</v>
      </c>
      <c r="E1225" s="74" t="s">
        <v>20</v>
      </c>
      <c r="F1225" s="49">
        <v>51.82</v>
      </c>
      <c r="G1225" s="49" t="s">
        <v>43</v>
      </c>
      <c r="H1225" s="50"/>
      <c r="I1225" s="50"/>
      <c r="J1225" s="50"/>
      <c r="K1225" s="50"/>
      <c r="L1225" s="50"/>
      <c r="M1225" s="50"/>
      <c r="N1225" s="50"/>
      <c r="O1225" s="50"/>
      <c r="P1225" s="50"/>
      <c r="Q1225" s="50"/>
      <c r="R1225" s="50"/>
      <c r="S1225" s="50"/>
      <c r="T1225" s="50"/>
      <c r="U1225" s="50"/>
      <c r="V1225" s="50"/>
      <c r="W1225" s="50"/>
      <c r="X1225" s="50"/>
      <c r="Y1225" s="50"/>
      <c r="Z1225" s="50"/>
    </row>
    <row r="1226" spans="1:26">
      <c r="A1226" s="49">
        <v>1232</v>
      </c>
      <c r="B1226" s="51" t="s">
        <v>2270</v>
      </c>
      <c r="C1226" s="52" t="s">
        <v>40</v>
      </c>
      <c r="D1226" s="74" t="s">
        <v>2271</v>
      </c>
      <c r="E1226" s="74" t="s">
        <v>2272</v>
      </c>
      <c r="F1226" s="49">
        <v>46.07</v>
      </c>
      <c r="G1226" s="49" t="s">
        <v>43</v>
      </c>
      <c r="H1226" s="50"/>
      <c r="I1226" s="50"/>
      <c r="J1226" s="50"/>
      <c r="K1226" s="50"/>
      <c r="L1226" s="50"/>
      <c r="M1226" s="50"/>
      <c r="N1226" s="50"/>
      <c r="O1226" s="50"/>
      <c r="P1226" s="50"/>
      <c r="Q1226" s="50"/>
      <c r="R1226" s="50"/>
      <c r="S1226" s="50"/>
      <c r="T1226" s="50"/>
      <c r="U1226" s="50"/>
      <c r="V1226" s="50"/>
      <c r="W1226" s="50"/>
      <c r="X1226" s="50"/>
      <c r="Y1226" s="50"/>
      <c r="Z1226" s="50"/>
    </row>
    <row r="1227" spans="1:26">
      <c r="A1227" s="49">
        <v>1233</v>
      </c>
      <c r="B1227" s="51" t="s">
        <v>2273</v>
      </c>
      <c r="C1227" s="52" t="s">
        <v>45</v>
      </c>
      <c r="D1227" s="74" t="s">
        <v>2181</v>
      </c>
      <c r="E1227" s="74" t="s">
        <v>1615</v>
      </c>
      <c r="F1227" s="49">
        <v>58.09</v>
      </c>
      <c r="G1227" s="49" t="s">
        <v>43</v>
      </c>
      <c r="H1227" s="50"/>
      <c r="I1227" s="50"/>
      <c r="J1227" s="50"/>
      <c r="K1227" s="50"/>
      <c r="L1227" s="50"/>
      <c r="M1227" s="50"/>
      <c r="N1227" s="50"/>
      <c r="O1227" s="50"/>
      <c r="P1227" s="50"/>
      <c r="Q1227" s="50"/>
      <c r="R1227" s="50"/>
      <c r="S1227" s="50"/>
      <c r="T1227" s="50"/>
      <c r="U1227" s="50"/>
      <c r="V1227" s="50"/>
      <c r="W1227" s="50"/>
      <c r="X1227" s="50"/>
      <c r="Y1227" s="50"/>
      <c r="Z1227" s="50"/>
    </row>
    <row r="1228" spans="1:26">
      <c r="A1228" s="49">
        <v>1234</v>
      </c>
      <c r="B1228" s="51" t="s">
        <v>2274</v>
      </c>
      <c r="C1228" s="52" t="s">
        <v>45</v>
      </c>
      <c r="D1228" s="74" t="s">
        <v>114</v>
      </c>
      <c r="E1228" s="74" t="s">
        <v>2275</v>
      </c>
      <c r="F1228" s="49">
        <v>32.479999999999997</v>
      </c>
      <c r="G1228" s="49" t="s">
        <v>43</v>
      </c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  <c r="S1228" s="50"/>
      <c r="T1228" s="50"/>
      <c r="U1228" s="50"/>
      <c r="V1228" s="50"/>
      <c r="W1228" s="50"/>
      <c r="X1228" s="50"/>
      <c r="Y1228" s="50"/>
      <c r="Z1228" s="50"/>
    </row>
    <row r="1229" spans="1:26">
      <c r="A1229" s="49">
        <v>1235</v>
      </c>
      <c r="B1229" s="51" t="s">
        <v>2276</v>
      </c>
      <c r="C1229" s="52" t="s">
        <v>52</v>
      </c>
      <c r="D1229" s="74" t="s">
        <v>2277</v>
      </c>
      <c r="E1229" s="74" t="s">
        <v>2278</v>
      </c>
      <c r="F1229" s="49">
        <v>44.23</v>
      </c>
      <c r="G1229" s="49" t="s">
        <v>43</v>
      </c>
      <c r="H1229" s="50"/>
      <c r="I1229" s="50"/>
      <c r="J1229" s="50"/>
      <c r="K1229" s="50"/>
      <c r="L1229" s="50"/>
      <c r="M1229" s="50"/>
      <c r="N1229" s="50"/>
      <c r="O1229" s="50"/>
      <c r="P1229" s="50"/>
      <c r="Q1229" s="50"/>
      <c r="R1229" s="50"/>
      <c r="S1229" s="50"/>
      <c r="T1229" s="50"/>
      <c r="U1229" s="50"/>
      <c r="V1229" s="50"/>
      <c r="W1229" s="50"/>
      <c r="X1229" s="50"/>
      <c r="Y1229" s="50"/>
      <c r="Z1229" s="50"/>
    </row>
    <row r="1230" spans="1:26">
      <c r="A1230" s="49">
        <v>1236</v>
      </c>
      <c r="B1230" s="51" t="s">
        <v>2279</v>
      </c>
      <c r="C1230" s="52" t="s">
        <v>45</v>
      </c>
      <c r="D1230" s="74" t="s">
        <v>724</v>
      </c>
      <c r="E1230" s="74" t="s">
        <v>2280</v>
      </c>
      <c r="F1230" s="49">
        <v>64.290000000000006</v>
      </c>
      <c r="G1230" s="49" t="s">
        <v>43</v>
      </c>
      <c r="H1230" s="50"/>
      <c r="I1230" s="50"/>
      <c r="J1230" s="50"/>
      <c r="K1230" s="50"/>
      <c r="L1230" s="50"/>
      <c r="M1230" s="50"/>
      <c r="N1230" s="50"/>
      <c r="O1230" s="50"/>
      <c r="P1230" s="50"/>
      <c r="Q1230" s="50"/>
      <c r="R1230" s="50"/>
      <c r="S1230" s="50"/>
      <c r="T1230" s="50"/>
      <c r="U1230" s="50"/>
      <c r="V1230" s="50"/>
      <c r="W1230" s="50"/>
      <c r="X1230" s="50"/>
      <c r="Y1230" s="50"/>
      <c r="Z1230" s="50"/>
    </row>
    <row r="1231" spans="1:26">
      <c r="A1231" s="49">
        <v>1237</v>
      </c>
      <c r="B1231" s="51" t="s">
        <v>2281</v>
      </c>
      <c r="C1231" s="52" t="s">
        <v>40</v>
      </c>
      <c r="D1231" s="74" t="s">
        <v>117</v>
      </c>
      <c r="E1231" s="74" t="s">
        <v>20</v>
      </c>
      <c r="F1231" s="49">
        <v>69.08</v>
      </c>
      <c r="G1231" s="49" t="s">
        <v>43</v>
      </c>
      <c r="H1231" s="50"/>
      <c r="I1231" s="50"/>
      <c r="J1231" s="50"/>
      <c r="K1231" s="50"/>
      <c r="L1231" s="50"/>
      <c r="M1231" s="50"/>
      <c r="N1231" s="50"/>
      <c r="O1231" s="50"/>
      <c r="P1231" s="50"/>
      <c r="Q1231" s="50"/>
      <c r="R1231" s="50"/>
      <c r="S1231" s="50"/>
      <c r="T1231" s="50"/>
      <c r="U1231" s="50"/>
      <c r="V1231" s="50"/>
      <c r="W1231" s="50"/>
      <c r="X1231" s="50"/>
      <c r="Y1231" s="50"/>
      <c r="Z1231" s="50"/>
    </row>
    <row r="1232" spans="1:26">
      <c r="A1232" s="49">
        <v>1238</v>
      </c>
      <c r="B1232" s="51" t="s">
        <v>2282</v>
      </c>
      <c r="C1232" s="52" t="s">
        <v>45</v>
      </c>
      <c r="D1232" s="74" t="s">
        <v>62</v>
      </c>
      <c r="E1232" s="74" t="s">
        <v>2283</v>
      </c>
      <c r="F1232" s="49">
        <v>64.12</v>
      </c>
      <c r="G1232" s="49" t="s">
        <v>43</v>
      </c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  <c r="S1232" s="50"/>
      <c r="T1232" s="50"/>
      <c r="U1232" s="50"/>
      <c r="V1232" s="50"/>
      <c r="W1232" s="50"/>
      <c r="X1232" s="50"/>
      <c r="Y1232" s="50"/>
      <c r="Z1232" s="50"/>
    </row>
    <row r="1233" spans="1:26">
      <c r="A1233" s="49">
        <v>1239</v>
      </c>
      <c r="B1233" s="51" t="s">
        <v>2284</v>
      </c>
      <c r="C1233" s="52" t="s">
        <v>45</v>
      </c>
      <c r="D1233" s="74" t="s">
        <v>768</v>
      </c>
      <c r="E1233" s="74" t="s">
        <v>2285</v>
      </c>
      <c r="F1233" s="49">
        <v>47.37</v>
      </c>
      <c r="G1233" s="49" t="s">
        <v>43</v>
      </c>
      <c r="H1233" s="50"/>
      <c r="I1233" s="50"/>
      <c r="J1233" s="50"/>
      <c r="K1233" s="50"/>
      <c r="L1233" s="50"/>
      <c r="M1233" s="50"/>
      <c r="N1233" s="50"/>
      <c r="O1233" s="50"/>
      <c r="P1233" s="50"/>
      <c r="Q1233" s="50"/>
      <c r="R1233" s="50"/>
      <c r="S1233" s="50"/>
      <c r="T1233" s="50"/>
      <c r="U1233" s="50"/>
      <c r="V1233" s="50"/>
      <c r="W1233" s="50"/>
      <c r="X1233" s="50"/>
      <c r="Y1233" s="50"/>
      <c r="Z1233" s="50"/>
    </row>
    <row r="1234" spans="1:26">
      <c r="A1234" s="49">
        <v>1240</v>
      </c>
      <c r="B1234" s="51" t="s">
        <v>2286</v>
      </c>
      <c r="C1234" s="52" t="s">
        <v>52</v>
      </c>
      <c r="D1234" s="74" t="s">
        <v>376</v>
      </c>
      <c r="E1234" s="74" t="s">
        <v>20</v>
      </c>
      <c r="F1234" s="49">
        <v>49.45</v>
      </c>
      <c r="G1234" s="49" t="s">
        <v>43</v>
      </c>
      <c r="H1234" s="50"/>
      <c r="I1234" s="50"/>
      <c r="J1234" s="50"/>
      <c r="K1234" s="50"/>
      <c r="L1234" s="50"/>
      <c r="M1234" s="50"/>
      <c r="N1234" s="50"/>
      <c r="O1234" s="50"/>
      <c r="P1234" s="50"/>
      <c r="Q1234" s="50"/>
      <c r="R1234" s="50"/>
      <c r="S1234" s="50"/>
      <c r="T1234" s="50"/>
      <c r="U1234" s="50"/>
      <c r="V1234" s="50"/>
      <c r="W1234" s="50"/>
      <c r="X1234" s="50"/>
      <c r="Y1234" s="50"/>
      <c r="Z1234" s="50"/>
    </row>
    <row r="1235" spans="1:26">
      <c r="A1235" s="49">
        <v>1241</v>
      </c>
      <c r="B1235" s="51" t="s">
        <v>2287</v>
      </c>
      <c r="C1235" s="52" t="s">
        <v>40</v>
      </c>
      <c r="D1235" s="74"/>
      <c r="E1235" s="74" t="s">
        <v>671</v>
      </c>
      <c r="F1235" s="49">
        <v>66.59</v>
      </c>
      <c r="G1235" s="49" t="s">
        <v>459</v>
      </c>
      <c r="H1235" s="50"/>
      <c r="I1235" s="50"/>
      <c r="J1235" s="50"/>
      <c r="K1235" s="50"/>
      <c r="L1235" s="50"/>
      <c r="M1235" s="50"/>
      <c r="N1235" s="50"/>
      <c r="O1235" s="50"/>
      <c r="P1235" s="50"/>
      <c r="Q1235" s="50"/>
      <c r="R1235" s="50"/>
      <c r="S1235" s="50"/>
      <c r="T1235" s="50"/>
      <c r="U1235" s="50"/>
      <c r="V1235" s="50"/>
      <c r="W1235" s="50"/>
      <c r="X1235" s="50"/>
      <c r="Y1235" s="50"/>
      <c r="Z1235" s="50"/>
    </row>
    <row r="1236" spans="1:26">
      <c r="A1236" s="49">
        <v>1243</v>
      </c>
      <c r="B1236" s="51" t="s">
        <v>2288</v>
      </c>
      <c r="C1236" s="52" t="s">
        <v>40</v>
      </c>
      <c r="D1236" s="74" t="s">
        <v>123</v>
      </c>
      <c r="E1236" s="74" t="s">
        <v>2195</v>
      </c>
      <c r="F1236" s="49">
        <v>51.24</v>
      </c>
      <c r="G1236" s="49" t="s">
        <v>43</v>
      </c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  <c r="S1236" s="50"/>
      <c r="T1236" s="50"/>
      <c r="U1236" s="50"/>
      <c r="V1236" s="50"/>
      <c r="W1236" s="50"/>
      <c r="X1236" s="50"/>
      <c r="Y1236" s="50"/>
      <c r="Z1236" s="50"/>
    </row>
    <row r="1237" spans="1:26">
      <c r="A1237" s="49">
        <v>1244</v>
      </c>
      <c r="B1237" s="51" t="s">
        <v>2289</v>
      </c>
      <c r="C1237" s="52" t="s">
        <v>45</v>
      </c>
      <c r="D1237" s="74" t="s">
        <v>2290</v>
      </c>
      <c r="E1237" s="74" t="s">
        <v>2291</v>
      </c>
      <c r="F1237" s="49">
        <v>57.81</v>
      </c>
      <c r="G1237" s="49" t="s">
        <v>43</v>
      </c>
      <c r="H1237" s="50"/>
      <c r="I1237" s="50"/>
      <c r="J1237" s="50"/>
      <c r="K1237" s="50"/>
      <c r="L1237" s="50"/>
      <c r="M1237" s="50"/>
      <c r="N1237" s="50"/>
      <c r="O1237" s="50"/>
      <c r="P1237" s="50"/>
      <c r="Q1237" s="50"/>
      <c r="R1237" s="50"/>
      <c r="S1237" s="50"/>
      <c r="T1237" s="50"/>
      <c r="U1237" s="50"/>
      <c r="V1237" s="50"/>
      <c r="W1237" s="50"/>
      <c r="X1237" s="50"/>
      <c r="Y1237" s="50"/>
      <c r="Z1237" s="50"/>
    </row>
    <row r="1238" spans="1:26">
      <c r="A1238" s="49">
        <v>1245</v>
      </c>
      <c r="B1238" s="51" t="s">
        <v>2292</v>
      </c>
      <c r="C1238" s="52" t="s">
        <v>45</v>
      </c>
      <c r="D1238" s="74" t="s">
        <v>284</v>
      </c>
      <c r="E1238" s="74" t="s">
        <v>417</v>
      </c>
      <c r="F1238" s="49">
        <v>59.08</v>
      </c>
      <c r="G1238" s="49" t="s">
        <v>43</v>
      </c>
      <c r="H1238" s="50"/>
      <c r="I1238" s="50"/>
      <c r="J1238" s="50"/>
      <c r="K1238" s="50"/>
      <c r="L1238" s="50"/>
      <c r="M1238" s="50"/>
      <c r="N1238" s="50"/>
      <c r="O1238" s="50"/>
      <c r="P1238" s="50"/>
      <c r="Q1238" s="50"/>
      <c r="R1238" s="50"/>
      <c r="S1238" s="50"/>
      <c r="T1238" s="50"/>
      <c r="U1238" s="50"/>
      <c r="V1238" s="50"/>
      <c r="W1238" s="50"/>
      <c r="X1238" s="50"/>
      <c r="Y1238" s="50"/>
      <c r="Z1238" s="50"/>
    </row>
    <row r="1239" spans="1:26">
      <c r="A1239" s="49">
        <v>1246</v>
      </c>
      <c r="B1239" s="51" t="s">
        <v>2293</v>
      </c>
      <c r="C1239" s="52" t="s">
        <v>52</v>
      </c>
      <c r="D1239" s="74" t="s">
        <v>214</v>
      </c>
      <c r="E1239" s="74" t="s">
        <v>989</v>
      </c>
      <c r="F1239" s="49">
        <v>46.01</v>
      </c>
      <c r="G1239" s="49" t="s">
        <v>43</v>
      </c>
      <c r="H1239" s="50"/>
      <c r="I1239" s="50"/>
      <c r="J1239" s="50"/>
      <c r="K1239" s="50"/>
      <c r="L1239" s="50"/>
      <c r="M1239" s="50"/>
      <c r="N1239" s="50"/>
      <c r="O1239" s="50"/>
      <c r="P1239" s="50"/>
      <c r="Q1239" s="50"/>
      <c r="R1239" s="50"/>
      <c r="S1239" s="50"/>
      <c r="T1239" s="50"/>
      <c r="U1239" s="50"/>
      <c r="V1239" s="50"/>
      <c r="W1239" s="50"/>
      <c r="X1239" s="50"/>
      <c r="Y1239" s="50"/>
      <c r="Z1239" s="50"/>
    </row>
    <row r="1240" spans="1:26">
      <c r="A1240" s="49">
        <v>1247</v>
      </c>
      <c r="B1240" s="51" t="s">
        <v>2294</v>
      </c>
      <c r="C1240" s="52" t="s">
        <v>45</v>
      </c>
      <c r="D1240" s="74" t="s">
        <v>1840</v>
      </c>
      <c r="E1240" s="74" t="s">
        <v>2295</v>
      </c>
      <c r="F1240" s="49">
        <v>59.62</v>
      </c>
      <c r="G1240" s="49" t="s">
        <v>43</v>
      </c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  <c r="S1240" s="50"/>
      <c r="T1240" s="50"/>
      <c r="U1240" s="50"/>
      <c r="V1240" s="50"/>
      <c r="W1240" s="50"/>
      <c r="X1240" s="50"/>
      <c r="Y1240" s="50"/>
      <c r="Z1240" s="50"/>
    </row>
    <row r="1241" spans="1:26">
      <c r="A1241" s="49">
        <v>1248</v>
      </c>
      <c r="B1241" s="51" t="s">
        <v>2296</v>
      </c>
      <c r="C1241" s="52" t="s">
        <v>45</v>
      </c>
      <c r="D1241" s="74" t="s">
        <v>1086</v>
      </c>
      <c r="E1241" s="74" t="s">
        <v>2297</v>
      </c>
      <c r="F1241" s="49">
        <v>55.82</v>
      </c>
      <c r="G1241" s="49" t="s">
        <v>43</v>
      </c>
      <c r="H1241" s="50"/>
      <c r="I1241" s="50"/>
      <c r="J1241" s="50"/>
      <c r="K1241" s="50"/>
      <c r="L1241" s="50"/>
      <c r="M1241" s="50"/>
      <c r="N1241" s="50"/>
      <c r="O1241" s="50"/>
      <c r="P1241" s="50"/>
      <c r="Q1241" s="50"/>
      <c r="R1241" s="50"/>
      <c r="S1241" s="50"/>
      <c r="T1241" s="50"/>
      <c r="U1241" s="50"/>
      <c r="V1241" s="50"/>
      <c r="W1241" s="50"/>
      <c r="X1241" s="50"/>
      <c r="Y1241" s="50"/>
      <c r="Z1241" s="50"/>
    </row>
    <row r="1242" spans="1:26">
      <c r="A1242" s="49">
        <v>1249</v>
      </c>
      <c r="B1242" s="51" t="s">
        <v>2298</v>
      </c>
      <c r="C1242" s="52" t="s">
        <v>45</v>
      </c>
      <c r="D1242" s="74" t="s">
        <v>95</v>
      </c>
      <c r="E1242" s="74" t="s">
        <v>259</v>
      </c>
      <c r="F1242" s="49">
        <v>61.97</v>
      </c>
      <c r="G1242" s="49" t="s">
        <v>43</v>
      </c>
      <c r="H1242" s="50"/>
      <c r="I1242" s="50"/>
      <c r="J1242" s="50"/>
      <c r="K1242" s="50"/>
      <c r="L1242" s="50"/>
      <c r="M1242" s="50"/>
      <c r="N1242" s="50"/>
      <c r="O1242" s="50"/>
      <c r="P1242" s="50"/>
      <c r="Q1242" s="50"/>
      <c r="R1242" s="50"/>
      <c r="S1242" s="50"/>
      <c r="T1242" s="50"/>
      <c r="U1242" s="50"/>
      <c r="V1242" s="50"/>
      <c r="W1242" s="50"/>
      <c r="X1242" s="50"/>
      <c r="Y1242" s="50"/>
      <c r="Z1242" s="50"/>
    </row>
    <row r="1243" spans="1:26">
      <c r="A1243" s="49">
        <v>1250</v>
      </c>
      <c r="B1243" s="51" t="s">
        <v>2299</v>
      </c>
      <c r="C1243" s="52" t="s">
        <v>52</v>
      </c>
      <c r="D1243" s="74" t="s">
        <v>62</v>
      </c>
      <c r="E1243" s="74" t="s">
        <v>1824</v>
      </c>
      <c r="F1243" s="49">
        <v>55.33</v>
      </c>
      <c r="G1243" s="49" t="s">
        <v>43</v>
      </c>
      <c r="H1243" s="50"/>
      <c r="I1243" s="50"/>
      <c r="J1243" s="50"/>
      <c r="K1243" s="50"/>
      <c r="L1243" s="50"/>
      <c r="M1243" s="50"/>
      <c r="N1243" s="50"/>
      <c r="O1243" s="50"/>
      <c r="P1243" s="50"/>
      <c r="Q1243" s="50"/>
      <c r="R1243" s="50"/>
      <c r="S1243" s="50"/>
      <c r="T1243" s="50"/>
      <c r="U1243" s="50"/>
      <c r="V1243" s="50"/>
      <c r="W1243" s="50"/>
      <c r="X1243" s="50"/>
      <c r="Y1243" s="50"/>
      <c r="Z1243" s="50"/>
    </row>
    <row r="1244" spans="1:26">
      <c r="A1244" s="49">
        <v>1251</v>
      </c>
      <c r="B1244" s="51" t="s">
        <v>2300</v>
      </c>
      <c r="C1244" s="52" t="s">
        <v>40</v>
      </c>
      <c r="D1244" s="74"/>
      <c r="E1244" s="74" t="s">
        <v>432</v>
      </c>
      <c r="F1244" s="49">
        <v>80.739999999999995</v>
      </c>
      <c r="G1244" s="49" t="s">
        <v>459</v>
      </c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  <c r="S1244" s="50"/>
      <c r="T1244" s="50"/>
      <c r="U1244" s="50"/>
      <c r="V1244" s="50"/>
      <c r="W1244" s="50"/>
      <c r="X1244" s="50"/>
      <c r="Y1244" s="50"/>
      <c r="Z1244" s="50"/>
    </row>
    <row r="1245" spans="1:26">
      <c r="A1245" s="49">
        <v>1252</v>
      </c>
      <c r="B1245" s="51" t="s">
        <v>2301</v>
      </c>
      <c r="C1245" s="52" t="s">
        <v>40</v>
      </c>
      <c r="D1245" s="74" t="s">
        <v>123</v>
      </c>
      <c r="E1245" s="74"/>
      <c r="F1245" s="49">
        <v>78.099999999999994</v>
      </c>
      <c r="G1245" s="49" t="s">
        <v>43</v>
      </c>
      <c r="H1245" s="50"/>
      <c r="I1245" s="50"/>
      <c r="J1245" s="50"/>
      <c r="K1245" s="50"/>
      <c r="L1245" s="50"/>
      <c r="M1245" s="50"/>
      <c r="N1245" s="50"/>
      <c r="O1245" s="50"/>
      <c r="P1245" s="50"/>
      <c r="Q1245" s="50"/>
      <c r="R1245" s="50"/>
      <c r="S1245" s="50"/>
      <c r="T1245" s="50"/>
      <c r="U1245" s="50"/>
      <c r="V1245" s="50"/>
      <c r="W1245" s="50"/>
      <c r="X1245" s="50"/>
      <c r="Y1245" s="50"/>
      <c r="Z1245" s="50"/>
    </row>
    <row r="1246" spans="1:26">
      <c r="A1246" s="49">
        <v>1253</v>
      </c>
      <c r="B1246" s="51" t="s">
        <v>2302</v>
      </c>
      <c r="C1246" s="52" t="s">
        <v>45</v>
      </c>
      <c r="D1246" s="74" t="s">
        <v>1795</v>
      </c>
      <c r="E1246" s="74" t="s">
        <v>2050</v>
      </c>
      <c r="F1246" s="49">
        <v>39.909999999999997</v>
      </c>
      <c r="G1246" s="49" t="s">
        <v>43</v>
      </c>
      <c r="H1246" s="50"/>
      <c r="I1246" s="50"/>
      <c r="J1246" s="50"/>
      <c r="K1246" s="50"/>
      <c r="L1246" s="50"/>
      <c r="M1246" s="50"/>
      <c r="N1246" s="50"/>
      <c r="O1246" s="50"/>
      <c r="P1246" s="50"/>
      <c r="Q1246" s="50"/>
      <c r="R1246" s="50"/>
      <c r="S1246" s="50"/>
      <c r="T1246" s="50"/>
      <c r="U1246" s="50"/>
      <c r="V1246" s="50"/>
      <c r="W1246" s="50"/>
      <c r="X1246" s="50"/>
      <c r="Y1246" s="50"/>
      <c r="Z1246" s="50"/>
    </row>
    <row r="1247" spans="1:26">
      <c r="A1247" s="49">
        <v>1254</v>
      </c>
      <c r="B1247" s="51" t="s">
        <v>2303</v>
      </c>
      <c r="C1247" s="52" t="s">
        <v>45</v>
      </c>
      <c r="D1247" s="74" t="s">
        <v>805</v>
      </c>
      <c r="E1247" s="74" t="s">
        <v>355</v>
      </c>
      <c r="F1247" s="49">
        <v>59.95</v>
      </c>
      <c r="G1247" s="49" t="s">
        <v>43</v>
      </c>
      <c r="H1247" s="50"/>
      <c r="I1247" s="50"/>
      <c r="J1247" s="50"/>
      <c r="K1247" s="50"/>
      <c r="L1247" s="50"/>
      <c r="M1247" s="50"/>
      <c r="N1247" s="50"/>
      <c r="O1247" s="50"/>
      <c r="P1247" s="50"/>
      <c r="Q1247" s="50"/>
      <c r="R1247" s="50"/>
      <c r="S1247" s="50"/>
      <c r="T1247" s="50"/>
      <c r="U1247" s="50"/>
      <c r="V1247" s="50"/>
      <c r="W1247" s="50"/>
      <c r="X1247" s="50"/>
      <c r="Y1247" s="50"/>
      <c r="Z1247" s="50"/>
    </row>
    <row r="1248" spans="1:26">
      <c r="A1248" s="49">
        <v>1255</v>
      </c>
      <c r="B1248" s="51" t="s">
        <v>2304</v>
      </c>
      <c r="C1248" s="52" t="s">
        <v>52</v>
      </c>
      <c r="D1248" s="74" t="s">
        <v>368</v>
      </c>
      <c r="E1248" s="74" t="s">
        <v>432</v>
      </c>
      <c r="F1248" s="49">
        <v>69.069999999999993</v>
      </c>
      <c r="G1248" s="49" t="s">
        <v>43</v>
      </c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  <c r="S1248" s="50"/>
      <c r="T1248" s="50"/>
      <c r="U1248" s="50"/>
      <c r="V1248" s="50"/>
      <c r="W1248" s="50"/>
      <c r="X1248" s="50"/>
      <c r="Y1248" s="50"/>
      <c r="Z1248" s="50"/>
    </row>
    <row r="1249" spans="1:26">
      <c r="A1249" s="49">
        <v>1256</v>
      </c>
      <c r="B1249" s="51" t="s">
        <v>2305</v>
      </c>
      <c r="C1249" s="52" t="s">
        <v>45</v>
      </c>
      <c r="D1249" s="74" t="s">
        <v>575</v>
      </c>
      <c r="E1249" s="74" t="s">
        <v>1815</v>
      </c>
      <c r="F1249" s="49">
        <v>65.599999999999994</v>
      </c>
      <c r="G1249" s="49" t="s">
        <v>43</v>
      </c>
      <c r="H1249" s="50"/>
      <c r="I1249" s="50"/>
      <c r="J1249" s="50"/>
      <c r="K1249" s="50"/>
      <c r="L1249" s="50"/>
      <c r="M1249" s="50"/>
      <c r="N1249" s="50"/>
      <c r="O1249" s="50"/>
      <c r="P1249" s="50"/>
      <c r="Q1249" s="50"/>
      <c r="R1249" s="50"/>
      <c r="S1249" s="50"/>
      <c r="T1249" s="50"/>
      <c r="U1249" s="50"/>
      <c r="V1249" s="50"/>
      <c r="W1249" s="50"/>
      <c r="X1249" s="50"/>
      <c r="Y1249" s="50"/>
      <c r="Z1249" s="50"/>
    </row>
    <row r="1250" spans="1:26">
      <c r="A1250" s="49">
        <v>1257</v>
      </c>
      <c r="B1250" s="51" t="s">
        <v>2306</v>
      </c>
      <c r="C1250" s="52" t="s">
        <v>45</v>
      </c>
      <c r="D1250" s="74" t="s">
        <v>414</v>
      </c>
      <c r="E1250" s="74" t="s">
        <v>1543</v>
      </c>
      <c r="F1250" s="49">
        <v>57.87</v>
      </c>
      <c r="G1250" s="49" t="s">
        <v>43</v>
      </c>
      <c r="H1250" s="50"/>
      <c r="I1250" s="50"/>
      <c r="J1250" s="50"/>
      <c r="K1250" s="50"/>
      <c r="L1250" s="50"/>
      <c r="M1250" s="50"/>
      <c r="N1250" s="50"/>
      <c r="O1250" s="50"/>
      <c r="P1250" s="50"/>
      <c r="Q1250" s="50"/>
      <c r="R1250" s="50"/>
      <c r="S1250" s="50"/>
      <c r="T1250" s="50"/>
      <c r="U1250" s="50"/>
      <c r="V1250" s="50"/>
      <c r="W1250" s="50"/>
      <c r="X1250" s="50"/>
      <c r="Y1250" s="50"/>
      <c r="Z1250" s="50"/>
    </row>
    <row r="1251" spans="1:26">
      <c r="A1251" s="49">
        <v>1258</v>
      </c>
      <c r="B1251" s="51" t="s">
        <v>2307</v>
      </c>
      <c r="C1251" s="52" t="s">
        <v>45</v>
      </c>
      <c r="D1251" s="74" t="s">
        <v>161</v>
      </c>
      <c r="E1251" s="74" t="s">
        <v>2308</v>
      </c>
      <c r="F1251" s="49">
        <v>63.92</v>
      </c>
      <c r="G1251" s="49" t="s">
        <v>43</v>
      </c>
      <c r="H1251" s="50"/>
      <c r="I1251" s="50"/>
      <c r="J1251" s="50"/>
      <c r="K1251" s="50"/>
      <c r="L1251" s="50"/>
      <c r="M1251" s="50"/>
      <c r="N1251" s="50"/>
      <c r="O1251" s="50"/>
      <c r="P1251" s="50"/>
      <c r="Q1251" s="50"/>
      <c r="R1251" s="50"/>
      <c r="S1251" s="50"/>
      <c r="T1251" s="50"/>
      <c r="U1251" s="50"/>
      <c r="V1251" s="50"/>
      <c r="W1251" s="50"/>
      <c r="X1251" s="50"/>
      <c r="Y1251" s="50"/>
      <c r="Z1251" s="50"/>
    </row>
    <row r="1252" spans="1:26">
      <c r="A1252" s="49">
        <v>1259</v>
      </c>
      <c r="B1252" s="51" t="s">
        <v>2309</v>
      </c>
      <c r="C1252" s="52" t="s">
        <v>52</v>
      </c>
      <c r="D1252" s="74" t="s">
        <v>815</v>
      </c>
      <c r="E1252" s="74" t="s">
        <v>432</v>
      </c>
      <c r="F1252" s="49">
        <v>52.99</v>
      </c>
      <c r="G1252" s="49" t="s">
        <v>43</v>
      </c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  <c r="S1252" s="50"/>
      <c r="T1252" s="50"/>
      <c r="U1252" s="50"/>
      <c r="V1252" s="50"/>
      <c r="W1252" s="50"/>
      <c r="X1252" s="50"/>
      <c r="Y1252" s="50"/>
      <c r="Z1252" s="50"/>
    </row>
    <row r="1253" spans="1:26">
      <c r="A1253" s="49">
        <v>1260</v>
      </c>
      <c r="B1253" s="51" t="s">
        <v>2310</v>
      </c>
      <c r="C1253" s="52" t="s">
        <v>40</v>
      </c>
      <c r="D1253" s="74" t="s">
        <v>123</v>
      </c>
      <c r="E1253" s="74" t="s">
        <v>432</v>
      </c>
      <c r="F1253" s="49">
        <v>61</v>
      </c>
      <c r="G1253" s="49" t="s">
        <v>43</v>
      </c>
      <c r="H1253" s="50"/>
      <c r="I1253" s="50"/>
      <c r="J1253" s="50"/>
      <c r="K1253" s="50"/>
      <c r="L1253" s="50"/>
      <c r="M1253" s="50"/>
      <c r="N1253" s="50"/>
      <c r="O1253" s="50"/>
      <c r="P1253" s="50"/>
      <c r="Q1253" s="50"/>
      <c r="R1253" s="50"/>
      <c r="S1253" s="50"/>
      <c r="T1253" s="50"/>
      <c r="U1253" s="50"/>
      <c r="V1253" s="50"/>
      <c r="W1253" s="50"/>
      <c r="X1253" s="50"/>
      <c r="Y1253" s="50"/>
      <c r="Z1253" s="50"/>
    </row>
    <row r="1254" spans="1:26">
      <c r="A1254" s="49">
        <v>1261</v>
      </c>
      <c r="B1254" s="51" t="s">
        <v>2311</v>
      </c>
      <c r="C1254" s="52" t="s">
        <v>45</v>
      </c>
      <c r="D1254" s="74" t="s">
        <v>1123</v>
      </c>
      <c r="E1254" s="74" t="s">
        <v>20</v>
      </c>
      <c r="F1254" s="49">
        <v>73.73</v>
      </c>
      <c r="G1254" s="49" t="s">
        <v>43</v>
      </c>
      <c r="H1254" s="50"/>
      <c r="I1254" s="50"/>
      <c r="J1254" s="50"/>
      <c r="K1254" s="50"/>
      <c r="L1254" s="50"/>
      <c r="M1254" s="50"/>
      <c r="N1254" s="50"/>
      <c r="O1254" s="50"/>
      <c r="P1254" s="50"/>
      <c r="Q1254" s="50"/>
      <c r="R1254" s="50"/>
      <c r="S1254" s="50"/>
      <c r="T1254" s="50"/>
      <c r="U1254" s="50"/>
      <c r="V1254" s="50"/>
      <c r="W1254" s="50"/>
      <c r="X1254" s="50"/>
      <c r="Y1254" s="50"/>
      <c r="Z1254" s="50"/>
    </row>
    <row r="1255" spans="1:26">
      <c r="A1255" s="49">
        <v>1262</v>
      </c>
      <c r="B1255" s="51" t="s">
        <v>2312</v>
      </c>
      <c r="C1255" s="52" t="s">
        <v>45</v>
      </c>
      <c r="D1255" s="74" t="s">
        <v>214</v>
      </c>
      <c r="E1255" s="74" t="s">
        <v>2313</v>
      </c>
      <c r="F1255" s="49">
        <v>46.96</v>
      </c>
      <c r="G1255" s="49" t="s">
        <v>43</v>
      </c>
      <c r="H1255" s="50"/>
      <c r="I1255" s="50"/>
      <c r="J1255" s="50"/>
      <c r="K1255" s="50"/>
      <c r="L1255" s="50"/>
      <c r="M1255" s="50"/>
      <c r="N1255" s="50"/>
      <c r="O1255" s="50"/>
      <c r="P1255" s="50"/>
      <c r="Q1255" s="50"/>
      <c r="R1255" s="50"/>
      <c r="S1255" s="50"/>
      <c r="T1255" s="50"/>
      <c r="U1255" s="50"/>
      <c r="V1255" s="50"/>
      <c r="W1255" s="50"/>
      <c r="X1255" s="50"/>
      <c r="Y1255" s="50"/>
      <c r="Z1255" s="50"/>
    </row>
    <row r="1256" spans="1:26">
      <c r="A1256" s="49">
        <v>1263</v>
      </c>
      <c r="B1256" s="51" t="s">
        <v>2314</v>
      </c>
      <c r="C1256" s="52" t="s">
        <v>52</v>
      </c>
      <c r="D1256" s="74" t="s">
        <v>342</v>
      </c>
      <c r="E1256" s="74"/>
      <c r="F1256" s="49">
        <v>40.64</v>
      </c>
      <c r="G1256" s="49" t="s">
        <v>43</v>
      </c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  <c r="S1256" s="50"/>
      <c r="T1256" s="50"/>
      <c r="U1256" s="50"/>
      <c r="V1256" s="50"/>
      <c r="W1256" s="50"/>
      <c r="X1256" s="50"/>
      <c r="Y1256" s="50"/>
      <c r="Z1256" s="50"/>
    </row>
    <row r="1257" spans="1:26">
      <c r="A1257" s="49">
        <v>1264</v>
      </c>
      <c r="B1257" s="51" t="s">
        <v>2315</v>
      </c>
      <c r="C1257" s="52" t="s">
        <v>45</v>
      </c>
      <c r="D1257" s="74"/>
      <c r="E1257" s="74" t="s">
        <v>671</v>
      </c>
      <c r="F1257" s="49">
        <v>66.59</v>
      </c>
      <c r="G1257" s="49" t="s">
        <v>459</v>
      </c>
      <c r="H1257" s="50"/>
      <c r="I1257" s="50"/>
      <c r="J1257" s="50"/>
      <c r="K1257" s="50"/>
      <c r="L1257" s="50"/>
      <c r="M1257" s="50"/>
      <c r="N1257" s="50"/>
      <c r="O1257" s="50"/>
      <c r="P1257" s="50"/>
      <c r="Q1257" s="50"/>
      <c r="R1257" s="50"/>
      <c r="S1257" s="50"/>
      <c r="T1257" s="50"/>
      <c r="U1257" s="50"/>
      <c r="V1257" s="50"/>
      <c r="W1257" s="50"/>
      <c r="X1257" s="50"/>
      <c r="Y1257" s="50"/>
      <c r="Z1257" s="50"/>
    </row>
    <row r="1258" spans="1:26">
      <c r="A1258" s="49">
        <v>1265</v>
      </c>
      <c r="B1258" s="51" t="s">
        <v>2316</v>
      </c>
      <c r="C1258" s="52" t="s">
        <v>45</v>
      </c>
      <c r="D1258" s="74"/>
      <c r="E1258" s="74" t="s">
        <v>20</v>
      </c>
      <c r="F1258" s="49">
        <v>94.61</v>
      </c>
      <c r="G1258" s="49" t="s">
        <v>43</v>
      </c>
      <c r="H1258" s="50"/>
      <c r="I1258" s="50"/>
      <c r="J1258" s="50"/>
      <c r="K1258" s="50"/>
      <c r="L1258" s="50"/>
      <c r="M1258" s="50"/>
      <c r="N1258" s="50"/>
      <c r="O1258" s="50"/>
      <c r="P1258" s="50"/>
      <c r="Q1258" s="50"/>
      <c r="R1258" s="50"/>
      <c r="S1258" s="50"/>
      <c r="T1258" s="50"/>
      <c r="U1258" s="50"/>
      <c r="V1258" s="50"/>
      <c r="W1258" s="50"/>
      <c r="X1258" s="50"/>
      <c r="Y1258" s="50"/>
      <c r="Z1258" s="50"/>
    </row>
    <row r="1259" spans="1:26">
      <c r="A1259" s="49">
        <v>1266</v>
      </c>
      <c r="B1259" s="51" t="s">
        <v>2317</v>
      </c>
      <c r="C1259" s="52" t="s">
        <v>40</v>
      </c>
      <c r="D1259" s="74" t="s">
        <v>2318</v>
      </c>
      <c r="E1259" s="74" t="s">
        <v>2319</v>
      </c>
      <c r="F1259" s="49">
        <v>79.349999999999994</v>
      </c>
      <c r="G1259" s="49" t="s">
        <v>43</v>
      </c>
      <c r="H1259" s="50"/>
      <c r="I1259" s="50"/>
      <c r="J1259" s="50"/>
      <c r="K1259" s="50"/>
      <c r="L1259" s="50"/>
      <c r="M1259" s="50"/>
      <c r="N1259" s="50"/>
      <c r="O1259" s="50"/>
      <c r="P1259" s="50"/>
      <c r="Q1259" s="50"/>
      <c r="R1259" s="50"/>
      <c r="S1259" s="50"/>
      <c r="T1259" s="50"/>
      <c r="U1259" s="50"/>
      <c r="V1259" s="50"/>
      <c r="W1259" s="50"/>
      <c r="X1259" s="50"/>
      <c r="Y1259" s="50"/>
      <c r="Z1259" s="50"/>
    </row>
    <row r="1260" spans="1:26">
      <c r="A1260" s="49">
        <v>1267</v>
      </c>
      <c r="B1260" s="51" t="s">
        <v>2320</v>
      </c>
      <c r="C1260" s="52" t="s">
        <v>45</v>
      </c>
      <c r="D1260" s="74" t="s">
        <v>2321</v>
      </c>
      <c r="E1260" s="74" t="s">
        <v>355</v>
      </c>
      <c r="F1260" s="49">
        <v>57.7</v>
      </c>
      <c r="G1260" s="49" t="s">
        <v>43</v>
      </c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  <c r="S1260" s="50"/>
      <c r="T1260" s="50"/>
      <c r="U1260" s="50"/>
      <c r="V1260" s="50"/>
      <c r="W1260" s="50"/>
      <c r="X1260" s="50"/>
      <c r="Y1260" s="50"/>
      <c r="Z1260" s="50"/>
    </row>
    <row r="1261" spans="1:26">
      <c r="A1261" s="49">
        <v>1268</v>
      </c>
      <c r="B1261" s="51" t="s">
        <v>2322</v>
      </c>
      <c r="C1261" s="52" t="s">
        <v>45</v>
      </c>
      <c r="D1261" s="74" t="s">
        <v>59</v>
      </c>
      <c r="E1261" s="74" t="s">
        <v>432</v>
      </c>
      <c r="F1261" s="49">
        <v>62.87</v>
      </c>
      <c r="G1261" s="49" t="s">
        <v>43</v>
      </c>
      <c r="H1261" s="50"/>
      <c r="I1261" s="50"/>
      <c r="J1261" s="50"/>
      <c r="K1261" s="50"/>
      <c r="L1261" s="50"/>
      <c r="M1261" s="50"/>
      <c r="N1261" s="50"/>
      <c r="O1261" s="50"/>
      <c r="P1261" s="50"/>
      <c r="Q1261" s="50"/>
      <c r="R1261" s="50"/>
      <c r="S1261" s="50"/>
      <c r="T1261" s="50"/>
      <c r="U1261" s="50"/>
      <c r="V1261" s="50"/>
      <c r="W1261" s="50"/>
      <c r="X1261" s="50"/>
      <c r="Y1261" s="50"/>
      <c r="Z1261" s="50"/>
    </row>
    <row r="1262" spans="1:26">
      <c r="A1262" s="49">
        <v>1269</v>
      </c>
      <c r="B1262" s="51" t="s">
        <v>2323</v>
      </c>
      <c r="C1262" s="52" t="s">
        <v>52</v>
      </c>
      <c r="D1262" s="74" t="s">
        <v>214</v>
      </c>
      <c r="E1262" s="74" t="s">
        <v>417</v>
      </c>
      <c r="F1262" s="49">
        <v>42.73</v>
      </c>
      <c r="G1262" s="49" t="s">
        <v>43</v>
      </c>
      <c r="H1262" s="50"/>
      <c r="I1262" s="50"/>
      <c r="J1262" s="50"/>
      <c r="K1262" s="50"/>
      <c r="L1262" s="50"/>
      <c r="M1262" s="50"/>
      <c r="N1262" s="50"/>
      <c r="O1262" s="50"/>
      <c r="P1262" s="50"/>
      <c r="Q1262" s="50"/>
      <c r="R1262" s="50"/>
      <c r="S1262" s="50"/>
      <c r="T1262" s="50"/>
      <c r="U1262" s="50"/>
      <c r="V1262" s="50"/>
      <c r="W1262" s="50"/>
      <c r="X1262" s="50"/>
      <c r="Y1262" s="50"/>
      <c r="Z1262" s="50"/>
    </row>
    <row r="1263" spans="1:26">
      <c r="A1263" s="49">
        <v>1270</v>
      </c>
      <c r="B1263" s="51" t="s">
        <v>2324</v>
      </c>
      <c r="C1263" s="52" t="s">
        <v>45</v>
      </c>
      <c r="D1263" s="74"/>
      <c r="E1263" s="74" t="s">
        <v>20</v>
      </c>
      <c r="F1263" s="49">
        <v>86.02</v>
      </c>
      <c r="G1263" s="49" t="s">
        <v>459</v>
      </c>
      <c r="H1263" s="50"/>
      <c r="I1263" s="50"/>
      <c r="J1263" s="50"/>
      <c r="K1263" s="50"/>
      <c r="L1263" s="50"/>
      <c r="M1263" s="50"/>
      <c r="N1263" s="50"/>
      <c r="O1263" s="50"/>
      <c r="P1263" s="50"/>
      <c r="Q1263" s="50"/>
      <c r="R1263" s="50"/>
      <c r="S1263" s="50"/>
      <c r="T1263" s="50"/>
      <c r="U1263" s="50"/>
      <c r="V1263" s="50"/>
      <c r="W1263" s="50"/>
      <c r="X1263" s="50"/>
      <c r="Y1263" s="50"/>
      <c r="Z1263" s="50"/>
    </row>
    <row r="1264" spans="1:26">
      <c r="A1264" s="49">
        <v>1271</v>
      </c>
      <c r="B1264" s="51" t="s">
        <v>2325</v>
      </c>
      <c r="C1264" s="52" t="s">
        <v>40</v>
      </c>
      <c r="D1264" s="74" t="s">
        <v>65</v>
      </c>
      <c r="E1264" s="74" t="s">
        <v>2195</v>
      </c>
      <c r="F1264" s="49">
        <v>53.58</v>
      </c>
      <c r="G1264" s="49" t="s">
        <v>43</v>
      </c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  <c r="S1264" s="50"/>
      <c r="T1264" s="50"/>
      <c r="U1264" s="50"/>
      <c r="V1264" s="50"/>
      <c r="W1264" s="50"/>
      <c r="X1264" s="50"/>
      <c r="Y1264" s="50"/>
      <c r="Z1264" s="50"/>
    </row>
    <row r="1265" spans="1:26">
      <c r="A1265" s="49">
        <v>1272</v>
      </c>
      <c r="B1265" s="51" t="s">
        <v>2326</v>
      </c>
      <c r="C1265" s="52" t="s">
        <v>45</v>
      </c>
      <c r="D1265" s="74" t="s">
        <v>2327</v>
      </c>
      <c r="E1265" s="74" t="s">
        <v>20</v>
      </c>
      <c r="F1265" s="49">
        <v>57.9</v>
      </c>
      <c r="G1265" s="49" t="s">
        <v>43</v>
      </c>
      <c r="H1265" s="50"/>
      <c r="I1265" s="50"/>
      <c r="J1265" s="50"/>
      <c r="K1265" s="50"/>
      <c r="L1265" s="50"/>
      <c r="M1265" s="50"/>
      <c r="N1265" s="50"/>
      <c r="O1265" s="50"/>
      <c r="P1265" s="50"/>
      <c r="Q1265" s="50"/>
      <c r="R1265" s="50"/>
      <c r="S1265" s="50"/>
      <c r="T1265" s="50"/>
      <c r="U1265" s="50"/>
      <c r="V1265" s="50"/>
      <c r="W1265" s="50"/>
      <c r="X1265" s="50"/>
      <c r="Y1265" s="50"/>
      <c r="Z1265" s="50"/>
    </row>
    <row r="1266" spans="1:26">
      <c r="A1266" s="49">
        <v>1273</v>
      </c>
      <c r="B1266" s="51" t="s">
        <v>2328</v>
      </c>
      <c r="C1266" s="52" t="s">
        <v>45</v>
      </c>
      <c r="D1266" s="74" t="s">
        <v>1099</v>
      </c>
      <c r="E1266" s="74" t="s">
        <v>989</v>
      </c>
      <c r="F1266" s="49">
        <v>63.33</v>
      </c>
      <c r="G1266" s="49" t="s">
        <v>43</v>
      </c>
      <c r="H1266" s="50"/>
      <c r="I1266" s="50"/>
      <c r="J1266" s="50"/>
      <c r="K1266" s="50"/>
      <c r="L1266" s="50"/>
      <c r="M1266" s="50"/>
      <c r="N1266" s="50"/>
      <c r="O1266" s="50"/>
      <c r="P1266" s="50"/>
      <c r="Q1266" s="50"/>
      <c r="R1266" s="50"/>
      <c r="S1266" s="50"/>
      <c r="T1266" s="50"/>
      <c r="U1266" s="50"/>
      <c r="V1266" s="50"/>
      <c r="W1266" s="50"/>
      <c r="X1266" s="50"/>
      <c r="Y1266" s="50"/>
      <c r="Z1266" s="50"/>
    </row>
    <row r="1267" spans="1:26">
      <c r="A1267" s="49">
        <v>1274</v>
      </c>
      <c r="B1267" s="51" t="s">
        <v>2329</v>
      </c>
      <c r="C1267" s="52" t="s">
        <v>52</v>
      </c>
      <c r="D1267" s="74" t="s">
        <v>598</v>
      </c>
      <c r="E1267" s="74" t="s">
        <v>1540</v>
      </c>
      <c r="F1267" s="49">
        <v>65.239999999999995</v>
      </c>
      <c r="G1267" s="49" t="s">
        <v>43</v>
      </c>
      <c r="H1267" s="50"/>
      <c r="I1267" s="50"/>
      <c r="J1267" s="50"/>
      <c r="K1267" s="50"/>
      <c r="L1267" s="50"/>
      <c r="M1267" s="50"/>
      <c r="N1267" s="50"/>
      <c r="O1267" s="50"/>
      <c r="P1267" s="50"/>
      <c r="Q1267" s="50"/>
      <c r="R1267" s="50"/>
      <c r="S1267" s="50"/>
      <c r="T1267" s="50"/>
      <c r="U1267" s="50"/>
      <c r="V1267" s="50"/>
      <c r="W1267" s="50"/>
      <c r="X1267" s="50"/>
      <c r="Y1267" s="50"/>
      <c r="Z1267" s="50"/>
    </row>
    <row r="1268" spans="1:26">
      <c r="A1268" s="49">
        <v>1275</v>
      </c>
      <c r="B1268" s="51" t="s">
        <v>2330</v>
      </c>
      <c r="C1268" s="52" t="s">
        <v>40</v>
      </c>
      <c r="D1268" s="74" t="s">
        <v>123</v>
      </c>
      <c r="E1268" s="74" t="s">
        <v>2331</v>
      </c>
      <c r="F1268" s="49">
        <v>52.72</v>
      </c>
      <c r="G1268" s="49" t="s">
        <v>43</v>
      </c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  <c r="S1268" s="50"/>
      <c r="T1268" s="50"/>
      <c r="U1268" s="50"/>
      <c r="V1268" s="50"/>
      <c r="W1268" s="50"/>
      <c r="X1268" s="50"/>
      <c r="Y1268" s="50"/>
      <c r="Z1268" s="50"/>
    </row>
    <row r="1269" spans="1:26">
      <c r="A1269" s="49">
        <v>1276</v>
      </c>
      <c r="B1269" s="51" t="s">
        <v>2332</v>
      </c>
      <c r="C1269" s="52" t="s">
        <v>45</v>
      </c>
      <c r="D1269" s="74" t="s">
        <v>1795</v>
      </c>
      <c r="E1269" s="74" t="s">
        <v>2333</v>
      </c>
      <c r="F1269" s="49">
        <v>49.48</v>
      </c>
      <c r="G1269" s="49" t="s">
        <v>43</v>
      </c>
      <c r="H1269" s="50"/>
      <c r="I1269" s="50"/>
      <c r="J1269" s="50"/>
      <c r="K1269" s="50"/>
      <c r="L1269" s="50"/>
      <c r="M1269" s="50"/>
      <c r="N1269" s="50"/>
      <c r="O1269" s="50"/>
      <c r="P1269" s="50"/>
      <c r="Q1269" s="50"/>
      <c r="R1269" s="50"/>
      <c r="S1269" s="50"/>
      <c r="T1269" s="50"/>
      <c r="U1269" s="50"/>
      <c r="V1269" s="50"/>
      <c r="W1269" s="50"/>
      <c r="X1269" s="50"/>
      <c r="Y1269" s="50"/>
      <c r="Z1269" s="50"/>
    </row>
    <row r="1270" spans="1:26">
      <c r="A1270" s="49">
        <v>1277</v>
      </c>
      <c r="B1270" s="51" t="s">
        <v>2334</v>
      </c>
      <c r="C1270" s="52" t="s">
        <v>45</v>
      </c>
      <c r="D1270" s="74" t="s">
        <v>197</v>
      </c>
      <c r="E1270" s="74" t="s">
        <v>20</v>
      </c>
      <c r="F1270" s="49">
        <v>72.930000000000007</v>
      </c>
      <c r="G1270" s="49" t="s">
        <v>43</v>
      </c>
      <c r="H1270" s="50"/>
      <c r="I1270" s="50"/>
      <c r="J1270" s="50"/>
      <c r="K1270" s="50"/>
      <c r="L1270" s="50"/>
      <c r="M1270" s="50"/>
      <c r="N1270" s="50"/>
      <c r="O1270" s="50"/>
      <c r="P1270" s="50"/>
      <c r="Q1270" s="50"/>
      <c r="R1270" s="50"/>
      <c r="S1270" s="50"/>
      <c r="T1270" s="50"/>
      <c r="U1270" s="50"/>
      <c r="V1270" s="50"/>
      <c r="W1270" s="50"/>
      <c r="X1270" s="50"/>
      <c r="Y1270" s="50"/>
      <c r="Z1270" s="50"/>
    </row>
    <row r="1271" spans="1:26">
      <c r="A1271" s="49">
        <v>1278</v>
      </c>
      <c r="B1271" s="51" t="s">
        <v>2335</v>
      </c>
      <c r="C1271" s="52" t="s">
        <v>52</v>
      </c>
      <c r="D1271" s="74" t="s">
        <v>214</v>
      </c>
      <c r="E1271" s="74" t="s">
        <v>2336</v>
      </c>
      <c r="F1271" s="49">
        <v>59.65</v>
      </c>
      <c r="G1271" s="49" t="s">
        <v>43</v>
      </c>
      <c r="H1271" s="50"/>
      <c r="I1271" s="50"/>
      <c r="J1271" s="50"/>
      <c r="K1271" s="50"/>
      <c r="L1271" s="50"/>
      <c r="M1271" s="50"/>
      <c r="N1271" s="50"/>
      <c r="O1271" s="50"/>
      <c r="P1271" s="50"/>
      <c r="Q1271" s="50"/>
      <c r="R1271" s="50"/>
      <c r="S1271" s="50"/>
      <c r="T1271" s="50"/>
      <c r="U1271" s="50"/>
      <c r="V1271" s="50"/>
      <c r="W1271" s="50"/>
      <c r="X1271" s="50"/>
      <c r="Y1271" s="50"/>
      <c r="Z1271" s="50"/>
    </row>
    <row r="1272" spans="1:26">
      <c r="A1272" s="49">
        <v>1280</v>
      </c>
      <c r="B1272" s="51" t="s">
        <v>2337</v>
      </c>
      <c r="C1272" s="52" t="s">
        <v>40</v>
      </c>
      <c r="D1272" s="74"/>
      <c r="E1272" s="74" t="s">
        <v>2338</v>
      </c>
      <c r="F1272" s="49">
        <v>71.08</v>
      </c>
      <c r="G1272" s="49" t="s">
        <v>459</v>
      </c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  <c r="S1272" s="50"/>
      <c r="T1272" s="50"/>
      <c r="U1272" s="50"/>
      <c r="V1272" s="50"/>
      <c r="W1272" s="50"/>
      <c r="X1272" s="50"/>
      <c r="Y1272" s="50"/>
      <c r="Z1272" s="50"/>
    </row>
    <row r="1273" spans="1:26">
      <c r="A1273" s="49">
        <v>1281</v>
      </c>
      <c r="B1273" s="51" t="s">
        <v>2339</v>
      </c>
      <c r="C1273" s="52" t="s">
        <v>40</v>
      </c>
      <c r="D1273" s="74" t="s">
        <v>62</v>
      </c>
      <c r="E1273" s="74" t="s">
        <v>2340</v>
      </c>
      <c r="F1273" s="49">
        <v>84.75</v>
      </c>
      <c r="G1273" s="49" t="s">
        <v>43</v>
      </c>
      <c r="H1273" s="50"/>
      <c r="I1273" s="50"/>
      <c r="J1273" s="50"/>
      <c r="K1273" s="50"/>
      <c r="L1273" s="50"/>
      <c r="M1273" s="50"/>
      <c r="N1273" s="50"/>
      <c r="O1273" s="50"/>
      <c r="P1273" s="50"/>
      <c r="Q1273" s="50"/>
      <c r="R1273" s="50"/>
      <c r="S1273" s="50"/>
      <c r="T1273" s="50"/>
      <c r="U1273" s="50"/>
      <c r="V1273" s="50"/>
      <c r="W1273" s="50"/>
      <c r="X1273" s="50"/>
      <c r="Y1273" s="50"/>
      <c r="Z1273" s="50"/>
    </row>
    <row r="1274" spans="1:26">
      <c r="A1274" s="49">
        <v>1282</v>
      </c>
      <c r="B1274" s="51" t="s">
        <v>2341</v>
      </c>
      <c r="C1274" s="52" t="s">
        <v>45</v>
      </c>
      <c r="D1274" s="74" t="s">
        <v>360</v>
      </c>
      <c r="E1274" s="74" t="s">
        <v>2338</v>
      </c>
      <c r="F1274" s="49">
        <v>83.5</v>
      </c>
      <c r="G1274" s="49" t="s">
        <v>43</v>
      </c>
      <c r="H1274" s="50"/>
      <c r="I1274" s="50"/>
      <c r="J1274" s="50"/>
      <c r="K1274" s="50"/>
      <c r="L1274" s="50"/>
      <c r="M1274" s="50"/>
      <c r="N1274" s="50"/>
      <c r="O1274" s="50"/>
      <c r="P1274" s="50"/>
      <c r="Q1274" s="50"/>
      <c r="R1274" s="50"/>
      <c r="S1274" s="50"/>
      <c r="T1274" s="50"/>
      <c r="U1274" s="50"/>
      <c r="V1274" s="50"/>
      <c r="W1274" s="50"/>
      <c r="X1274" s="50"/>
      <c r="Y1274" s="50"/>
      <c r="Z1274" s="50"/>
    </row>
    <row r="1275" spans="1:26">
      <c r="A1275" s="49">
        <v>1283</v>
      </c>
      <c r="B1275" s="51" t="s">
        <v>2342</v>
      </c>
      <c r="C1275" s="52" t="s">
        <v>45</v>
      </c>
      <c r="D1275" s="74" t="s">
        <v>670</v>
      </c>
      <c r="E1275" s="74" t="s">
        <v>2343</v>
      </c>
      <c r="F1275" s="49">
        <v>45.73</v>
      </c>
      <c r="G1275" s="49" t="s">
        <v>43</v>
      </c>
      <c r="H1275" s="50"/>
      <c r="I1275" s="50"/>
      <c r="J1275" s="50"/>
      <c r="K1275" s="50"/>
      <c r="L1275" s="50"/>
      <c r="M1275" s="50"/>
      <c r="N1275" s="50"/>
      <c r="O1275" s="50"/>
      <c r="P1275" s="50"/>
      <c r="Q1275" s="50"/>
      <c r="R1275" s="50"/>
      <c r="S1275" s="50"/>
      <c r="T1275" s="50"/>
      <c r="U1275" s="50"/>
      <c r="V1275" s="50"/>
      <c r="W1275" s="50"/>
      <c r="X1275" s="50"/>
      <c r="Y1275" s="50"/>
      <c r="Z1275" s="50"/>
    </row>
    <row r="1276" spans="1:26">
      <c r="A1276" s="49">
        <v>1284</v>
      </c>
      <c r="B1276" s="51" t="s">
        <v>2344</v>
      </c>
      <c r="C1276" s="52" t="s">
        <v>52</v>
      </c>
      <c r="D1276" s="74" t="s">
        <v>342</v>
      </c>
      <c r="E1276" s="74" t="s">
        <v>902</v>
      </c>
      <c r="F1276" s="49">
        <v>69.44</v>
      </c>
      <c r="G1276" s="49" t="s">
        <v>43</v>
      </c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  <c r="S1276" s="50"/>
      <c r="T1276" s="50"/>
      <c r="U1276" s="50"/>
      <c r="V1276" s="50"/>
      <c r="W1276" s="50"/>
      <c r="X1276" s="50"/>
      <c r="Y1276" s="50"/>
      <c r="Z1276" s="50"/>
    </row>
    <row r="1277" spans="1:26">
      <c r="A1277" s="49">
        <v>1285</v>
      </c>
      <c r="B1277" s="51" t="s">
        <v>2345</v>
      </c>
      <c r="C1277" s="52" t="s">
        <v>45</v>
      </c>
      <c r="D1277" s="74"/>
      <c r="E1277" s="74" t="s">
        <v>989</v>
      </c>
      <c r="F1277" s="49">
        <v>82.62</v>
      </c>
      <c r="G1277" s="49" t="s">
        <v>459</v>
      </c>
      <c r="H1277" s="50"/>
      <c r="I1277" s="50"/>
      <c r="J1277" s="50"/>
      <c r="K1277" s="50"/>
      <c r="L1277" s="50"/>
      <c r="M1277" s="50"/>
      <c r="N1277" s="50"/>
      <c r="O1277" s="50"/>
      <c r="P1277" s="50"/>
      <c r="Q1277" s="50"/>
      <c r="R1277" s="50"/>
      <c r="S1277" s="50"/>
      <c r="T1277" s="50"/>
      <c r="U1277" s="50"/>
      <c r="V1277" s="50"/>
      <c r="W1277" s="50"/>
      <c r="X1277" s="50"/>
      <c r="Y1277" s="50"/>
      <c r="Z1277" s="50"/>
    </row>
    <row r="1278" spans="1:26">
      <c r="A1278" s="49">
        <v>1286</v>
      </c>
      <c r="B1278" s="51" t="s">
        <v>2346</v>
      </c>
      <c r="C1278" s="52" t="s">
        <v>45</v>
      </c>
      <c r="D1278" s="74" t="s">
        <v>2347</v>
      </c>
      <c r="E1278" s="74" t="s">
        <v>20</v>
      </c>
      <c r="F1278" s="49">
        <v>67.180000000000007</v>
      </c>
      <c r="G1278" s="49" t="s">
        <v>43</v>
      </c>
      <c r="H1278" s="50"/>
      <c r="I1278" s="50"/>
      <c r="J1278" s="50"/>
      <c r="K1278" s="50"/>
      <c r="L1278" s="50"/>
      <c r="M1278" s="50"/>
      <c r="N1278" s="50"/>
      <c r="O1278" s="50"/>
      <c r="P1278" s="50"/>
      <c r="Q1278" s="50"/>
      <c r="R1278" s="50"/>
      <c r="S1278" s="50"/>
      <c r="T1278" s="50"/>
      <c r="U1278" s="50"/>
      <c r="V1278" s="50"/>
      <c r="W1278" s="50"/>
      <c r="X1278" s="50"/>
      <c r="Y1278" s="50"/>
      <c r="Z1278" s="50"/>
    </row>
    <row r="1279" spans="1:26">
      <c r="A1279" s="49">
        <v>1287</v>
      </c>
      <c r="B1279" s="51" t="s">
        <v>2348</v>
      </c>
      <c r="C1279" s="52" t="s">
        <v>40</v>
      </c>
      <c r="D1279" s="74" t="s">
        <v>123</v>
      </c>
      <c r="E1279" s="74" t="s">
        <v>20</v>
      </c>
      <c r="F1279" s="49">
        <v>59.77</v>
      </c>
      <c r="G1279" s="49" t="s">
        <v>43</v>
      </c>
      <c r="H1279" s="50"/>
      <c r="I1279" s="50"/>
      <c r="J1279" s="50"/>
      <c r="K1279" s="50"/>
      <c r="L1279" s="50"/>
      <c r="M1279" s="50"/>
      <c r="N1279" s="50"/>
      <c r="O1279" s="50"/>
      <c r="P1279" s="50"/>
      <c r="Q1279" s="50"/>
      <c r="R1279" s="50"/>
      <c r="S1279" s="50"/>
      <c r="T1279" s="50"/>
      <c r="U1279" s="50"/>
      <c r="V1279" s="50"/>
      <c r="W1279" s="50"/>
      <c r="X1279" s="50"/>
      <c r="Y1279" s="50"/>
      <c r="Z1279" s="50"/>
    </row>
    <row r="1280" spans="1:26">
      <c r="A1280" s="49">
        <v>1288</v>
      </c>
      <c r="B1280" s="51" t="s">
        <v>2349</v>
      </c>
      <c r="C1280" s="52" t="s">
        <v>45</v>
      </c>
      <c r="D1280" s="74" t="s">
        <v>913</v>
      </c>
      <c r="E1280" s="74" t="s">
        <v>432</v>
      </c>
      <c r="F1280" s="49">
        <v>59.25</v>
      </c>
      <c r="G1280" s="49" t="s">
        <v>43</v>
      </c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  <c r="S1280" s="50"/>
      <c r="T1280" s="50"/>
      <c r="U1280" s="50"/>
      <c r="V1280" s="50"/>
      <c r="W1280" s="50"/>
      <c r="X1280" s="50"/>
      <c r="Y1280" s="50"/>
      <c r="Z1280" s="50"/>
    </row>
    <row r="1281" spans="1:26">
      <c r="A1281" s="49">
        <v>1289</v>
      </c>
      <c r="B1281" s="51" t="s">
        <v>2350</v>
      </c>
      <c r="C1281" s="52" t="s">
        <v>52</v>
      </c>
      <c r="D1281" s="74" t="s">
        <v>214</v>
      </c>
      <c r="E1281" s="74" t="s">
        <v>20</v>
      </c>
      <c r="F1281" s="49">
        <v>60.61</v>
      </c>
      <c r="G1281" s="49" t="s">
        <v>43</v>
      </c>
      <c r="H1281" s="50"/>
      <c r="I1281" s="50"/>
      <c r="J1281" s="50"/>
      <c r="K1281" s="50"/>
      <c r="L1281" s="50"/>
      <c r="M1281" s="50"/>
      <c r="N1281" s="50"/>
      <c r="O1281" s="50"/>
      <c r="P1281" s="50"/>
      <c r="Q1281" s="50"/>
      <c r="R1281" s="50"/>
      <c r="S1281" s="50"/>
      <c r="T1281" s="50"/>
      <c r="U1281" s="50"/>
      <c r="V1281" s="50"/>
      <c r="W1281" s="50"/>
      <c r="X1281" s="50"/>
      <c r="Y1281" s="50"/>
      <c r="Z1281" s="50"/>
    </row>
    <row r="1282" spans="1:26">
      <c r="A1282" s="49">
        <v>1290</v>
      </c>
      <c r="B1282" s="51" t="s">
        <v>2351</v>
      </c>
      <c r="C1282" s="52" t="s">
        <v>40</v>
      </c>
      <c r="D1282" s="74" t="s">
        <v>2352</v>
      </c>
      <c r="E1282" s="74" t="s">
        <v>2353</v>
      </c>
      <c r="F1282" s="49">
        <v>80.05</v>
      </c>
      <c r="G1282" s="49" t="s">
        <v>43</v>
      </c>
      <c r="H1282" s="50"/>
      <c r="I1282" s="50"/>
      <c r="J1282" s="50"/>
      <c r="K1282" s="50"/>
      <c r="L1282" s="50"/>
      <c r="M1282" s="50"/>
      <c r="N1282" s="50"/>
      <c r="O1282" s="50"/>
      <c r="P1282" s="50"/>
      <c r="Q1282" s="50"/>
      <c r="R1282" s="50"/>
      <c r="S1282" s="50"/>
      <c r="T1282" s="50"/>
      <c r="U1282" s="50"/>
      <c r="V1282" s="50"/>
      <c r="W1282" s="50"/>
      <c r="X1282" s="50"/>
      <c r="Y1282" s="50"/>
      <c r="Z1282" s="50"/>
    </row>
    <row r="1283" spans="1:26">
      <c r="A1283" s="49">
        <v>1291</v>
      </c>
      <c r="B1283" s="51" t="s">
        <v>2354</v>
      </c>
      <c r="C1283" s="52" t="s">
        <v>45</v>
      </c>
      <c r="D1283" s="74" t="s">
        <v>161</v>
      </c>
      <c r="E1283" s="74" t="s">
        <v>2355</v>
      </c>
      <c r="F1283" s="49">
        <v>52.79</v>
      </c>
      <c r="G1283" s="49" t="s">
        <v>43</v>
      </c>
      <c r="H1283" s="50"/>
      <c r="I1283" s="50"/>
      <c r="J1283" s="50"/>
      <c r="K1283" s="50"/>
      <c r="L1283" s="50"/>
      <c r="M1283" s="50"/>
      <c r="N1283" s="50"/>
      <c r="O1283" s="50"/>
      <c r="P1283" s="50"/>
      <c r="Q1283" s="50"/>
      <c r="R1283" s="50"/>
      <c r="S1283" s="50"/>
      <c r="T1283" s="50"/>
      <c r="U1283" s="50"/>
      <c r="V1283" s="50"/>
      <c r="W1283" s="50"/>
      <c r="X1283" s="50"/>
      <c r="Y1283" s="50"/>
      <c r="Z1283" s="50"/>
    </row>
    <row r="1284" spans="1:26">
      <c r="A1284" s="49">
        <v>1292</v>
      </c>
      <c r="B1284" s="51" t="s">
        <v>2356</v>
      </c>
      <c r="C1284" s="52" t="s">
        <v>45</v>
      </c>
      <c r="D1284" s="74" t="s">
        <v>128</v>
      </c>
      <c r="E1284" s="74" t="s">
        <v>20</v>
      </c>
      <c r="F1284" s="49">
        <v>48.41</v>
      </c>
      <c r="G1284" s="49" t="s">
        <v>43</v>
      </c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  <c r="S1284" s="50"/>
      <c r="T1284" s="50"/>
      <c r="U1284" s="50"/>
      <c r="V1284" s="50"/>
      <c r="W1284" s="50"/>
      <c r="X1284" s="50"/>
      <c r="Y1284" s="50"/>
      <c r="Z1284" s="50"/>
    </row>
    <row r="1285" spans="1:26">
      <c r="A1285" s="49">
        <v>1293</v>
      </c>
      <c r="B1285" s="51" t="s">
        <v>2357</v>
      </c>
      <c r="C1285" s="52" t="s">
        <v>52</v>
      </c>
      <c r="D1285" s="74" t="s">
        <v>342</v>
      </c>
      <c r="E1285" s="74" t="s">
        <v>2358</v>
      </c>
      <c r="F1285" s="49">
        <v>42.98</v>
      </c>
      <c r="G1285" s="49" t="s">
        <v>43</v>
      </c>
      <c r="H1285" s="50"/>
      <c r="I1285" s="50"/>
      <c r="J1285" s="50"/>
      <c r="K1285" s="50"/>
      <c r="L1285" s="50"/>
      <c r="M1285" s="50"/>
      <c r="N1285" s="50"/>
      <c r="O1285" s="50"/>
      <c r="P1285" s="50"/>
      <c r="Q1285" s="50"/>
      <c r="R1285" s="50"/>
      <c r="S1285" s="50"/>
      <c r="T1285" s="50"/>
      <c r="U1285" s="50"/>
      <c r="V1285" s="50"/>
      <c r="W1285" s="50"/>
      <c r="X1285" s="50"/>
      <c r="Y1285" s="50"/>
      <c r="Z1285" s="50"/>
    </row>
    <row r="1286" spans="1:26">
      <c r="A1286" s="49">
        <v>1294</v>
      </c>
      <c r="B1286" s="51" t="s">
        <v>2359</v>
      </c>
      <c r="C1286" s="52" t="s">
        <v>40</v>
      </c>
      <c r="D1286" s="74"/>
      <c r="E1286" s="74" t="s">
        <v>2360</v>
      </c>
      <c r="F1286" s="49">
        <v>62</v>
      </c>
      <c r="G1286" s="49" t="s">
        <v>459</v>
      </c>
      <c r="H1286" s="50"/>
      <c r="I1286" s="50"/>
      <c r="J1286" s="50"/>
      <c r="K1286" s="50"/>
      <c r="L1286" s="50"/>
      <c r="M1286" s="50"/>
      <c r="N1286" s="50"/>
      <c r="O1286" s="50"/>
      <c r="P1286" s="50"/>
      <c r="Q1286" s="50"/>
      <c r="R1286" s="50"/>
      <c r="S1286" s="50"/>
      <c r="T1286" s="50"/>
      <c r="U1286" s="50"/>
      <c r="V1286" s="50"/>
      <c r="W1286" s="50"/>
      <c r="X1286" s="50"/>
      <c r="Y1286" s="50"/>
      <c r="Z1286" s="50"/>
    </row>
    <row r="1287" spans="1:26">
      <c r="A1287" s="49">
        <v>1295</v>
      </c>
      <c r="B1287" s="51" t="s">
        <v>2361</v>
      </c>
      <c r="C1287" s="52" t="s">
        <v>40</v>
      </c>
      <c r="D1287" s="74" t="s">
        <v>123</v>
      </c>
      <c r="E1287" s="74" t="s">
        <v>1815</v>
      </c>
      <c r="F1287" s="49">
        <v>82.84</v>
      </c>
      <c r="G1287" s="49" t="s">
        <v>43</v>
      </c>
      <c r="H1287" s="50"/>
      <c r="I1287" s="50"/>
      <c r="J1287" s="50"/>
      <c r="K1287" s="50"/>
      <c r="L1287" s="50"/>
      <c r="M1287" s="50"/>
      <c r="N1287" s="50"/>
      <c r="O1287" s="50"/>
      <c r="P1287" s="50"/>
      <c r="Q1287" s="50"/>
      <c r="R1287" s="50"/>
      <c r="S1287" s="50"/>
      <c r="T1287" s="50"/>
      <c r="U1287" s="50"/>
      <c r="V1287" s="50"/>
      <c r="W1287" s="50"/>
      <c r="X1287" s="50"/>
      <c r="Y1287" s="50"/>
      <c r="Z1287" s="50"/>
    </row>
    <row r="1288" spans="1:26">
      <c r="A1288" s="49">
        <v>1296</v>
      </c>
      <c r="B1288" s="51" t="s">
        <v>2362</v>
      </c>
      <c r="C1288" s="52" t="s">
        <v>45</v>
      </c>
      <c r="D1288" s="74" t="s">
        <v>158</v>
      </c>
      <c r="E1288" s="74" t="s">
        <v>20</v>
      </c>
      <c r="F1288" s="49">
        <v>52.49</v>
      </c>
      <c r="G1288" s="49" t="s">
        <v>43</v>
      </c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  <c r="S1288" s="50"/>
      <c r="T1288" s="50"/>
      <c r="U1288" s="50"/>
      <c r="V1288" s="50"/>
      <c r="W1288" s="50"/>
      <c r="X1288" s="50"/>
      <c r="Y1288" s="50"/>
      <c r="Z1288" s="50"/>
    </row>
    <row r="1289" spans="1:26">
      <c r="A1289" s="49">
        <v>1297</v>
      </c>
      <c r="B1289" s="51" t="s">
        <v>2363</v>
      </c>
      <c r="C1289" s="52" t="s">
        <v>45</v>
      </c>
      <c r="D1289" s="74" t="s">
        <v>2364</v>
      </c>
      <c r="E1289" s="74" t="s">
        <v>2365</v>
      </c>
      <c r="F1289" s="49">
        <v>46.42</v>
      </c>
      <c r="G1289" s="49" t="s">
        <v>43</v>
      </c>
      <c r="H1289" s="50"/>
      <c r="I1289" s="50"/>
      <c r="J1289" s="50"/>
      <c r="K1289" s="50"/>
      <c r="L1289" s="50"/>
      <c r="M1289" s="50"/>
      <c r="N1289" s="50"/>
      <c r="O1289" s="50"/>
      <c r="P1289" s="50"/>
      <c r="Q1289" s="50"/>
      <c r="R1289" s="50"/>
      <c r="S1289" s="50"/>
      <c r="T1289" s="50"/>
      <c r="U1289" s="50"/>
      <c r="V1289" s="50"/>
      <c r="W1289" s="50"/>
      <c r="X1289" s="50"/>
      <c r="Y1289" s="50"/>
      <c r="Z1289" s="50"/>
    </row>
    <row r="1290" spans="1:26">
      <c r="A1290" s="49">
        <v>1298</v>
      </c>
      <c r="B1290" s="51" t="s">
        <v>2366</v>
      </c>
      <c r="C1290" s="52" t="s">
        <v>52</v>
      </c>
      <c r="D1290" s="74" t="s">
        <v>342</v>
      </c>
      <c r="E1290" s="74" t="s">
        <v>1543</v>
      </c>
      <c r="F1290" s="49">
        <v>58.71</v>
      </c>
      <c r="G1290" s="49" t="s">
        <v>43</v>
      </c>
      <c r="H1290" s="50"/>
      <c r="I1290" s="50"/>
      <c r="J1290" s="50"/>
      <c r="K1290" s="50"/>
      <c r="L1290" s="50"/>
      <c r="M1290" s="50"/>
      <c r="N1290" s="50"/>
      <c r="O1290" s="50"/>
      <c r="P1290" s="50"/>
      <c r="Q1290" s="50"/>
      <c r="R1290" s="50"/>
      <c r="S1290" s="50"/>
      <c r="T1290" s="50"/>
      <c r="U1290" s="50"/>
      <c r="V1290" s="50"/>
      <c r="W1290" s="50"/>
      <c r="X1290" s="50"/>
      <c r="Y1290" s="50"/>
      <c r="Z1290" s="50"/>
    </row>
    <row r="1291" spans="1:26">
      <c r="A1291" s="49">
        <v>1299</v>
      </c>
      <c r="B1291" s="51" t="s">
        <v>2367</v>
      </c>
      <c r="C1291" s="52" t="s">
        <v>40</v>
      </c>
      <c r="D1291" s="74" t="s">
        <v>123</v>
      </c>
      <c r="E1291" s="74" t="s">
        <v>432</v>
      </c>
      <c r="F1291" s="49">
        <v>76.23</v>
      </c>
      <c r="G1291" s="49" t="s">
        <v>43</v>
      </c>
      <c r="H1291" s="50"/>
      <c r="I1291" s="50"/>
      <c r="J1291" s="50"/>
      <c r="K1291" s="50"/>
      <c r="L1291" s="50"/>
      <c r="M1291" s="50"/>
      <c r="N1291" s="50"/>
      <c r="O1291" s="50"/>
      <c r="P1291" s="50"/>
      <c r="Q1291" s="50"/>
      <c r="R1291" s="50"/>
      <c r="S1291" s="50"/>
      <c r="T1291" s="50"/>
      <c r="U1291" s="50"/>
      <c r="V1291" s="50"/>
      <c r="W1291" s="50"/>
      <c r="X1291" s="50"/>
      <c r="Y1291" s="50"/>
      <c r="Z1291" s="50"/>
    </row>
    <row r="1292" spans="1:26">
      <c r="A1292" s="49">
        <v>1300</v>
      </c>
      <c r="B1292" s="51" t="s">
        <v>2368</v>
      </c>
      <c r="C1292" s="52" t="s">
        <v>45</v>
      </c>
      <c r="D1292" s="74" t="s">
        <v>128</v>
      </c>
      <c r="E1292" s="74" t="s">
        <v>20</v>
      </c>
      <c r="F1292" s="49">
        <v>45.29</v>
      </c>
      <c r="G1292" s="49" t="s">
        <v>43</v>
      </c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  <c r="S1292" s="50"/>
      <c r="T1292" s="50"/>
      <c r="U1292" s="50"/>
      <c r="V1292" s="50"/>
      <c r="W1292" s="50"/>
      <c r="X1292" s="50"/>
      <c r="Y1292" s="50"/>
      <c r="Z1292" s="50"/>
    </row>
    <row r="1293" spans="1:26">
      <c r="A1293" s="49">
        <v>1301</v>
      </c>
      <c r="B1293" s="51" t="s">
        <v>2369</v>
      </c>
      <c r="C1293" s="52" t="s">
        <v>52</v>
      </c>
      <c r="D1293" s="74" t="s">
        <v>214</v>
      </c>
      <c r="E1293" s="74" t="s">
        <v>2370</v>
      </c>
      <c r="F1293" s="49">
        <v>37.07</v>
      </c>
      <c r="G1293" s="49" t="s">
        <v>43</v>
      </c>
      <c r="H1293" s="50"/>
      <c r="I1293" s="50"/>
      <c r="J1293" s="50"/>
      <c r="K1293" s="50"/>
      <c r="L1293" s="50"/>
      <c r="M1293" s="50"/>
      <c r="N1293" s="50"/>
      <c r="O1293" s="50"/>
      <c r="P1293" s="50"/>
      <c r="Q1293" s="50"/>
      <c r="R1293" s="50"/>
      <c r="S1293" s="50"/>
      <c r="T1293" s="50"/>
      <c r="U1293" s="50"/>
      <c r="V1293" s="50"/>
      <c r="W1293" s="50"/>
      <c r="X1293" s="50"/>
      <c r="Y1293" s="50"/>
      <c r="Z1293" s="50"/>
    </row>
    <row r="1294" spans="1:26">
      <c r="A1294" s="49">
        <v>1302</v>
      </c>
      <c r="B1294" s="51" t="s">
        <v>2371</v>
      </c>
      <c r="C1294" s="52" t="s">
        <v>45</v>
      </c>
      <c r="D1294" s="74" t="s">
        <v>277</v>
      </c>
      <c r="E1294" s="74" t="s">
        <v>20</v>
      </c>
      <c r="F1294" s="49">
        <v>83.38</v>
      </c>
      <c r="G1294" s="49" t="s">
        <v>43</v>
      </c>
      <c r="H1294" s="50"/>
      <c r="I1294" s="50"/>
      <c r="J1294" s="50"/>
      <c r="K1294" s="50"/>
      <c r="L1294" s="50"/>
      <c r="M1294" s="50"/>
      <c r="N1294" s="50"/>
      <c r="O1294" s="50"/>
      <c r="P1294" s="50"/>
      <c r="Q1294" s="50"/>
      <c r="R1294" s="50"/>
      <c r="S1294" s="50"/>
      <c r="T1294" s="50"/>
      <c r="U1294" s="50"/>
      <c r="V1294" s="50"/>
      <c r="W1294" s="50"/>
      <c r="X1294" s="50"/>
      <c r="Y1294" s="50"/>
      <c r="Z1294" s="50"/>
    </row>
    <row r="1295" spans="1:26">
      <c r="A1295" s="49">
        <v>1303</v>
      </c>
      <c r="B1295" s="51" t="s">
        <v>2372</v>
      </c>
      <c r="C1295" s="52" t="s">
        <v>40</v>
      </c>
      <c r="D1295" s="74"/>
      <c r="E1295" s="74" t="s">
        <v>432</v>
      </c>
      <c r="F1295" s="49">
        <v>86.65</v>
      </c>
      <c r="G1295" s="49" t="s">
        <v>459</v>
      </c>
      <c r="H1295" s="50"/>
      <c r="I1295" s="50"/>
      <c r="J1295" s="50"/>
      <c r="K1295" s="50"/>
      <c r="L1295" s="50"/>
      <c r="M1295" s="50"/>
      <c r="N1295" s="50"/>
      <c r="O1295" s="50"/>
      <c r="P1295" s="50"/>
      <c r="Q1295" s="50"/>
      <c r="R1295" s="50"/>
      <c r="S1295" s="50"/>
      <c r="T1295" s="50"/>
      <c r="U1295" s="50"/>
      <c r="V1295" s="50"/>
      <c r="W1295" s="50"/>
      <c r="X1295" s="50"/>
      <c r="Y1295" s="50"/>
      <c r="Z1295" s="50"/>
    </row>
    <row r="1296" spans="1:26">
      <c r="A1296" s="49">
        <v>1304</v>
      </c>
      <c r="B1296" s="51" t="s">
        <v>2373</v>
      </c>
      <c r="C1296" s="52" t="s">
        <v>40</v>
      </c>
      <c r="D1296" s="74" t="s">
        <v>123</v>
      </c>
      <c r="E1296" s="74" t="s">
        <v>2374</v>
      </c>
      <c r="F1296" s="49">
        <v>75.95</v>
      </c>
      <c r="G1296" s="49" t="s">
        <v>43</v>
      </c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  <c r="S1296" s="50"/>
      <c r="T1296" s="50"/>
      <c r="U1296" s="50"/>
      <c r="V1296" s="50"/>
      <c r="W1296" s="50"/>
      <c r="X1296" s="50"/>
      <c r="Y1296" s="50"/>
      <c r="Z1296" s="50"/>
    </row>
    <row r="1297" spans="1:26">
      <c r="A1297" s="49">
        <v>1305</v>
      </c>
      <c r="B1297" s="51" t="s">
        <v>2375</v>
      </c>
      <c r="C1297" s="52" t="s">
        <v>45</v>
      </c>
      <c r="D1297" s="74" t="s">
        <v>2376</v>
      </c>
      <c r="E1297" s="74" t="s">
        <v>2377</v>
      </c>
      <c r="F1297" s="49">
        <v>75.56</v>
      </c>
      <c r="G1297" s="49" t="s">
        <v>43</v>
      </c>
      <c r="H1297" s="50"/>
      <c r="I1297" s="50"/>
      <c r="J1297" s="50"/>
      <c r="K1297" s="50"/>
      <c r="L1297" s="50"/>
      <c r="M1297" s="50"/>
      <c r="N1297" s="50"/>
      <c r="O1297" s="50"/>
      <c r="P1297" s="50"/>
      <c r="Q1297" s="50"/>
      <c r="R1297" s="50"/>
      <c r="S1297" s="50"/>
      <c r="T1297" s="50"/>
      <c r="U1297" s="50"/>
      <c r="V1297" s="50"/>
      <c r="W1297" s="50"/>
      <c r="X1297" s="50"/>
      <c r="Y1297" s="50"/>
      <c r="Z1297" s="50"/>
    </row>
    <row r="1298" spans="1:26">
      <c r="A1298" s="49">
        <v>1306</v>
      </c>
      <c r="B1298" s="51" t="s">
        <v>2378</v>
      </c>
      <c r="C1298" s="52" t="s">
        <v>45</v>
      </c>
      <c r="D1298" s="74" t="s">
        <v>744</v>
      </c>
      <c r="E1298" s="74" t="s">
        <v>989</v>
      </c>
      <c r="F1298" s="49">
        <v>60.41</v>
      </c>
      <c r="G1298" s="49" t="s">
        <v>43</v>
      </c>
      <c r="H1298" s="50"/>
      <c r="I1298" s="50"/>
      <c r="J1298" s="50"/>
      <c r="K1298" s="50"/>
      <c r="L1298" s="50"/>
      <c r="M1298" s="50"/>
      <c r="N1298" s="50"/>
      <c r="O1298" s="50"/>
      <c r="P1298" s="50"/>
      <c r="Q1298" s="50"/>
      <c r="R1298" s="50"/>
      <c r="S1298" s="50"/>
      <c r="T1298" s="50"/>
      <c r="U1298" s="50"/>
      <c r="V1298" s="50"/>
      <c r="W1298" s="50"/>
      <c r="X1298" s="50"/>
      <c r="Y1298" s="50"/>
      <c r="Z1298" s="50"/>
    </row>
    <row r="1299" spans="1:26">
      <c r="A1299" s="49">
        <v>1307</v>
      </c>
      <c r="B1299" s="51" t="s">
        <v>2379</v>
      </c>
      <c r="C1299" s="52" t="s">
        <v>52</v>
      </c>
      <c r="D1299" s="74" t="s">
        <v>192</v>
      </c>
      <c r="E1299" s="74" t="s">
        <v>2380</v>
      </c>
      <c r="F1299" s="49">
        <v>37.369999999999997</v>
      </c>
      <c r="G1299" s="49" t="s">
        <v>43</v>
      </c>
      <c r="H1299" s="50"/>
      <c r="I1299" s="50"/>
      <c r="J1299" s="50"/>
      <c r="K1299" s="50"/>
      <c r="L1299" s="50"/>
      <c r="M1299" s="50"/>
      <c r="N1299" s="50"/>
      <c r="O1299" s="50"/>
      <c r="P1299" s="50"/>
      <c r="Q1299" s="50"/>
      <c r="R1299" s="50"/>
      <c r="S1299" s="50"/>
      <c r="T1299" s="50"/>
      <c r="U1299" s="50"/>
      <c r="V1299" s="50"/>
      <c r="W1299" s="50"/>
      <c r="X1299" s="50"/>
      <c r="Y1299" s="50"/>
      <c r="Z1299" s="50"/>
    </row>
    <row r="1300" spans="1:26">
      <c r="A1300" s="49">
        <v>1308</v>
      </c>
      <c r="B1300" s="51" t="s">
        <v>2381</v>
      </c>
      <c r="C1300" s="52" t="s">
        <v>45</v>
      </c>
      <c r="D1300" s="74"/>
      <c r="E1300" s="74"/>
      <c r="F1300" s="49">
        <v>82.68</v>
      </c>
      <c r="G1300" s="49" t="s">
        <v>459</v>
      </c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  <c r="S1300" s="50"/>
      <c r="T1300" s="50"/>
      <c r="U1300" s="50"/>
      <c r="V1300" s="50"/>
      <c r="W1300" s="50"/>
      <c r="X1300" s="50"/>
      <c r="Y1300" s="50"/>
      <c r="Z1300" s="50"/>
    </row>
    <row r="1301" spans="1:26">
      <c r="A1301" s="49">
        <v>1309</v>
      </c>
      <c r="B1301" s="51" t="s">
        <v>2382</v>
      </c>
      <c r="C1301" s="52" t="s">
        <v>40</v>
      </c>
      <c r="D1301" s="74" t="s">
        <v>59</v>
      </c>
      <c r="E1301" s="74" t="s">
        <v>2383</v>
      </c>
      <c r="F1301" s="49">
        <v>76.790000000000006</v>
      </c>
      <c r="G1301" s="49" t="s">
        <v>43</v>
      </c>
      <c r="H1301" s="50"/>
      <c r="I1301" s="50"/>
      <c r="J1301" s="50"/>
      <c r="K1301" s="50"/>
      <c r="L1301" s="50"/>
      <c r="M1301" s="50"/>
      <c r="N1301" s="50"/>
      <c r="O1301" s="50"/>
      <c r="P1301" s="50"/>
      <c r="Q1301" s="50"/>
      <c r="R1301" s="50"/>
      <c r="S1301" s="50"/>
      <c r="T1301" s="50"/>
      <c r="U1301" s="50"/>
      <c r="V1301" s="50"/>
      <c r="W1301" s="50"/>
      <c r="X1301" s="50"/>
      <c r="Y1301" s="50"/>
      <c r="Z1301" s="50"/>
    </row>
    <row r="1302" spans="1:26">
      <c r="A1302" s="49">
        <v>1310</v>
      </c>
      <c r="B1302" s="51" t="s">
        <v>2384</v>
      </c>
      <c r="C1302" s="52" t="s">
        <v>45</v>
      </c>
      <c r="D1302" s="74" t="s">
        <v>368</v>
      </c>
      <c r="E1302" s="74" t="s">
        <v>2385</v>
      </c>
      <c r="F1302" s="49">
        <v>67.8</v>
      </c>
      <c r="G1302" s="49" t="s">
        <v>43</v>
      </c>
      <c r="H1302" s="50"/>
      <c r="I1302" s="50"/>
      <c r="J1302" s="50"/>
      <c r="K1302" s="50"/>
      <c r="L1302" s="50"/>
      <c r="M1302" s="50"/>
      <c r="N1302" s="50"/>
      <c r="O1302" s="50"/>
      <c r="P1302" s="50"/>
      <c r="Q1302" s="50"/>
      <c r="R1302" s="50"/>
      <c r="S1302" s="50"/>
      <c r="T1302" s="50"/>
      <c r="U1302" s="50"/>
      <c r="V1302" s="50"/>
      <c r="W1302" s="50"/>
      <c r="X1302" s="50"/>
      <c r="Y1302" s="50"/>
      <c r="Z1302" s="50"/>
    </row>
    <row r="1303" spans="1:26">
      <c r="A1303" s="49">
        <v>1311</v>
      </c>
      <c r="B1303" s="51" t="s">
        <v>2386</v>
      </c>
      <c r="C1303" s="52" t="s">
        <v>45</v>
      </c>
      <c r="D1303" s="74" t="s">
        <v>2387</v>
      </c>
      <c r="E1303" s="74" t="s">
        <v>432</v>
      </c>
      <c r="F1303" s="49">
        <v>42.83</v>
      </c>
      <c r="G1303" s="49" t="s">
        <v>43</v>
      </c>
      <c r="H1303" s="50"/>
      <c r="I1303" s="50"/>
      <c r="J1303" s="50"/>
      <c r="K1303" s="50"/>
      <c r="L1303" s="50"/>
      <c r="M1303" s="50"/>
      <c r="N1303" s="50"/>
      <c r="O1303" s="50"/>
      <c r="P1303" s="50"/>
      <c r="Q1303" s="50"/>
      <c r="R1303" s="50"/>
      <c r="S1303" s="50"/>
      <c r="T1303" s="50"/>
      <c r="U1303" s="50"/>
      <c r="V1303" s="50"/>
      <c r="W1303" s="50"/>
      <c r="X1303" s="50"/>
      <c r="Y1303" s="50"/>
      <c r="Z1303" s="50"/>
    </row>
    <row r="1304" spans="1:26">
      <c r="A1304" s="49">
        <v>1312</v>
      </c>
      <c r="B1304" s="51" t="s">
        <v>2388</v>
      </c>
      <c r="C1304" s="52" t="s">
        <v>52</v>
      </c>
      <c r="D1304" s="74" t="s">
        <v>214</v>
      </c>
      <c r="E1304" s="74"/>
      <c r="F1304" s="49">
        <v>57.24</v>
      </c>
      <c r="G1304" s="49" t="s">
        <v>43</v>
      </c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  <c r="S1304" s="50"/>
      <c r="T1304" s="50"/>
      <c r="U1304" s="50"/>
      <c r="V1304" s="50"/>
      <c r="W1304" s="50"/>
      <c r="X1304" s="50"/>
      <c r="Y1304" s="50"/>
      <c r="Z1304" s="50"/>
    </row>
    <row r="1305" spans="1:26">
      <c r="A1305" s="49">
        <v>1313</v>
      </c>
      <c r="B1305" s="51" t="s">
        <v>2389</v>
      </c>
      <c r="C1305" s="52" t="s">
        <v>40</v>
      </c>
      <c r="D1305" s="74" t="s">
        <v>123</v>
      </c>
      <c r="E1305" s="74" t="s">
        <v>20</v>
      </c>
      <c r="F1305" s="49">
        <v>84.85</v>
      </c>
      <c r="G1305" s="49" t="s">
        <v>43</v>
      </c>
      <c r="H1305" s="50"/>
      <c r="I1305" s="50"/>
      <c r="J1305" s="50"/>
      <c r="K1305" s="50"/>
      <c r="L1305" s="50"/>
      <c r="M1305" s="50"/>
      <c r="N1305" s="50"/>
      <c r="O1305" s="50"/>
      <c r="P1305" s="50"/>
      <c r="Q1305" s="50"/>
      <c r="R1305" s="50"/>
      <c r="S1305" s="50"/>
      <c r="T1305" s="50"/>
      <c r="U1305" s="50"/>
      <c r="V1305" s="50"/>
      <c r="W1305" s="50"/>
      <c r="X1305" s="50"/>
      <c r="Y1305" s="50"/>
      <c r="Z1305" s="50"/>
    </row>
    <row r="1306" spans="1:26">
      <c r="A1306" s="49">
        <v>1314</v>
      </c>
      <c r="B1306" s="51" t="s">
        <v>2390</v>
      </c>
      <c r="C1306" s="52" t="s">
        <v>45</v>
      </c>
      <c r="D1306" s="74" t="s">
        <v>214</v>
      </c>
      <c r="E1306" s="74" t="s">
        <v>20</v>
      </c>
      <c r="F1306" s="49">
        <v>73.540000000000006</v>
      </c>
      <c r="G1306" s="49" t="s">
        <v>43</v>
      </c>
      <c r="H1306" s="50"/>
      <c r="I1306" s="50"/>
      <c r="J1306" s="50"/>
      <c r="K1306" s="50"/>
      <c r="L1306" s="50"/>
      <c r="M1306" s="50"/>
      <c r="N1306" s="50"/>
      <c r="O1306" s="50"/>
      <c r="P1306" s="50"/>
      <c r="Q1306" s="50"/>
      <c r="R1306" s="50"/>
      <c r="S1306" s="50"/>
      <c r="T1306" s="50"/>
      <c r="U1306" s="50"/>
      <c r="V1306" s="50"/>
      <c r="W1306" s="50"/>
      <c r="X1306" s="50"/>
      <c r="Y1306" s="50"/>
      <c r="Z1306" s="50"/>
    </row>
    <row r="1307" spans="1:26">
      <c r="A1307" s="49">
        <v>1315</v>
      </c>
      <c r="B1307" s="51" t="s">
        <v>2391</v>
      </c>
      <c r="C1307" s="52" t="s">
        <v>45</v>
      </c>
      <c r="D1307" s="74" t="s">
        <v>277</v>
      </c>
      <c r="E1307" s="74" t="s">
        <v>432</v>
      </c>
      <c r="F1307" s="49">
        <v>83.23</v>
      </c>
      <c r="G1307" s="49" t="s">
        <v>43</v>
      </c>
      <c r="H1307" s="50"/>
      <c r="I1307" s="50"/>
      <c r="J1307" s="50"/>
      <c r="K1307" s="50"/>
      <c r="L1307" s="50"/>
      <c r="M1307" s="50"/>
      <c r="N1307" s="50"/>
      <c r="O1307" s="50"/>
      <c r="P1307" s="50"/>
      <c r="Q1307" s="50"/>
      <c r="R1307" s="50"/>
      <c r="S1307" s="50"/>
      <c r="T1307" s="50"/>
      <c r="U1307" s="50"/>
      <c r="V1307" s="50"/>
      <c r="W1307" s="50"/>
      <c r="X1307" s="50"/>
      <c r="Y1307" s="50"/>
      <c r="Z1307" s="50"/>
    </row>
    <row r="1308" spans="1:26">
      <c r="A1308" s="49">
        <v>1316</v>
      </c>
      <c r="B1308" s="51" t="s">
        <v>2392</v>
      </c>
      <c r="C1308" s="52" t="s">
        <v>52</v>
      </c>
      <c r="D1308" s="74" t="s">
        <v>2393</v>
      </c>
      <c r="E1308" s="74" t="s">
        <v>20</v>
      </c>
      <c r="F1308" s="49">
        <v>46.49</v>
      </c>
      <c r="G1308" s="49" t="s">
        <v>43</v>
      </c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  <c r="S1308" s="50"/>
      <c r="T1308" s="50"/>
      <c r="U1308" s="50"/>
      <c r="V1308" s="50"/>
      <c r="W1308" s="50"/>
      <c r="X1308" s="50"/>
      <c r="Y1308" s="50"/>
      <c r="Z1308" s="50"/>
    </row>
    <row r="1309" spans="1:26">
      <c r="A1309" s="49">
        <v>1317</v>
      </c>
      <c r="B1309" s="51" t="s">
        <v>2394</v>
      </c>
      <c r="C1309" s="52" t="s">
        <v>40</v>
      </c>
      <c r="D1309" s="74" t="s">
        <v>62</v>
      </c>
      <c r="E1309" s="74" t="s">
        <v>2395</v>
      </c>
      <c r="F1309" s="49">
        <v>56.7</v>
      </c>
      <c r="G1309" s="49" t="s">
        <v>43</v>
      </c>
      <c r="H1309" s="50"/>
      <c r="I1309" s="50"/>
      <c r="J1309" s="50"/>
      <c r="K1309" s="50"/>
      <c r="L1309" s="50"/>
      <c r="M1309" s="50"/>
      <c r="N1309" s="50"/>
      <c r="O1309" s="50"/>
      <c r="P1309" s="50"/>
      <c r="Q1309" s="50"/>
      <c r="R1309" s="50"/>
      <c r="S1309" s="50"/>
      <c r="T1309" s="50"/>
      <c r="U1309" s="50"/>
      <c r="V1309" s="50"/>
      <c r="W1309" s="50"/>
      <c r="X1309" s="50"/>
      <c r="Y1309" s="50"/>
      <c r="Z1309" s="50"/>
    </row>
    <row r="1310" spans="1:26">
      <c r="A1310" s="49">
        <v>1318</v>
      </c>
      <c r="B1310" s="51" t="s">
        <v>2396</v>
      </c>
      <c r="C1310" s="52" t="s">
        <v>45</v>
      </c>
      <c r="D1310" s="74" t="s">
        <v>368</v>
      </c>
      <c r="E1310" s="74" t="s">
        <v>989</v>
      </c>
      <c r="F1310" s="49">
        <v>62.25</v>
      </c>
      <c r="G1310" s="49" t="s">
        <v>43</v>
      </c>
      <c r="H1310" s="50"/>
      <c r="I1310" s="50"/>
      <c r="J1310" s="50"/>
      <c r="K1310" s="50"/>
      <c r="L1310" s="50"/>
      <c r="M1310" s="50"/>
      <c r="N1310" s="50"/>
      <c r="O1310" s="50"/>
      <c r="P1310" s="50"/>
      <c r="Q1310" s="50"/>
      <c r="R1310" s="50"/>
      <c r="S1310" s="50"/>
      <c r="T1310" s="50"/>
      <c r="U1310" s="50"/>
      <c r="V1310" s="50"/>
      <c r="W1310" s="50"/>
      <c r="X1310" s="50"/>
      <c r="Y1310" s="50"/>
      <c r="Z1310" s="50"/>
    </row>
    <row r="1311" spans="1:26">
      <c r="A1311" s="49">
        <v>1319</v>
      </c>
      <c r="B1311" s="51" t="s">
        <v>2397</v>
      </c>
      <c r="C1311" s="52" t="s">
        <v>45</v>
      </c>
      <c r="D1311" s="74" t="s">
        <v>350</v>
      </c>
      <c r="E1311" s="74" t="s">
        <v>2398</v>
      </c>
      <c r="F1311" s="49">
        <v>52.08</v>
      </c>
      <c r="G1311" s="49" t="s">
        <v>43</v>
      </c>
      <c r="H1311" s="50"/>
      <c r="I1311" s="50"/>
      <c r="J1311" s="50"/>
      <c r="K1311" s="50"/>
      <c r="L1311" s="50"/>
      <c r="M1311" s="50"/>
      <c r="N1311" s="50"/>
      <c r="O1311" s="50"/>
      <c r="P1311" s="50"/>
      <c r="Q1311" s="50"/>
      <c r="R1311" s="50"/>
      <c r="S1311" s="50"/>
      <c r="T1311" s="50"/>
      <c r="U1311" s="50"/>
      <c r="V1311" s="50"/>
      <c r="W1311" s="50"/>
      <c r="X1311" s="50"/>
      <c r="Y1311" s="50"/>
      <c r="Z1311" s="50"/>
    </row>
    <row r="1312" spans="1:26">
      <c r="A1312" s="49">
        <v>1320</v>
      </c>
      <c r="B1312" s="51" t="s">
        <v>2399</v>
      </c>
      <c r="C1312" s="52" t="s">
        <v>52</v>
      </c>
      <c r="D1312" s="74" t="s">
        <v>214</v>
      </c>
      <c r="E1312" s="74" t="s">
        <v>20</v>
      </c>
      <c r="F1312" s="49">
        <v>61.29</v>
      </c>
      <c r="G1312" s="49" t="s">
        <v>43</v>
      </c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  <c r="S1312" s="50"/>
      <c r="T1312" s="50"/>
      <c r="U1312" s="50"/>
      <c r="V1312" s="50"/>
      <c r="W1312" s="50"/>
      <c r="X1312" s="50"/>
      <c r="Y1312" s="50"/>
      <c r="Z1312" s="50"/>
    </row>
    <row r="1313" spans="1:26">
      <c r="A1313" s="49">
        <v>1321</v>
      </c>
      <c r="B1313" s="51" t="s">
        <v>2400</v>
      </c>
      <c r="C1313" s="52" t="s">
        <v>45</v>
      </c>
      <c r="D1313" s="74"/>
      <c r="E1313" s="74" t="s">
        <v>2360</v>
      </c>
      <c r="F1313" s="49">
        <v>65.64</v>
      </c>
      <c r="G1313" s="49" t="s">
        <v>459</v>
      </c>
      <c r="H1313" s="50"/>
      <c r="I1313" s="50"/>
      <c r="J1313" s="50"/>
      <c r="K1313" s="50"/>
      <c r="L1313" s="50"/>
      <c r="M1313" s="50"/>
      <c r="N1313" s="50"/>
      <c r="O1313" s="50"/>
      <c r="P1313" s="50"/>
      <c r="Q1313" s="50"/>
      <c r="R1313" s="50"/>
      <c r="S1313" s="50"/>
      <c r="T1313" s="50"/>
      <c r="U1313" s="50"/>
      <c r="V1313" s="50"/>
      <c r="W1313" s="50"/>
      <c r="X1313" s="50"/>
      <c r="Y1313" s="50"/>
      <c r="Z1313" s="50"/>
    </row>
    <row r="1314" spans="1:26">
      <c r="A1314" s="49">
        <v>1322</v>
      </c>
      <c r="B1314" s="51" t="s">
        <v>2401</v>
      </c>
      <c r="C1314" s="52" t="s">
        <v>40</v>
      </c>
      <c r="D1314" s="74"/>
      <c r="E1314" s="74" t="s">
        <v>671</v>
      </c>
      <c r="F1314" s="49">
        <v>57.04</v>
      </c>
      <c r="G1314" s="49" t="s">
        <v>459</v>
      </c>
      <c r="H1314" s="50"/>
      <c r="I1314" s="50"/>
      <c r="J1314" s="50"/>
      <c r="K1314" s="50"/>
      <c r="L1314" s="50"/>
      <c r="M1314" s="50"/>
      <c r="N1314" s="50"/>
      <c r="O1314" s="50"/>
      <c r="P1314" s="50"/>
      <c r="Q1314" s="50"/>
      <c r="R1314" s="50"/>
      <c r="S1314" s="50"/>
      <c r="T1314" s="50"/>
      <c r="U1314" s="50"/>
      <c r="V1314" s="50"/>
      <c r="W1314" s="50"/>
      <c r="X1314" s="50"/>
      <c r="Y1314" s="50"/>
      <c r="Z1314" s="50"/>
    </row>
    <row r="1315" spans="1:26">
      <c r="A1315" s="49">
        <v>1323</v>
      </c>
      <c r="B1315" s="51" t="s">
        <v>2402</v>
      </c>
      <c r="C1315" s="52" t="s">
        <v>40</v>
      </c>
      <c r="D1315" s="74" t="s">
        <v>62</v>
      </c>
      <c r="E1315" s="74" t="s">
        <v>2395</v>
      </c>
      <c r="F1315" s="49">
        <v>77.88</v>
      </c>
      <c r="G1315" s="49" t="s">
        <v>43</v>
      </c>
      <c r="H1315" s="50"/>
      <c r="I1315" s="50"/>
      <c r="J1315" s="50"/>
      <c r="K1315" s="50"/>
      <c r="L1315" s="50"/>
      <c r="M1315" s="50"/>
      <c r="N1315" s="50"/>
      <c r="O1315" s="50"/>
      <c r="P1315" s="50"/>
      <c r="Q1315" s="50"/>
      <c r="R1315" s="50"/>
      <c r="S1315" s="50"/>
      <c r="T1315" s="50"/>
      <c r="U1315" s="50"/>
      <c r="V1315" s="50"/>
      <c r="W1315" s="50"/>
      <c r="X1315" s="50"/>
      <c r="Y1315" s="50"/>
      <c r="Z1315" s="50"/>
    </row>
    <row r="1316" spans="1:26">
      <c r="A1316" s="49">
        <v>1324</v>
      </c>
      <c r="B1316" s="51" t="s">
        <v>2403</v>
      </c>
      <c r="C1316" s="52" t="s">
        <v>45</v>
      </c>
      <c r="D1316" s="74" t="s">
        <v>59</v>
      </c>
      <c r="E1316" s="74" t="s">
        <v>989</v>
      </c>
      <c r="F1316" s="49">
        <v>57.96</v>
      </c>
      <c r="G1316" s="49" t="s">
        <v>43</v>
      </c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  <c r="S1316" s="50"/>
      <c r="T1316" s="50"/>
      <c r="U1316" s="50"/>
      <c r="V1316" s="50"/>
      <c r="W1316" s="50"/>
      <c r="X1316" s="50"/>
      <c r="Y1316" s="50"/>
      <c r="Z1316" s="50"/>
    </row>
    <row r="1317" spans="1:26">
      <c r="A1317" s="49">
        <v>1325</v>
      </c>
      <c r="B1317" s="51" t="s">
        <v>2404</v>
      </c>
      <c r="C1317" s="52" t="s">
        <v>45</v>
      </c>
      <c r="D1317" s="74" t="s">
        <v>414</v>
      </c>
      <c r="E1317" s="74" t="s">
        <v>355</v>
      </c>
      <c r="F1317" s="49">
        <v>72.66</v>
      </c>
      <c r="G1317" s="49" t="s">
        <v>43</v>
      </c>
      <c r="H1317" s="50"/>
      <c r="I1317" s="50"/>
      <c r="J1317" s="50"/>
      <c r="K1317" s="50"/>
      <c r="L1317" s="50"/>
      <c r="M1317" s="50"/>
      <c r="N1317" s="50"/>
      <c r="O1317" s="50"/>
      <c r="P1317" s="50"/>
      <c r="Q1317" s="50"/>
      <c r="R1317" s="50"/>
      <c r="S1317" s="50"/>
      <c r="T1317" s="50"/>
      <c r="U1317" s="50"/>
      <c r="V1317" s="50"/>
      <c r="W1317" s="50"/>
      <c r="X1317" s="50"/>
      <c r="Y1317" s="50"/>
      <c r="Z1317" s="50"/>
    </row>
    <row r="1318" spans="1:26">
      <c r="A1318" s="49">
        <v>1326</v>
      </c>
      <c r="B1318" s="51" t="s">
        <v>2405</v>
      </c>
      <c r="C1318" s="52" t="s">
        <v>52</v>
      </c>
      <c r="D1318" s="74" t="s">
        <v>770</v>
      </c>
      <c r="E1318" s="74" t="s">
        <v>2406</v>
      </c>
      <c r="F1318" s="49">
        <v>42.63</v>
      </c>
      <c r="G1318" s="49" t="s">
        <v>43</v>
      </c>
      <c r="H1318" s="50"/>
      <c r="I1318" s="50"/>
      <c r="J1318" s="50"/>
      <c r="K1318" s="50"/>
      <c r="L1318" s="50"/>
      <c r="M1318" s="50"/>
      <c r="N1318" s="50"/>
      <c r="O1318" s="50"/>
      <c r="P1318" s="50"/>
      <c r="Q1318" s="50"/>
      <c r="R1318" s="50"/>
      <c r="S1318" s="50"/>
      <c r="T1318" s="50"/>
      <c r="U1318" s="50"/>
      <c r="V1318" s="50"/>
      <c r="W1318" s="50"/>
      <c r="X1318" s="50"/>
      <c r="Y1318" s="50"/>
      <c r="Z1318" s="50"/>
    </row>
    <row r="1319" spans="1:26">
      <c r="A1319" s="49">
        <v>1327</v>
      </c>
      <c r="B1319" s="51" t="s">
        <v>2407</v>
      </c>
      <c r="C1319" s="52" t="s">
        <v>40</v>
      </c>
      <c r="D1319" s="74"/>
      <c r="E1319" s="74" t="s">
        <v>432</v>
      </c>
      <c r="F1319" s="49">
        <v>75.42</v>
      </c>
      <c r="G1319" s="49" t="s">
        <v>459</v>
      </c>
      <c r="H1319" s="50"/>
      <c r="I1319" s="50"/>
      <c r="J1319" s="50"/>
      <c r="K1319" s="50"/>
      <c r="L1319" s="50"/>
      <c r="M1319" s="50"/>
      <c r="N1319" s="50"/>
      <c r="O1319" s="50"/>
      <c r="P1319" s="50"/>
      <c r="Q1319" s="50"/>
      <c r="R1319" s="50"/>
      <c r="S1319" s="50"/>
      <c r="T1319" s="50"/>
      <c r="U1319" s="50"/>
      <c r="V1319" s="50"/>
      <c r="W1319" s="50"/>
      <c r="X1319" s="50"/>
      <c r="Y1319" s="50"/>
      <c r="Z1319" s="50"/>
    </row>
    <row r="1320" spans="1:26">
      <c r="A1320" s="49">
        <v>1328</v>
      </c>
      <c r="B1320" s="51" t="s">
        <v>2408</v>
      </c>
      <c r="C1320" s="52" t="s">
        <v>45</v>
      </c>
      <c r="D1320" s="74" t="s">
        <v>59</v>
      </c>
      <c r="E1320" s="74" t="s">
        <v>2409</v>
      </c>
      <c r="F1320" s="49">
        <v>42.55</v>
      </c>
      <c r="G1320" s="49" t="s">
        <v>43</v>
      </c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  <c r="S1320" s="50"/>
      <c r="T1320" s="50"/>
      <c r="U1320" s="50"/>
      <c r="V1320" s="50"/>
      <c r="W1320" s="50"/>
      <c r="X1320" s="50"/>
      <c r="Y1320" s="50"/>
      <c r="Z1320" s="50"/>
    </row>
    <row r="1321" spans="1:26">
      <c r="A1321" s="49">
        <v>1329</v>
      </c>
      <c r="B1321" s="51" t="s">
        <v>2410</v>
      </c>
      <c r="C1321" s="52" t="s">
        <v>45</v>
      </c>
      <c r="D1321" s="74" t="s">
        <v>184</v>
      </c>
      <c r="E1321" s="74" t="s">
        <v>1815</v>
      </c>
      <c r="F1321" s="49">
        <v>77.87</v>
      </c>
      <c r="G1321" s="49" t="s">
        <v>43</v>
      </c>
      <c r="H1321" s="50"/>
      <c r="I1321" s="50"/>
      <c r="J1321" s="50"/>
      <c r="K1321" s="50"/>
      <c r="L1321" s="50"/>
      <c r="M1321" s="50"/>
      <c r="N1321" s="50"/>
      <c r="O1321" s="50"/>
      <c r="P1321" s="50"/>
      <c r="Q1321" s="50"/>
      <c r="R1321" s="50"/>
      <c r="S1321" s="50"/>
      <c r="T1321" s="50"/>
      <c r="U1321" s="50"/>
      <c r="V1321" s="50"/>
      <c r="W1321" s="50"/>
      <c r="X1321" s="50"/>
      <c r="Y1321" s="50"/>
      <c r="Z1321" s="50"/>
    </row>
    <row r="1322" spans="1:26">
      <c r="A1322" s="49">
        <v>1330</v>
      </c>
      <c r="B1322" s="51" t="s">
        <v>2411</v>
      </c>
      <c r="C1322" s="52" t="s">
        <v>52</v>
      </c>
      <c r="D1322" s="74" t="s">
        <v>1322</v>
      </c>
      <c r="E1322" s="74" t="s">
        <v>2412</v>
      </c>
      <c r="F1322" s="49">
        <v>34.25</v>
      </c>
      <c r="G1322" s="49" t="s">
        <v>43</v>
      </c>
      <c r="H1322" s="50"/>
      <c r="I1322" s="50"/>
      <c r="J1322" s="50"/>
      <c r="K1322" s="50"/>
      <c r="L1322" s="50"/>
      <c r="M1322" s="50"/>
      <c r="N1322" s="50"/>
      <c r="O1322" s="50"/>
      <c r="P1322" s="50"/>
      <c r="Q1322" s="50"/>
      <c r="R1322" s="50"/>
      <c r="S1322" s="50"/>
      <c r="T1322" s="50"/>
      <c r="U1322" s="50"/>
      <c r="V1322" s="50"/>
      <c r="W1322" s="50"/>
      <c r="X1322" s="50"/>
      <c r="Y1322" s="50"/>
      <c r="Z1322" s="50"/>
    </row>
    <row r="1323" spans="1:26">
      <c r="A1323" s="49">
        <v>1331</v>
      </c>
      <c r="B1323" s="51" t="s">
        <v>2413</v>
      </c>
      <c r="C1323" s="52" t="s">
        <v>40</v>
      </c>
      <c r="D1323" s="74" t="s">
        <v>123</v>
      </c>
      <c r="E1323" s="74" t="s">
        <v>20</v>
      </c>
      <c r="F1323" s="49">
        <v>58.25</v>
      </c>
      <c r="G1323" s="49" t="s">
        <v>43</v>
      </c>
      <c r="H1323" s="50"/>
      <c r="I1323" s="50"/>
      <c r="J1323" s="50"/>
      <c r="K1323" s="50"/>
      <c r="L1323" s="50"/>
      <c r="M1323" s="50"/>
      <c r="N1323" s="50"/>
      <c r="O1323" s="50"/>
      <c r="P1323" s="50"/>
      <c r="Q1323" s="50"/>
      <c r="R1323" s="50"/>
      <c r="S1323" s="50"/>
      <c r="T1323" s="50"/>
      <c r="U1323" s="50"/>
      <c r="V1323" s="50"/>
      <c r="W1323" s="50"/>
      <c r="X1323" s="50"/>
      <c r="Y1323" s="50"/>
      <c r="Z1323" s="50"/>
    </row>
    <row r="1324" spans="1:26">
      <c r="A1324" s="49">
        <v>1332</v>
      </c>
      <c r="B1324" s="51" t="s">
        <v>2414</v>
      </c>
      <c r="C1324" s="52" t="s">
        <v>40</v>
      </c>
      <c r="D1324" s="74" t="s">
        <v>59</v>
      </c>
      <c r="E1324" s="74" t="s">
        <v>432</v>
      </c>
      <c r="F1324" s="49">
        <v>58.92</v>
      </c>
      <c r="G1324" s="49" t="s">
        <v>43</v>
      </c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  <c r="S1324" s="50"/>
      <c r="T1324" s="50"/>
      <c r="U1324" s="50"/>
      <c r="V1324" s="50"/>
      <c r="W1324" s="50"/>
      <c r="X1324" s="50"/>
      <c r="Y1324" s="50"/>
      <c r="Z1324" s="50"/>
    </row>
    <row r="1325" spans="1:26">
      <c r="A1325" s="49">
        <v>1333</v>
      </c>
      <c r="B1325" s="51" t="s">
        <v>2415</v>
      </c>
      <c r="C1325" s="52" t="s">
        <v>45</v>
      </c>
      <c r="D1325" s="74" t="s">
        <v>184</v>
      </c>
      <c r="E1325" s="74" t="s">
        <v>2116</v>
      </c>
      <c r="F1325" s="49">
        <v>54.16</v>
      </c>
      <c r="G1325" s="49" t="s">
        <v>43</v>
      </c>
      <c r="H1325" s="50"/>
      <c r="I1325" s="50"/>
      <c r="J1325" s="50"/>
      <c r="K1325" s="50"/>
      <c r="L1325" s="50"/>
      <c r="M1325" s="50"/>
      <c r="N1325" s="50"/>
      <c r="O1325" s="50"/>
      <c r="P1325" s="50"/>
      <c r="Q1325" s="50"/>
      <c r="R1325" s="50"/>
      <c r="S1325" s="50"/>
      <c r="T1325" s="50"/>
      <c r="U1325" s="50"/>
      <c r="V1325" s="50"/>
      <c r="W1325" s="50"/>
      <c r="X1325" s="50"/>
      <c r="Y1325" s="50"/>
      <c r="Z1325" s="50"/>
    </row>
    <row r="1326" spans="1:26">
      <c r="A1326" s="49">
        <v>1334</v>
      </c>
      <c r="B1326" s="51" t="s">
        <v>2416</v>
      </c>
      <c r="C1326" s="52" t="s">
        <v>45</v>
      </c>
      <c r="D1326" s="74" t="s">
        <v>1941</v>
      </c>
      <c r="E1326" s="74" t="s">
        <v>1356</v>
      </c>
      <c r="F1326" s="49">
        <v>43.61</v>
      </c>
      <c r="G1326" s="49" t="s">
        <v>43</v>
      </c>
      <c r="H1326" s="50"/>
      <c r="I1326" s="50"/>
      <c r="J1326" s="50"/>
      <c r="K1326" s="50"/>
      <c r="L1326" s="50"/>
      <c r="M1326" s="50"/>
      <c r="N1326" s="50"/>
      <c r="O1326" s="50"/>
      <c r="P1326" s="50"/>
      <c r="Q1326" s="50"/>
      <c r="R1326" s="50"/>
      <c r="S1326" s="50"/>
      <c r="T1326" s="50"/>
      <c r="U1326" s="50"/>
      <c r="V1326" s="50"/>
      <c r="W1326" s="50"/>
      <c r="X1326" s="50"/>
      <c r="Y1326" s="50"/>
      <c r="Z1326" s="50"/>
    </row>
    <row r="1327" spans="1:26">
      <c r="A1327" s="49">
        <v>1335</v>
      </c>
      <c r="B1327" s="51" t="s">
        <v>2417</v>
      </c>
      <c r="C1327" s="52" t="s">
        <v>52</v>
      </c>
      <c r="D1327" s="74" t="s">
        <v>214</v>
      </c>
      <c r="E1327" s="74" t="s">
        <v>2418</v>
      </c>
      <c r="F1327" s="49">
        <v>56.73</v>
      </c>
      <c r="G1327" s="49" t="s">
        <v>43</v>
      </c>
      <c r="H1327" s="50"/>
      <c r="I1327" s="50"/>
      <c r="J1327" s="50"/>
      <c r="K1327" s="50"/>
      <c r="L1327" s="50"/>
      <c r="M1327" s="50"/>
      <c r="N1327" s="50"/>
      <c r="O1327" s="50"/>
      <c r="P1327" s="50"/>
      <c r="Q1327" s="50"/>
      <c r="R1327" s="50"/>
      <c r="S1327" s="50"/>
      <c r="T1327" s="50"/>
      <c r="U1327" s="50"/>
      <c r="V1327" s="50"/>
      <c r="W1327" s="50"/>
      <c r="X1327" s="50"/>
      <c r="Y1327" s="50"/>
      <c r="Z1327" s="50"/>
    </row>
    <row r="1328" spans="1:26">
      <c r="A1328" s="49">
        <v>1336</v>
      </c>
      <c r="B1328" s="51" t="s">
        <v>2419</v>
      </c>
      <c r="C1328" s="52" t="s">
        <v>52</v>
      </c>
      <c r="D1328" s="74"/>
      <c r="E1328" s="74" t="s">
        <v>2420</v>
      </c>
      <c r="F1328" s="49">
        <v>40.9</v>
      </c>
      <c r="G1328" s="49" t="s">
        <v>459</v>
      </c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  <c r="S1328" s="50"/>
      <c r="T1328" s="50"/>
      <c r="U1328" s="50"/>
      <c r="V1328" s="50"/>
      <c r="W1328" s="50"/>
      <c r="X1328" s="50"/>
      <c r="Y1328" s="50"/>
      <c r="Z1328" s="50"/>
    </row>
    <row r="1329" spans="1:26">
      <c r="A1329" s="49">
        <v>1337</v>
      </c>
      <c r="B1329" s="51" t="s">
        <v>2421</v>
      </c>
      <c r="C1329" s="52" t="s">
        <v>40</v>
      </c>
      <c r="D1329" s="74" t="s">
        <v>128</v>
      </c>
      <c r="E1329" s="74" t="s">
        <v>432</v>
      </c>
      <c r="F1329" s="49">
        <v>68.41</v>
      </c>
      <c r="G1329" s="49" t="s">
        <v>43</v>
      </c>
      <c r="H1329" s="50"/>
      <c r="I1329" s="50"/>
      <c r="J1329" s="50"/>
      <c r="K1329" s="50"/>
      <c r="L1329" s="50"/>
      <c r="M1329" s="50"/>
      <c r="N1329" s="50"/>
      <c r="O1329" s="50"/>
      <c r="P1329" s="50"/>
      <c r="Q1329" s="50"/>
      <c r="R1329" s="50"/>
      <c r="S1329" s="50"/>
      <c r="T1329" s="50"/>
      <c r="U1329" s="50"/>
      <c r="V1329" s="50"/>
      <c r="W1329" s="50"/>
      <c r="X1329" s="50"/>
      <c r="Y1329" s="50"/>
      <c r="Z1329" s="50"/>
    </row>
    <row r="1330" spans="1:26">
      <c r="A1330" s="49">
        <v>1338</v>
      </c>
      <c r="B1330" s="51" t="s">
        <v>2422</v>
      </c>
      <c r="C1330" s="52" t="s">
        <v>45</v>
      </c>
      <c r="D1330" s="74" t="s">
        <v>158</v>
      </c>
      <c r="E1330" s="74" t="s">
        <v>1401</v>
      </c>
      <c r="F1330" s="49">
        <v>65.78</v>
      </c>
      <c r="G1330" s="49" t="s">
        <v>43</v>
      </c>
      <c r="H1330" s="50"/>
      <c r="I1330" s="50"/>
      <c r="J1330" s="50"/>
      <c r="K1330" s="50"/>
      <c r="L1330" s="50"/>
      <c r="M1330" s="50"/>
      <c r="N1330" s="50"/>
      <c r="O1330" s="50"/>
      <c r="P1330" s="50"/>
      <c r="Q1330" s="50"/>
      <c r="R1330" s="50"/>
      <c r="S1330" s="50"/>
      <c r="T1330" s="50"/>
      <c r="U1330" s="50"/>
      <c r="V1330" s="50"/>
      <c r="W1330" s="50"/>
      <c r="X1330" s="50"/>
      <c r="Y1330" s="50"/>
      <c r="Z1330" s="50"/>
    </row>
    <row r="1331" spans="1:26">
      <c r="A1331" s="49">
        <v>1339</v>
      </c>
      <c r="B1331" s="51" t="s">
        <v>2423</v>
      </c>
      <c r="C1331" s="52" t="s">
        <v>45</v>
      </c>
      <c r="D1331" s="74" t="s">
        <v>1886</v>
      </c>
      <c r="E1331" s="74" t="s">
        <v>2424</v>
      </c>
      <c r="F1331" s="49">
        <v>36.79</v>
      </c>
      <c r="G1331" s="49" t="s">
        <v>43</v>
      </c>
      <c r="H1331" s="50"/>
      <c r="I1331" s="50"/>
      <c r="J1331" s="50"/>
      <c r="K1331" s="50"/>
      <c r="L1331" s="50"/>
      <c r="M1331" s="50"/>
      <c r="N1331" s="50"/>
      <c r="O1331" s="50"/>
      <c r="P1331" s="50"/>
      <c r="Q1331" s="50"/>
      <c r="R1331" s="50"/>
      <c r="S1331" s="50"/>
      <c r="T1331" s="50"/>
      <c r="U1331" s="50"/>
      <c r="V1331" s="50"/>
      <c r="W1331" s="50"/>
      <c r="X1331" s="50"/>
      <c r="Y1331" s="50"/>
      <c r="Z1331" s="50"/>
    </row>
    <row r="1332" spans="1:26">
      <c r="A1332" s="49">
        <v>1340</v>
      </c>
      <c r="B1332" s="51" t="s">
        <v>2425</v>
      </c>
      <c r="C1332" s="52" t="s">
        <v>52</v>
      </c>
      <c r="D1332" s="74" t="s">
        <v>214</v>
      </c>
      <c r="E1332" s="74"/>
      <c r="F1332" s="49">
        <v>57.17</v>
      </c>
      <c r="G1332" s="49" t="s">
        <v>43</v>
      </c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  <c r="S1332" s="50"/>
      <c r="T1332" s="50"/>
      <c r="U1332" s="50"/>
      <c r="V1332" s="50"/>
      <c r="W1332" s="50"/>
      <c r="X1332" s="50"/>
      <c r="Y1332" s="50"/>
      <c r="Z1332" s="50"/>
    </row>
    <row r="1333" spans="1:26">
      <c r="A1333" s="49">
        <v>1341</v>
      </c>
      <c r="B1333" s="51" t="s">
        <v>2426</v>
      </c>
      <c r="C1333" s="52" t="s">
        <v>45</v>
      </c>
      <c r="D1333" s="74"/>
      <c r="E1333" s="74" t="s">
        <v>2427</v>
      </c>
      <c r="F1333" s="49">
        <v>55.53</v>
      </c>
      <c r="G1333" s="49" t="s">
        <v>459</v>
      </c>
      <c r="H1333" s="50"/>
      <c r="I1333" s="50"/>
      <c r="J1333" s="50"/>
      <c r="K1333" s="50"/>
      <c r="L1333" s="50"/>
      <c r="M1333" s="50"/>
      <c r="N1333" s="50"/>
      <c r="O1333" s="50"/>
      <c r="P1333" s="50"/>
      <c r="Q1333" s="50"/>
      <c r="R1333" s="50"/>
      <c r="S1333" s="50"/>
      <c r="T1333" s="50"/>
      <c r="U1333" s="50"/>
      <c r="V1333" s="50"/>
      <c r="W1333" s="50"/>
      <c r="X1333" s="50"/>
      <c r="Y1333" s="50"/>
      <c r="Z1333" s="50"/>
    </row>
    <row r="1334" spans="1:26">
      <c r="A1334" s="49">
        <v>1342</v>
      </c>
      <c r="B1334" s="51" t="s">
        <v>2428</v>
      </c>
      <c r="C1334" s="52" t="s">
        <v>40</v>
      </c>
      <c r="D1334" s="74" t="s">
        <v>368</v>
      </c>
      <c r="E1334" s="74" t="s">
        <v>2429</v>
      </c>
      <c r="F1334" s="49">
        <v>86.89</v>
      </c>
      <c r="G1334" s="49" t="s">
        <v>43</v>
      </c>
      <c r="H1334" s="50"/>
      <c r="I1334" s="50"/>
      <c r="J1334" s="50"/>
      <c r="K1334" s="50"/>
      <c r="L1334" s="50"/>
      <c r="M1334" s="50"/>
      <c r="N1334" s="50"/>
      <c r="O1334" s="50"/>
      <c r="P1334" s="50"/>
      <c r="Q1334" s="50"/>
      <c r="R1334" s="50"/>
      <c r="S1334" s="50"/>
      <c r="T1334" s="50"/>
      <c r="U1334" s="50"/>
      <c r="V1334" s="50"/>
      <c r="W1334" s="50"/>
      <c r="X1334" s="50"/>
      <c r="Y1334" s="50"/>
      <c r="Z1334" s="50"/>
    </row>
    <row r="1335" spans="1:26">
      <c r="A1335" s="49">
        <v>1343</v>
      </c>
      <c r="B1335" s="51" t="s">
        <v>2430</v>
      </c>
      <c r="C1335" s="52" t="s">
        <v>45</v>
      </c>
      <c r="D1335" s="74" t="s">
        <v>123</v>
      </c>
      <c r="E1335" s="74" t="s">
        <v>608</v>
      </c>
      <c r="F1335" s="49">
        <v>64.02</v>
      </c>
      <c r="G1335" s="49" t="s">
        <v>43</v>
      </c>
      <c r="H1335" s="50"/>
      <c r="I1335" s="50"/>
      <c r="J1335" s="50"/>
      <c r="K1335" s="50"/>
      <c r="L1335" s="50"/>
      <c r="M1335" s="50"/>
      <c r="N1335" s="50"/>
      <c r="O1335" s="50"/>
      <c r="P1335" s="50"/>
      <c r="Q1335" s="50"/>
      <c r="R1335" s="50"/>
      <c r="S1335" s="50"/>
      <c r="T1335" s="50"/>
      <c r="U1335" s="50"/>
      <c r="V1335" s="50"/>
      <c r="W1335" s="50"/>
      <c r="X1335" s="50"/>
      <c r="Y1335" s="50"/>
      <c r="Z1335" s="50"/>
    </row>
    <row r="1336" spans="1:26">
      <c r="A1336" s="49">
        <v>1344</v>
      </c>
      <c r="B1336" s="51" t="s">
        <v>2431</v>
      </c>
      <c r="C1336" s="52" t="s">
        <v>45</v>
      </c>
      <c r="D1336" s="74" t="s">
        <v>62</v>
      </c>
      <c r="E1336" s="74" t="s">
        <v>432</v>
      </c>
      <c r="F1336" s="49">
        <v>60.53</v>
      </c>
      <c r="G1336" s="49" t="s">
        <v>43</v>
      </c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  <c r="S1336" s="50"/>
      <c r="T1336" s="50"/>
      <c r="U1336" s="50"/>
      <c r="V1336" s="50"/>
      <c r="W1336" s="50"/>
      <c r="X1336" s="50"/>
      <c r="Y1336" s="50"/>
      <c r="Z1336" s="50"/>
    </row>
    <row r="1337" spans="1:26">
      <c r="A1337" s="49">
        <v>1345</v>
      </c>
      <c r="B1337" s="51" t="s">
        <v>2432</v>
      </c>
      <c r="C1337" s="52" t="s">
        <v>52</v>
      </c>
      <c r="D1337" s="74" t="s">
        <v>342</v>
      </c>
      <c r="E1337" s="74" t="s">
        <v>20</v>
      </c>
      <c r="F1337" s="49">
        <v>36.770000000000003</v>
      </c>
      <c r="G1337" s="49" t="s">
        <v>43</v>
      </c>
      <c r="H1337" s="50"/>
      <c r="I1337" s="50"/>
      <c r="J1337" s="50"/>
      <c r="K1337" s="50"/>
      <c r="L1337" s="50"/>
      <c r="M1337" s="50"/>
      <c r="N1337" s="50"/>
      <c r="O1337" s="50"/>
      <c r="P1337" s="50"/>
      <c r="Q1337" s="50"/>
      <c r="R1337" s="50"/>
      <c r="S1337" s="50"/>
      <c r="T1337" s="50"/>
      <c r="U1337" s="50"/>
      <c r="V1337" s="50"/>
      <c r="W1337" s="50"/>
      <c r="X1337" s="50"/>
      <c r="Y1337" s="50"/>
      <c r="Z1337" s="50"/>
    </row>
    <row r="1338" spans="1:26">
      <c r="A1338" s="49">
        <v>1346</v>
      </c>
      <c r="B1338" s="51" t="s">
        <v>2433</v>
      </c>
      <c r="C1338" s="52" t="s">
        <v>40</v>
      </c>
      <c r="D1338" s="74" t="s">
        <v>123</v>
      </c>
      <c r="E1338" s="74" t="s">
        <v>20</v>
      </c>
      <c r="F1338" s="49">
        <v>38.44</v>
      </c>
      <c r="G1338" s="49" t="s">
        <v>43</v>
      </c>
      <c r="H1338" s="50"/>
      <c r="I1338" s="50"/>
      <c r="J1338" s="50"/>
      <c r="K1338" s="50"/>
      <c r="L1338" s="50"/>
      <c r="M1338" s="50"/>
      <c r="N1338" s="50"/>
      <c r="O1338" s="50"/>
      <c r="P1338" s="50"/>
      <c r="Q1338" s="50"/>
      <c r="R1338" s="50"/>
      <c r="S1338" s="50"/>
      <c r="T1338" s="50"/>
      <c r="U1338" s="50"/>
      <c r="V1338" s="50"/>
      <c r="W1338" s="50"/>
      <c r="X1338" s="50"/>
      <c r="Y1338" s="50"/>
      <c r="Z1338" s="50"/>
    </row>
    <row r="1339" spans="1:26">
      <c r="A1339" s="49">
        <v>1347</v>
      </c>
      <c r="B1339" s="51" t="s">
        <v>2434</v>
      </c>
      <c r="C1339" s="52" t="s">
        <v>45</v>
      </c>
      <c r="D1339" s="74" t="s">
        <v>59</v>
      </c>
      <c r="E1339" s="74" t="s">
        <v>1248</v>
      </c>
      <c r="F1339" s="49">
        <v>74.739999999999995</v>
      </c>
      <c r="G1339" s="49" t="s">
        <v>43</v>
      </c>
      <c r="H1339" s="50"/>
      <c r="I1339" s="50"/>
      <c r="J1339" s="50"/>
      <c r="K1339" s="50"/>
      <c r="L1339" s="50"/>
      <c r="M1339" s="50"/>
      <c r="N1339" s="50"/>
      <c r="O1339" s="50"/>
      <c r="P1339" s="50"/>
      <c r="Q1339" s="50"/>
      <c r="R1339" s="50"/>
      <c r="S1339" s="50"/>
      <c r="T1339" s="50"/>
      <c r="U1339" s="50"/>
      <c r="V1339" s="50"/>
      <c r="W1339" s="50"/>
      <c r="X1339" s="50"/>
      <c r="Y1339" s="50"/>
      <c r="Z1339" s="50"/>
    </row>
    <row r="1340" spans="1:26">
      <c r="A1340" s="49">
        <v>1348</v>
      </c>
      <c r="B1340" s="51" t="s">
        <v>2435</v>
      </c>
      <c r="C1340" s="52" t="s">
        <v>45</v>
      </c>
      <c r="D1340" s="74" t="s">
        <v>390</v>
      </c>
      <c r="E1340" s="74" t="s">
        <v>1248</v>
      </c>
      <c r="F1340" s="49">
        <v>28.39</v>
      </c>
      <c r="G1340" s="49" t="s">
        <v>43</v>
      </c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  <c r="S1340" s="50"/>
      <c r="T1340" s="50"/>
      <c r="U1340" s="50"/>
      <c r="V1340" s="50"/>
      <c r="W1340" s="50"/>
      <c r="X1340" s="50"/>
      <c r="Y1340" s="50"/>
      <c r="Z1340" s="50"/>
    </row>
    <row r="1341" spans="1:26">
      <c r="A1341" s="49">
        <v>1349</v>
      </c>
      <c r="B1341" s="51" t="s">
        <v>2436</v>
      </c>
      <c r="C1341" s="52" t="s">
        <v>52</v>
      </c>
      <c r="D1341" s="74" t="s">
        <v>214</v>
      </c>
      <c r="E1341" s="74" t="s">
        <v>2427</v>
      </c>
      <c r="F1341" s="49">
        <v>40.35</v>
      </c>
      <c r="G1341" s="49" t="s">
        <v>43</v>
      </c>
      <c r="H1341" s="50"/>
      <c r="I1341" s="50"/>
      <c r="J1341" s="50"/>
      <c r="K1341" s="50"/>
      <c r="L1341" s="50"/>
      <c r="M1341" s="50"/>
      <c r="N1341" s="50"/>
      <c r="O1341" s="50"/>
      <c r="P1341" s="50"/>
      <c r="Q1341" s="50"/>
      <c r="R1341" s="50"/>
      <c r="S1341" s="50"/>
      <c r="T1341" s="50"/>
      <c r="U1341" s="50"/>
      <c r="V1341" s="50"/>
      <c r="W1341" s="50"/>
      <c r="X1341" s="50"/>
      <c r="Y1341" s="50"/>
      <c r="Z1341" s="50"/>
    </row>
    <row r="1342" spans="1:26">
      <c r="A1342" s="49">
        <v>1350</v>
      </c>
      <c r="B1342" s="51" t="s">
        <v>2437</v>
      </c>
      <c r="C1342" s="52" t="s">
        <v>40</v>
      </c>
      <c r="D1342" s="74"/>
      <c r="E1342" s="74" t="s">
        <v>432</v>
      </c>
      <c r="F1342" s="49">
        <v>88.72</v>
      </c>
      <c r="G1342" s="49" t="s">
        <v>459</v>
      </c>
      <c r="H1342" s="50"/>
      <c r="I1342" s="50"/>
      <c r="J1342" s="50"/>
      <c r="K1342" s="50"/>
      <c r="L1342" s="50"/>
      <c r="M1342" s="50"/>
      <c r="N1342" s="50"/>
      <c r="O1342" s="50"/>
      <c r="P1342" s="50"/>
      <c r="Q1342" s="50"/>
      <c r="R1342" s="50"/>
      <c r="S1342" s="50"/>
      <c r="T1342" s="50"/>
      <c r="U1342" s="50"/>
      <c r="V1342" s="50"/>
      <c r="W1342" s="50"/>
      <c r="X1342" s="50"/>
      <c r="Y1342" s="50"/>
      <c r="Z1342" s="50"/>
    </row>
    <row r="1343" spans="1:26">
      <c r="A1343" s="49">
        <v>1351</v>
      </c>
      <c r="B1343" s="51" t="s">
        <v>2438</v>
      </c>
      <c r="C1343" s="52" t="s">
        <v>40</v>
      </c>
      <c r="D1343" s="74" t="s">
        <v>128</v>
      </c>
      <c r="E1343" s="74" t="s">
        <v>432</v>
      </c>
      <c r="F1343" s="49">
        <v>76.88</v>
      </c>
      <c r="G1343" s="49" t="s">
        <v>43</v>
      </c>
      <c r="H1343" s="50"/>
      <c r="I1343" s="50"/>
      <c r="J1343" s="50"/>
      <c r="K1343" s="50"/>
      <c r="L1343" s="50"/>
      <c r="M1343" s="50"/>
      <c r="N1343" s="50"/>
      <c r="O1343" s="50"/>
      <c r="P1343" s="50"/>
      <c r="Q1343" s="50"/>
      <c r="R1343" s="50"/>
      <c r="S1343" s="50"/>
      <c r="T1343" s="50"/>
      <c r="U1343" s="50"/>
      <c r="V1343" s="50"/>
      <c r="W1343" s="50"/>
      <c r="X1343" s="50"/>
      <c r="Y1343" s="50"/>
      <c r="Z1343" s="50"/>
    </row>
    <row r="1344" spans="1:26">
      <c r="A1344" s="49">
        <v>1352</v>
      </c>
      <c r="B1344" s="51" t="s">
        <v>2439</v>
      </c>
      <c r="C1344" s="52" t="s">
        <v>45</v>
      </c>
      <c r="D1344" s="74" t="s">
        <v>2440</v>
      </c>
      <c r="E1344" s="74" t="s">
        <v>20</v>
      </c>
      <c r="F1344" s="49">
        <v>42.55</v>
      </c>
      <c r="G1344" s="49" t="s">
        <v>43</v>
      </c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  <c r="S1344" s="50"/>
      <c r="T1344" s="50"/>
      <c r="U1344" s="50"/>
      <c r="V1344" s="50"/>
      <c r="W1344" s="50"/>
      <c r="X1344" s="50"/>
      <c r="Y1344" s="50"/>
      <c r="Z1344" s="50"/>
    </row>
    <row r="1345" spans="1:26">
      <c r="A1345" s="49">
        <v>1353</v>
      </c>
      <c r="B1345" s="51" t="s">
        <v>2441</v>
      </c>
      <c r="C1345" s="52" t="s">
        <v>45</v>
      </c>
      <c r="D1345" s="74" t="s">
        <v>2442</v>
      </c>
      <c r="E1345" s="74" t="s">
        <v>2443</v>
      </c>
      <c r="F1345" s="49">
        <v>30.99</v>
      </c>
      <c r="G1345" s="49" t="s">
        <v>43</v>
      </c>
      <c r="H1345" s="50"/>
      <c r="I1345" s="50"/>
      <c r="J1345" s="50"/>
      <c r="K1345" s="50"/>
      <c r="L1345" s="50"/>
      <c r="M1345" s="50"/>
      <c r="N1345" s="50"/>
      <c r="O1345" s="50"/>
      <c r="P1345" s="50"/>
      <c r="Q1345" s="50"/>
      <c r="R1345" s="50"/>
      <c r="S1345" s="50"/>
      <c r="T1345" s="50"/>
      <c r="U1345" s="50"/>
      <c r="V1345" s="50"/>
      <c r="W1345" s="50"/>
      <c r="X1345" s="50"/>
      <c r="Y1345" s="50"/>
      <c r="Z1345" s="50"/>
    </row>
    <row r="1346" spans="1:26">
      <c r="A1346" s="49">
        <v>1354</v>
      </c>
      <c r="B1346" s="51" t="s">
        <v>2444</v>
      </c>
      <c r="C1346" s="52" t="s">
        <v>52</v>
      </c>
      <c r="D1346" s="74" t="s">
        <v>360</v>
      </c>
      <c r="E1346" s="74" t="s">
        <v>1815</v>
      </c>
      <c r="F1346" s="49">
        <v>32.299999999999997</v>
      </c>
      <c r="G1346" s="49" t="s">
        <v>43</v>
      </c>
      <c r="H1346" s="50"/>
      <c r="I1346" s="50"/>
      <c r="J1346" s="50"/>
      <c r="K1346" s="50"/>
      <c r="L1346" s="50"/>
      <c r="M1346" s="50"/>
      <c r="N1346" s="50"/>
      <c r="O1346" s="50"/>
      <c r="P1346" s="50"/>
      <c r="Q1346" s="50"/>
      <c r="R1346" s="50"/>
      <c r="S1346" s="50"/>
      <c r="T1346" s="50"/>
      <c r="U1346" s="50"/>
      <c r="V1346" s="50"/>
      <c r="W1346" s="50"/>
      <c r="X1346" s="50"/>
      <c r="Y1346" s="50"/>
      <c r="Z1346" s="50"/>
    </row>
    <row r="1347" spans="1:26">
      <c r="A1347" s="49">
        <v>1355</v>
      </c>
      <c r="B1347" s="51" t="s">
        <v>2445</v>
      </c>
      <c r="C1347" s="52" t="s">
        <v>45</v>
      </c>
      <c r="D1347" s="74"/>
      <c r="E1347" s="74" t="s">
        <v>2446</v>
      </c>
      <c r="F1347" s="49">
        <v>67.36</v>
      </c>
      <c r="G1347" s="49" t="s">
        <v>459</v>
      </c>
      <c r="H1347" s="50"/>
      <c r="I1347" s="50"/>
      <c r="J1347" s="50"/>
      <c r="K1347" s="50"/>
      <c r="L1347" s="50"/>
      <c r="M1347" s="50"/>
      <c r="N1347" s="50"/>
      <c r="O1347" s="50"/>
      <c r="P1347" s="50"/>
      <c r="Q1347" s="50"/>
      <c r="R1347" s="50"/>
      <c r="S1347" s="50"/>
      <c r="T1347" s="50"/>
      <c r="U1347" s="50"/>
      <c r="V1347" s="50"/>
      <c r="W1347" s="50"/>
      <c r="X1347" s="50"/>
      <c r="Y1347" s="50"/>
      <c r="Z1347" s="50"/>
    </row>
    <row r="1348" spans="1:26">
      <c r="A1348" s="49">
        <v>1356</v>
      </c>
      <c r="B1348" s="51" t="s">
        <v>2447</v>
      </c>
      <c r="C1348" s="52" t="s">
        <v>40</v>
      </c>
      <c r="D1348" s="74" t="s">
        <v>2448</v>
      </c>
      <c r="E1348" s="74" t="s">
        <v>2449</v>
      </c>
      <c r="F1348" s="49">
        <v>68.44</v>
      </c>
      <c r="G1348" s="49" t="s">
        <v>43</v>
      </c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  <c r="S1348" s="50"/>
      <c r="T1348" s="50"/>
      <c r="U1348" s="50"/>
      <c r="V1348" s="50"/>
      <c r="W1348" s="50"/>
      <c r="X1348" s="50"/>
      <c r="Y1348" s="50"/>
      <c r="Z1348" s="50"/>
    </row>
    <row r="1349" spans="1:26">
      <c r="A1349" s="49">
        <v>1357</v>
      </c>
      <c r="B1349" s="51" t="s">
        <v>2450</v>
      </c>
      <c r="C1349" s="52" t="s">
        <v>45</v>
      </c>
      <c r="D1349" s="74" t="s">
        <v>390</v>
      </c>
      <c r="E1349" s="74" t="s">
        <v>671</v>
      </c>
      <c r="F1349" s="49">
        <v>65.41</v>
      </c>
      <c r="G1349" s="49" t="s">
        <v>43</v>
      </c>
      <c r="H1349" s="50"/>
      <c r="I1349" s="50"/>
      <c r="J1349" s="50"/>
      <c r="K1349" s="50"/>
      <c r="L1349" s="50"/>
      <c r="M1349" s="50"/>
      <c r="N1349" s="50"/>
      <c r="O1349" s="50"/>
      <c r="P1349" s="50"/>
      <c r="Q1349" s="50"/>
      <c r="R1349" s="50"/>
      <c r="S1349" s="50"/>
      <c r="T1349" s="50"/>
      <c r="U1349" s="50"/>
      <c r="V1349" s="50"/>
      <c r="W1349" s="50"/>
      <c r="X1349" s="50"/>
      <c r="Y1349" s="50"/>
      <c r="Z1349" s="50"/>
    </row>
    <row r="1350" spans="1:26">
      <c r="A1350" s="49">
        <v>1358</v>
      </c>
      <c r="B1350" s="51" t="s">
        <v>2451</v>
      </c>
      <c r="C1350" s="52" t="s">
        <v>45</v>
      </c>
      <c r="D1350" s="74" t="s">
        <v>59</v>
      </c>
      <c r="E1350" s="74" t="s">
        <v>2452</v>
      </c>
      <c r="F1350" s="49">
        <v>56.92</v>
      </c>
      <c r="G1350" s="49" t="s">
        <v>43</v>
      </c>
      <c r="H1350" s="50"/>
      <c r="I1350" s="50"/>
      <c r="J1350" s="50"/>
      <c r="K1350" s="50"/>
      <c r="L1350" s="50"/>
      <c r="M1350" s="50"/>
      <c r="N1350" s="50"/>
      <c r="O1350" s="50"/>
      <c r="P1350" s="50"/>
      <c r="Q1350" s="50"/>
      <c r="R1350" s="50"/>
      <c r="S1350" s="50"/>
      <c r="T1350" s="50"/>
      <c r="U1350" s="50"/>
      <c r="V1350" s="50"/>
      <c r="W1350" s="50"/>
      <c r="X1350" s="50"/>
      <c r="Y1350" s="50"/>
      <c r="Z1350" s="50"/>
    </row>
    <row r="1351" spans="1:26">
      <c r="A1351" s="49">
        <v>1359</v>
      </c>
      <c r="B1351" s="51" t="s">
        <v>2453</v>
      </c>
      <c r="C1351" s="52" t="s">
        <v>52</v>
      </c>
      <c r="D1351" s="74" t="s">
        <v>815</v>
      </c>
      <c r="E1351" s="74" t="s">
        <v>2187</v>
      </c>
      <c r="F1351" s="49">
        <v>57.49</v>
      </c>
      <c r="G1351" s="49" t="s">
        <v>43</v>
      </c>
      <c r="H1351" s="50"/>
      <c r="I1351" s="50"/>
      <c r="J1351" s="50"/>
      <c r="K1351" s="50"/>
      <c r="L1351" s="50"/>
      <c r="M1351" s="50"/>
      <c r="N1351" s="50"/>
      <c r="O1351" s="50"/>
      <c r="P1351" s="50"/>
      <c r="Q1351" s="50"/>
      <c r="R1351" s="50"/>
      <c r="S1351" s="50"/>
      <c r="T1351" s="50"/>
      <c r="U1351" s="50"/>
      <c r="V1351" s="50"/>
      <c r="W1351" s="50"/>
      <c r="X1351" s="50"/>
      <c r="Y1351" s="50"/>
      <c r="Z1351" s="50"/>
    </row>
    <row r="1352" spans="1:26">
      <c r="A1352" s="49">
        <v>1360</v>
      </c>
      <c r="B1352" s="51" t="s">
        <v>2454</v>
      </c>
      <c r="C1352" s="52" t="s">
        <v>40</v>
      </c>
      <c r="D1352" s="74"/>
      <c r="E1352" s="74" t="s">
        <v>1042</v>
      </c>
      <c r="F1352" s="49">
        <v>49.79</v>
      </c>
      <c r="G1352" s="49" t="s">
        <v>43</v>
      </c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  <c r="S1352" s="50"/>
      <c r="T1352" s="50"/>
      <c r="U1352" s="50"/>
      <c r="V1352" s="50"/>
      <c r="W1352" s="50"/>
      <c r="X1352" s="50"/>
      <c r="Y1352" s="50"/>
      <c r="Z1352" s="50"/>
    </row>
    <row r="1353" spans="1:26">
      <c r="A1353" s="49">
        <v>1361</v>
      </c>
      <c r="B1353" s="51" t="s">
        <v>2455</v>
      </c>
      <c r="C1353" s="52" t="s">
        <v>45</v>
      </c>
      <c r="D1353" s="74" t="s">
        <v>1941</v>
      </c>
      <c r="E1353" s="74" t="s">
        <v>671</v>
      </c>
      <c r="F1353" s="49">
        <v>51.99</v>
      </c>
      <c r="G1353" s="49" t="s">
        <v>43</v>
      </c>
      <c r="H1353" s="50"/>
      <c r="I1353" s="50"/>
      <c r="J1353" s="50"/>
      <c r="K1353" s="50"/>
      <c r="L1353" s="50"/>
      <c r="M1353" s="50"/>
      <c r="N1353" s="50"/>
      <c r="O1353" s="50"/>
      <c r="P1353" s="50"/>
      <c r="Q1353" s="50"/>
      <c r="R1353" s="50"/>
      <c r="S1353" s="50"/>
      <c r="T1353" s="50"/>
      <c r="U1353" s="50"/>
      <c r="V1353" s="50"/>
      <c r="W1353" s="50"/>
      <c r="X1353" s="50"/>
      <c r="Y1353" s="50"/>
      <c r="Z1353" s="50"/>
    </row>
    <row r="1354" spans="1:26">
      <c r="A1354" s="49">
        <v>1362</v>
      </c>
      <c r="B1354" s="51" t="s">
        <v>2456</v>
      </c>
      <c r="C1354" s="52" t="s">
        <v>45</v>
      </c>
      <c r="D1354" s="74" t="s">
        <v>62</v>
      </c>
      <c r="E1354" s="74" t="s">
        <v>432</v>
      </c>
      <c r="F1354" s="49">
        <v>56.23</v>
      </c>
      <c r="G1354" s="49" t="s">
        <v>43</v>
      </c>
      <c r="H1354" s="50"/>
      <c r="I1354" s="50"/>
      <c r="J1354" s="50"/>
      <c r="K1354" s="50"/>
      <c r="L1354" s="50"/>
      <c r="M1354" s="50"/>
      <c r="N1354" s="50"/>
      <c r="O1354" s="50"/>
      <c r="P1354" s="50"/>
      <c r="Q1354" s="50"/>
      <c r="R1354" s="50"/>
      <c r="S1354" s="50"/>
      <c r="T1354" s="50"/>
      <c r="U1354" s="50"/>
      <c r="V1354" s="50"/>
      <c r="W1354" s="50"/>
      <c r="X1354" s="50"/>
      <c r="Y1354" s="50"/>
      <c r="Z1354" s="50"/>
    </row>
    <row r="1355" spans="1:26">
      <c r="A1355" s="49">
        <v>1363</v>
      </c>
      <c r="B1355" s="51" t="s">
        <v>2457</v>
      </c>
      <c r="C1355" s="52" t="s">
        <v>52</v>
      </c>
      <c r="D1355" s="74" t="s">
        <v>815</v>
      </c>
      <c r="E1355" s="74" t="s">
        <v>432</v>
      </c>
      <c r="F1355" s="49">
        <v>33.21</v>
      </c>
      <c r="G1355" s="49" t="s">
        <v>43</v>
      </c>
      <c r="H1355" s="50"/>
      <c r="I1355" s="50"/>
      <c r="J1355" s="50"/>
      <c r="K1355" s="50"/>
      <c r="L1355" s="50"/>
      <c r="M1355" s="50"/>
      <c r="N1355" s="50"/>
      <c r="O1355" s="50"/>
      <c r="P1355" s="50"/>
      <c r="Q1355" s="50"/>
      <c r="R1355" s="50"/>
      <c r="S1355" s="50"/>
      <c r="T1355" s="50"/>
      <c r="U1355" s="50"/>
      <c r="V1355" s="50"/>
      <c r="W1355" s="50"/>
      <c r="X1355" s="50"/>
      <c r="Y1355" s="50"/>
      <c r="Z1355" s="50"/>
    </row>
    <row r="1356" spans="1:26">
      <c r="A1356" s="49">
        <v>1364</v>
      </c>
      <c r="B1356" s="51" t="s">
        <v>2458</v>
      </c>
      <c r="C1356" s="52" t="s">
        <v>45</v>
      </c>
      <c r="D1356" s="74"/>
      <c r="E1356" s="74" t="s">
        <v>2338</v>
      </c>
      <c r="F1356" s="49">
        <v>72.94</v>
      </c>
      <c r="G1356" s="49" t="s">
        <v>459</v>
      </c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  <c r="S1356" s="50"/>
      <c r="T1356" s="50"/>
      <c r="U1356" s="50"/>
      <c r="V1356" s="50"/>
      <c r="W1356" s="50"/>
      <c r="X1356" s="50"/>
      <c r="Y1356" s="50"/>
      <c r="Z1356" s="50"/>
    </row>
    <row r="1357" spans="1:26">
      <c r="A1357" s="49">
        <v>1365</v>
      </c>
      <c r="B1357" s="51" t="s">
        <v>2459</v>
      </c>
      <c r="C1357" s="52" t="s">
        <v>40</v>
      </c>
      <c r="D1357" s="74" t="s">
        <v>41</v>
      </c>
      <c r="E1357" s="74" t="s">
        <v>868</v>
      </c>
      <c r="F1357" s="49">
        <v>85.18</v>
      </c>
      <c r="G1357" s="49" t="s">
        <v>43</v>
      </c>
      <c r="H1357" s="50"/>
      <c r="I1357" s="50"/>
      <c r="J1357" s="50"/>
      <c r="K1357" s="50"/>
      <c r="L1357" s="50"/>
      <c r="M1357" s="50"/>
      <c r="N1357" s="50"/>
      <c r="O1357" s="50"/>
      <c r="P1357" s="50"/>
      <c r="Q1357" s="50"/>
      <c r="R1357" s="50"/>
      <c r="S1357" s="50"/>
      <c r="T1357" s="50"/>
      <c r="U1357" s="50"/>
      <c r="V1357" s="50"/>
      <c r="W1357" s="50"/>
      <c r="X1357" s="50"/>
      <c r="Y1357" s="50"/>
      <c r="Z1357" s="50"/>
    </row>
    <row r="1358" spans="1:26">
      <c r="A1358" s="49">
        <v>1366</v>
      </c>
      <c r="B1358" s="51" t="s">
        <v>2460</v>
      </c>
      <c r="C1358" s="52" t="s">
        <v>45</v>
      </c>
      <c r="D1358" s="74" t="s">
        <v>184</v>
      </c>
      <c r="E1358" s="74" t="s">
        <v>20</v>
      </c>
      <c r="F1358" s="49">
        <v>51.04</v>
      </c>
      <c r="G1358" s="49" t="s">
        <v>43</v>
      </c>
      <c r="H1358" s="50"/>
      <c r="I1358" s="50"/>
      <c r="J1358" s="50"/>
      <c r="K1358" s="50"/>
      <c r="L1358" s="50"/>
      <c r="M1358" s="50"/>
      <c r="N1358" s="50"/>
      <c r="O1358" s="50"/>
      <c r="P1358" s="50"/>
      <c r="Q1358" s="50"/>
      <c r="R1358" s="50"/>
      <c r="S1358" s="50"/>
      <c r="T1358" s="50"/>
      <c r="U1358" s="50"/>
      <c r="V1358" s="50"/>
      <c r="W1358" s="50"/>
      <c r="X1358" s="50"/>
      <c r="Y1358" s="50"/>
      <c r="Z1358" s="50"/>
    </row>
    <row r="1359" spans="1:26">
      <c r="A1359" s="49">
        <v>1367</v>
      </c>
      <c r="B1359" s="51" t="s">
        <v>2461</v>
      </c>
      <c r="C1359" s="52" t="s">
        <v>45</v>
      </c>
      <c r="D1359" s="74" t="s">
        <v>2462</v>
      </c>
      <c r="E1359" s="74" t="s">
        <v>2463</v>
      </c>
      <c r="F1359" s="49">
        <v>39.31</v>
      </c>
      <c r="G1359" s="49" t="s">
        <v>43</v>
      </c>
      <c r="H1359" s="50"/>
      <c r="I1359" s="50"/>
      <c r="J1359" s="50"/>
      <c r="K1359" s="50"/>
      <c r="L1359" s="50"/>
      <c r="M1359" s="50"/>
      <c r="N1359" s="50"/>
      <c r="O1359" s="50"/>
      <c r="P1359" s="50"/>
      <c r="Q1359" s="50"/>
      <c r="R1359" s="50"/>
      <c r="S1359" s="50"/>
      <c r="T1359" s="50"/>
      <c r="U1359" s="50"/>
      <c r="V1359" s="50"/>
      <c r="W1359" s="50"/>
      <c r="X1359" s="50"/>
      <c r="Y1359" s="50"/>
      <c r="Z1359" s="50"/>
    </row>
    <row r="1360" spans="1:26">
      <c r="A1360" s="49">
        <v>1368</v>
      </c>
      <c r="B1360" s="51" t="s">
        <v>2464</v>
      </c>
      <c r="C1360" s="52" t="s">
        <v>52</v>
      </c>
      <c r="D1360" s="74" t="s">
        <v>342</v>
      </c>
      <c r="E1360" s="74" t="s">
        <v>20</v>
      </c>
      <c r="F1360" s="49">
        <v>53.18</v>
      </c>
      <c r="G1360" s="49" t="s">
        <v>43</v>
      </c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  <c r="S1360" s="50"/>
      <c r="T1360" s="50"/>
      <c r="U1360" s="50"/>
      <c r="V1360" s="50"/>
      <c r="W1360" s="50"/>
      <c r="X1360" s="50"/>
      <c r="Y1360" s="50"/>
      <c r="Z1360" s="50"/>
    </row>
    <row r="1361" spans="1:26">
      <c r="A1361" s="49">
        <v>1369</v>
      </c>
      <c r="B1361" s="51" t="s">
        <v>2465</v>
      </c>
      <c r="C1361" s="52" t="s">
        <v>52</v>
      </c>
      <c r="D1361" s="74"/>
      <c r="E1361" s="74" t="s">
        <v>989</v>
      </c>
      <c r="F1361" s="49">
        <v>63.46</v>
      </c>
      <c r="G1361" s="49" t="s">
        <v>459</v>
      </c>
      <c r="H1361" s="50"/>
      <c r="I1361" s="50"/>
      <c r="J1361" s="50"/>
      <c r="K1361" s="50"/>
      <c r="L1361" s="50"/>
      <c r="M1361" s="50"/>
      <c r="N1361" s="50"/>
      <c r="O1361" s="50"/>
      <c r="P1361" s="50"/>
      <c r="Q1361" s="50"/>
      <c r="R1361" s="50"/>
      <c r="S1361" s="50"/>
      <c r="T1361" s="50"/>
      <c r="U1361" s="50"/>
      <c r="V1361" s="50"/>
      <c r="W1361" s="50"/>
      <c r="X1361" s="50"/>
      <c r="Y1361" s="50"/>
      <c r="Z1361" s="50"/>
    </row>
    <row r="1362" spans="1:26">
      <c r="A1362" s="49">
        <v>1370</v>
      </c>
      <c r="B1362" s="51" t="s">
        <v>2466</v>
      </c>
      <c r="C1362" s="52" t="s">
        <v>40</v>
      </c>
      <c r="D1362" s="74" t="s">
        <v>1156</v>
      </c>
      <c r="E1362" s="74" t="s">
        <v>1401</v>
      </c>
      <c r="F1362" s="49">
        <v>75.44</v>
      </c>
      <c r="G1362" s="49" t="s">
        <v>43</v>
      </c>
      <c r="H1362" s="50"/>
      <c r="I1362" s="50"/>
      <c r="J1362" s="50"/>
      <c r="K1362" s="50"/>
      <c r="L1362" s="50"/>
      <c r="M1362" s="50"/>
      <c r="N1362" s="50"/>
      <c r="O1362" s="50"/>
      <c r="P1362" s="50"/>
      <c r="Q1362" s="50"/>
      <c r="R1362" s="50"/>
      <c r="S1362" s="50"/>
      <c r="T1362" s="50"/>
      <c r="U1362" s="50"/>
      <c r="V1362" s="50"/>
      <c r="W1362" s="50"/>
      <c r="X1362" s="50"/>
      <c r="Y1362" s="50"/>
      <c r="Z1362" s="50"/>
    </row>
    <row r="1363" spans="1:26">
      <c r="A1363" s="49">
        <v>1371</v>
      </c>
      <c r="B1363" s="51" t="s">
        <v>2467</v>
      </c>
      <c r="C1363" s="52" t="s">
        <v>45</v>
      </c>
      <c r="D1363" s="74" t="s">
        <v>59</v>
      </c>
      <c r="E1363" s="74" t="s">
        <v>989</v>
      </c>
      <c r="F1363" s="49">
        <v>57.25</v>
      </c>
      <c r="G1363" s="49" t="s">
        <v>43</v>
      </c>
      <c r="H1363" s="50"/>
      <c r="I1363" s="50"/>
      <c r="J1363" s="50"/>
      <c r="K1363" s="50"/>
      <c r="L1363" s="50"/>
      <c r="M1363" s="50"/>
      <c r="N1363" s="50"/>
      <c r="O1363" s="50"/>
      <c r="P1363" s="50"/>
      <c r="Q1363" s="50"/>
      <c r="R1363" s="50"/>
      <c r="S1363" s="50"/>
      <c r="T1363" s="50"/>
      <c r="U1363" s="50"/>
      <c r="V1363" s="50"/>
      <c r="W1363" s="50"/>
      <c r="X1363" s="50"/>
      <c r="Y1363" s="50"/>
      <c r="Z1363" s="50"/>
    </row>
    <row r="1364" spans="1:26">
      <c r="A1364" s="49">
        <v>1372</v>
      </c>
      <c r="B1364" s="51" t="s">
        <v>2468</v>
      </c>
      <c r="C1364" s="52" t="s">
        <v>45</v>
      </c>
      <c r="D1364" s="74" t="s">
        <v>270</v>
      </c>
      <c r="E1364" s="74" t="s">
        <v>2469</v>
      </c>
      <c r="F1364" s="49">
        <v>53.16</v>
      </c>
      <c r="G1364" s="49" t="s">
        <v>43</v>
      </c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  <c r="S1364" s="50"/>
      <c r="T1364" s="50"/>
      <c r="U1364" s="50"/>
      <c r="V1364" s="50"/>
      <c r="W1364" s="50"/>
      <c r="X1364" s="50"/>
      <c r="Y1364" s="50"/>
      <c r="Z1364" s="50"/>
    </row>
    <row r="1365" spans="1:26">
      <c r="A1365" s="49">
        <v>1373</v>
      </c>
      <c r="B1365" s="51" t="s">
        <v>2470</v>
      </c>
      <c r="C1365" s="52" t="s">
        <v>52</v>
      </c>
      <c r="D1365" s="74" t="s">
        <v>2471</v>
      </c>
      <c r="E1365" s="74" t="s">
        <v>432</v>
      </c>
      <c r="F1365" s="49">
        <v>41.68</v>
      </c>
      <c r="G1365" s="49" t="s">
        <v>43</v>
      </c>
      <c r="H1365" s="50"/>
      <c r="I1365" s="50"/>
      <c r="J1365" s="50"/>
      <c r="K1365" s="50"/>
      <c r="L1365" s="50"/>
      <c r="M1365" s="50"/>
      <c r="N1365" s="50"/>
      <c r="O1365" s="50"/>
      <c r="P1365" s="50"/>
      <c r="Q1365" s="50"/>
      <c r="R1365" s="50"/>
      <c r="S1365" s="50"/>
      <c r="T1365" s="50"/>
      <c r="U1365" s="50"/>
      <c r="V1365" s="50"/>
      <c r="W1365" s="50"/>
      <c r="X1365" s="50"/>
      <c r="Y1365" s="50"/>
      <c r="Z1365" s="50"/>
    </row>
    <row r="1366" spans="1:26">
      <c r="A1366" s="49">
        <v>1374</v>
      </c>
      <c r="B1366" s="51" t="s">
        <v>2472</v>
      </c>
      <c r="C1366" s="52" t="s">
        <v>40</v>
      </c>
      <c r="D1366" s="74" t="s">
        <v>59</v>
      </c>
      <c r="E1366" s="74" t="s">
        <v>2473</v>
      </c>
      <c r="F1366" s="49">
        <v>75.400000000000006</v>
      </c>
      <c r="G1366" s="49" t="s">
        <v>43</v>
      </c>
      <c r="H1366" s="50"/>
      <c r="I1366" s="50"/>
      <c r="J1366" s="50"/>
      <c r="K1366" s="50"/>
      <c r="L1366" s="50"/>
      <c r="M1366" s="50"/>
      <c r="N1366" s="50"/>
      <c r="O1366" s="50"/>
      <c r="P1366" s="50"/>
      <c r="Q1366" s="50"/>
      <c r="R1366" s="50"/>
      <c r="S1366" s="50"/>
      <c r="T1366" s="50"/>
      <c r="U1366" s="50"/>
      <c r="V1366" s="50"/>
      <c r="W1366" s="50"/>
      <c r="X1366" s="50"/>
      <c r="Y1366" s="50"/>
      <c r="Z1366" s="50"/>
    </row>
    <row r="1367" spans="1:26">
      <c r="A1367" s="49">
        <v>1375</v>
      </c>
      <c r="B1367" s="51" t="s">
        <v>2474</v>
      </c>
      <c r="C1367" s="52" t="s">
        <v>45</v>
      </c>
      <c r="D1367" s="74" t="s">
        <v>123</v>
      </c>
      <c r="E1367" s="74" t="s">
        <v>257</v>
      </c>
      <c r="F1367" s="49">
        <v>61.51</v>
      </c>
      <c r="G1367" s="49" t="s">
        <v>43</v>
      </c>
      <c r="H1367" s="50"/>
      <c r="I1367" s="50"/>
      <c r="J1367" s="50"/>
      <c r="K1367" s="50"/>
      <c r="L1367" s="50"/>
      <c r="M1367" s="50"/>
      <c r="N1367" s="50"/>
      <c r="O1367" s="50"/>
      <c r="P1367" s="50"/>
      <c r="Q1367" s="50"/>
      <c r="R1367" s="50"/>
      <c r="S1367" s="50"/>
      <c r="T1367" s="50"/>
      <c r="U1367" s="50"/>
      <c r="V1367" s="50"/>
      <c r="W1367" s="50"/>
      <c r="X1367" s="50"/>
      <c r="Y1367" s="50"/>
      <c r="Z1367" s="50"/>
    </row>
    <row r="1368" spans="1:26">
      <c r="A1368" s="49">
        <v>1376</v>
      </c>
      <c r="B1368" s="51" t="s">
        <v>2475</v>
      </c>
      <c r="C1368" s="52" t="s">
        <v>45</v>
      </c>
      <c r="D1368" s="74" t="s">
        <v>805</v>
      </c>
      <c r="E1368" s="74" t="s">
        <v>20</v>
      </c>
      <c r="F1368" s="49">
        <v>54.52</v>
      </c>
      <c r="G1368" s="49" t="s">
        <v>43</v>
      </c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  <c r="S1368" s="50"/>
      <c r="T1368" s="50"/>
      <c r="U1368" s="50"/>
      <c r="V1368" s="50"/>
      <c r="W1368" s="50"/>
      <c r="X1368" s="50"/>
      <c r="Y1368" s="50"/>
      <c r="Z1368" s="50"/>
    </row>
    <row r="1369" spans="1:26">
      <c r="A1369" s="49">
        <v>1377</v>
      </c>
      <c r="B1369" s="51" t="s">
        <v>2476</v>
      </c>
      <c r="C1369" s="52" t="s">
        <v>52</v>
      </c>
      <c r="D1369" s="74" t="s">
        <v>805</v>
      </c>
      <c r="E1369" s="74" t="s">
        <v>20</v>
      </c>
      <c r="F1369" s="49">
        <v>33.25</v>
      </c>
      <c r="G1369" s="49" t="s">
        <v>43</v>
      </c>
      <c r="H1369" s="50"/>
      <c r="I1369" s="50"/>
      <c r="J1369" s="50"/>
      <c r="K1369" s="50"/>
      <c r="L1369" s="50"/>
      <c r="M1369" s="50"/>
      <c r="N1369" s="50"/>
      <c r="O1369" s="50"/>
      <c r="P1369" s="50"/>
      <c r="Q1369" s="50"/>
      <c r="R1369" s="50"/>
      <c r="S1369" s="50"/>
      <c r="T1369" s="50"/>
      <c r="U1369" s="50"/>
      <c r="V1369" s="50"/>
      <c r="W1369" s="50"/>
      <c r="X1369" s="50"/>
      <c r="Y1369" s="50"/>
      <c r="Z1369" s="50"/>
    </row>
    <row r="1370" spans="1:26">
      <c r="A1370" s="49">
        <v>1378</v>
      </c>
      <c r="B1370" s="51" t="s">
        <v>2477</v>
      </c>
      <c r="C1370" s="52" t="s">
        <v>40</v>
      </c>
      <c r="D1370" s="74"/>
      <c r="E1370" s="74" t="s">
        <v>2360</v>
      </c>
      <c r="F1370" s="49">
        <v>88.65</v>
      </c>
      <c r="G1370" s="49" t="s">
        <v>459</v>
      </c>
      <c r="H1370" s="50"/>
      <c r="I1370" s="50"/>
      <c r="J1370" s="50"/>
      <c r="K1370" s="50"/>
      <c r="L1370" s="50"/>
      <c r="M1370" s="50"/>
      <c r="N1370" s="50"/>
      <c r="O1370" s="50"/>
      <c r="P1370" s="50"/>
      <c r="Q1370" s="50"/>
      <c r="R1370" s="50"/>
      <c r="S1370" s="50"/>
      <c r="T1370" s="50"/>
      <c r="U1370" s="50"/>
      <c r="V1370" s="50"/>
      <c r="W1370" s="50"/>
      <c r="X1370" s="50"/>
      <c r="Y1370" s="50"/>
      <c r="Z1370" s="50"/>
    </row>
    <row r="1371" spans="1:26">
      <c r="A1371" s="49">
        <v>1379</v>
      </c>
      <c r="B1371" s="51" t="s">
        <v>2478</v>
      </c>
      <c r="C1371" s="52" t="s">
        <v>45</v>
      </c>
      <c r="D1371" s="74" t="s">
        <v>414</v>
      </c>
      <c r="E1371" s="74" t="s">
        <v>671</v>
      </c>
      <c r="F1371" s="49">
        <v>83.4</v>
      </c>
      <c r="G1371" s="49" t="s">
        <v>43</v>
      </c>
      <c r="H1371" s="50"/>
      <c r="I1371" s="50"/>
      <c r="J1371" s="50"/>
      <c r="K1371" s="50"/>
      <c r="L1371" s="50"/>
      <c r="M1371" s="50"/>
      <c r="N1371" s="50"/>
      <c r="O1371" s="50"/>
      <c r="P1371" s="50"/>
      <c r="Q1371" s="50"/>
      <c r="R1371" s="50"/>
      <c r="S1371" s="50"/>
      <c r="T1371" s="50"/>
      <c r="U1371" s="50"/>
      <c r="V1371" s="50"/>
      <c r="W1371" s="50"/>
      <c r="X1371" s="50"/>
      <c r="Y1371" s="50"/>
      <c r="Z1371" s="50"/>
    </row>
    <row r="1372" spans="1:26">
      <c r="A1372" s="49">
        <v>1380</v>
      </c>
      <c r="B1372" s="51" t="s">
        <v>2479</v>
      </c>
      <c r="C1372" s="52" t="s">
        <v>40</v>
      </c>
      <c r="D1372" s="74" t="s">
        <v>123</v>
      </c>
      <c r="E1372" s="74" t="s">
        <v>2480</v>
      </c>
      <c r="F1372" s="49">
        <v>71.680000000000007</v>
      </c>
      <c r="G1372" s="49" t="s">
        <v>43</v>
      </c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  <c r="S1372" s="50"/>
      <c r="T1372" s="50"/>
      <c r="U1372" s="50"/>
      <c r="V1372" s="50"/>
      <c r="W1372" s="50"/>
      <c r="X1372" s="50"/>
      <c r="Y1372" s="50"/>
      <c r="Z1372" s="50"/>
    </row>
    <row r="1373" spans="1:26">
      <c r="A1373" s="49">
        <v>1381</v>
      </c>
      <c r="B1373" s="51" t="s">
        <v>2481</v>
      </c>
      <c r="C1373" s="52" t="s">
        <v>45</v>
      </c>
      <c r="D1373" s="74" t="s">
        <v>411</v>
      </c>
      <c r="E1373" s="74" t="s">
        <v>2482</v>
      </c>
      <c r="F1373" s="49">
        <v>73.73</v>
      </c>
      <c r="G1373" s="49" t="s">
        <v>43</v>
      </c>
      <c r="H1373" s="50"/>
      <c r="I1373" s="50"/>
      <c r="J1373" s="50"/>
      <c r="K1373" s="50"/>
      <c r="L1373" s="50"/>
      <c r="M1373" s="50"/>
      <c r="N1373" s="50"/>
      <c r="O1373" s="50"/>
      <c r="P1373" s="50"/>
      <c r="Q1373" s="50"/>
      <c r="R1373" s="50"/>
      <c r="S1373" s="50"/>
      <c r="T1373" s="50"/>
      <c r="U1373" s="50"/>
      <c r="V1373" s="50"/>
      <c r="W1373" s="50"/>
      <c r="X1373" s="50"/>
      <c r="Y1373" s="50"/>
      <c r="Z1373" s="50"/>
    </row>
    <row r="1374" spans="1:26">
      <c r="A1374" s="49">
        <v>1382</v>
      </c>
      <c r="B1374" s="51" t="s">
        <v>2483</v>
      </c>
      <c r="C1374" s="52" t="s">
        <v>45</v>
      </c>
      <c r="D1374" s="74" t="s">
        <v>1999</v>
      </c>
      <c r="E1374" s="74" t="s">
        <v>432</v>
      </c>
      <c r="F1374" s="49">
        <v>74.03</v>
      </c>
      <c r="G1374" s="49" t="s">
        <v>43</v>
      </c>
      <c r="H1374" s="50"/>
      <c r="I1374" s="50"/>
      <c r="J1374" s="50"/>
      <c r="K1374" s="50"/>
      <c r="L1374" s="50"/>
      <c r="M1374" s="50"/>
      <c r="N1374" s="50"/>
      <c r="O1374" s="50"/>
      <c r="P1374" s="50"/>
      <c r="Q1374" s="50"/>
      <c r="R1374" s="50"/>
      <c r="S1374" s="50"/>
      <c r="T1374" s="50"/>
      <c r="U1374" s="50"/>
      <c r="V1374" s="50"/>
      <c r="W1374" s="50"/>
      <c r="X1374" s="50"/>
      <c r="Y1374" s="50"/>
      <c r="Z1374" s="50"/>
    </row>
    <row r="1375" spans="1:26">
      <c r="A1375" s="49">
        <v>1383</v>
      </c>
      <c r="B1375" s="51" t="s">
        <v>2484</v>
      </c>
      <c r="C1375" s="52" t="s">
        <v>52</v>
      </c>
      <c r="D1375" s="74" t="s">
        <v>2029</v>
      </c>
      <c r="E1375" s="74" t="s">
        <v>2485</v>
      </c>
      <c r="F1375" s="49">
        <v>31.39</v>
      </c>
      <c r="G1375" s="49" t="s">
        <v>43</v>
      </c>
      <c r="H1375" s="50"/>
      <c r="I1375" s="50"/>
      <c r="J1375" s="50"/>
      <c r="K1375" s="50"/>
      <c r="L1375" s="50"/>
      <c r="M1375" s="50"/>
      <c r="N1375" s="50"/>
      <c r="O1375" s="50"/>
      <c r="P1375" s="50"/>
      <c r="Q1375" s="50"/>
      <c r="R1375" s="50"/>
      <c r="S1375" s="50"/>
      <c r="T1375" s="50"/>
      <c r="U1375" s="50"/>
      <c r="V1375" s="50"/>
      <c r="W1375" s="50"/>
      <c r="X1375" s="50"/>
      <c r="Y1375" s="50"/>
      <c r="Z1375" s="50"/>
    </row>
    <row r="1376" spans="1:26">
      <c r="A1376" s="49">
        <v>1384</v>
      </c>
      <c r="B1376" s="51" t="s">
        <v>2486</v>
      </c>
      <c r="C1376" s="52" t="s">
        <v>52</v>
      </c>
      <c r="D1376" s="74"/>
      <c r="E1376" s="74"/>
      <c r="F1376" s="49">
        <v>62.5</v>
      </c>
      <c r="G1376" s="49" t="s">
        <v>459</v>
      </c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  <c r="S1376" s="50"/>
      <c r="T1376" s="50"/>
      <c r="U1376" s="50"/>
      <c r="V1376" s="50"/>
      <c r="W1376" s="50"/>
      <c r="X1376" s="50"/>
      <c r="Y1376" s="50"/>
      <c r="Z1376" s="50"/>
    </row>
    <row r="1377" spans="1:26">
      <c r="A1377" s="49">
        <v>1385</v>
      </c>
      <c r="B1377" s="51" t="s">
        <v>2487</v>
      </c>
      <c r="C1377" s="52" t="s">
        <v>40</v>
      </c>
      <c r="D1377" s="74" t="s">
        <v>123</v>
      </c>
      <c r="E1377" s="74" t="s">
        <v>1356</v>
      </c>
      <c r="F1377" s="49">
        <v>67.75</v>
      </c>
      <c r="G1377" s="49" t="s">
        <v>43</v>
      </c>
      <c r="H1377" s="50"/>
      <c r="I1377" s="50"/>
      <c r="J1377" s="50"/>
      <c r="K1377" s="50"/>
      <c r="L1377" s="50"/>
      <c r="M1377" s="50"/>
      <c r="N1377" s="50"/>
      <c r="O1377" s="50"/>
      <c r="P1377" s="50"/>
      <c r="Q1377" s="50"/>
      <c r="R1377" s="50"/>
      <c r="S1377" s="50"/>
      <c r="T1377" s="50"/>
      <c r="U1377" s="50"/>
      <c r="V1377" s="50"/>
      <c r="W1377" s="50"/>
      <c r="X1377" s="50"/>
      <c r="Y1377" s="50"/>
      <c r="Z1377" s="50"/>
    </row>
    <row r="1378" spans="1:26">
      <c r="A1378" s="49">
        <v>1386</v>
      </c>
      <c r="B1378" s="51" t="s">
        <v>2488</v>
      </c>
      <c r="C1378" s="52" t="s">
        <v>45</v>
      </c>
      <c r="D1378" s="74" t="s">
        <v>158</v>
      </c>
      <c r="E1378" s="74" t="s">
        <v>989</v>
      </c>
      <c r="F1378" s="49">
        <v>34.4</v>
      </c>
      <c r="G1378" s="49" t="s">
        <v>43</v>
      </c>
      <c r="H1378" s="50"/>
      <c r="I1378" s="50"/>
      <c r="J1378" s="50"/>
      <c r="K1378" s="50"/>
      <c r="L1378" s="50"/>
      <c r="M1378" s="50"/>
      <c r="N1378" s="50"/>
      <c r="O1378" s="50"/>
      <c r="P1378" s="50"/>
      <c r="Q1378" s="50"/>
      <c r="R1378" s="50"/>
      <c r="S1378" s="50"/>
      <c r="T1378" s="50"/>
      <c r="U1378" s="50"/>
      <c r="V1378" s="50"/>
      <c r="W1378" s="50"/>
      <c r="X1378" s="50"/>
      <c r="Y1378" s="50"/>
      <c r="Z1378" s="50"/>
    </row>
    <row r="1379" spans="1:26">
      <c r="A1379" s="49">
        <v>1387</v>
      </c>
      <c r="B1379" s="51" t="s">
        <v>2489</v>
      </c>
      <c r="C1379" s="52" t="s">
        <v>45</v>
      </c>
      <c r="D1379" s="74" t="s">
        <v>2490</v>
      </c>
      <c r="E1379" s="74" t="s">
        <v>20</v>
      </c>
      <c r="F1379" s="49">
        <v>70.150000000000006</v>
      </c>
      <c r="G1379" s="49" t="s">
        <v>43</v>
      </c>
      <c r="H1379" s="50"/>
      <c r="I1379" s="50"/>
      <c r="J1379" s="50"/>
      <c r="K1379" s="50"/>
      <c r="L1379" s="50"/>
      <c r="M1379" s="50"/>
      <c r="N1379" s="50"/>
      <c r="O1379" s="50"/>
      <c r="P1379" s="50"/>
      <c r="Q1379" s="50"/>
      <c r="R1379" s="50"/>
      <c r="S1379" s="50"/>
      <c r="T1379" s="50"/>
      <c r="U1379" s="50"/>
      <c r="V1379" s="50"/>
      <c r="W1379" s="50"/>
      <c r="X1379" s="50"/>
      <c r="Y1379" s="50"/>
      <c r="Z1379" s="50"/>
    </row>
    <row r="1380" spans="1:26">
      <c r="A1380" s="49">
        <v>1388</v>
      </c>
      <c r="B1380" s="51" t="s">
        <v>2491</v>
      </c>
      <c r="C1380" s="52" t="s">
        <v>52</v>
      </c>
      <c r="D1380" s="74" t="s">
        <v>214</v>
      </c>
      <c r="E1380" s="74" t="s">
        <v>20</v>
      </c>
      <c r="F1380" s="49">
        <v>44.24</v>
      </c>
      <c r="G1380" s="49" t="s">
        <v>43</v>
      </c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  <c r="S1380" s="50"/>
      <c r="T1380" s="50"/>
      <c r="U1380" s="50"/>
      <c r="V1380" s="50"/>
      <c r="W1380" s="50"/>
      <c r="X1380" s="50"/>
      <c r="Y1380" s="50"/>
      <c r="Z1380" s="50"/>
    </row>
    <row r="1381" spans="1:26">
      <c r="A1381" s="49">
        <v>1389</v>
      </c>
      <c r="B1381" s="51" t="s">
        <v>2492</v>
      </c>
      <c r="C1381" s="52" t="s">
        <v>40</v>
      </c>
      <c r="D1381" s="74" t="s">
        <v>123</v>
      </c>
      <c r="E1381" s="74" t="s">
        <v>2443</v>
      </c>
      <c r="F1381" s="49">
        <v>83.18</v>
      </c>
      <c r="G1381" s="49" t="s">
        <v>43</v>
      </c>
      <c r="H1381" s="50"/>
      <c r="I1381" s="50"/>
      <c r="J1381" s="50"/>
      <c r="K1381" s="50"/>
      <c r="L1381" s="50"/>
      <c r="M1381" s="50"/>
      <c r="N1381" s="50"/>
      <c r="O1381" s="50"/>
      <c r="P1381" s="50"/>
      <c r="Q1381" s="50"/>
      <c r="R1381" s="50"/>
      <c r="S1381" s="50"/>
      <c r="T1381" s="50"/>
      <c r="U1381" s="50"/>
      <c r="V1381" s="50"/>
      <c r="W1381" s="50"/>
      <c r="X1381" s="50"/>
      <c r="Y1381" s="50"/>
      <c r="Z1381" s="50"/>
    </row>
    <row r="1382" spans="1:26">
      <c r="A1382" s="49">
        <v>1390</v>
      </c>
      <c r="B1382" s="51" t="s">
        <v>2493</v>
      </c>
      <c r="C1382" s="52" t="s">
        <v>45</v>
      </c>
      <c r="D1382" s="74" t="s">
        <v>62</v>
      </c>
      <c r="E1382" s="74" t="s">
        <v>2494</v>
      </c>
      <c r="F1382" s="49">
        <v>37.880000000000003</v>
      </c>
      <c r="G1382" s="49" t="s">
        <v>43</v>
      </c>
      <c r="H1382" s="50"/>
      <c r="I1382" s="50"/>
      <c r="J1382" s="50"/>
      <c r="K1382" s="50"/>
      <c r="L1382" s="50"/>
      <c r="M1382" s="50"/>
      <c r="N1382" s="50"/>
      <c r="O1382" s="50"/>
      <c r="P1382" s="50"/>
      <c r="Q1382" s="50"/>
      <c r="R1382" s="50"/>
      <c r="S1382" s="50"/>
      <c r="T1382" s="50"/>
      <c r="U1382" s="50"/>
      <c r="V1382" s="50"/>
      <c r="W1382" s="50"/>
      <c r="X1382" s="50"/>
      <c r="Y1382" s="50"/>
      <c r="Z1382" s="50"/>
    </row>
    <row r="1383" spans="1:26">
      <c r="A1383" s="49">
        <v>1391</v>
      </c>
      <c r="B1383" s="51" t="s">
        <v>2495</v>
      </c>
      <c r="C1383" s="52" t="s">
        <v>45</v>
      </c>
      <c r="D1383" s="74" t="s">
        <v>724</v>
      </c>
      <c r="E1383" s="74" t="s">
        <v>2496</v>
      </c>
      <c r="F1383" s="49">
        <v>44.8</v>
      </c>
      <c r="G1383" s="49" t="s">
        <v>43</v>
      </c>
      <c r="H1383" s="50"/>
      <c r="I1383" s="50"/>
      <c r="J1383" s="50"/>
      <c r="K1383" s="50"/>
      <c r="L1383" s="50"/>
      <c r="M1383" s="50"/>
      <c r="N1383" s="50"/>
      <c r="O1383" s="50"/>
      <c r="P1383" s="50"/>
      <c r="Q1383" s="50"/>
      <c r="R1383" s="50"/>
      <c r="S1383" s="50"/>
      <c r="T1383" s="50"/>
      <c r="U1383" s="50"/>
      <c r="V1383" s="50"/>
      <c r="W1383" s="50"/>
      <c r="X1383" s="50"/>
      <c r="Y1383" s="50"/>
      <c r="Z1383" s="50"/>
    </row>
    <row r="1384" spans="1:26">
      <c r="A1384" s="49">
        <v>1392</v>
      </c>
      <c r="B1384" s="51" t="s">
        <v>2497</v>
      </c>
      <c r="C1384" s="52" t="s">
        <v>52</v>
      </c>
      <c r="D1384" s="74" t="s">
        <v>59</v>
      </c>
      <c r="E1384" s="74" t="s">
        <v>20</v>
      </c>
      <c r="F1384" s="49">
        <v>39.71</v>
      </c>
      <c r="G1384" s="49" t="s">
        <v>43</v>
      </c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  <c r="S1384" s="50"/>
      <c r="T1384" s="50"/>
      <c r="U1384" s="50"/>
      <c r="V1384" s="50"/>
      <c r="W1384" s="50"/>
      <c r="X1384" s="50"/>
      <c r="Y1384" s="50"/>
      <c r="Z1384" s="50"/>
    </row>
    <row r="1385" spans="1:26">
      <c r="A1385" s="49">
        <v>1393</v>
      </c>
      <c r="B1385" s="51" t="s">
        <v>2498</v>
      </c>
      <c r="C1385" s="52" t="s">
        <v>45</v>
      </c>
      <c r="D1385" s="74"/>
      <c r="E1385" s="74" t="s">
        <v>2496</v>
      </c>
      <c r="F1385" s="49">
        <v>87.5</v>
      </c>
      <c r="G1385" s="49" t="s">
        <v>459</v>
      </c>
      <c r="H1385" s="50"/>
      <c r="I1385" s="50"/>
      <c r="J1385" s="50"/>
      <c r="K1385" s="50"/>
      <c r="L1385" s="50"/>
      <c r="M1385" s="50"/>
      <c r="N1385" s="50"/>
      <c r="O1385" s="50"/>
      <c r="P1385" s="50"/>
      <c r="Q1385" s="50"/>
      <c r="R1385" s="50"/>
      <c r="S1385" s="50"/>
      <c r="T1385" s="50"/>
      <c r="U1385" s="50"/>
      <c r="V1385" s="50"/>
      <c r="W1385" s="50"/>
      <c r="X1385" s="50"/>
      <c r="Y1385" s="50"/>
      <c r="Z1385" s="50"/>
    </row>
    <row r="1386" spans="1:26">
      <c r="A1386" s="49">
        <v>1394</v>
      </c>
      <c r="B1386" s="51" t="s">
        <v>2499</v>
      </c>
      <c r="C1386" s="52" t="s">
        <v>40</v>
      </c>
      <c r="D1386" s="74" t="s">
        <v>123</v>
      </c>
      <c r="E1386" s="74" t="s">
        <v>989</v>
      </c>
      <c r="F1386" s="49">
        <v>65.12</v>
      </c>
      <c r="G1386" s="49" t="s">
        <v>43</v>
      </c>
      <c r="H1386" s="50"/>
      <c r="I1386" s="50"/>
      <c r="J1386" s="50"/>
      <c r="K1386" s="50"/>
      <c r="L1386" s="50"/>
      <c r="M1386" s="50"/>
      <c r="N1386" s="50"/>
      <c r="O1386" s="50"/>
      <c r="P1386" s="50"/>
      <c r="Q1386" s="50"/>
      <c r="R1386" s="50"/>
      <c r="S1386" s="50"/>
      <c r="T1386" s="50"/>
      <c r="U1386" s="50"/>
      <c r="V1386" s="50"/>
      <c r="W1386" s="50"/>
      <c r="X1386" s="50"/>
      <c r="Y1386" s="50"/>
      <c r="Z1386" s="50"/>
    </row>
    <row r="1387" spans="1:26">
      <c r="A1387" s="49">
        <v>1395</v>
      </c>
      <c r="B1387" s="51" t="s">
        <v>2500</v>
      </c>
      <c r="C1387" s="52" t="s">
        <v>45</v>
      </c>
      <c r="D1387" s="74" t="s">
        <v>123</v>
      </c>
      <c r="E1387" s="74" t="s">
        <v>2066</v>
      </c>
      <c r="F1387" s="49">
        <v>81.099999999999994</v>
      </c>
      <c r="G1387" s="49" t="s">
        <v>43</v>
      </c>
      <c r="H1387" s="50"/>
      <c r="I1387" s="50"/>
      <c r="J1387" s="50"/>
      <c r="K1387" s="50"/>
      <c r="L1387" s="50"/>
      <c r="M1387" s="50"/>
      <c r="N1387" s="50"/>
      <c r="O1387" s="50"/>
      <c r="P1387" s="50"/>
      <c r="Q1387" s="50"/>
      <c r="R1387" s="50"/>
      <c r="S1387" s="50"/>
      <c r="T1387" s="50"/>
      <c r="U1387" s="50"/>
      <c r="V1387" s="50"/>
      <c r="W1387" s="50"/>
      <c r="X1387" s="50"/>
      <c r="Y1387" s="50"/>
      <c r="Z1387" s="50"/>
    </row>
    <row r="1388" spans="1:26">
      <c r="A1388" s="49">
        <v>1396</v>
      </c>
      <c r="B1388" s="51" t="s">
        <v>2501</v>
      </c>
      <c r="C1388" s="52" t="s">
        <v>45</v>
      </c>
      <c r="D1388" s="74" t="s">
        <v>390</v>
      </c>
      <c r="E1388" s="74" t="s">
        <v>1540</v>
      </c>
      <c r="F1388" s="49">
        <v>62.5</v>
      </c>
      <c r="G1388" s="49" t="s">
        <v>43</v>
      </c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  <c r="S1388" s="50"/>
      <c r="T1388" s="50"/>
      <c r="U1388" s="50"/>
      <c r="V1388" s="50"/>
      <c r="W1388" s="50"/>
      <c r="X1388" s="50"/>
      <c r="Y1388" s="50"/>
      <c r="Z1388" s="50"/>
    </row>
    <row r="1389" spans="1:26">
      <c r="A1389" s="49">
        <v>1397</v>
      </c>
      <c r="B1389" s="51" t="s">
        <v>2502</v>
      </c>
      <c r="C1389" s="52" t="s">
        <v>52</v>
      </c>
      <c r="D1389" s="74" t="s">
        <v>214</v>
      </c>
      <c r="E1389" s="74" t="s">
        <v>2503</v>
      </c>
      <c r="F1389" s="49">
        <v>36.74</v>
      </c>
      <c r="G1389" s="49" t="s">
        <v>43</v>
      </c>
      <c r="H1389" s="50"/>
      <c r="I1389" s="50"/>
      <c r="J1389" s="50"/>
      <c r="K1389" s="50"/>
      <c r="L1389" s="50"/>
      <c r="M1389" s="50"/>
      <c r="N1389" s="50"/>
      <c r="O1389" s="50"/>
      <c r="P1389" s="50"/>
      <c r="Q1389" s="50"/>
      <c r="R1389" s="50"/>
      <c r="S1389" s="50"/>
      <c r="T1389" s="50"/>
      <c r="U1389" s="50"/>
      <c r="V1389" s="50"/>
      <c r="W1389" s="50"/>
      <c r="X1389" s="50"/>
      <c r="Y1389" s="50"/>
      <c r="Z1389" s="50"/>
    </row>
    <row r="1390" spans="1:26">
      <c r="A1390" s="49">
        <v>1398</v>
      </c>
      <c r="B1390" s="51" t="s">
        <v>2504</v>
      </c>
      <c r="C1390" s="52" t="s">
        <v>45</v>
      </c>
      <c r="D1390" s="74"/>
      <c r="E1390" s="74" t="s">
        <v>671</v>
      </c>
      <c r="F1390" s="49">
        <v>79.41</v>
      </c>
      <c r="G1390" s="49" t="s">
        <v>459</v>
      </c>
      <c r="H1390" s="50"/>
      <c r="I1390" s="50"/>
      <c r="J1390" s="50"/>
      <c r="K1390" s="50"/>
      <c r="L1390" s="50"/>
      <c r="M1390" s="50"/>
      <c r="N1390" s="50"/>
      <c r="O1390" s="50"/>
      <c r="P1390" s="50"/>
      <c r="Q1390" s="50"/>
      <c r="R1390" s="50"/>
      <c r="S1390" s="50"/>
      <c r="T1390" s="50"/>
      <c r="U1390" s="50"/>
      <c r="V1390" s="50"/>
      <c r="W1390" s="50"/>
      <c r="X1390" s="50"/>
      <c r="Y1390" s="50"/>
      <c r="Z1390" s="50"/>
    </row>
    <row r="1391" spans="1:26">
      <c r="A1391" s="49">
        <v>1399</v>
      </c>
      <c r="B1391" s="51" t="s">
        <v>2505</v>
      </c>
      <c r="C1391" s="52" t="s">
        <v>40</v>
      </c>
      <c r="D1391" s="74" t="s">
        <v>123</v>
      </c>
      <c r="E1391" s="74" t="s">
        <v>2506</v>
      </c>
      <c r="F1391" s="49">
        <v>65.099999999999994</v>
      </c>
      <c r="G1391" s="49" t="s">
        <v>43</v>
      </c>
      <c r="H1391" s="50"/>
      <c r="I1391" s="50"/>
      <c r="J1391" s="50"/>
      <c r="K1391" s="50"/>
      <c r="L1391" s="50"/>
      <c r="M1391" s="50"/>
      <c r="N1391" s="50"/>
      <c r="O1391" s="50"/>
      <c r="P1391" s="50"/>
      <c r="Q1391" s="50"/>
      <c r="R1391" s="50"/>
      <c r="S1391" s="50"/>
      <c r="T1391" s="50"/>
      <c r="U1391" s="50"/>
      <c r="V1391" s="50"/>
      <c r="W1391" s="50"/>
      <c r="X1391" s="50"/>
      <c r="Y1391" s="50"/>
      <c r="Z1391" s="50"/>
    </row>
    <row r="1392" spans="1:26">
      <c r="A1392" s="49">
        <v>1400</v>
      </c>
      <c r="B1392" s="51" t="s">
        <v>2507</v>
      </c>
      <c r="C1392" s="52" t="s">
        <v>45</v>
      </c>
      <c r="D1392" s="74" t="s">
        <v>360</v>
      </c>
      <c r="E1392" s="74" t="s">
        <v>1356</v>
      </c>
      <c r="F1392" s="49">
        <v>59.54</v>
      </c>
      <c r="G1392" s="49" t="s">
        <v>43</v>
      </c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  <c r="S1392" s="50"/>
      <c r="T1392" s="50"/>
      <c r="U1392" s="50"/>
      <c r="V1392" s="50"/>
      <c r="W1392" s="50"/>
      <c r="X1392" s="50"/>
      <c r="Y1392" s="50"/>
      <c r="Z1392" s="50"/>
    </row>
    <row r="1393" spans="1:26">
      <c r="A1393" s="49">
        <v>1401</v>
      </c>
      <c r="B1393" s="51" t="s">
        <v>2508</v>
      </c>
      <c r="C1393" s="52" t="s">
        <v>45</v>
      </c>
      <c r="D1393" s="74" t="s">
        <v>1260</v>
      </c>
      <c r="E1393" s="74" t="s">
        <v>20</v>
      </c>
      <c r="F1393" s="49">
        <v>41.32</v>
      </c>
      <c r="G1393" s="49" t="s">
        <v>43</v>
      </c>
      <c r="H1393" s="50"/>
      <c r="I1393" s="50"/>
      <c r="J1393" s="50"/>
      <c r="K1393" s="50"/>
      <c r="L1393" s="50"/>
      <c r="M1393" s="50"/>
      <c r="N1393" s="50"/>
      <c r="O1393" s="50"/>
      <c r="P1393" s="50"/>
      <c r="Q1393" s="50"/>
      <c r="R1393" s="50"/>
      <c r="S1393" s="50"/>
      <c r="T1393" s="50"/>
      <c r="U1393" s="50"/>
      <c r="V1393" s="50"/>
      <c r="W1393" s="50"/>
      <c r="X1393" s="50"/>
      <c r="Y1393" s="50"/>
      <c r="Z1393" s="50"/>
    </row>
    <row r="1394" spans="1:26">
      <c r="A1394" s="49">
        <v>1402</v>
      </c>
      <c r="B1394" s="51" t="s">
        <v>2509</v>
      </c>
      <c r="C1394" s="52" t="s">
        <v>52</v>
      </c>
      <c r="D1394" s="74" t="s">
        <v>214</v>
      </c>
      <c r="E1394" s="74" t="s">
        <v>2510</v>
      </c>
      <c r="F1394" s="49">
        <v>73.08</v>
      </c>
      <c r="G1394" s="49" t="s">
        <v>43</v>
      </c>
      <c r="H1394" s="50"/>
      <c r="I1394" s="50"/>
      <c r="J1394" s="50"/>
      <c r="K1394" s="50"/>
      <c r="L1394" s="50"/>
      <c r="M1394" s="50"/>
      <c r="N1394" s="50"/>
      <c r="O1394" s="50"/>
      <c r="P1394" s="50"/>
      <c r="Q1394" s="50"/>
      <c r="R1394" s="50"/>
      <c r="S1394" s="50"/>
      <c r="T1394" s="50"/>
      <c r="U1394" s="50"/>
      <c r="V1394" s="50"/>
      <c r="W1394" s="50"/>
      <c r="X1394" s="50"/>
      <c r="Y1394" s="50"/>
      <c r="Z1394" s="50"/>
    </row>
    <row r="1395" spans="1:26">
      <c r="A1395" s="49">
        <v>1403</v>
      </c>
      <c r="B1395" s="51" t="s">
        <v>2511</v>
      </c>
      <c r="C1395" s="52" t="s">
        <v>40</v>
      </c>
      <c r="D1395" s="74" t="s">
        <v>2029</v>
      </c>
      <c r="E1395" s="74" t="s">
        <v>2506</v>
      </c>
      <c r="F1395" s="49">
        <v>71.209999999999994</v>
      </c>
      <c r="G1395" s="49" t="s">
        <v>43</v>
      </c>
      <c r="H1395" s="50"/>
      <c r="I1395" s="50"/>
      <c r="J1395" s="50"/>
      <c r="K1395" s="50"/>
      <c r="L1395" s="50"/>
      <c r="M1395" s="50"/>
      <c r="N1395" s="50"/>
      <c r="O1395" s="50"/>
      <c r="P1395" s="50"/>
      <c r="Q1395" s="50"/>
      <c r="R1395" s="50"/>
      <c r="S1395" s="50"/>
      <c r="T1395" s="50"/>
      <c r="U1395" s="50"/>
      <c r="V1395" s="50"/>
      <c r="W1395" s="50"/>
      <c r="X1395" s="50"/>
      <c r="Y1395" s="50"/>
      <c r="Z1395" s="50"/>
    </row>
    <row r="1396" spans="1:26">
      <c r="A1396" s="49">
        <v>1404</v>
      </c>
      <c r="B1396" s="51" t="s">
        <v>2512</v>
      </c>
      <c r="C1396" s="52" t="s">
        <v>45</v>
      </c>
      <c r="D1396" s="74" t="s">
        <v>2364</v>
      </c>
      <c r="E1396" s="74" t="s">
        <v>432</v>
      </c>
      <c r="F1396" s="49">
        <v>49.85</v>
      </c>
      <c r="G1396" s="49" t="s">
        <v>43</v>
      </c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  <c r="S1396" s="50"/>
      <c r="T1396" s="50"/>
      <c r="U1396" s="50"/>
      <c r="V1396" s="50"/>
      <c r="W1396" s="50"/>
      <c r="X1396" s="50"/>
      <c r="Y1396" s="50"/>
      <c r="Z1396" s="50"/>
    </row>
    <row r="1397" spans="1:26">
      <c r="A1397" s="49">
        <v>1405</v>
      </c>
      <c r="B1397" s="51" t="s">
        <v>2513</v>
      </c>
      <c r="C1397" s="52" t="s">
        <v>45</v>
      </c>
      <c r="D1397" s="74" t="s">
        <v>770</v>
      </c>
      <c r="E1397" s="74" t="s">
        <v>1965</v>
      </c>
      <c r="F1397" s="49">
        <v>47.02</v>
      </c>
      <c r="G1397" s="49" t="s">
        <v>43</v>
      </c>
      <c r="H1397" s="50"/>
      <c r="I1397" s="50"/>
      <c r="J1397" s="50"/>
      <c r="K1397" s="50"/>
      <c r="L1397" s="50"/>
      <c r="M1397" s="50"/>
      <c r="N1397" s="50"/>
      <c r="O1397" s="50"/>
      <c r="P1397" s="50"/>
      <c r="Q1397" s="50"/>
      <c r="R1397" s="50"/>
      <c r="S1397" s="50"/>
      <c r="T1397" s="50"/>
      <c r="U1397" s="50"/>
      <c r="V1397" s="50"/>
      <c r="W1397" s="50"/>
      <c r="X1397" s="50"/>
      <c r="Y1397" s="50"/>
      <c r="Z1397" s="50"/>
    </row>
    <row r="1398" spans="1:26">
      <c r="A1398" s="49">
        <v>1406</v>
      </c>
      <c r="B1398" s="51" t="s">
        <v>2514</v>
      </c>
      <c r="C1398" s="52" t="s">
        <v>52</v>
      </c>
      <c r="D1398" s="74" t="s">
        <v>214</v>
      </c>
      <c r="E1398" s="74" t="s">
        <v>20</v>
      </c>
      <c r="F1398" s="49">
        <v>55.59</v>
      </c>
      <c r="G1398" s="49" t="s">
        <v>43</v>
      </c>
      <c r="H1398" s="50"/>
      <c r="I1398" s="50"/>
      <c r="J1398" s="50"/>
      <c r="K1398" s="50"/>
      <c r="L1398" s="50"/>
      <c r="M1398" s="50"/>
      <c r="N1398" s="50"/>
      <c r="O1398" s="50"/>
      <c r="P1398" s="50"/>
      <c r="Q1398" s="50"/>
      <c r="R1398" s="50"/>
      <c r="S1398" s="50"/>
      <c r="T1398" s="50"/>
      <c r="U1398" s="50"/>
      <c r="V1398" s="50"/>
      <c r="W1398" s="50"/>
      <c r="X1398" s="50"/>
      <c r="Y1398" s="50"/>
      <c r="Z1398" s="50"/>
    </row>
    <row r="1399" spans="1:26">
      <c r="A1399" s="49">
        <v>1407</v>
      </c>
      <c r="B1399" s="51" t="s">
        <v>2515</v>
      </c>
      <c r="C1399" s="52" t="s">
        <v>40</v>
      </c>
      <c r="D1399" s="74"/>
      <c r="E1399" s="74" t="s">
        <v>2360</v>
      </c>
      <c r="F1399" s="49">
        <v>81.38</v>
      </c>
      <c r="G1399" s="49" t="s">
        <v>459</v>
      </c>
      <c r="H1399" s="50"/>
      <c r="I1399" s="50"/>
      <c r="J1399" s="50"/>
      <c r="K1399" s="50"/>
      <c r="L1399" s="50"/>
      <c r="M1399" s="50"/>
      <c r="N1399" s="50"/>
      <c r="O1399" s="50"/>
      <c r="P1399" s="50"/>
      <c r="Q1399" s="50"/>
      <c r="R1399" s="50"/>
      <c r="S1399" s="50"/>
      <c r="T1399" s="50"/>
      <c r="U1399" s="50"/>
      <c r="V1399" s="50"/>
      <c r="W1399" s="50"/>
      <c r="X1399" s="50"/>
      <c r="Y1399" s="50"/>
      <c r="Z1399" s="50"/>
    </row>
    <row r="1400" spans="1:26">
      <c r="A1400" s="49">
        <v>1408</v>
      </c>
      <c r="B1400" s="51" t="s">
        <v>2516</v>
      </c>
      <c r="C1400" s="52" t="s">
        <v>40</v>
      </c>
      <c r="D1400" s="74" t="s">
        <v>59</v>
      </c>
      <c r="E1400" s="74" t="s">
        <v>432</v>
      </c>
      <c r="F1400" s="49">
        <v>60.52</v>
      </c>
      <c r="G1400" s="49" t="s">
        <v>43</v>
      </c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  <c r="S1400" s="50"/>
      <c r="T1400" s="50"/>
      <c r="U1400" s="50"/>
      <c r="V1400" s="50"/>
      <c r="W1400" s="50"/>
      <c r="X1400" s="50"/>
      <c r="Y1400" s="50"/>
      <c r="Z1400" s="50"/>
    </row>
    <row r="1401" spans="1:26">
      <c r="A1401" s="49">
        <v>1409</v>
      </c>
      <c r="B1401" s="51" t="s">
        <v>2517</v>
      </c>
      <c r="C1401" s="52" t="s">
        <v>45</v>
      </c>
      <c r="D1401" s="74" t="s">
        <v>123</v>
      </c>
      <c r="E1401" s="74" t="s">
        <v>432</v>
      </c>
      <c r="F1401" s="49">
        <v>81.650000000000006</v>
      </c>
      <c r="G1401" s="49" t="s">
        <v>43</v>
      </c>
      <c r="H1401" s="50"/>
      <c r="I1401" s="50"/>
      <c r="J1401" s="50"/>
      <c r="K1401" s="50"/>
      <c r="L1401" s="50"/>
      <c r="M1401" s="50"/>
      <c r="N1401" s="50"/>
      <c r="O1401" s="50"/>
      <c r="P1401" s="50"/>
      <c r="Q1401" s="50"/>
      <c r="R1401" s="50"/>
      <c r="S1401" s="50"/>
      <c r="T1401" s="50"/>
      <c r="U1401" s="50"/>
      <c r="V1401" s="50"/>
      <c r="W1401" s="50"/>
      <c r="X1401" s="50"/>
      <c r="Y1401" s="50"/>
      <c r="Z1401" s="50"/>
    </row>
    <row r="1402" spans="1:26">
      <c r="A1402" s="49">
        <v>1410</v>
      </c>
      <c r="B1402" s="51" t="s">
        <v>2518</v>
      </c>
      <c r="C1402" s="52" t="s">
        <v>45</v>
      </c>
      <c r="D1402" s="74" t="s">
        <v>95</v>
      </c>
      <c r="E1402" s="74" t="s">
        <v>2480</v>
      </c>
      <c r="F1402" s="49">
        <v>53.93</v>
      </c>
      <c r="G1402" s="49" t="s">
        <v>43</v>
      </c>
      <c r="H1402" s="50"/>
      <c r="I1402" s="50"/>
      <c r="J1402" s="50"/>
      <c r="K1402" s="50"/>
      <c r="L1402" s="50"/>
      <c r="M1402" s="50"/>
      <c r="N1402" s="50"/>
      <c r="O1402" s="50"/>
      <c r="P1402" s="50"/>
      <c r="Q1402" s="50"/>
      <c r="R1402" s="50"/>
      <c r="S1402" s="50"/>
      <c r="T1402" s="50"/>
      <c r="U1402" s="50"/>
      <c r="V1402" s="50"/>
      <c r="W1402" s="50"/>
      <c r="X1402" s="50"/>
      <c r="Y1402" s="50"/>
      <c r="Z1402" s="50"/>
    </row>
    <row r="1403" spans="1:26">
      <c r="A1403" s="49">
        <v>1411</v>
      </c>
      <c r="B1403" s="51" t="s">
        <v>2519</v>
      </c>
      <c r="C1403" s="52" t="s">
        <v>52</v>
      </c>
      <c r="D1403" s="74" t="s">
        <v>214</v>
      </c>
      <c r="E1403" s="74" t="s">
        <v>2520</v>
      </c>
      <c r="F1403" s="49">
        <v>61.66</v>
      </c>
      <c r="G1403" s="49" t="s">
        <v>43</v>
      </c>
      <c r="H1403" s="50"/>
      <c r="I1403" s="50"/>
      <c r="J1403" s="50"/>
      <c r="K1403" s="50"/>
      <c r="L1403" s="50"/>
      <c r="M1403" s="50"/>
      <c r="N1403" s="50"/>
      <c r="O1403" s="50"/>
      <c r="P1403" s="50"/>
      <c r="Q1403" s="50"/>
      <c r="R1403" s="50"/>
      <c r="S1403" s="50"/>
      <c r="T1403" s="50"/>
      <c r="U1403" s="50"/>
      <c r="V1403" s="50"/>
      <c r="W1403" s="50"/>
      <c r="X1403" s="50"/>
      <c r="Y1403" s="50"/>
      <c r="Z1403" s="50"/>
    </row>
    <row r="1404" spans="1:26">
      <c r="A1404" s="49">
        <v>1412</v>
      </c>
      <c r="B1404" s="51" t="s">
        <v>2521</v>
      </c>
      <c r="C1404" s="52" t="s">
        <v>52</v>
      </c>
      <c r="D1404" s="74"/>
      <c r="E1404" s="74"/>
      <c r="F1404" s="49">
        <v>67.150000000000006</v>
      </c>
      <c r="G1404" s="49" t="s">
        <v>459</v>
      </c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  <c r="S1404" s="50"/>
      <c r="T1404" s="50"/>
      <c r="U1404" s="50"/>
      <c r="V1404" s="50"/>
      <c r="W1404" s="50"/>
      <c r="X1404" s="50"/>
      <c r="Y1404" s="50"/>
      <c r="Z1404" s="50"/>
    </row>
    <row r="1405" spans="1:26">
      <c r="A1405" s="49">
        <v>1413</v>
      </c>
      <c r="B1405" s="51" t="s">
        <v>2522</v>
      </c>
      <c r="C1405" s="52" t="s">
        <v>40</v>
      </c>
      <c r="D1405" s="74" t="s">
        <v>123</v>
      </c>
      <c r="E1405" s="74" t="s">
        <v>2523</v>
      </c>
      <c r="F1405" s="49">
        <v>64.959999999999994</v>
      </c>
      <c r="G1405" s="49" t="s">
        <v>43</v>
      </c>
      <c r="H1405" s="50"/>
      <c r="I1405" s="50"/>
      <c r="J1405" s="50"/>
      <c r="K1405" s="50"/>
      <c r="L1405" s="50"/>
      <c r="M1405" s="50"/>
      <c r="N1405" s="50"/>
      <c r="O1405" s="50"/>
      <c r="P1405" s="50"/>
      <c r="Q1405" s="50"/>
      <c r="R1405" s="50"/>
      <c r="S1405" s="50"/>
      <c r="T1405" s="50"/>
      <c r="U1405" s="50"/>
      <c r="V1405" s="50"/>
      <c r="W1405" s="50"/>
      <c r="X1405" s="50"/>
      <c r="Y1405" s="50"/>
      <c r="Z1405" s="50"/>
    </row>
    <row r="1406" spans="1:26">
      <c r="A1406" s="49">
        <v>1414</v>
      </c>
      <c r="B1406" s="51" t="s">
        <v>2524</v>
      </c>
      <c r="C1406" s="52" t="s">
        <v>45</v>
      </c>
      <c r="D1406" s="74" t="s">
        <v>158</v>
      </c>
      <c r="E1406" s="74" t="s">
        <v>20</v>
      </c>
      <c r="F1406" s="49">
        <v>60.3</v>
      </c>
      <c r="G1406" s="49" t="s">
        <v>43</v>
      </c>
      <c r="H1406" s="50"/>
      <c r="I1406" s="50"/>
      <c r="J1406" s="50"/>
      <c r="K1406" s="50"/>
      <c r="L1406" s="50"/>
      <c r="M1406" s="50"/>
      <c r="N1406" s="50"/>
      <c r="O1406" s="50"/>
      <c r="P1406" s="50"/>
      <c r="Q1406" s="50"/>
      <c r="R1406" s="50"/>
      <c r="S1406" s="50"/>
      <c r="T1406" s="50"/>
      <c r="U1406" s="50"/>
      <c r="V1406" s="50"/>
      <c r="W1406" s="50"/>
      <c r="X1406" s="50"/>
      <c r="Y1406" s="50"/>
      <c r="Z1406" s="50"/>
    </row>
    <row r="1407" spans="1:26">
      <c r="A1407" s="49">
        <v>1415</v>
      </c>
      <c r="B1407" s="51" t="s">
        <v>2525</v>
      </c>
      <c r="C1407" s="52" t="s">
        <v>45</v>
      </c>
      <c r="D1407" s="74" t="s">
        <v>161</v>
      </c>
      <c r="E1407" s="74" t="s">
        <v>989</v>
      </c>
      <c r="F1407" s="49">
        <v>70.59</v>
      </c>
      <c r="G1407" s="49" t="s">
        <v>43</v>
      </c>
      <c r="H1407" s="50"/>
      <c r="I1407" s="50"/>
      <c r="J1407" s="50"/>
      <c r="K1407" s="50"/>
      <c r="L1407" s="50"/>
      <c r="M1407" s="50"/>
      <c r="N1407" s="50"/>
      <c r="O1407" s="50"/>
      <c r="P1407" s="50"/>
      <c r="Q1407" s="50"/>
      <c r="R1407" s="50"/>
      <c r="S1407" s="50"/>
      <c r="T1407" s="50"/>
      <c r="U1407" s="50"/>
      <c r="V1407" s="50"/>
      <c r="W1407" s="50"/>
      <c r="X1407" s="50"/>
      <c r="Y1407" s="50"/>
      <c r="Z1407" s="50"/>
    </row>
    <row r="1408" spans="1:26">
      <c r="A1408" s="49">
        <v>1416</v>
      </c>
      <c r="B1408" s="51" t="s">
        <v>2526</v>
      </c>
      <c r="C1408" s="52" t="s">
        <v>52</v>
      </c>
      <c r="D1408" s="74" t="s">
        <v>214</v>
      </c>
      <c r="E1408" s="74" t="s">
        <v>2527</v>
      </c>
      <c r="F1408" s="49">
        <v>36.21</v>
      </c>
      <c r="G1408" s="49" t="s">
        <v>43</v>
      </c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  <c r="S1408" s="50"/>
      <c r="T1408" s="50"/>
      <c r="U1408" s="50"/>
      <c r="V1408" s="50"/>
      <c r="W1408" s="50"/>
      <c r="X1408" s="50"/>
      <c r="Y1408" s="50"/>
      <c r="Z1408" s="50"/>
    </row>
    <row r="1409" spans="1:26">
      <c r="A1409" s="49">
        <v>1417</v>
      </c>
      <c r="B1409" s="51" t="s">
        <v>2528</v>
      </c>
      <c r="C1409" s="52" t="s">
        <v>40</v>
      </c>
      <c r="D1409" s="74" t="s">
        <v>59</v>
      </c>
      <c r="E1409" s="74" t="s">
        <v>989</v>
      </c>
      <c r="F1409" s="49">
        <v>54.85</v>
      </c>
      <c r="G1409" s="49" t="s">
        <v>43</v>
      </c>
      <c r="H1409" s="50"/>
      <c r="I1409" s="50"/>
      <c r="J1409" s="50"/>
      <c r="K1409" s="50"/>
      <c r="L1409" s="50"/>
      <c r="M1409" s="50"/>
      <c r="N1409" s="50"/>
      <c r="O1409" s="50"/>
      <c r="P1409" s="50"/>
      <c r="Q1409" s="50"/>
      <c r="R1409" s="50"/>
      <c r="S1409" s="50"/>
      <c r="T1409" s="50"/>
      <c r="U1409" s="50"/>
      <c r="V1409" s="50"/>
      <c r="W1409" s="50"/>
      <c r="X1409" s="50"/>
      <c r="Y1409" s="50"/>
      <c r="Z1409" s="50"/>
    </row>
    <row r="1410" spans="1:26">
      <c r="A1410" s="49">
        <v>1418</v>
      </c>
      <c r="B1410" s="51" t="s">
        <v>2529</v>
      </c>
      <c r="C1410" s="52" t="s">
        <v>45</v>
      </c>
      <c r="D1410" s="74" t="s">
        <v>135</v>
      </c>
      <c r="E1410" s="74" t="s">
        <v>2530</v>
      </c>
      <c r="F1410" s="49">
        <v>64.56</v>
      </c>
      <c r="G1410" s="49" t="s">
        <v>43</v>
      </c>
      <c r="H1410" s="50"/>
      <c r="I1410" s="50"/>
      <c r="J1410" s="50"/>
      <c r="K1410" s="50"/>
      <c r="L1410" s="50"/>
      <c r="M1410" s="50"/>
      <c r="N1410" s="50"/>
      <c r="O1410" s="50"/>
      <c r="P1410" s="50"/>
      <c r="Q1410" s="50"/>
      <c r="R1410" s="50"/>
      <c r="S1410" s="50"/>
      <c r="T1410" s="50"/>
      <c r="U1410" s="50"/>
      <c r="V1410" s="50"/>
      <c r="W1410" s="50"/>
      <c r="X1410" s="50"/>
      <c r="Y1410" s="50"/>
      <c r="Z1410" s="50"/>
    </row>
    <row r="1411" spans="1:26">
      <c r="A1411" s="49">
        <v>1419</v>
      </c>
      <c r="B1411" s="51" t="s">
        <v>2531</v>
      </c>
      <c r="C1411" s="52" t="s">
        <v>45</v>
      </c>
      <c r="D1411" s="74" t="s">
        <v>59</v>
      </c>
      <c r="E1411" s="75" t="s">
        <v>2253</v>
      </c>
      <c r="F1411" s="49">
        <v>45.44</v>
      </c>
      <c r="G1411" s="49" t="s">
        <v>43</v>
      </c>
      <c r="H1411" s="50"/>
      <c r="I1411" s="50"/>
      <c r="J1411" s="50"/>
      <c r="K1411" s="50"/>
      <c r="L1411" s="50"/>
      <c r="M1411" s="50"/>
      <c r="N1411" s="50"/>
      <c r="O1411" s="50"/>
      <c r="P1411" s="50"/>
      <c r="Q1411" s="50"/>
      <c r="R1411" s="50"/>
      <c r="S1411" s="50"/>
      <c r="T1411" s="50"/>
      <c r="U1411" s="50"/>
      <c r="V1411" s="50"/>
      <c r="W1411" s="50"/>
      <c r="X1411" s="50"/>
      <c r="Y1411" s="50"/>
      <c r="Z1411" s="50"/>
    </row>
    <row r="1412" spans="1:26">
      <c r="A1412" s="49">
        <v>1420</v>
      </c>
      <c r="B1412" s="51" t="s">
        <v>2532</v>
      </c>
      <c r="C1412" s="52" t="s">
        <v>52</v>
      </c>
      <c r="D1412" s="74" t="s">
        <v>214</v>
      </c>
      <c r="E1412" s="74" t="s">
        <v>2503</v>
      </c>
      <c r="F1412" s="49">
        <v>65.569999999999993</v>
      </c>
      <c r="G1412" s="49" t="s">
        <v>43</v>
      </c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  <c r="S1412" s="50"/>
      <c r="T1412" s="50"/>
      <c r="U1412" s="50"/>
      <c r="V1412" s="50"/>
      <c r="W1412" s="50"/>
      <c r="X1412" s="50"/>
      <c r="Y1412" s="50"/>
      <c r="Z1412" s="50"/>
    </row>
    <row r="1413" spans="1:26">
      <c r="A1413" s="49">
        <v>1421</v>
      </c>
      <c r="B1413" s="51" t="s">
        <v>2533</v>
      </c>
      <c r="C1413" s="52" t="s">
        <v>45</v>
      </c>
      <c r="D1413" s="74"/>
      <c r="E1413" s="74" t="s">
        <v>432</v>
      </c>
      <c r="F1413" s="49">
        <v>80.61</v>
      </c>
      <c r="G1413" s="49" t="s">
        <v>459</v>
      </c>
      <c r="H1413" s="50"/>
      <c r="I1413" s="50"/>
      <c r="J1413" s="50"/>
      <c r="K1413" s="50"/>
      <c r="L1413" s="50"/>
      <c r="M1413" s="50"/>
      <c r="N1413" s="50"/>
      <c r="O1413" s="50"/>
      <c r="P1413" s="50"/>
      <c r="Q1413" s="50"/>
      <c r="R1413" s="50"/>
      <c r="S1413" s="50"/>
      <c r="T1413" s="50"/>
      <c r="U1413" s="50"/>
      <c r="V1413" s="50"/>
      <c r="W1413" s="50"/>
      <c r="X1413" s="50"/>
      <c r="Y1413" s="50"/>
      <c r="Z1413" s="50"/>
    </row>
    <row r="1414" spans="1:26">
      <c r="A1414" s="49">
        <v>1422</v>
      </c>
      <c r="B1414" s="51" t="s">
        <v>2534</v>
      </c>
      <c r="C1414" s="52" t="s">
        <v>40</v>
      </c>
      <c r="D1414" s="74" t="s">
        <v>59</v>
      </c>
      <c r="E1414" s="74" t="s">
        <v>20</v>
      </c>
      <c r="F1414" s="49">
        <v>54.34</v>
      </c>
      <c r="G1414" s="49" t="s">
        <v>43</v>
      </c>
      <c r="H1414" s="50"/>
      <c r="I1414" s="50"/>
      <c r="J1414" s="50"/>
      <c r="K1414" s="50"/>
      <c r="L1414" s="50"/>
      <c r="M1414" s="50"/>
      <c r="N1414" s="50"/>
      <c r="O1414" s="50"/>
      <c r="P1414" s="50"/>
      <c r="Q1414" s="50"/>
      <c r="R1414" s="50"/>
      <c r="S1414" s="50"/>
      <c r="T1414" s="50"/>
      <c r="U1414" s="50"/>
      <c r="V1414" s="50"/>
      <c r="W1414" s="50"/>
      <c r="X1414" s="50"/>
      <c r="Y1414" s="50"/>
      <c r="Z1414" s="50"/>
    </row>
    <row r="1415" spans="1:26">
      <c r="A1415" s="49">
        <v>1423</v>
      </c>
      <c r="B1415" s="51" t="s">
        <v>2535</v>
      </c>
      <c r="C1415" s="52" t="s">
        <v>45</v>
      </c>
      <c r="D1415" s="74" t="s">
        <v>1904</v>
      </c>
      <c r="E1415" s="74" t="s">
        <v>1912</v>
      </c>
      <c r="F1415" s="49">
        <v>39.89</v>
      </c>
      <c r="G1415" s="49" t="s">
        <v>43</v>
      </c>
      <c r="H1415" s="50"/>
      <c r="I1415" s="50"/>
      <c r="J1415" s="50"/>
      <c r="K1415" s="50"/>
      <c r="L1415" s="50"/>
      <c r="M1415" s="50"/>
      <c r="N1415" s="50"/>
      <c r="O1415" s="50"/>
      <c r="P1415" s="50"/>
      <c r="Q1415" s="50"/>
      <c r="R1415" s="50"/>
      <c r="S1415" s="50"/>
      <c r="T1415" s="50"/>
      <c r="U1415" s="50"/>
      <c r="V1415" s="50"/>
      <c r="W1415" s="50"/>
      <c r="X1415" s="50"/>
      <c r="Y1415" s="50"/>
      <c r="Z1415" s="50"/>
    </row>
    <row r="1416" spans="1:26">
      <c r="A1416" s="49">
        <v>1424</v>
      </c>
      <c r="B1416" s="51" t="s">
        <v>2536</v>
      </c>
      <c r="C1416" s="52" t="s">
        <v>45</v>
      </c>
      <c r="D1416" s="74" t="s">
        <v>184</v>
      </c>
      <c r="E1416" s="74" t="s">
        <v>417</v>
      </c>
      <c r="F1416" s="49">
        <v>40.619999999999997</v>
      </c>
      <c r="G1416" s="49" t="s">
        <v>43</v>
      </c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  <c r="S1416" s="50"/>
      <c r="T1416" s="50"/>
      <c r="U1416" s="50"/>
      <c r="V1416" s="50"/>
      <c r="W1416" s="50"/>
      <c r="X1416" s="50"/>
      <c r="Y1416" s="50"/>
      <c r="Z1416" s="50"/>
    </row>
    <row r="1417" spans="1:26">
      <c r="A1417" s="49">
        <v>1425</v>
      </c>
      <c r="B1417" s="51" t="s">
        <v>2537</v>
      </c>
      <c r="C1417" s="52" t="s">
        <v>52</v>
      </c>
      <c r="D1417" s="74" t="s">
        <v>214</v>
      </c>
      <c r="E1417" s="74" t="s">
        <v>1401</v>
      </c>
      <c r="F1417" s="49">
        <v>43.59</v>
      </c>
      <c r="G1417" s="49" t="s">
        <v>43</v>
      </c>
      <c r="H1417" s="50"/>
      <c r="I1417" s="50"/>
      <c r="J1417" s="50"/>
      <c r="K1417" s="50"/>
      <c r="L1417" s="50"/>
      <c r="M1417" s="50"/>
      <c r="N1417" s="50"/>
      <c r="O1417" s="50"/>
      <c r="P1417" s="50"/>
      <c r="Q1417" s="50"/>
      <c r="R1417" s="50"/>
      <c r="S1417" s="50"/>
      <c r="T1417" s="50"/>
      <c r="U1417" s="50"/>
      <c r="V1417" s="50"/>
      <c r="W1417" s="50"/>
      <c r="X1417" s="50"/>
      <c r="Y1417" s="50"/>
      <c r="Z1417" s="50"/>
    </row>
    <row r="1418" spans="1:26">
      <c r="A1418" s="49">
        <v>1426</v>
      </c>
      <c r="B1418" s="51" t="s">
        <v>2538</v>
      </c>
      <c r="C1418" s="52" t="s">
        <v>40</v>
      </c>
      <c r="D1418" s="74" t="s">
        <v>123</v>
      </c>
      <c r="E1418" s="74" t="s">
        <v>2539</v>
      </c>
      <c r="F1418" s="49">
        <v>58.61</v>
      </c>
      <c r="G1418" s="49" t="s">
        <v>43</v>
      </c>
      <c r="H1418" s="50"/>
      <c r="I1418" s="50"/>
      <c r="J1418" s="50"/>
      <c r="K1418" s="50"/>
      <c r="L1418" s="50"/>
      <c r="M1418" s="50"/>
      <c r="N1418" s="50"/>
      <c r="O1418" s="50"/>
      <c r="P1418" s="50"/>
      <c r="Q1418" s="50"/>
      <c r="R1418" s="50"/>
      <c r="S1418" s="50"/>
      <c r="T1418" s="50"/>
      <c r="U1418" s="50"/>
      <c r="V1418" s="50"/>
      <c r="W1418" s="50"/>
      <c r="X1418" s="50"/>
      <c r="Y1418" s="50"/>
      <c r="Z1418" s="50"/>
    </row>
    <row r="1419" spans="1:26">
      <c r="A1419" s="49">
        <v>1427</v>
      </c>
      <c r="B1419" s="51" t="s">
        <v>2540</v>
      </c>
      <c r="C1419" s="52" t="s">
        <v>40</v>
      </c>
      <c r="D1419" s="74" t="s">
        <v>1322</v>
      </c>
      <c r="E1419" s="74" t="s">
        <v>2097</v>
      </c>
      <c r="F1419" s="49">
        <v>52.93</v>
      </c>
      <c r="G1419" s="49" t="s">
        <v>43</v>
      </c>
      <c r="H1419" s="50"/>
      <c r="I1419" s="50"/>
      <c r="J1419" s="50"/>
      <c r="K1419" s="50"/>
      <c r="L1419" s="50"/>
      <c r="M1419" s="50"/>
      <c r="N1419" s="50"/>
      <c r="O1419" s="50"/>
      <c r="P1419" s="50"/>
      <c r="Q1419" s="50"/>
      <c r="R1419" s="50"/>
      <c r="S1419" s="50"/>
      <c r="T1419" s="50"/>
      <c r="U1419" s="50"/>
      <c r="V1419" s="50"/>
      <c r="W1419" s="50"/>
      <c r="X1419" s="50"/>
      <c r="Y1419" s="50"/>
      <c r="Z1419" s="50"/>
    </row>
    <row r="1420" spans="1:26">
      <c r="A1420" s="49">
        <v>1428</v>
      </c>
      <c r="B1420" s="51" t="s">
        <v>2541</v>
      </c>
      <c r="C1420" s="52" t="s">
        <v>45</v>
      </c>
      <c r="D1420" s="74" t="s">
        <v>123</v>
      </c>
      <c r="E1420" s="74" t="s">
        <v>671</v>
      </c>
      <c r="F1420" s="49">
        <v>46</v>
      </c>
      <c r="G1420" s="49" t="s">
        <v>43</v>
      </c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  <c r="S1420" s="50"/>
      <c r="T1420" s="50"/>
      <c r="U1420" s="50"/>
      <c r="V1420" s="50"/>
      <c r="W1420" s="50"/>
      <c r="X1420" s="50"/>
      <c r="Y1420" s="50"/>
      <c r="Z1420" s="50"/>
    </row>
    <row r="1421" spans="1:26">
      <c r="A1421" s="49">
        <v>1429</v>
      </c>
      <c r="B1421" s="51" t="s">
        <v>2542</v>
      </c>
      <c r="C1421" s="52" t="s">
        <v>45</v>
      </c>
      <c r="D1421" s="74" t="s">
        <v>446</v>
      </c>
      <c r="E1421" s="74" t="s">
        <v>432</v>
      </c>
      <c r="F1421" s="49">
        <v>46.45</v>
      </c>
      <c r="G1421" s="49" t="s">
        <v>43</v>
      </c>
      <c r="H1421" s="50"/>
      <c r="I1421" s="50"/>
      <c r="J1421" s="50"/>
      <c r="K1421" s="50"/>
      <c r="L1421" s="50"/>
      <c r="M1421" s="50"/>
      <c r="N1421" s="50"/>
      <c r="O1421" s="50"/>
      <c r="P1421" s="50"/>
      <c r="Q1421" s="50"/>
      <c r="R1421" s="50"/>
      <c r="S1421" s="50"/>
      <c r="T1421" s="50"/>
      <c r="U1421" s="50"/>
      <c r="V1421" s="50"/>
      <c r="W1421" s="50"/>
      <c r="X1421" s="50"/>
      <c r="Y1421" s="50"/>
      <c r="Z1421" s="50"/>
    </row>
    <row r="1422" spans="1:26">
      <c r="A1422" s="49">
        <v>1430</v>
      </c>
      <c r="B1422" s="51" t="s">
        <v>2543</v>
      </c>
      <c r="C1422" s="52" t="s">
        <v>45</v>
      </c>
      <c r="D1422" s="74" t="s">
        <v>414</v>
      </c>
      <c r="E1422" s="74" t="s">
        <v>2544</v>
      </c>
      <c r="F1422" s="49">
        <v>44.64</v>
      </c>
      <c r="G1422" s="49" t="s">
        <v>43</v>
      </c>
      <c r="H1422" s="50"/>
      <c r="I1422" s="50"/>
      <c r="J1422" s="50"/>
      <c r="K1422" s="50"/>
      <c r="L1422" s="50"/>
      <c r="M1422" s="50"/>
      <c r="N1422" s="50"/>
      <c r="O1422" s="50"/>
      <c r="P1422" s="50"/>
      <c r="Q1422" s="50"/>
      <c r="R1422" s="50"/>
      <c r="S1422" s="50"/>
      <c r="T1422" s="50"/>
      <c r="U1422" s="50"/>
      <c r="V1422" s="50"/>
      <c r="W1422" s="50"/>
      <c r="X1422" s="50"/>
      <c r="Y1422" s="50"/>
      <c r="Z1422" s="50"/>
    </row>
    <row r="1423" spans="1:26">
      <c r="A1423" s="49">
        <v>1431</v>
      </c>
      <c r="B1423" s="51" t="s">
        <v>2545</v>
      </c>
      <c r="C1423" s="52" t="s">
        <v>40</v>
      </c>
      <c r="D1423" s="74" t="s">
        <v>123</v>
      </c>
      <c r="E1423" s="74"/>
      <c r="F1423" s="49">
        <v>88.43</v>
      </c>
      <c r="G1423" s="49" t="s">
        <v>43</v>
      </c>
      <c r="H1423" s="50"/>
      <c r="I1423" s="50"/>
      <c r="J1423" s="50"/>
      <c r="K1423" s="50"/>
      <c r="L1423" s="50"/>
      <c r="M1423" s="50"/>
      <c r="N1423" s="50"/>
      <c r="O1423" s="50"/>
      <c r="P1423" s="50"/>
      <c r="Q1423" s="50"/>
      <c r="R1423" s="50"/>
      <c r="S1423" s="50"/>
      <c r="T1423" s="50"/>
      <c r="U1423" s="50"/>
      <c r="V1423" s="50"/>
      <c r="W1423" s="50"/>
      <c r="X1423" s="50"/>
      <c r="Y1423" s="50"/>
      <c r="Z1423" s="50"/>
    </row>
    <row r="1424" spans="1:26">
      <c r="A1424" s="49">
        <v>1432</v>
      </c>
      <c r="B1424" s="51" t="s">
        <v>2546</v>
      </c>
      <c r="C1424" s="52" t="s">
        <v>45</v>
      </c>
      <c r="D1424" s="74" t="s">
        <v>59</v>
      </c>
      <c r="E1424" s="74" t="s">
        <v>2506</v>
      </c>
      <c r="F1424" s="49">
        <v>42.68</v>
      </c>
      <c r="G1424" s="49" t="s">
        <v>43</v>
      </c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  <c r="S1424" s="50"/>
      <c r="T1424" s="50"/>
      <c r="U1424" s="50"/>
      <c r="V1424" s="50"/>
      <c r="W1424" s="50"/>
      <c r="X1424" s="50"/>
      <c r="Y1424" s="50"/>
      <c r="Z1424" s="50"/>
    </row>
    <row r="1425" spans="1:26">
      <c r="A1425" s="49">
        <v>1433</v>
      </c>
      <c r="B1425" s="51" t="s">
        <v>2547</v>
      </c>
      <c r="C1425" s="52" t="s">
        <v>45</v>
      </c>
      <c r="D1425" s="74" t="s">
        <v>1840</v>
      </c>
      <c r="E1425" s="74" t="s">
        <v>2482</v>
      </c>
      <c r="F1425" s="49">
        <v>65.5</v>
      </c>
      <c r="G1425" s="49" t="s">
        <v>43</v>
      </c>
      <c r="H1425" s="50"/>
      <c r="I1425" s="50"/>
      <c r="J1425" s="50"/>
      <c r="K1425" s="50"/>
      <c r="L1425" s="50"/>
      <c r="M1425" s="50"/>
      <c r="N1425" s="50"/>
      <c r="O1425" s="50"/>
      <c r="P1425" s="50"/>
      <c r="Q1425" s="50"/>
      <c r="R1425" s="50"/>
      <c r="S1425" s="50"/>
      <c r="T1425" s="50"/>
      <c r="U1425" s="50"/>
      <c r="V1425" s="50"/>
      <c r="W1425" s="50"/>
      <c r="X1425" s="50"/>
      <c r="Y1425" s="50"/>
      <c r="Z1425" s="50"/>
    </row>
    <row r="1426" spans="1:26">
      <c r="A1426" s="49">
        <v>1434</v>
      </c>
      <c r="B1426" s="51" t="s">
        <v>2548</v>
      </c>
      <c r="C1426" s="52" t="s">
        <v>52</v>
      </c>
      <c r="D1426" s="74" t="s">
        <v>802</v>
      </c>
      <c r="E1426" s="74" t="s">
        <v>2549</v>
      </c>
      <c r="F1426" s="49">
        <v>37.1</v>
      </c>
      <c r="G1426" s="49" t="s">
        <v>43</v>
      </c>
      <c r="H1426" s="50"/>
      <c r="I1426" s="50"/>
      <c r="J1426" s="50"/>
      <c r="K1426" s="50"/>
      <c r="L1426" s="50"/>
      <c r="M1426" s="50"/>
      <c r="N1426" s="50"/>
      <c r="O1426" s="50"/>
      <c r="P1426" s="50"/>
      <c r="Q1426" s="50"/>
      <c r="R1426" s="50"/>
      <c r="S1426" s="50"/>
      <c r="T1426" s="50"/>
      <c r="U1426" s="50"/>
      <c r="V1426" s="50"/>
      <c r="W1426" s="50"/>
      <c r="X1426" s="50"/>
      <c r="Y1426" s="50"/>
      <c r="Z1426" s="50"/>
    </row>
    <row r="1427" spans="1:26">
      <c r="A1427" s="49">
        <v>1435</v>
      </c>
      <c r="B1427" s="51" t="s">
        <v>2550</v>
      </c>
      <c r="C1427" s="52" t="s">
        <v>40</v>
      </c>
      <c r="D1427" s="74"/>
      <c r="E1427" s="74" t="s">
        <v>2268</v>
      </c>
      <c r="F1427" s="49">
        <v>75.680000000000007</v>
      </c>
      <c r="G1427" s="49" t="s">
        <v>459</v>
      </c>
      <c r="H1427" s="50"/>
      <c r="I1427" s="50"/>
      <c r="J1427" s="50"/>
      <c r="K1427" s="50"/>
      <c r="L1427" s="50"/>
      <c r="M1427" s="50"/>
      <c r="N1427" s="50"/>
      <c r="O1427" s="50"/>
      <c r="P1427" s="50"/>
      <c r="Q1427" s="50"/>
      <c r="R1427" s="50"/>
      <c r="S1427" s="50"/>
      <c r="T1427" s="50"/>
      <c r="U1427" s="50"/>
      <c r="V1427" s="50"/>
      <c r="W1427" s="50"/>
      <c r="X1427" s="50"/>
      <c r="Y1427" s="50"/>
      <c r="Z1427" s="50"/>
    </row>
    <row r="1428" spans="1:26">
      <c r="A1428" s="49">
        <v>1436</v>
      </c>
      <c r="B1428" s="51" t="s">
        <v>2551</v>
      </c>
      <c r="C1428" s="52" t="s">
        <v>40</v>
      </c>
      <c r="D1428" s="74" t="s">
        <v>59</v>
      </c>
      <c r="E1428" s="74" t="s">
        <v>2116</v>
      </c>
      <c r="F1428" s="49">
        <v>77.95</v>
      </c>
      <c r="G1428" s="49" t="s">
        <v>43</v>
      </c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  <c r="S1428" s="50"/>
      <c r="T1428" s="50"/>
      <c r="U1428" s="50"/>
      <c r="V1428" s="50"/>
      <c r="W1428" s="50"/>
      <c r="X1428" s="50"/>
      <c r="Y1428" s="50"/>
      <c r="Z1428" s="50"/>
    </row>
    <row r="1429" spans="1:26">
      <c r="A1429" s="49">
        <v>1437</v>
      </c>
      <c r="B1429" s="51" t="s">
        <v>2552</v>
      </c>
      <c r="C1429" s="52" t="s">
        <v>45</v>
      </c>
      <c r="D1429" s="74" t="s">
        <v>123</v>
      </c>
      <c r="E1429" s="74" t="s">
        <v>2553</v>
      </c>
      <c r="F1429" s="49">
        <v>64.069999999999993</v>
      </c>
      <c r="G1429" s="49" t="s">
        <v>43</v>
      </c>
      <c r="H1429" s="50"/>
      <c r="I1429" s="50"/>
      <c r="J1429" s="50"/>
      <c r="K1429" s="50"/>
      <c r="L1429" s="50"/>
      <c r="M1429" s="50"/>
      <c r="N1429" s="50"/>
      <c r="O1429" s="50"/>
      <c r="P1429" s="50"/>
      <c r="Q1429" s="50"/>
      <c r="R1429" s="50"/>
      <c r="S1429" s="50"/>
      <c r="T1429" s="50"/>
      <c r="U1429" s="50"/>
      <c r="V1429" s="50"/>
      <c r="W1429" s="50"/>
      <c r="X1429" s="50"/>
      <c r="Y1429" s="50"/>
      <c r="Z1429" s="50"/>
    </row>
    <row r="1430" spans="1:26">
      <c r="A1430" s="49">
        <v>1438</v>
      </c>
      <c r="B1430" s="51" t="s">
        <v>2554</v>
      </c>
      <c r="C1430" s="52" t="s">
        <v>45</v>
      </c>
      <c r="D1430" s="74" t="s">
        <v>2003</v>
      </c>
      <c r="E1430" s="74" t="s">
        <v>20</v>
      </c>
      <c r="F1430" s="49">
        <v>41.32</v>
      </c>
      <c r="G1430" s="49" t="s">
        <v>43</v>
      </c>
      <c r="H1430" s="50"/>
      <c r="I1430" s="50"/>
      <c r="J1430" s="50"/>
      <c r="K1430" s="50"/>
      <c r="L1430" s="50"/>
      <c r="M1430" s="50"/>
      <c r="N1430" s="50"/>
      <c r="O1430" s="50"/>
      <c r="P1430" s="50"/>
      <c r="Q1430" s="50"/>
      <c r="R1430" s="50"/>
      <c r="S1430" s="50"/>
      <c r="T1430" s="50"/>
      <c r="U1430" s="50"/>
      <c r="V1430" s="50"/>
      <c r="W1430" s="50"/>
      <c r="X1430" s="50"/>
      <c r="Y1430" s="50"/>
      <c r="Z1430" s="50"/>
    </row>
    <row r="1431" spans="1:26">
      <c r="A1431" s="49">
        <v>1439</v>
      </c>
      <c r="B1431" s="51" t="s">
        <v>2555</v>
      </c>
      <c r="C1431" s="52" t="s">
        <v>52</v>
      </c>
      <c r="D1431" s="74" t="s">
        <v>875</v>
      </c>
      <c r="E1431" s="74" t="s">
        <v>671</v>
      </c>
      <c r="F1431" s="49">
        <v>58.19</v>
      </c>
      <c r="G1431" s="49" t="s">
        <v>43</v>
      </c>
      <c r="H1431" s="50"/>
      <c r="I1431" s="50"/>
      <c r="J1431" s="50"/>
      <c r="K1431" s="50"/>
      <c r="L1431" s="50"/>
      <c r="M1431" s="50"/>
      <c r="N1431" s="50"/>
      <c r="O1431" s="50"/>
      <c r="P1431" s="50"/>
      <c r="Q1431" s="50"/>
      <c r="R1431" s="50"/>
      <c r="S1431" s="50"/>
      <c r="T1431" s="50"/>
      <c r="U1431" s="50"/>
      <c r="V1431" s="50"/>
      <c r="W1431" s="50"/>
      <c r="X1431" s="50"/>
      <c r="Y1431" s="50"/>
      <c r="Z1431" s="50"/>
    </row>
    <row r="1432" spans="1:26">
      <c r="A1432" s="49">
        <v>1440</v>
      </c>
      <c r="B1432" s="51" t="s">
        <v>2556</v>
      </c>
      <c r="C1432" s="52" t="s">
        <v>45</v>
      </c>
      <c r="D1432" s="74"/>
      <c r="E1432" s="74" t="s">
        <v>2360</v>
      </c>
      <c r="F1432" s="49">
        <v>68.22</v>
      </c>
      <c r="G1432" s="49" t="s">
        <v>459</v>
      </c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  <c r="S1432" s="50"/>
      <c r="T1432" s="50"/>
      <c r="U1432" s="50"/>
      <c r="V1432" s="50"/>
      <c r="W1432" s="50"/>
      <c r="X1432" s="50"/>
      <c r="Y1432" s="50"/>
      <c r="Z1432" s="50"/>
    </row>
    <row r="1433" spans="1:26">
      <c r="A1433" s="49">
        <v>1441</v>
      </c>
      <c r="B1433" s="51" t="s">
        <v>2557</v>
      </c>
      <c r="C1433" s="52" t="s">
        <v>40</v>
      </c>
      <c r="D1433" s="74" t="s">
        <v>401</v>
      </c>
      <c r="E1433" s="74" t="s">
        <v>20</v>
      </c>
      <c r="F1433" s="49">
        <v>68.73</v>
      </c>
      <c r="G1433" s="49" t="s">
        <v>43</v>
      </c>
      <c r="H1433" s="50"/>
      <c r="I1433" s="50"/>
      <c r="J1433" s="50"/>
      <c r="K1433" s="50"/>
      <c r="L1433" s="50"/>
      <c r="M1433" s="50"/>
      <c r="N1433" s="50"/>
      <c r="O1433" s="50"/>
      <c r="P1433" s="50"/>
      <c r="Q1433" s="50"/>
      <c r="R1433" s="50"/>
      <c r="S1433" s="50"/>
      <c r="T1433" s="50"/>
      <c r="U1433" s="50"/>
      <c r="V1433" s="50"/>
      <c r="W1433" s="50"/>
      <c r="X1433" s="50"/>
      <c r="Y1433" s="50"/>
      <c r="Z1433" s="50"/>
    </row>
    <row r="1434" spans="1:26">
      <c r="A1434" s="49">
        <v>1442</v>
      </c>
      <c r="B1434" s="51" t="s">
        <v>2558</v>
      </c>
      <c r="C1434" s="52" t="s">
        <v>45</v>
      </c>
      <c r="D1434" s="74" t="s">
        <v>654</v>
      </c>
      <c r="E1434" s="74"/>
      <c r="F1434" s="49">
        <v>68.239999999999995</v>
      </c>
      <c r="G1434" s="49" t="s">
        <v>43</v>
      </c>
      <c r="H1434" s="50"/>
      <c r="I1434" s="50"/>
      <c r="J1434" s="50"/>
      <c r="K1434" s="50"/>
      <c r="L1434" s="50"/>
      <c r="M1434" s="50"/>
      <c r="N1434" s="50"/>
      <c r="O1434" s="50"/>
      <c r="P1434" s="50"/>
      <c r="Q1434" s="50"/>
      <c r="R1434" s="50"/>
      <c r="S1434" s="50"/>
      <c r="T1434" s="50"/>
      <c r="U1434" s="50"/>
      <c r="V1434" s="50"/>
      <c r="W1434" s="50"/>
      <c r="X1434" s="50"/>
      <c r="Y1434" s="50"/>
      <c r="Z1434" s="50"/>
    </row>
    <row r="1435" spans="1:26">
      <c r="A1435" s="49">
        <v>1443</v>
      </c>
      <c r="B1435" s="51" t="s">
        <v>2559</v>
      </c>
      <c r="C1435" s="52" t="s">
        <v>45</v>
      </c>
      <c r="D1435" s="74" t="s">
        <v>277</v>
      </c>
      <c r="E1435" s="74" t="s">
        <v>671</v>
      </c>
      <c r="F1435" s="49">
        <v>56.2</v>
      </c>
      <c r="G1435" s="49" t="s">
        <v>43</v>
      </c>
      <c r="H1435" s="50"/>
      <c r="I1435" s="50"/>
      <c r="J1435" s="50"/>
      <c r="K1435" s="50"/>
      <c r="L1435" s="50"/>
      <c r="M1435" s="50"/>
      <c r="N1435" s="50"/>
      <c r="O1435" s="50"/>
      <c r="P1435" s="50"/>
      <c r="Q1435" s="50"/>
      <c r="R1435" s="50"/>
      <c r="S1435" s="50"/>
      <c r="T1435" s="50"/>
      <c r="U1435" s="50"/>
      <c r="V1435" s="50"/>
      <c r="W1435" s="50"/>
      <c r="X1435" s="50"/>
      <c r="Y1435" s="50"/>
      <c r="Z1435" s="50"/>
    </row>
    <row r="1436" spans="1:26">
      <c r="A1436" s="49">
        <v>1444</v>
      </c>
      <c r="B1436" s="51" t="s">
        <v>2560</v>
      </c>
      <c r="C1436" s="52" t="s">
        <v>52</v>
      </c>
      <c r="D1436" s="74" t="s">
        <v>214</v>
      </c>
      <c r="E1436" s="74" t="s">
        <v>20</v>
      </c>
      <c r="F1436" s="49">
        <v>52.06</v>
      </c>
      <c r="G1436" s="49" t="s">
        <v>43</v>
      </c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  <c r="S1436" s="50"/>
      <c r="T1436" s="50"/>
      <c r="U1436" s="50"/>
      <c r="V1436" s="50"/>
      <c r="W1436" s="50"/>
      <c r="X1436" s="50"/>
      <c r="Y1436" s="50"/>
      <c r="Z1436" s="50"/>
    </row>
    <row r="1437" spans="1:26">
      <c r="A1437" s="49">
        <v>1445</v>
      </c>
      <c r="B1437" s="51" t="s">
        <v>2561</v>
      </c>
      <c r="C1437" s="52" t="s">
        <v>45</v>
      </c>
      <c r="D1437" s="74"/>
      <c r="E1437" s="74" t="s">
        <v>671</v>
      </c>
      <c r="F1437" s="49">
        <v>88.73</v>
      </c>
      <c r="G1437" s="49" t="s">
        <v>459</v>
      </c>
      <c r="H1437" s="50"/>
      <c r="I1437" s="50"/>
      <c r="J1437" s="50"/>
      <c r="K1437" s="50"/>
      <c r="L1437" s="50"/>
      <c r="M1437" s="50"/>
      <c r="N1437" s="50"/>
      <c r="O1437" s="50"/>
      <c r="P1437" s="50"/>
      <c r="Q1437" s="50"/>
      <c r="R1437" s="50"/>
      <c r="S1437" s="50"/>
      <c r="T1437" s="50"/>
      <c r="U1437" s="50"/>
      <c r="V1437" s="50"/>
      <c r="W1437" s="50"/>
      <c r="X1437" s="50"/>
      <c r="Y1437" s="50"/>
      <c r="Z1437" s="50"/>
    </row>
    <row r="1438" spans="1:26">
      <c r="A1438" s="49">
        <v>1446</v>
      </c>
      <c r="B1438" s="51" t="s">
        <v>2562</v>
      </c>
      <c r="C1438" s="52" t="s">
        <v>40</v>
      </c>
      <c r="D1438" s="74" t="s">
        <v>59</v>
      </c>
      <c r="E1438" s="74"/>
      <c r="F1438" s="49">
        <v>61.15</v>
      </c>
      <c r="G1438" s="49" t="s">
        <v>43</v>
      </c>
      <c r="H1438" s="50"/>
      <c r="I1438" s="50"/>
      <c r="J1438" s="50"/>
      <c r="K1438" s="50"/>
      <c r="L1438" s="50"/>
      <c r="M1438" s="50"/>
      <c r="N1438" s="50"/>
      <c r="O1438" s="50"/>
      <c r="P1438" s="50"/>
      <c r="Q1438" s="50"/>
      <c r="R1438" s="50"/>
      <c r="S1438" s="50"/>
      <c r="T1438" s="50"/>
      <c r="U1438" s="50"/>
      <c r="V1438" s="50"/>
      <c r="W1438" s="50"/>
      <c r="X1438" s="50"/>
      <c r="Y1438" s="50"/>
      <c r="Z1438" s="50"/>
    </row>
    <row r="1439" spans="1:26">
      <c r="A1439" s="49">
        <v>1447</v>
      </c>
      <c r="B1439" s="51" t="s">
        <v>2563</v>
      </c>
      <c r="C1439" s="52" t="s">
        <v>45</v>
      </c>
      <c r="D1439" s="74" t="s">
        <v>62</v>
      </c>
      <c r="E1439" s="74" t="s">
        <v>20</v>
      </c>
      <c r="F1439" s="49">
        <v>60.47</v>
      </c>
      <c r="G1439" s="49" t="s">
        <v>43</v>
      </c>
      <c r="H1439" s="50"/>
      <c r="I1439" s="50"/>
      <c r="J1439" s="50"/>
      <c r="K1439" s="50"/>
      <c r="L1439" s="50"/>
      <c r="M1439" s="50"/>
      <c r="N1439" s="50"/>
      <c r="O1439" s="50"/>
      <c r="P1439" s="50"/>
      <c r="Q1439" s="50"/>
      <c r="R1439" s="50"/>
      <c r="S1439" s="50"/>
      <c r="T1439" s="50"/>
      <c r="U1439" s="50"/>
      <c r="V1439" s="50"/>
      <c r="W1439" s="50"/>
      <c r="X1439" s="50"/>
      <c r="Y1439" s="50"/>
      <c r="Z1439" s="50"/>
    </row>
    <row r="1440" spans="1:26">
      <c r="A1440" s="49">
        <v>1448</v>
      </c>
      <c r="B1440" s="51" t="s">
        <v>2564</v>
      </c>
      <c r="C1440" s="52" t="s">
        <v>45</v>
      </c>
      <c r="D1440" s="74" t="s">
        <v>277</v>
      </c>
      <c r="E1440" s="74" t="s">
        <v>989</v>
      </c>
      <c r="F1440" s="49">
        <v>69.91</v>
      </c>
      <c r="G1440" s="49" t="s">
        <v>43</v>
      </c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  <c r="S1440" s="50"/>
      <c r="T1440" s="50"/>
      <c r="U1440" s="50"/>
      <c r="V1440" s="50"/>
      <c r="W1440" s="50"/>
      <c r="X1440" s="50"/>
      <c r="Y1440" s="50"/>
      <c r="Z1440" s="50"/>
    </row>
    <row r="1441" spans="1:26">
      <c r="A1441" s="49">
        <v>1449</v>
      </c>
      <c r="B1441" s="51" t="s">
        <v>2565</v>
      </c>
      <c r="C1441" s="52" t="s">
        <v>52</v>
      </c>
      <c r="D1441" s="74" t="s">
        <v>56</v>
      </c>
      <c r="E1441" s="74" t="s">
        <v>20</v>
      </c>
      <c r="F1441" s="49">
        <v>40.76</v>
      </c>
      <c r="G1441" s="49" t="s">
        <v>43</v>
      </c>
      <c r="H1441" s="50"/>
      <c r="I1441" s="50"/>
      <c r="J1441" s="50"/>
      <c r="K1441" s="50"/>
      <c r="L1441" s="50"/>
      <c r="M1441" s="50"/>
      <c r="N1441" s="50"/>
      <c r="O1441" s="50"/>
      <c r="P1441" s="50"/>
      <c r="Q1441" s="50"/>
      <c r="R1441" s="50"/>
      <c r="S1441" s="50"/>
      <c r="T1441" s="50"/>
      <c r="U1441" s="50"/>
      <c r="V1441" s="50"/>
      <c r="W1441" s="50"/>
      <c r="X1441" s="50"/>
      <c r="Y1441" s="50"/>
      <c r="Z1441" s="50"/>
    </row>
    <row r="1442" spans="1:26">
      <c r="A1442" s="49">
        <v>1450</v>
      </c>
      <c r="B1442" s="51" t="s">
        <v>2566</v>
      </c>
      <c r="C1442" s="52" t="s">
        <v>40</v>
      </c>
      <c r="D1442" s="74" t="s">
        <v>123</v>
      </c>
      <c r="E1442" s="74"/>
      <c r="F1442" s="49">
        <v>79.069999999999993</v>
      </c>
      <c r="G1442" s="49" t="s">
        <v>43</v>
      </c>
      <c r="H1442" s="50"/>
      <c r="I1442" s="50"/>
      <c r="J1442" s="50"/>
      <c r="K1442" s="50"/>
      <c r="L1442" s="50"/>
      <c r="M1442" s="50"/>
      <c r="N1442" s="50"/>
      <c r="O1442" s="50"/>
      <c r="P1442" s="50"/>
      <c r="Q1442" s="50"/>
      <c r="R1442" s="50"/>
      <c r="S1442" s="50"/>
      <c r="T1442" s="50"/>
      <c r="U1442" s="50"/>
      <c r="V1442" s="50"/>
      <c r="W1442" s="50"/>
      <c r="X1442" s="50"/>
      <c r="Y1442" s="50"/>
      <c r="Z1442" s="50"/>
    </row>
    <row r="1443" spans="1:26">
      <c r="A1443" s="49">
        <v>1451</v>
      </c>
      <c r="B1443" s="51" t="s">
        <v>2567</v>
      </c>
      <c r="C1443" s="52" t="s">
        <v>45</v>
      </c>
      <c r="D1443" s="74" t="s">
        <v>1156</v>
      </c>
      <c r="E1443" s="74" t="s">
        <v>2085</v>
      </c>
      <c r="F1443" s="49">
        <v>53.56</v>
      </c>
      <c r="G1443" s="49" t="s">
        <v>43</v>
      </c>
      <c r="H1443" s="50"/>
      <c r="I1443" s="50"/>
      <c r="J1443" s="50"/>
      <c r="K1443" s="50"/>
      <c r="L1443" s="50"/>
      <c r="M1443" s="50"/>
      <c r="N1443" s="50"/>
      <c r="O1443" s="50"/>
      <c r="P1443" s="50"/>
      <c r="Q1443" s="50"/>
      <c r="R1443" s="50"/>
      <c r="S1443" s="50"/>
      <c r="T1443" s="50"/>
      <c r="U1443" s="50"/>
      <c r="V1443" s="50"/>
      <c r="W1443" s="50"/>
      <c r="X1443" s="50"/>
      <c r="Y1443" s="50"/>
      <c r="Z1443" s="50"/>
    </row>
    <row r="1444" spans="1:26">
      <c r="A1444" s="49">
        <v>1452</v>
      </c>
      <c r="B1444" s="51" t="s">
        <v>2568</v>
      </c>
      <c r="C1444" s="52" t="s">
        <v>45</v>
      </c>
      <c r="D1444" s="74" t="s">
        <v>1156</v>
      </c>
      <c r="E1444" s="74" t="s">
        <v>20</v>
      </c>
      <c r="F1444" s="49">
        <v>52.9</v>
      </c>
      <c r="G1444" s="49" t="s">
        <v>43</v>
      </c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  <c r="S1444" s="50"/>
      <c r="T1444" s="50"/>
      <c r="U1444" s="50"/>
      <c r="V1444" s="50"/>
      <c r="W1444" s="50"/>
      <c r="X1444" s="50"/>
      <c r="Y1444" s="50"/>
      <c r="Z1444" s="50"/>
    </row>
    <row r="1445" spans="1:26">
      <c r="A1445" s="49">
        <v>1453</v>
      </c>
      <c r="B1445" s="51" t="s">
        <v>2569</v>
      </c>
      <c r="C1445" s="52" t="s">
        <v>52</v>
      </c>
      <c r="D1445" s="74" t="s">
        <v>1260</v>
      </c>
      <c r="E1445" s="74" t="s">
        <v>671</v>
      </c>
      <c r="F1445" s="49">
        <v>33.369999999999997</v>
      </c>
      <c r="G1445" s="49" t="s">
        <v>43</v>
      </c>
      <c r="H1445" s="50"/>
      <c r="I1445" s="50"/>
      <c r="J1445" s="50"/>
      <c r="K1445" s="50"/>
      <c r="L1445" s="50"/>
      <c r="M1445" s="50"/>
      <c r="N1445" s="50"/>
      <c r="O1445" s="50"/>
      <c r="P1445" s="50"/>
      <c r="Q1445" s="50"/>
      <c r="R1445" s="50"/>
      <c r="S1445" s="50"/>
      <c r="T1445" s="50"/>
      <c r="U1445" s="50"/>
      <c r="V1445" s="50"/>
      <c r="W1445" s="50"/>
      <c r="X1445" s="50"/>
      <c r="Y1445" s="50"/>
      <c r="Z1445" s="50"/>
    </row>
    <row r="1446" spans="1:26">
      <c r="A1446" s="49">
        <v>1454</v>
      </c>
      <c r="B1446" s="51" t="s">
        <v>2570</v>
      </c>
      <c r="C1446" s="52" t="s">
        <v>45</v>
      </c>
      <c r="D1446" s="74"/>
      <c r="E1446" s="74"/>
      <c r="F1446" s="49">
        <v>35.96</v>
      </c>
      <c r="G1446" s="49" t="s">
        <v>459</v>
      </c>
      <c r="H1446" s="50"/>
      <c r="I1446" s="50"/>
      <c r="J1446" s="50"/>
      <c r="K1446" s="50"/>
      <c r="L1446" s="50"/>
      <c r="M1446" s="50"/>
      <c r="N1446" s="50"/>
      <c r="O1446" s="50"/>
      <c r="P1446" s="50"/>
      <c r="Q1446" s="50"/>
      <c r="R1446" s="50"/>
      <c r="S1446" s="50"/>
      <c r="T1446" s="50"/>
      <c r="U1446" s="50"/>
      <c r="V1446" s="50"/>
      <c r="W1446" s="50"/>
      <c r="X1446" s="50"/>
      <c r="Y1446" s="50"/>
      <c r="Z1446" s="50"/>
    </row>
    <row r="1447" spans="1:26">
      <c r="A1447" s="49">
        <v>1455</v>
      </c>
      <c r="B1447" s="51" t="s">
        <v>2571</v>
      </c>
      <c r="C1447" s="52" t="s">
        <v>40</v>
      </c>
      <c r="D1447" s="74" t="s">
        <v>59</v>
      </c>
      <c r="E1447" s="74" t="s">
        <v>2116</v>
      </c>
      <c r="F1447" s="49">
        <v>65.36</v>
      </c>
      <c r="G1447" s="49" t="s">
        <v>43</v>
      </c>
      <c r="H1447" s="50"/>
      <c r="I1447" s="50"/>
      <c r="J1447" s="50"/>
      <c r="K1447" s="50"/>
      <c r="L1447" s="50"/>
      <c r="M1447" s="50"/>
      <c r="N1447" s="50"/>
      <c r="O1447" s="50"/>
      <c r="P1447" s="50"/>
      <c r="Q1447" s="50"/>
      <c r="R1447" s="50"/>
      <c r="S1447" s="50"/>
      <c r="T1447" s="50"/>
      <c r="U1447" s="50"/>
      <c r="V1447" s="50"/>
      <c r="W1447" s="50"/>
      <c r="X1447" s="50"/>
      <c r="Y1447" s="50"/>
      <c r="Z1447" s="50"/>
    </row>
    <row r="1448" spans="1:26">
      <c r="A1448" s="49">
        <v>1456</v>
      </c>
      <c r="B1448" s="51" t="s">
        <v>2572</v>
      </c>
      <c r="C1448" s="52" t="s">
        <v>45</v>
      </c>
      <c r="D1448" s="74" t="s">
        <v>2083</v>
      </c>
      <c r="E1448" s="74" t="s">
        <v>432</v>
      </c>
      <c r="F1448" s="49">
        <v>51.21</v>
      </c>
      <c r="G1448" s="49" t="s">
        <v>43</v>
      </c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  <c r="S1448" s="50"/>
      <c r="T1448" s="50"/>
      <c r="U1448" s="50"/>
      <c r="V1448" s="50"/>
      <c r="W1448" s="50"/>
      <c r="X1448" s="50"/>
      <c r="Y1448" s="50"/>
      <c r="Z1448" s="50"/>
    </row>
    <row r="1449" spans="1:26">
      <c r="A1449" s="49">
        <v>1457</v>
      </c>
      <c r="B1449" s="51" t="s">
        <v>2573</v>
      </c>
      <c r="C1449" s="52" t="s">
        <v>45</v>
      </c>
      <c r="D1449" s="74" t="s">
        <v>2574</v>
      </c>
      <c r="E1449" s="74" t="s">
        <v>432</v>
      </c>
      <c r="F1449" s="49">
        <v>66.81</v>
      </c>
      <c r="G1449" s="49" t="s">
        <v>43</v>
      </c>
      <c r="H1449" s="50"/>
      <c r="I1449" s="50"/>
      <c r="J1449" s="50"/>
      <c r="K1449" s="50"/>
      <c r="L1449" s="50"/>
      <c r="M1449" s="50"/>
      <c r="N1449" s="50"/>
      <c r="O1449" s="50"/>
      <c r="P1449" s="50"/>
      <c r="Q1449" s="50"/>
      <c r="R1449" s="50"/>
      <c r="S1449" s="50"/>
      <c r="T1449" s="50"/>
      <c r="U1449" s="50"/>
      <c r="V1449" s="50"/>
      <c r="W1449" s="50"/>
      <c r="X1449" s="50"/>
      <c r="Y1449" s="50"/>
      <c r="Z1449" s="50"/>
    </row>
    <row r="1450" spans="1:26">
      <c r="A1450" s="49">
        <v>1458</v>
      </c>
      <c r="B1450" s="51" t="s">
        <v>2575</v>
      </c>
      <c r="C1450" s="52" t="s">
        <v>52</v>
      </c>
      <c r="D1450" s="74" t="s">
        <v>214</v>
      </c>
      <c r="E1450" s="74" t="s">
        <v>989</v>
      </c>
      <c r="F1450" s="49">
        <v>41.36</v>
      </c>
      <c r="G1450" s="49" t="s">
        <v>43</v>
      </c>
      <c r="H1450" s="50"/>
      <c r="I1450" s="50"/>
      <c r="J1450" s="50"/>
      <c r="K1450" s="50"/>
      <c r="L1450" s="50"/>
      <c r="M1450" s="50"/>
      <c r="N1450" s="50"/>
      <c r="O1450" s="50"/>
      <c r="P1450" s="50"/>
      <c r="Q1450" s="50"/>
      <c r="R1450" s="50"/>
      <c r="S1450" s="50"/>
      <c r="T1450" s="50"/>
      <c r="U1450" s="50"/>
      <c r="V1450" s="50"/>
      <c r="W1450" s="50"/>
      <c r="X1450" s="50"/>
      <c r="Y1450" s="50"/>
      <c r="Z1450" s="50"/>
    </row>
    <row r="1451" spans="1:26">
      <c r="A1451" s="49">
        <v>1459</v>
      </c>
      <c r="B1451" s="51" t="s">
        <v>2576</v>
      </c>
      <c r="C1451" s="52" t="s">
        <v>45</v>
      </c>
      <c r="D1451" s="74"/>
      <c r="E1451" s="74" t="s">
        <v>1248</v>
      </c>
      <c r="F1451" s="49">
        <v>61</v>
      </c>
      <c r="G1451" s="49" t="s">
        <v>459</v>
      </c>
      <c r="H1451" s="50"/>
      <c r="I1451" s="50"/>
      <c r="J1451" s="50"/>
      <c r="K1451" s="50"/>
      <c r="L1451" s="50"/>
      <c r="M1451" s="50"/>
      <c r="N1451" s="50"/>
      <c r="O1451" s="50"/>
      <c r="P1451" s="50"/>
      <c r="Q1451" s="50"/>
      <c r="R1451" s="50"/>
      <c r="S1451" s="50"/>
      <c r="T1451" s="50"/>
      <c r="U1451" s="50"/>
      <c r="V1451" s="50"/>
      <c r="W1451" s="50"/>
      <c r="X1451" s="50"/>
      <c r="Y1451" s="50"/>
      <c r="Z1451" s="50"/>
    </row>
    <row r="1452" spans="1:26">
      <c r="A1452" s="49">
        <v>1460</v>
      </c>
      <c r="B1452" s="51" t="s">
        <v>2577</v>
      </c>
      <c r="C1452" s="52" t="s">
        <v>40</v>
      </c>
      <c r="D1452" s="74" t="s">
        <v>123</v>
      </c>
      <c r="E1452" s="74" t="s">
        <v>671</v>
      </c>
      <c r="F1452" s="49">
        <v>76.709999999999994</v>
      </c>
      <c r="G1452" s="49" t="s">
        <v>43</v>
      </c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  <c r="S1452" s="50"/>
      <c r="T1452" s="50"/>
      <c r="U1452" s="50"/>
      <c r="V1452" s="50"/>
      <c r="W1452" s="50"/>
      <c r="X1452" s="50"/>
      <c r="Y1452" s="50"/>
      <c r="Z1452" s="50"/>
    </row>
    <row r="1453" spans="1:26">
      <c r="A1453" s="49">
        <v>1461</v>
      </c>
      <c r="B1453" s="51" t="s">
        <v>2578</v>
      </c>
      <c r="C1453" s="52" t="s">
        <v>45</v>
      </c>
      <c r="D1453" s="74" t="s">
        <v>2364</v>
      </c>
      <c r="E1453" s="74" t="s">
        <v>20</v>
      </c>
      <c r="F1453" s="49">
        <v>43.41</v>
      </c>
      <c r="G1453" s="49" t="s">
        <v>43</v>
      </c>
      <c r="H1453" s="50"/>
      <c r="I1453" s="50"/>
      <c r="J1453" s="50"/>
      <c r="K1453" s="50"/>
      <c r="L1453" s="50"/>
      <c r="M1453" s="50"/>
      <c r="N1453" s="50"/>
      <c r="O1453" s="50"/>
      <c r="P1453" s="50"/>
      <c r="Q1453" s="50"/>
      <c r="R1453" s="50"/>
      <c r="S1453" s="50"/>
      <c r="T1453" s="50"/>
      <c r="U1453" s="50"/>
      <c r="V1453" s="50"/>
      <c r="W1453" s="50"/>
      <c r="X1453" s="50"/>
      <c r="Y1453" s="50"/>
      <c r="Z1453" s="50"/>
    </row>
    <row r="1454" spans="1:26">
      <c r="A1454" s="49">
        <v>1462</v>
      </c>
      <c r="B1454" s="51" t="s">
        <v>2579</v>
      </c>
      <c r="C1454" s="52" t="s">
        <v>45</v>
      </c>
      <c r="D1454" s="74" t="s">
        <v>1941</v>
      </c>
      <c r="E1454" s="74" t="s">
        <v>1356</v>
      </c>
      <c r="F1454" s="49">
        <v>40.619999999999997</v>
      </c>
      <c r="G1454" s="49" t="s">
        <v>43</v>
      </c>
      <c r="H1454" s="50"/>
      <c r="I1454" s="50"/>
      <c r="J1454" s="50"/>
      <c r="K1454" s="50"/>
      <c r="L1454" s="50"/>
      <c r="M1454" s="50"/>
      <c r="N1454" s="50"/>
      <c r="O1454" s="50"/>
      <c r="P1454" s="50"/>
      <c r="Q1454" s="50"/>
      <c r="R1454" s="50"/>
      <c r="S1454" s="50"/>
      <c r="T1454" s="50"/>
      <c r="U1454" s="50"/>
      <c r="V1454" s="50"/>
      <c r="W1454" s="50"/>
      <c r="X1454" s="50"/>
      <c r="Y1454" s="50"/>
      <c r="Z1454" s="50"/>
    </row>
    <row r="1455" spans="1:26">
      <c r="A1455" s="49">
        <v>1463</v>
      </c>
      <c r="B1455" s="51" t="s">
        <v>2580</v>
      </c>
      <c r="C1455" s="52" t="s">
        <v>52</v>
      </c>
      <c r="D1455" s="74" t="s">
        <v>214</v>
      </c>
      <c r="E1455" s="74" t="s">
        <v>20</v>
      </c>
      <c r="F1455" s="49">
        <v>63.33</v>
      </c>
      <c r="G1455" s="49" t="s">
        <v>43</v>
      </c>
      <c r="H1455" s="50"/>
      <c r="I1455" s="50"/>
      <c r="J1455" s="50"/>
      <c r="K1455" s="50"/>
      <c r="L1455" s="50"/>
      <c r="M1455" s="50"/>
      <c r="N1455" s="50"/>
      <c r="O1455" s="50"/>
      <c r="P1455" s="50"/>
      <c r="Q1455" s="50"/>
      <c r="R1455" s="50"/>
      <c r="S1455" s="50"/>
      <c r="T1455" s="50"/>
      <c r="U1455" s="50"/>
      <c r="V1455" s="50"/>
      <c r="W1455" s="50"/>
      <c r="X1455" s="50"/>
      <c r="Y1455" s="50"/>
      <c r="Z1455" s="50"/>
    </row>
    <row r="1456" spans="1:26">
      <c r="A1456" s="49">
        <v>1464</v>
      </c>
      <c r="B1456" s="51" t="s">
        <v>2581</v>
      </c>
      <c r="C1456" s="52" t="s">
        <v>40</v>
      </c>
      <c r="D1456" s="74" t="s">
        <v>123</v>
      </c>
      <c r="E1456" s="74" t="s">
        <v>2370</v>
      </c>
      <c r="F1456" s="49">
        <v>79.36</v>
      </c>
      <c r="G1456" s="49" t="s">
        <v>43</v>
      </c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  <c r="S1456" s="50"/>
      <c r="T1456" s="50"/>
      <c r="U1456" s="50"/>
      <c r="V1456" s="50"/>
      <c r="W1456" s="50"/>
      <c r="X1456" s="50"/>
      <c r="Y1456" s="50"/>
      <c r="Z1456" s="50"/>
    </row>
    <row r="1457" spans="1:26">
      <c r="A1457" s="49">
        <v>1465</v>
      </c>
      <c r="B1457" s="51" t="s">
        <v>2582</v>
      </c>
      <c r="C1457" s="52" t="s">
        <v>45</v>
      </c>
      <c r="D1457" s="74" t="s">
        <v>123</v>
      </c>
      <c r="E1457" s="74" t="s">
        <v>2583</v>
      </c>
      <c r="F1457" s="49">
        <v>30.56</v>
      </c>
      <c r="G1457" s="49" t="s">
        <v>43</v>
      </c>
      <c r="H1457" s="50"/>
      <c r="I1457" s="50"/>
      <c r="J1457" s="50"/>
      <c r="K1457" s="50"/>
      <c r="L1457" s="50"/>
      <c r="M1457" s="50"/>
      <c r="N1457" s="50"/>
      <c r="O1457" s="50"/>
      <c r="P1457" s="50"/>
      <c r="Q1457" s="50"/>
      <c r="R1457" s="50"/>
      <c r="S1457" s="50"/>
      <c r="T1457" s="50"/>
      <c r="U1457" s="50"/>
      <c r="V1457" s="50"/>
      <c r="W1457" s="50"/>
      <c r="X1457" s="50"/>
      <c r="Y1457" s="50"/>
      <c r="Z1457" s="50"/>
    </row>
    <row r="1458" spans="1:26">
      <c r="A1458" s="49">
        <v>1466</v>
      </c>
      <c r="B1458" s="51" t="s">
        <v>2584</v>
      </c>
      <c r="C1458" s="52" t="s">
        <v>45</v>
      </c>
      <c r="D1458" s="74" t="s">
        <v>277</v>
      </c>
      <c r="E1458" s="74" t="s">
        <v>20</v>
      </c>
      <c r="F1458" s="49">
        <v>63.27</v>
      </c>
      <c r="G1458" s="49" t="s">
        <v>43</v>
      </c>
      <c r="H1458" s="50"/>
      <c r="I1458" s="50"/>
      <c r="J1458" s="50"/>
      <c r="K1458" s="50"/>
      <c r="L1458" s="50"/>
      <c r="M1458" s="50"/>
      <c r="N1458" s="50"/>
      <c r="O1458" s="50"/>
      <c r="P1458" s="50"/>
      <c r="Q1458" s="50"/>
      <c r="R1458" s="50"/>
      <c r="S1458" s="50"/>
      <c r="T1458" s="50"/>
      <c r="U1458" s="50"/>
      <c r="V1458" s="50"/>
      <c r="W1458" s="50"/>
      <c r="X1458" s="50"/>
      <c r="Y1458" s="50"/>
      <c r="Z1458" s="50"/>
    </row>
    <row r="1459" spans="1:26">
      <c r="A1459" s="49">
        <v>1467</v>
      </c>
      <c r="B1459" s="51" t="s">
        <v>2585</v>
      </c>
      <c r="C1459" s="52" t="s">
        <v>52</v>
      </c>
      <c r="D1459" s="74" t="s">
        <v>192</v>
      </c>
      <c r="E1459" s="74"/>
      <c r="F1459" s="49">
        <v>61.39</v>
      </c>
      <c r="G1459" s="49" t="s">
        <v>43</v>
      </c>
      <c r="H1459" s="50"/>
      <c r="I1459" s="50"/>
      <c r="J1459" s="50"/>
      <c r="K1459" s="50"/>
      <c r="L1459" s="50"/>
      <c r="M1459" s="50"/>
      <c r="N1459" s="50"/>
      <c r="O1459" s="50"/>
      <c r="P1459" s="50"/>
      <c r="Q1459" s="50"/>
      <c r="R1459" s="50"/>
      <c r="S1459" s="50"/>
      <c r="T1459" s="50"/>
      <c r="U1459" s="50"/>
      <c r="V1459" s="50"/>
      <c r="W1459" s="50"/>
      <c r="X1459" s="50"/>
      <c r="Y1459" s="50"/>
      <c r="Z1459" s="50"/>
    </row>
    <row r="1460" spans="1:26">
      <c r="A1460" s="49">
        <v>1468</v>
      </c>
      <c r="B1460" s="51" t="s">
        <v>2586</v>
      </c>
      <c r="C1460" s="52" t="s">
        <v>45</v>
      </c>
      <c r="D1460" s="74"/>
      <c r="E1460" s="74" t="s">
        <v>2587</v>
      </c>
      <c r="F1460" s="49">
        <v>74.19</v>
      </c>
      <c r="G1460" s="49" t="s">
        <v>459</v>
      </c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  <c r="S1460" s="50"/>
      <c r="T1460" s="50"/>
      <c r="U1460" s="50"/>
      <c r="V1460" s="50"/>
      <c r="W1460" s="50"/>
      <c r="X1460" s="50"/>
      <c r="Y1460" s="50"/>
      <c r="Z1460" s="50"/>
    </row>
    <row r="1461" spans="1:26">
      <c r="A1461" s="49">
        <v>1469</v>
      </c>
      <c r="B1461" s="51" t="s">
        <v>2588</v>
      </c>
      <c r="C1461" s="52" t="s">
        <v>40</v>
      </c>
      <c r="D1461" s="74" t="s">
        <v>277</v>
      </c>
      <c r="E1461" s="74" t="s">
        <v>989</v>
      </c>
      <c r="F1461" s="49">
        <v>84.18</v>
      </c>
      <c r="G1461" s="49" t="s">
        <v>43</v>
      </c>
      <c r="H1461" s="50"/>
      <c r="I1461" s="50"/>
      <c r="J1461" s="50"/>
      <c r="K1461" s="50"/>
      <c r="L1461" s="50"/>
      <c r="M1461" s="50"/>
      <c r="N1461" s="50"/>
      <c r="O1461" s="50"/>
      <c r="P1461" s="50"/>
      <c r="Q1461" s="50"/>
      <c r="R1461" s="50"/>
      <c r="S1461" s="50"/>
      <c r="T1461" s="50"/>
      <c r="U1461" s="50"/>
      <c r="V1461" s="50"/>
      <c r="W1461" s="50"/>
      <c r="X1461" s="50"/>
      <c r="Y1461" s="50"/>
      <c r="Z1461" s="50"/>
    </row>
    <row r="1462" spans="1:26">
      <c r="A1462" s="49">
        <v>1470</v>
      </c>
      <c r="B1462" s="51" t="s">
        <v>2589</v>
      </c>
      <c r="C1462" s="52" t="s">
        <v>40</v>
      </c>
      <c r="D1462" s="74" t="s">
        <v>123</v>
      </c>
      <c r="E1462" s="74" t="s">
        <v>989</v>
      </c>
      <c r="F1462" s="49">
        <v>89.57</v>
      </c>
      <c r="G1462" s="49" t="s">
        <v>43</v>
      </c>
      <c r="H1462" s="50"/>
      <c r="I1462" s="50"/>
      <c r="J1462" s="50"/>
      <c r="K1462" s="50"/>
      <c r="L1462" s="50"/>
      <c r="M1462" s="50"/>
      <c r="N1462" s="50"/>
      <c r="O1462" s="50"/>
      <c r="P1462" s="50"/>
      <c r="Q1462" s="50"/>
      <c r="R1462" s="50"/>
      <c r="S1462" s="50"/>
      <c r="T1462" s="50"/>
      <c r="U1462" s="50"/>
      <c r="V1462" s="50"/>
      <c r="W1462" s="50"/>
      <c r="X1462" s="50"/>
      <c r="Y1462" s="50"/>
      <c r="Z1462" s="50"/>
    </row>
    <row r="1463" spans="1:26">
      <c r="A1463" s="49">
        <v>1471</v>
      </c>
      <c r="B1463" s="51" t="s">
        <v>2590</v>
      </c>
      <c r="C1463" s="52" t="s">
        <v>45</v>
      </c>
      <c r="D1463" s="74" t="s">
        <v>184</v>
      </c>
      <c r="E1463" s="74" t="s">
        <v>20</v>
      </c>
      <c r="F1463" s="49">
        <v>57.17</v>
      </c>
      <c r="G1463" s="49" t="s">
        <v>43</v>
      </c>
      <c r="H1463" s="50"/>
      <c r="I1463" s="50"/>
      <c r="J1463" s="50"/>
      <c r="K1463" s="50"/>
      <c r="L1463" s="50"/>
      <c r="M1463" s="50"/>
      <c r="N1463" s="50"/>
      <c r="O1463" s="50"/>
      <c r="P1463" s="50"/>
      <c r="Q1463" s="50"/>
      <c r="R1463" s="50"/>
      <c r="S1463" s="50"/>
      <c r="T1463" s="50"/>
      <c r="U1463" s="50"/>
      <c r="V1463" s="50"/>
      <c r="W1463" s="50"/>
      <c r="X1463" s="50"/>
      <c r="Y1463" s="50"/>
      <c r="Z1463" s="50"/>
    </row>
    <row r="1464" spans="1:26">
      <c r="A1464" s="49">
        <v>1472</v>
      </c>
      <c r="B1464" s="51" t="s">
        <v>2591</v>
      </c>
      <c r="C1464" s="52" t="s">
        <v>45</v>
      </c>
      <c r="D1464" s="74" t="s">
        <v>390</v>
      </c>
      <c r="E1464" s="74"/>
      <c r="F1464" s="49">
        <v>62.87</v>
      </c>
      <c r="G1464" s="49" t="s">
        <v>43</v>
      </c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  <c r="S1464" s="50"/>
      <c r="T1464" s="50"/>
      <c r="U1464" s="50"/>
      <c r="V1464" s="50"/>
      <c r="W1464" s="50"/>
      <c r="X1464" s="50"/>
      <c r="Y1464" s="50"/>
      <c r="Z1464" s="50"/>
    </row>
    <row r="1465" spans="1:26">
      <c r="A1465" s="49">
        <v>1473</v>
      </c>
      <c r="B1465" s="51" t="s">
        <v>2592</v>
      </c>
      <c r="C1465" s="52" t="s">
        <v>52</v>
      </c>
      <c r="D1465" s="74" t="s">
        <v>214</v>
      </c>
      <c r="E1465" s="74" t="s">
        <v>2593</v>
      </c>
      <c r="F1465" s="49">
        <v>47.38</v>
      </c>
      <c r="G1465" s="49" t="s">
        <v>43</v>
      </c>
      <c r="H1465" s="50"/>
      <c r="I1465" s="50"/>
      <c r="J1465" s="50"/>
      <c r="K1465" s="50"/>
      <c r="L1465" s="50"/>
      <c r="M1465" s="50"/>
      <c r="N1465" s="50"/>
      <c r="O1465" s="50"/>
      <c r="P1465" s="50"/>
      <c r="Q1465" s="50"/>
      <c r="R1465" s="50"/>
      <c r="S1465" s="50"/>
      <c r="T1465" s="50"/>
      <c r="U1465" s="50"/>
      <c r="V1465" s="50"/>
      <c r="W1465" s="50"/>
      <c r="X1465" s="50"/>
      <c r="Y1465" s="50"/>
      <c r="Z1465" s="50"/>
    </row>
    <row r="1466" spans="1:26">
      <c r="A1466" s="49">
        <v>1474</v>
      </c>
      <c r="B1466" s="51" t="s">
        <v>2594</v>
      </c>
      <c r="C1466" s="52" t="s">
        <v>40</v>
      </c>
      <c r="D1466" s="74" t="s">
        <v>98</v>
      </c>
      <c r="E1466" s="74" t="s">
        <v>989</v>
      </c>
      <c r="F1466" s="49">
        <v>77.98</v>
      </c>
      <c r="G1466" s="49" t="s">
        <v>43</v>
      </c>
      <c r="H1466" s="50"/>
      <c r="I1466" s="50"/>
      <c r="J1466" s="50"/>
      <c r="K1466" s="50"/>
      <c r="L1466" s="50"/>
      <c r="M1466" s="50"/>
      <c r="N1466" s="50"/>
      <c r="O1466" s="50"/>
      <c r="P1466" s="50"/>
      <c r="Q1466" s="50"/>
      <c r="R1466" s="50"/>
      <c r="S1466" s="50"/>
      <c r="T1466" s="50"/>
      <c r="U1466" s="50"/>
      <c r="V1466" s="50"/>
      <c r="W1466" s="50"/>
      <c r="X1466" s="50"/>
      <c r="Y1466" s="50"/>
      <c r="Z1466" s="50"/>
    </row>
    <row r="1467" spans="1:26">
      <c r="A1467" s="49">
        <v>1475</v>
      </c>
      <c r="B1467" s="51" t="s">
        <v>2595</v>
      </c>
      <c r="C1467" s="52" t="s">
        <v>40</v>
      </c>
      <c r="D1467" s="74" t="s">
        <v>123</v>
      </c>
      <c r="E1467" s="74" t="s">
        <v>2596</v>
      </c>
      <c r="F1467" s="49">
        <v>77.400000000000006</v>
      </c>
      <c r="G1467" s="49" t="s">
        <v>43</v>
      </c>
      <c r="H1467" s="50"/>
      <c r="I1467" s="50"/>
      <c r="J1467" s="50"/>
      <c r="K1467" s="50"/>
      <c r="L1467" s="50"/>
      <c r="M1467" s="50"/>
      <c r="N1467" s="50"/>
      <c r="O1467" s="50"/>
      <c r="P1467" s="50"/>
      <c r="Q1467" s="50"/>
      <c r="R1467" s="50"/>
      <c r="S1467" s="50"/>
      <c r="T1467" s="50"/>
      <c r="U1467" s="50"/>
      <c r="V1467" s="50"/>
      <c r="W1467" s="50"/>
      <c r="X1467" s="50"/>
      <c r="Y1467" s="50"/>
      <c r="Z1467" s="50"/>
    </row>
    <row r="1468" spans="1:26">
      <c r="A1468" s="49">
        <v>1476</v>
      </c>
      <c r="B1468" s="51" t="s">
        <v>2597</v>
      </c>
      <c r="C1468" s="52" t="s">
        <v>45</v>
      </c>
      <c r="D1468" s="74" t="s">
        <v>123</v>
      </c>
      <c r="E1468" s="74" t="s">
        <v>2598</v>
      </c>
      <c r="F1468" s="49">
        <v>90.4</v>
      </c>
      <c r="G1468" s="49" t="s">
        <v>43</v>
      </c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  <c r="S1468" s="50"/>
      <c r="T1468" s="50"/>
      <c r="U1468" s="50"/>
      <c r="V1468" s="50"/>
      <c r="W1468" s="50"/>
      <c r="X1468" s="50"/>
      <c r="Y1468" s="50"/>
      <c r="Z1468" s="50"/>
    </row>
    <row r="1469" spans="1:26">
      <c r="A1469" s="49">
        <v>1477</v>
      </c>
      <c r="B1469" s="51" t="s">
        <v>2599</v>
      </c>
      <c r="C1469" s="52" t="s">
        <v>45</v>
      </c>
      <c r="D1469" s="74" t="s">
        <v>214</v>
      </c>
      <c r="E1469" s="74" t="s">
        <v>20</v>
      </c>
      <c r="F1469" s="49">
        <v>25.67</v>
      </c>
      <c r="G1469" s="49" t="s">
        <v>43</v>
      </c>
      <c r="H1469" s="50"/>
      <c r="I1469" s="50"/>
      <c r="J1469" s="50"/>
      <c r="K1469" s="50"/>
      <c r="L1469" s="50"/>
      <c r="M1469" s="50"/>
      <c r="N1469" s="50"/>
      <c r="O1469" s="50"/>
      <c r="P1469" s="50"/>
      <c r="Q1469" s="50"/>
      <c r="R1469" s="50"/>
      <c r="S1469" s="50"/>
      <c r="T1469" s="50"/>
      <c r="U1469" s="50"/>
      <c r="V1469" s="50"/>
      <c r="W1469" s="50"/>
      <c r="X1469" s="50"/>
      <c r="Y1469" s="50"/>
      <c r="Z1469" s="50"/>
    </row>
    <row r="1470" spans="1:26">
      <c r="A1470" s="49">
        <v>1478</v>
      </c>
      <c r="B1470" s="51" t="s">
        <v>2600</v>
      </c>
      <c r="C1470" s="52" t="s">
        <v>52</v>
      </c>
      <c r="D1470" s="74" t="s">
        <v>815</v>
      </c>
      <c r="E1470" s="74" t="s">
        <v>1540</v>
      </c>
      <c r="F1470" s="49">
        <v>54.74</v>
      </c>
      <c r="G1470" s="49" t="s">
        <v>43</v>
      </c>
      <c r="H1470" s="50"/>
      <c r="I1470" s="50"/>
      <c r="J1470" s="50"/>
      <c r="K1470" s="50"/>
      <c r="L1470" s="50"/>
      <c r="M1470" s="50"/>
      <c r="N1470" s="50"/>
      <c r="O1470" s="50"/>
      <c r="P1470" s="50"/>
      <c r="Q1470" s="50"/>
      <c r="R1470" s="50"/>
      <c r="S1470" s="50"/>
      <c r="T1470" s="50"/>
      <c r="U1470" s="50"/>
      <c r="V1470" s="50"/>
      <c r="W1470" s="50"/>
      <c r="X1470" s="50"/>
      <c r="Y1470" s="50"/>
      <c r="Z1470" s="50"/>
    </row>
    <row r="1471" spans="1:26">
      <c r="A1471" s="49">
        <v>1479</v>
      </c>
      <c r="B1471" s="51" t="s">
        <v>2601</v>
      </c>
      <c r="C1471" s="52" t="s">
        <v>52</v>
      </c>
      <c r="D1471" s="74"/>
      <c r="E1471" s="74" t="s">
        <v>432</v>
      </c>
      <c r="F1471" s="49">
        <v>90.66</v>
      </c>
      <c r="G1471" s="49" t="s">
        <v>459</v>
      </c>
      <c r="H1471" s="50"/>
      <c r="I1471" s="50"/>
      <c r="J1471" s="50"/>
      <c r="K1471" s="50"/>
      <c r="L1471" s="50"/>
      <c r="M1471" s="50"/>
      <c r="N1471" s="50"/>
      <c r="O1471" s="50"/>
      <c r="P1471" s="50"/>
      <c r="Q1471" s="50"/>
      <c r="R1471" s="50"/>
      <c r="S1471" s="50"/>
      <c r="T1471" s="50"/>
      <c r="U1471" s="50"/>
      <c r="V1471" s="50"/>
      <c r="W1471" s="50"/>
      <c r="X1471" s="50"/>
      <c r="Y1471" s="50"/>
      <c r="Z1471" s="50"/>
    </row>
    <row r="1472" spans="1:26">
      <c r="A1472" s="49">
        <v>1480</v>
      </c>
      <c r="B1472" s="51" t="s">
        <v>2602</v>
      </c>
      <c r="C1472" s="52" t="s">
        <v>40</v>
      </c>
      <c r="D1472" s="74" t="s">
        <v>123</v>
      </c>
      <c r="E1472" s="74" t="s">
        <v>20</v>
      </c>
      <c r="F1472" s="49">
        <v>93.76</v>
      </c>
      <c r="G1472" s="49" t="s">
        <v>43</v>
      </c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  <c r="S1472" s="50"/>
      <c r="T1472" s="50"/>
      <c r="U1472" s="50"/>
      <c r="V1472" s="50"/>
      <c r="W1472" s="50"/>
      <c r="X1472" s="50"/>
      <c r="Y1472" s="50"/>
      <c r="Z1472" s="50"/>
    </row>
    <row r="1473" spans="1:26">
      <c r="A1473" s="49">
        <v>1481</v>
      </c>
      <c r="B1473" s="51" t="s">
        <v>2603</v>
      </c>
      <c r="C1473" s="52" t="s">
        <v>45</v>
      </c>
      <c r="D1473" s="74" t="s">
        <v>184</v>
      </c>
      <c r="E1473" s="74" t="s">
        <v>2604</v>
      </c>
      <c r="F1473" s="49">
        <v>53.71</v>
      </c>
      <c r="G1473" s="49" t="s">
        <v>43</v>
      </c>
      <c r="H1473" s="50"/>
      <c r="I1473" s="50"/>
      <c r="J1473" s="50"/>
      <c r="K1473" s="50"/>
      <c r="L1473" s="50"/>
      <c r="M1473" s="50"/>
      <c r="N1473" s="50"/>
      <c r="O1473" s="50"/>
      <c r="P1473" s="50"/>
      <c r="Q1473" s="50"/>
      <c r="R1473" s="50"/>
      <c r="S1473" s="50"/>
      <c r="T1473" s="50"/>
      <c r="U1473" s="50"/>
      <c r="V1473" s="50"/>
      <c r="W1473" s="50"/>
      <c r="X1473" s="50"/>
      <c r="Y1473" s="50"/>
      <c r="Z1473" s="50"/>
    </row>
    <row r="1474" spans="1:26">
      <c r="A1474" s="49">
        <v>1482</v>
      </c>
      <c r="B1474" s="51" t="s">
        <v>2605</v>
      </c>
      <c r="C1474" s="52" t="s">
        <v>45</v>
      </c>
      <c r="D1474" s="74" t="s">
        <v>128</v>
      </c>
      <c r="E1474" s="74" t="s">
        <v>20</v>
      </c>
      <c r="F1474" s="49">
        <v>42.61</v>
      </c>
      <c r="G1474" s="49" t="s">
        <v>43</v>
      </c>
      <c r="H1474" s="50"/>
      <c r="I1474" s="50"/>
      <c r="J1474" s="50"/>
      <c r="K1474" s="50"/>
      <c r="L1474" s="50"/>
      <c r="M1474" s="50"/>
      <c r="N1474" s="50"/>
      <c r="O1474" s="50"/>
      <c r="P1474" s="50"/>
      <c r="Q1474" s="50"/>
      <c r="R1474" s="50"/>
      <c r="S1474" s="50"/>
      <c r="T1474" s="50"/>
      <c r="U1474" s="50"/>
      <c r="V1474" s="50"/>
      <c r="W1474" s="50"/>
      <c r="X1474" s="50"/>
      <c r="Y1474" s="50"/>
      <c r="Z1474" s="50"/>
    </row>
    <row r="1475" spans="1:26">
      <c r="A1475" s="49">
        <v>1483</v>
      </c>
      <c r="B1475" s="51" t="s">
        <v>2606</v>
      </c>
      <c r="C1475" s="52" t="s">
        <v>52</v>
      </c>
      <c r="D1475" s="74" t="s">
        <v>214</v>
      </c>
      <c r="E1475" s="74" t="s">
        <v>20</v>
      </c>
      <c r="F1475" s="49">
        <v>25.47</v>
      </c>
      <c r="G1475" s="49" t="s">
        <v>43</v>
      </c>
      <c r="H1475" s="50"/>
      <c r="I1475" s="50"/>
      <c r="J1475" s="50"/>
      <c r="K1475" s="50"/>
      <c r="L1475" s="50"/>
      <c r="M1475" s="50"/>
      <c r="N1475" s="50"/>
      <c r="O1475" s="50"/>
      <c r="P1475" s="50"/>
      <c r="Q1475" s="50"/>
      <c r="R1475" s="50"/>
      <c r="S1475" s="50"/>
      <c r="T1475" s="50"/>
      <c r="U1475" s="50"/>
      <c r="V1475" s="50"/>
      <c r="W1475" s="50"/>
      <c r="X1475" s="50"/>
      <c r="Y1475" s="50"/>
      <c r="Z1475" s="50"/>
    </row>
    <row r="1476" spans="1:26">
      <c r="A1476" s="49">
        <v>1484</v>
      </c>
      <c r="B1476" s="51" t="s">
        <v>2607</v>
      </c>
      <c r="C1476" s="52" t="s">
        <v>40</v>
      </c>
      <c r="D1476" s="74"/>
      <c r="E1476" s="74" t="s">
        <v>2587</v>
      </c>
      <c r="F1476" s="49">
        <v>89.18</v>
      </c>
      <c r="G1476" s="49" t="s">
        <v>459</v>
      </c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  <c r="S1476" s="50"/>
      <c r="T1476" s="50"/>
      <c r="U1476" s="50"/>
      <c r="V1476" s="50"/>
      <c r="W1476" s="50"/>
      <c r="X1476" s="50"/>
      <c r="Y1476" s="50"/>
      <c r="Z1476" s="50"/>
    </row>
    <row r="1477" spans="1:26">
      <c r="A1477" s="49">
        <v>1485</v>
      </c>
      <c r="B1477" s="51" t="s">
        <v>2608</v>
      </c>
      <c r="C1477" s="52" t="s">
        <v>45</v>
      </c>
      <c r="D1477" s="74" t="s">
        <v>2609</v>
      </c>
      <c r="E1477" s="74" t="s">
        <v>432</v>
      </c>
      <c r="F1477" s="49">
        <v>78.760000000000005</v>
      </c>
      <c r="G1477" s="49" t="s">
        <v>43</v>
      </c>
      <c r="H1477" s="50"/>
      <c r="I1477" s="50"/>
      <c r="J1477" s="50"/>
      <c r="K1477" s="50"/>
      <c r="L1477" s="50"/>
      <c r="M1477" s="50"/>
      <c r="N1477" s="50"/>
      <c r="O1477" s="50"/>
      <c r="P1477" s="50"/>
      <c r="Q1477" s="50"/>
      <c r="R1477" s="50"/>
      <c r="S1477" s="50"/>
      <c r="T1477" s="50"/>
      <c r="U1477" s="50"/>
      <c r="V1477" s="50"/>
      <c r="W1477" s="50"/>
      <c r="X1477" s="50"/>
      <c r="Y1477" s="50"/>
      <c r="Z1477" s="50"/>
    </row>
  </sheetData>
  <autoFilter ref="A1:G1477" xr:uid="{00000000-0009-0000-0000-000006000000}"/>
  <phoneticPr fontId="18" type="noConversion"/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  <hyperlink ref="B7" r:id="rId6" xr:uid="{00000000-0004-0000-0600-000005000000}"/>
    <hyperlink ref="B8" r:id="rId7" xr:uid="{00000000-0004-0000-0600-000006000000}"/>
    <hyperlink ref="B9" r:id="rId8" xr:uid="{00000000-0004-0000-0600-000007000000}"/>
    <hyperlink ref="B10" r:id="rId9" xr:uid="{00000000-0004-0000-0600-000008000000}"/>
    <hyperlink ref="B11" r:id="rId10" xr:uid="{00000000-0004-0000-0600-000009000000}"/>
    <hyperlink ref="B12" r:id="rId11" xr:uid="{00000000-0004-0000-0600-00000A000000}"/>
    <hyperlink ref="B13" r:id="rId12" xr:uid="{00000000-0004-0000-0600-00000B000000}"/>
    <hyperlink ref="B14" r:id="rId13" xr:uid="{00000000-0004-0000-0600-00000C000000}"/>
    <hyperlink ref="B15" r:id="rId14" xr:uid="{00000000-0004-0000-0600-00000D000000}"/>
    <hyperlink ref="B16" r:id="rId15" xr:uid="{00000000-0004-0000-0600-00000E000000}"/>
    <hyperlink ref="B17" r:id="rId16" xr:uid="{00000000-0004-0000-0600-00000F000000}"/>
    <hyperlink ref="B18" r:id="rId17" xr:uid="{00000000-0004-0000-0600-000010000000}"/>
    <hyperlink ref="B19" r:id="rId18" xr:uid="{00000000-0004-0000-0600-000011000000}"/>
    <hyperlink ref="B20" r:id="rId19" xr:uid="{00000000-0004-0000-0600-000012000000}"/>
    <hyperlink ref="B21" r:id="rId20" xr:uid="{00000000-0004-0000-0600-000013000000}"/>
    <hyperlink ref="B22" r:id="rId21" xr:uid="{00000000-0004-0000-0600-000014000000}"/>
    <hyperlink ref="B23" r:id="rId22" xr:uid="{00000000-0004-0000-0600-000015000000}"/>
    <hyperlink ref="B24" r:id="rId23" xr:uid="{00000000-0004-0000-0600-000016000000}"/>
    <hyperlink ref="B25" r:id="rId24" xr:uid="{00000000-0004-0000-0600-000017000000}"/>
    <hyperlink ref="B26" r:id="rId25" xr:uid="{00000000-0004-0000-0600-000018000000}"/>
    <hyperlink ref="B27" r:id="rId26" xr:uid="{00000000-0004-0000-0600-000019000000}"/>
    <hyperlink ref="B28" r:id="rId27" xr:uid="{00000000-0004-0000-0600-00001A000000}"/>
    <hyperlink ref="B29" r:id="rId28" xr:uid="{00000000-0004-0000-0600-00001B000000}"/>
    <hyperlink ref="B30" r:id="rId29" xr:uid="{00000000-0004-0000-0600-00001C000000}"/>
    <hyperlink ref="B31" r:id="rId30" xr:uid="{00000000-0004-0000-0600-00001D000000}"/>
    <hyperlink ref="B32" r:id="rId31" xr:uid="{00000000-0004-0000-0600-00001E000000}"/>
    <hyperlink ref="B33" r:id="rId32" xr:uid="{00000000-0004-0000-0600-00001F000000}"/>
    <hyperlink ref="B34" r:id="rId33" xr:uid="{00000000-0004-0000-0600-000020000000}"/>
    <hyperlink ref="B35" r:id="rId34" xr:uid="{00000000-0004-0000-0600-000021000000}"/>
    <hyperlink ref="B36" r:id="rId35" xr:uid="{00000000-0004-0000-0600-000022000000}"/>
    <hyperlink ref="B37" r:id="rId36" xr:uid="{00000000-0004-0000-0600-000023000000}"/>
    <hyperlink ref="B38" r:id="rId37" xr:uid="{00000000-0004-0000-0600-000024000000}"/>
    <hyperlink ref="B39" r:id="rId38" xr:uid="{00000000-0004-0000-0600-000025000000}"/>
    <hyperlink ref="B40" r:id="rId39" xr:uid="{00000000-0004-0000-0600-000026000000}"/>
    <hyperlink ref="B41" r:id="rId40" xr:uid="{00000000-0004-0000-0600-000027000000}"/>
    <hyperlink ref="B42" r:id="rId41" xr:uid="{00000000-0004-0000-0600-000028000000}"/>
    <hyperlink ref="B43" r:id="rId42" xr:uid="{00000000-0004-0000-0600-000029000000}"/>
    <hyperlink ref="B44" r:id="rId43" xr:uid="{00000000-0004-0000-0600-00002A000000}"/>
    <hyperlink ref="B45" r:id="rId44" xr:uid="{00000000-0004-0000-0600-00002B000000}"/>
    <hyperlink ref="B46" r:id="rId45" xr:uid="{00000000-0004-0000-0600-00002C000000}"/>
    <hyperlink ref="B47" r:id="rId46" xr:uid="{00000000-0004-0000-0600-00002D000000}"/>
    <hyperlink ref="B48" r:id="rId47" xr:uid="{00000000-0004-0000-0600-00002E000000}"/>
    <hyperlink ref="B49" r:id="rId48" xr:uid="{00000000-0004-0000-0600-00002F000000}"/>
    <hyperlink ref="B50" r:id="rId49" xr:uid="{00000000-0004-0000-0600-000030000000}"/>
    <hyperlink ref="B51" r:id="rId50" xr:uid="{00000000-0004-0000-0600-000031000000}"/>
    <hyperlink ref="B52" r:id="rId51" xr:uid="{00000000-0004-0000-0600-000032000000}"/>
    <hyperlink ref="B53" r:id="rId52" xr:uid="{00000000-0004-0000-0600-000033000000}"/>
    <hyperlink ref="B54" r:id="rId53" xr:uid="{00000000-0004-0000-0600-000034000000}"/>
    <hyperlink ref="B55" r:id="rId54" xr:uid="{00000000-0004-0000-0600-000035000000}"/>
    <hyperlink ref="B56" r:id="rId55" xr:uid="{00000000-0004-0000-0600-000036000000}"/>
    <hyperlink ref="B57" r:id="rId56" xr:uid="{00000000-0004-0000-0600-000037000000}"/>
    <hyperlink ref="B58" r:id="rId57" xr:uid="{00000000-0004-0000-0600-000038000000}"/>
    <hyperlink ref="B59" r:id="rId58" xr:uid="{00000000-0004-0000-0600-000039000000}"/>
    <hyperlink ref="B60" r:id="rId59" xr:uid="{00000000-0004-0000-0600-00003A000000}"/>
    <hyperlink ref="B61" r:id="rId60" xr:uid="{00000000-0004-0000-0600-00003B000000}"/>
    <hyperlink ref="B62" r:id="rId61" xr:uid="{00000000-0004-0000-0600-00003C000000}"/>
    <hyperlink ref="B63" r:id="rId62" xr:uid="{00000000-0004-0000-0600-00003D000000}"/>
    <hyperlink ref="B64" r:id="rId63" xr:uid="{00000000-0004-0000-0600-00003E000000}"/>
    <hyperlink ref="B65" r:id="rId64" xr:uid="{00000000-0004-0000-0600-00003F000000}"/>
    <hyperlink ref="B66" r:id="rId65" xr:uid="{00000000-0004-0000-0600-000040000000}"/>
    <hyperlink ref="B67" r:id="rId66" xr:uid="{00000000-0004-0000-0600-000041000000}"/>
    <hyperlink ref="B68" r:id="rId67" xr:uid="{00000000-0004-0000-0600-000042000000}"/>
    <hyperlink ref="B69" r:id="rId68" xr:uid="{00000000-0004-0000-0600-000043000000}"/>
    <hyperlink ref="B70" r:id="rId69" xr:uid="{00000000-0004-0000-0600-000044000000}"/>
    <hyperlink ref="B71" r:id="rId70" xr:uid="{00000000-0004-0000-0600-000045000000}"/>
    <hyperlink ref="B72" r:id="rId71" xr:uid="{00000000-0004-0000-0600-000046000000}"/>
    <hyperlink ref="B73" r:id="rId72" xr:uid="{00000000-0004-0000-0600-000047000000}"/>
    <hyperlink ref="B74" r:id="rId73" xr:uid="{00000000-0004-0000-0600-000048000000}"/>
    <hyperlink ref="B75" r:id="rId74" xr:uid="{00000000-0004-0000-0600-000049000000}"/>
    <hyperlink ref="B76" r:id="rId75" xr:uid="{00000000-0004-0000-0600-00004A000000}"/>
    <hyperlink ref="B77" r:id="rId76" xr:uid="{00000000-0004-0000-0600-00004B000000}"/>
    <hyperlink ref="B78" r:id="rId77" xr:uid="{00000000-0004-0000-0600-00004C000000}"/>
    <hyperlink ref="B79" r:id="rId78" xr:uid="{00000000-0004-0000-0600-00004D000000}"/>
    <hyperlink ref="B80" r:id="rId79" xr:uid="{00000000-0004-0000-0600-00004E000000}"/>
    <hyperlink ref="B81" r:id="rId80" xr:uid="{00000000-0004-0000-0600-00004F000000}"/>
    <hyperlink ref="B82" r:id="rId81" xr:uid="{00000000-0004-0000-0600-000050000000}"/>
    <hyperlink ref="B83" r:id="rId82" xr:uid="{00000000-0004-0000-0600-000051000000}"/>
    <hyperlink ref="B84" r:id="rId83" xr:uid="{00000000-0004-0000-0600-000052000000}"/>
    <hyperlink ref="B85" r:id="rId84" xr:uid="{00000000-0004-0000-0600-000053000000}"/>
    <hyperlink ref="B86" r:id="rId85" xr:uid="{00000000-0004-0000-0600-000054000000}"/>
    <hyperlink ref="B87" r:id="rId86" xr:uid="{00000000-0004-0000-0600-000055000000}"/>
    <hyperlink ref="B88" r:id="rId87" xr:uid="{00000000-0004-0000-0600-000056000000}"/>
    <hyperlink ref="B89" r:id="rId88" xr:uid="{00000000-0004-0000-0600-000057000000}"/>
    <hyperlink ref="B90" r:id="rId89" xr:uid="{00000000-0004-0000-0600-000058000000}"/>
    <hyperlink ref="B91" r:id="rId90" xr:uid="{00000000-0004-0000-0600-000059000000}"/>
    <hyperlink ref="B92" r:id="rId91" xr:uid="{00000000-0004-0000-0600-00005A000000}"/>
    <hyperlink ref="B93" r:id="rId92" xr:uid="{00000000-0004-0000-0600-00005B000000}"/>
    <hyperlink ref="B94" r:id="rId93" xr:uid="{00000000-0004-0000-0600-00005C000000}"/>
    <hyperlink ref="B95" r:id="rId94" xr:uid="{00000000-0004-0000-0600-00005D000000}"/>
    <hyperlink ref="B96" r:id="rId95" xr:uid="{00000000-0004-0000-0600-00005E000000}"/>
    <hyperlink ref="B97" r:id="rId96" xr:uid="{00000000-0004-0000-0600-00005F000000}"/>
    <hyperlink ref="B98" r:id="rId97" xr:uid="{00000000-0004-0000-0600-000060000000}"/>
    <hyperlink ref="B99" r:id="rId98" xr:uid="{00000000-0004-0000-0600-000061000000}"/>
    <hyperlink ref="B100" r:id="rId99" xr:uid="{00000000-0004-0000-0600-000062000000}"/>
    <hyperlink ref="B101" r:id="rId100" xr:uid="{00000000-0004-0000-0600-000063000000}"/>
    <hyperlink ref="B102" r:id="rId101" xr:uid="{00000000-0004-0000-0600-000064000000}"/>
    <hyperlink ref="B103" r:id="rId102" xr:uid="{00000000-0004-0000-0600-000065000000}"/>
    <hyperlink ref="B104" r:id="rId103" xr:uid="{00000000-0004-0000-0600-000066000000}"/>
    <hyperlink ref="B105" r:id="rId104" xr:uid="{00000000-0004-0000-0600-000067000000}"/>
    <hyperlink ref="B106" r:id="rId105" xr:uid="{00000000-0004-0000-0600-000068000000}"/>
    <hyperlink ref="B107" r:id="rId106" xr:uid="{00000000-0004-0000-0600-000069000000}"/>
    <hyperlink ref="B108" r:id="rId107" xr:uid="{00000000-0004-0000-0600-00006A000000}"/>
    <hyperlink ref="B109" r:id="rId108" xr:uid="{00000000-0004-0000-0600-00006B000000}"/>
    <hyperlink ref="B110" r:id="rId109" xr:uid="{00000000-0004-0000-0600-00006C000000}"/>
    <hyperlink ref="B111" r:id="rId110" xr:uid="{00000000-0004-0000-0600-00006D000000}"/>
    <hyperlink ref="B112" r:id="rId111" xr:uid="{00000000-0004-0000-0600-00006E000000}"/>
    <hyperlink ref="B113" r:id="rId112" xr:uid="{00000000-0004-0000-0600-00006F000000}"/>
    <hyperlink ref="B114" r:id="rId113" xr:uid="{00000000-0004-0000-0600-000070000000}"/>
    <hyperlink ref="B115" r:id="rId114" xr:uid="{00000000-0004-0000-0600-000071000000}"/>
    <hyperlink ref="B116" r:id="rId115" xr:uid="{00000000-0004-0000-0600-000072000000}"/>
    <hyperlink ref="B117" r:id="rId116" xr:uid="{00000000-0004-0000-0600-000073000000}"/>
    <hyperlink ref="B118" r:id="rId117" xr:uid="{00000000-0004-0000-0600-000074000000}"/>
    <hyperlink ref="B119" r:id="rId118" xr:uid="{00000000-0004-0000-0600-000075000000}"/>
    <hyperlink ref="B120" r:id="rId119" xr:uid="{00000000-0004-0000-0600-000076000000}"/>
    <hyperlink ref="B121" r:id="rId120" xr:uid="{00000000-0004-0000-0600-000077000000}"/>
    <hyperlink ref="B122" r:id="rId121" xr:uid="{00000000-0004-0000-0600-000078000000}"/>
    <hyperlink ref="B123" r:id="rId122" xr:uid="{00000000-0004-0000-0600-000079000000}"/>
    <hyperlink ref="B124" r:id="rId123" xr:uid="{00000000-0004-0000-0600-00007A000000}"/>
    <hyperlink ref="B125" r:id="rId124" xr:uid="{00000000-0004-0000-0600-00007B000000}"/>
    <hyperlink ref="B126" r:id="rId125" xr:uid="{00000000-0004-0000-0600-00007C000000}"/>
    <hyperlink ref="B127" r:id="rId126" xr:uid="{00000000-0004-0000-0600-00007D000000}"/>
    <hyperlink ref="B128" r:id="rId127" xr:uid="{00000000-0004-0000-0600-00007E000000}"/>
    <hyperlink ref="B129" r:id="rId128" xr:uid="{00000000-0004-0000-0600-00007F000000}"/>
    <hyperlink ref="B130" r:id="rId129" xr:uid="{00000000-0004-0000-0600-000080000000}"/>
    <hyperlink ref="B131" r:id="rId130" xr:uid="{00000000-0004-0000-0600-000081000000}"/>
    <hyperlink ref="B132" r:id="rId131" xr:uid="{00000000-0004-0000-0600-000082000000}"/>
    <hyperlink ref="B133" r:id="rId132" xr:uid="{00000000-0004-0000-0600-000083000000}"/>
    <hyperlink ref="B134" r:id="rId133" xr:uid="{00000000-0004-0000-0600-000084000000}"/>
    <hyperlink ref="B135" r:id="rId134" xr:uid="{00000000-0004-0000-0600-000085000000}"/>
    <hyperlink ref="B136" r:id="rId135" xr:uid="{00000000-0004-0000-0600-000086000000}"/>
    <hyperlink ref="B137" r:id="rId136" xr:uid="{00000000-0004-0000-0600-000087000000}"/>
    <hyperlink ref="B138" r:id="rId137" xr:uid="{00000000-0004-0000-0600-000088000000}"/>
    <hyperlink ref="B139" r:id="rId138" xr:uid="{00000000-0004-0000-0600-000089000000}"/>
    <hyperlink ref="B140" r:id="rId139" xr:uid="{00000000-0004-0000-0600-00008A000000}"/>
    <hyperlink ref="B141" r:id="rId140" xr:uid="{00000000-0004-0000-0600-00008B000000}"/>
    <hyperlink ref="B142" r:id="rId141" xr:uid="{00000000-0004-0000-0600-00008C000000}"/>
    <hyperlink ref="B143" r:id="rId142" xr:uid="{00000000-0004-0000-0600-00008D000000}"/>
    <hyperlink ref="B144" r:id="rId143" xr:uid="{00000000-0004-0000-0600-00008E000000}"/>
    <hyperlink ref="B145" r:id="rId144" xr:uid="{00000000-0004-0000-0600-00008F000000}"/>
    <hyperlink ref="B146" r:id="rId145" xr:uid="{00000000-0004-0000-0600-000090000000}"/>
    <hyperlink ref="B147" r:id="rId146" xr:uid="{00000000-0004-0000-0600-000091000000}"/>
    <hyperlink ref="B148" r:id="rId147" xr:uid="{00000000-0004-0000-0600-000092000000}"/>
    <hyperlink ref="B149" r:id="rId148" xr:uid="{00000000-0004-0000-0600-000093000000}"/>
    <hyperlink ref="B150" r:id="rId149" xr:uid="{00000000-0004-0000-0600-000094000000}"/>
    <hyperlink ref="B151" r:id="rId150" xr:uid="{00000000-0004-0000-0600-000095000000}"/>
    <hyperlink ref="B152" r:id="rId151" xr:uid="{00000000-0004-0000-0600-000096000000}"/>
    <hyperlink ref="B153" r:id="rId152" xr:uid="{00000000-0004-0000-0600-000097000000}"/>
    <hyperlink ref="B154" r:id="rId153" xr:uid="{00000000-0004-0000-0600-000098000000}"/>
    <hyperlink ref="B155" r:id="rId154" xr:uid="{00000000-0004-0000-0600-000099000000}"/>
    <hyperlink ref="B156" r:id="rId155" xr:uid="{00000000-0004-0000-0600-00009A000000}"/>
    <hyperlink ref="B157" r:id="rId156" xr:uid="{00000000-0004-0000-0600-00009B000000}"/>
    <hyperlink ref="B158" r:id="rId157" xr:uid="{00000000-0004-0000-0600-00009C000000}"/>
    <hyperlink ref="B159" r:id="rId158" xr:uid="{00000000-0004-0000-0600-00009D000000}"/>
    <hyperlink ref="B160" r:id="rId159" xr:uid="{00000000-0004-0000-0600-00009E000000}"/>
    <hyperlink ref="B161" r:id="rId160" xr:uid="{00000000-0004-0000-0600-00009F000000}"/>
    <hyperlink ref="B162" r:id="rId161" xr:uid="{00000000-0004-0000-0600-0000A0000000}"/>
    <hyperlink ref="B163" r:id="rId162" xr:uid="{00000000-0004-0000-0600-0000A1000000}"/>
    <hyperlink ref="B164" r:id="rId163" xr:uid="{00000000-0004-0000-0600-0000A2000000}"/>
    <hyperlink ref="B165" r:id="rId164" xr:uid="{00000000-0004-0000-0600-0000A3000000}"/>
    <hyperlink ref="B166" r:id="rId165" xr:uid="{00000000-0004-0000-0600-0000A4000000}"/>
    <hyperlink ref="B167" r:id="rId166" xr:uid="{00000000-0004-0000-0600-0000A5000000}"/>
    <hyperlink ref="B168" r:id="rId167" xr:uid="{00000000-0004-0000-0600-0000A6000000}"/>
    <hyperlink ref="B169" r:id="rId168" xr:uid="{00000000-0004-0000-0600-0000A7000000}"/>
    <hyperlink ref="B170" r:id="rId169" xr:uid="{00000000-0004-0000-0600-0000A8000000}"/>
    <hyperlink ref="B171" r:id="rId170" xr:uid="{00000000-0004-0000-0600-0000A9000000}"/>
    <hyperlink ref="B172" r:id="rId171" xr:uid="{00000000-0004-0000-0600-0000AA000000}"/>
    <hyperlink ref="B173" r:id="rId172" xr:uid="{00000000-0004-0000-0600-0000AB000000}"/>
    <hyperlink ref="B174" r:id="rId173" xr:uid="{00000000-0004-0000-0600-0000AC000000}"/>
    <hyperlink ref="B175" r:id="rId174" xr:uid="{00000000-0004-0000-0600-0000AD000000}"/>
    <hyperlink ref="B176" r:id="rId175" xr:uid="{00000000-0004-0000-0600-0000AE000000}"/>
    <hyperlink ref="B177" r:id="rId176" xr:uid="{00000000-0004-0000-0600-0000AF000000}"/>
    <hyperlink ref="B178" r:id="rId177" xr:uid="{00000000-0004-0000-0600-0000B0000000}"/>
    <hyperlink ref="B179" r:id="rId178" xr:uid="{00000000-0004-0000-0600-0000B1000000}"/>
    <hyperlink ref="B180" r:id="rId179" xr:uid="{00000000-0004-0000-0600-0000B2000000}"/>
    <hyperlink ref="B181" r:id="rId180" xr:uid="{00000000-0004-0000-0600-0000B3000000}"/>
    <hyperlink ref="B182" r:id="rId181" xr:uid="{00000000-0004-0000-0600-0000B4000000}"/>
    <hyperlink ref="B183" r:id="rId182" xr:uid="{00000000-0004-0000-0600-0000B5000000}"/>
    <hyperlink ref="B184" r:id="rId183" xr:uid="{00000000-0004-0000-0600-0000B6000000}"/>
    <hyperlink ref="B185" r:id="rId184" xr:uid="{00000000-0004-0000-0600-0000B7000000}"/>
    <hyperlink ref="B186" r:id="rId185" xr:uid="{00000000-0004-0000-0600-0000B8000000}"/>
    <hyperlink ref="B187" r:id="rId186" xr:uid="{00000000-0004-0000-0600-0000B9000000}"/>
    <hyperlink ref="B188" r:id="rId187" xr:uid="{00000000-0004-0000-0600-0000BA000000}"/>
    <hyperlink ref="B189" r:id="rId188" xr:uid="{00000000-0004-0000-0600-0000BB000000}"/>
    <hyperlink ref="B190" r:id="rId189" xr:uid="{00000000-0004-0000-0600-0000BC000000}"/>
    <hyperlink ref="B191" r:id="rId190" xr:uid="{00000000-0004-0000-0600-0000BD000000}"/>
    <hyperlink ref="B192" r:id="rId191" xr:uid="{00000000-0004-0000-0600-0000BE000000}"/>
    <hyperlink ref="B193" r:id="rId192" xr:uid="{00000000-0004-0000-0600-0000BF000000}"/>
    <hyperlink ref="B194" r:id="rId193" xr:uid="{00000000-0004-0000-0600-0000C0000000}"/>
    <hyperlink ref="B195" r:id="rId194" xr:uid="{00000000-0004-0000-0600-0000C1000000}"/>
    <hyperlink ref="B196" r:id="rId195" xr:uid="{00000000-0004-0000-0600-0000C2000000}"/>
    <hyperlink ref="B197" r:id="rId196" xr:uid="{00000000-0004-0000-0600-0000C3000000}"/>
    <hyperlink ref="B198" r:id="rId197" xr:uid="{00000000-0004-0000-0600-0000C4000000}"/>
    <hyperlink ref="B199" r:id="rId198" xr:uid="{00000000-0004-0000-0600-0000C5000000}"/>
    <hyperlink ref="B200" r:id="rId199" xr:uid="{00000000-0004-0000-0600-0000C6000000}"/>
    <hyperlink ref="B201" r:id="rId200" xr:uid="{00000000-0004-0000-0600-0000C7000000}"/>
    <hyperlink ref="B202" r:id="rId201" xr:uid="{00000000-0004-0000-0600-0000C8000000}"/>
    <hyperlink ref="B203" r:id="rId202" xr:uid="{00000000-0004-0000-0600-0000C9000000}"/>
    <hyperlink ref="B204" r:id="rId203" xr:uid="{00000000-0004-0000-0600-0000CA000000}"/>
    <hyperlink ref="B205" r:id="rId204" xr:uid="{00000000-0004-0000-0600-0000CB000000}"/>
    <hyperlink ref="B206" r:id="rId205" xr:uid="{00000000-0004-0000-0600-0000CC000000}"/>
    <hyperlink ref="B207" r:id="rId206" xr:uid="{00000000-0004-0000-0600-0000CD000000}"/>
    <hyperlink ref="B208" r:id="rId207" xr:uid="{00000000-0004-0000-0600-0000CE000000}"/>
    <hyperlink ref="B209" r:id="rId208" xr:uid="{00000000-0004-0000-0600-0000CF000000}"/>
    <hyperlink ref="B210" r:id="rId209" xr:uid="{00000000-0004-0000-0600-0000D0000000}"/>
    <hyperlink ref="B211" r:id="rId210" xr:uid="{00000000-0004-0000-0600-0000D1000000}"/>
    <hyperlink ref="B212" r:id="rId211" xr:uid="{00000000-0004-0000-0600-0000D2000000}"/>
    <hyperlink ref="B213" r:id="rId212" xr:uid="{00000000-0004-0000-0600-0000D3000000}"/>
    <hyperlink ref="B214" r:id="rId213" xr:uid="{00000000-0004-0000-0600-0000D4000000}"/>
    <hyperlink ref="B215" r:id="rId214" xr:uid="{00000000-0004-0000-0600-0000D5000000}"/>
    <hyperlink ref="B216" r:id="rId215" xr:uid="{00000000-0004-0000-0600-0000D6000000}"/>
    <hyperlink ref="B217" r:id="rId216" xr:uid="{00000000-0004-0000-0600-0000D7000000}"/>
    <hyperlink ref="B218" r:id="rId217" xr:uid="{00000000-0004-0000-0600-0000D8000000}"/>
    <hyperlink ref="B219" r:id="rId218" xr:uid="{00000000-0004-0000-0600-0000D9000000}"/>
    <hyperlink ref="B220" r:id="rId219" xr:uid="{00000000-0004-0000-0600-0000DA000000}"/>
    <hyperlink ref="B221" r:id="rId220" xr:uid="{00000000-0004-0000-0600-0000DB000000}"/>
    <hyperlink ref="B222" r:id="rId221" xr:uid="{00000000-0004-0000-0600-0000DC000000}"/>
    <hyperlink ref="B223" r:id="rId222" xr:uid="{00000000-0004-0000-0600-0000DD000000}"/>
    <hyperlink ref="B224" r:id="rId223" xr:uid="{00000000-0004-0000-0600-0000DE000000}"/>
    <hyperlink ref="B225" r:id="rId224" xr:uid="{00000000-0004-0000-0600-0000DF000000}"/>
    <hyperlink ref="B226" r:id="rId225" xr:uid="{00000000-0004-0000-0600-0000E0000000}"/>
    <hyperlink ref="B227" r:id="rId226" xr:uid="{00000000-0004-0000-0600-0000E1000000}"/>
    <hyperlink ref="B228" r:id="rId227" xr:uid="{00000000-0004-0000-0600-0000E2000000}"/>
    <hyperlink ref="B229" r:id="rId228" xr:uid="{00000000-0004-0000-0600-0000E3000000}"/>
    <hyperlink ref="B230" r:id="rId229" xr:uid="{00000000-0004-0000-0600-0000E4000000}"/>
    <hyperlink ref="B231" r:id="rId230" xr:uid="{00000000-0004-0000-0600-0000E5000000}"/>
    <hyperlink ref="B232" r:id="rId231" xr:uid="{00000000-0004-0000-0600-0000E6000000}"/>
    <hyperlink ref="B233" r:id="rId232" xr:uid="{00000000-0004-0000-0600-0000E7000000}"/>
    <hyperlink ref="B234" r:id="rId233" xr:uid="{00000000-0004-0000-0600-0000E8000000}"/>
    <hyperlink ref="B235" r:id="rId234" xr:uid="{00000000-0004-0000-0600-0000E9000000}"/>
    <hyperlink ref="B236" r:id="rId235" xr:uid="{00000000-0004-0000-0600-0000EA000000}"/>
    <hyperlink ref="B237" r:id="rId236" xr:uid="{00000000-0004-0000-0600-0000EB000000}"/>
    <hyperlink ref="B238" r:id="rId237" xr:uid="{00000000-0004-0000-0600-0000EC000000}"/>
    <hyperlink ref="B239" r:id="rId238" xr:uid="{00000000-0004-0000-0600-0000ED000000}"/>
    <hyperlink ref="B240" r:id="rId239" xr:uid="{00000000-0004-0000-0600-0000EE000000}"/>
    <hyperlink ref="B241" r:id="rId240" xr:uid="{00000000-0004-0000-0600-0000EF000000}"/>
    <hyperlink ref="B242" r:id="rId241" xr:uid="{00000000-0004-0000-0600-0000F0000000}"/>
    <hyperlink ref="B243" r:id="rId242" xr:uid="{00000000-0004-0000-0600-0000F1000000}"/>
    <hyperlink ref="B244" r:id="rId243" xr:uid="{00000000-0004-0000-0600-0000F2000000}"/>
    <hyperlink ref="B245" r:id="rId244" xr:uid="{00000000-0004-0000-0600-0000F3000000}"/>
    <hyperlink ref="B246" r:id="rId245" xr:uid="{00000000-0004-0000-0600-0000F4000000}"/>
    <hyperlink ref="B247" r:id="rId246" xr:uid="{00000000-0004-0000-0600-0000F5000000}"/>
    <hyperlink ref="B248" r:id="rId247" xr:uid="{00000000-0004-0000-0600-0000F6000000}"/>
    <hyperlink ref="B249" r:id="rId248" xr:uid="{00000000-0004-0000-0600-0000F7000000}"/>
    <hyperlink ref="B250" r:id="rId249" xr:uid="{00000000-0004-0000-0600-0000F8000000}"/>
    <hyperlink ref="B251" r:id="rId250" xr:uid="{00000000-0004-0000-0600-0000F9000000}"/>
    <hyperlink ref="B252" r:id="rId251" xr:uid="{00000000-0004-0000-0600-0000FA000000}"/>
    <hyperlink ref="B253" r:id="rId252" xr:uid="{00000000-0004-0000-0600-0000FB000000}"/>
    <hyperlink ref="B254" r:id="rId253" xr:uid="{00000000-0004-0000-0600-0000FC000000}"/>
    <hyperlink ref="B255" r:id="rId254" xr:uid="{00000000-0004-0000-0600-0000FD000000}"/>
    <hyperlink ref="B256" r:id="rId255" xr:uid="{00000000-0004-0000-0600-0000FE000000}"/>
    <hyperlink ref="B257" r:id="rId256" xr:uid="{00000000-0004-0000-0600-0000FF000000}"/>
    <hyperlink ref="B258" r:id="rId257" xr:uid="{00000000-0004-0000-0600-000000010000}"/>
    <hyperlink ref="B259" r:id="rId258" xr:uid="{00000000-0004-0000-0600-000001010000}"/>
    <hyperlink ref="B260" r:id="rId259" xr:uid="{00000000-0004-0000-0600-000002010000}"/>
    <hyperlink ref="B261" r:id="rId260" xr:uid="{00000000-0004-0000-0600-000003010000}"/>
    <hyperlink ref="B262" r:id="rId261" xr:uid="{00000000-0004-0000-0600-000004010000}"/>
    <hyperlink ref="B263" r:id="rId262" xr:uid="{00000000-0004-0000-0600-000005010000}"/>
    <hyperlink ref="B264" r:id="rId263" xr:uid="{00000000-0004-0000-0600-000006010000}"/>
    <hyperlink ref="B265" r:id="rId264" xr:uid="{00000000-0004-0000-0600-000007010000}"/>
    <hyperlink ref="B266" r:id="rId265" xr:uid="{00000000-0004-0000-0600-000008010000}"/>
    <hyperlink ref="B267" r:id="rId266" xr:uid="{00000000-0004-0000-0600-000009010000}"/>
    <hyperlink ref="B268" r:id="rId267" xr:uid="{00000000-0004-0000-0600-00000A010000}"/>
    <hyperlink ref="B269" r:id="rId268" xr:uid="{00000000-0004-0000-0600-00000B010000}"/>
    <hyperlink ref="B270" r:id="rId269" xr:uid="{00000000-0004-0000-0600-00000C010000}"/>
    <hyperlink ref="B271" r:id="rId270" xr:uid="{00000000-0004-0000-0600-00000D010000}"/>
    <hyperlink ref="B272" r:id="rId271" xr:uid="{00000000-0004-0000-0600-00000E010000}"/>
    <hyperlink ref="B273" r:id="rId272" xr:uid="{00000000-0004-0000-0600-00000F010000}"/>
    <hyperlink ref="B274" r:id="rId273" xr:uid="{00000000-0004-0000-0600-000010010000}"/>
    <hyperlink ref="B275" r:id="rId274" xr:uid="{00000000-0004-0000-0600-000011010000}"/>
    <hyperlink ref="B276" r:id="rId275" xr:uid="{00000000-0004-0000-0600-000012010000}"/>
    <hyperlink ref="B277" r:id="rId276" xr:uid="{00000000-0004-0000-0600-000013010000}"/>
    <hyperlink ref="B278" r:id="rId277" xr:uid="{00000000-0004-0000-0600-000014010000}"/>
    <hyperlink ref="B279" r:id="rId278" xr:uid="{00000000-0004-0000-0600-000015010000}"/>
    <hyperlink ref="B280" r:id="rId279" xr:uid="{00000000-0004-0000-0600-000016010000}"/>
    <hyperlink ref="B281" r:id="rId280" xr:uid="{00000000-0004-0000-0600-000017010000}"/>
    <hyperlink ref="B282" r:id="rId281" xr:uid="{00000000-0004-0000-0600-000018010000}"/>
    <hyperlink ref="B283" r:id="rId282" xr:uid="{00000000-0004-0000-0600-000019010000}"/>
    <hyperlink ref="B284" r:id="rId283" xr:uid="{00000000-0004-0000-0600-00001A010000}"/>
    <hyperlink ref="B285" r:id="rId284" xr:uid="{00000000-0004-0000-0600-00001B010000}"/>
    <hyperlink ref="B286" r:id="rId285" xr:uid="{00000000-0004-0000-0600-00001C010000}"/>
    <hyperlink ref="B287" r:id="rId286" xr:uid="{00000000-0004-0000-0600-00001D010000}"/>
    <hyperlink ref="B288" r:id="rId287" xr:uid="{00000000-0004-0000-0600-00001E010000}"/>
    <hyperlink ref="B289" r:id="rId288" xr:uid="{00000000-0004-0000-0600-00001F010000}"/>
    <hyperlink ref="B290" r:id="rId289" xr:uid="{00000000-0004-0000-0600-000020010000}"/>
    <hyperlink ref="B291" r:id="rId290" xr:uid="{00000000-0004-0000-0600-000021010000}"/>
    <hyperlink ref="B292" r:id="rId291" xr:uid="{00000000-0004-0000-0600-000022010000}"/>
    <hyperlink ref="B293" r:id="rId292" xr:uid="{00000000-0004-0000-0600-000023010000}"/>
    <hyperlink ref="B294" r:id="rId293" xr:uid="{00000000-0004-0000-0600-000024010000}"/>
    <hyperlink ref="B295" r:id="rId294" xr:uid="{00000000-0004-0000-0600-000025010000}"/>
    <hyperlink ref="B296" r:id="rId295" xr:uid="{00000000-0004-0000-0600-000026010000}"/>
    <hyperlink ref="B297" r:id="rId296" xr:uid="{00000000-0004-0000-0600-000027010000}"/>
    <hyperlink ref="B298" r:id="rId297" xr:uid="{00000000-0004-0000-0600-000028010000}"/>
    <hyperlink ref="B299" r:id="rId298" xr:uid="{00000000-0004-0000-0600-000029010000}"/>
    <hyperlink ref="B300" r:id="rId299" xr:uid="{00000000-0004-0000-0600-00002A010000}"/>
    <hyperlink ref="B301" r:id="rId300" xr:uid="{00000000-0004-0000-0600-00002B010000}"/>
    <hyperlink ref="B302" r:id="rId301" xr:uid="{00000000-0004-0000-0600-00002C010000}"/>
    <hyperlink ref="B303" r:id="rId302" xr:uid="{00000000-0004-0000-0600-00002D010000}"/>
    <hyperlink ref="B304" r:id="rId303" xr:uid="{00000000-0004-0000-0600-00002E010000}"/>
    <hyperlink ref="B305" r:id="rId304" xr:uid="{00000000-0004-0000-0600-00002F010000}"/>
    <hyperlink ref="B306" r:id="rId305" xr:uid="{00000000-0004-0000-0600-000030010000}"/>
    <hyperlink ref="B307" r:id="rId306" xr:uid="{00000000-0004-0000-0600-000031010000}"/>
    <hyperlink ref="B308" r:id="rId307" xr:uid="{00000000-0004-0000-0600-000032010000}"/>
    <hyperlink ref="B309" r:id="rId308" xr:uid="{00000000-0004-0000-0600-000033010000}"/>
    <hyperlink ref="B310" r:id="rId309" xr:uid="{00000000-0004-0000-0600-000034010000}"/>
    <hyperlink ref="B311" r:id="rId310" xr:uid="{00000000-0004-0000-0600-000035010000}"/>
    <hyperlink ref="B312" r:id="rId311" xr:uid="{00000000-0004-0000-0600-000036010000}"/>
    <hyperlink ref="B313" r:id="rId312" xr:uid="{00000000-0004-0000-0600-000037010000}"/>
    <hyperlink ref="B314" r:id="rId313" xr:uid="{00000000-0004-0000-0600-000038010000}"/>
    <hyperlink ref="B315" r:id="rId314" xr:uid="{00000000-0004-0000-0600-000039010000}"/>
    <hyperlink ref="B316" r:id="rId315" xr:uid="{00000000-0004-0000-0600-00003A010000}"/>
    <hyperlink ref="B317" r:id="rId316" xr:uid="{00000000-0004-0000-0600-00003B010000}"/>
    <hyperlink ref="B318" r:id="rId317" xr:uid="{00000000-0004-0000-0600-00003C010000}"/>
    <hyperlink ref="B319" r:id="rId318" xr:uid="{00000000-0004-0000-0600-00003D010000}"/>
    <hyperlink ref="B320" r:id="rId319" xr:uid="{00000000-0004-0000-0600-00003E010000}"/>
    <hyperlink ref="B321" r:id="rId320" xr:uid="{00000000-0004-0000-0600-00003F010000}"/>
    <hyperlink ref="B322" r:id="rId321" xr:uid="{00000000-0004-0000-0600-000040010000}"/>
    <hyperlink ref="B323" r:id="rId322" xr:uid="{00000000-0004-0000-0600-000041010000}"/>
    <hyperlink ref="B324" r:id="rId323" xr:uid="{00000000-0004-0000-0600-000042010000}"/>
    <hyperlink ref="B325" r:id="rId324" xr:uid="{00000000-0004-0000-0600-000043010000}"/>
    <hyperlink ref="B326" r:id="rId325" xr:uid="{00000000-0004-0000-0600-000044010000}"/>
    <hyperlink ref="B327" r:id="rId326" xr:uid="{00000000-0004-0000-0600-000045010000}"/>
    <hyperlink ref="B328" r:id="rId327" xr:uid="{00000000-0004-0000-0600-000046010000}"/>
    <hyperlink ref="B329" r:id="rId328" xr:uid="{00000000-0004-0000-0600-000047010000}"/>
    <hyperlink ref="B330" r:id="rId329" xr:uid="{00000000-0004-0000-0600-000048010000}"/>
    <hyperlink ref="B331" r:id="rId330" xr:uid="{00000000-0004-0000-0600-000049010000}"/>
    <hyperlink ref="B332" r:id="rId331" xr:uid="{00000000-0004-0000-0600-00004A010000}"/>
    <hyperlink ref="B333" r:id="rId332" xr:uid="{00000000-0004-0000-0600-00004B010000}"/>
    <hyperlink ref="B334" r:id="rId333" xr:uid="{00000000-0004-0000-0600-00004C010000}"/>
    <hyperlink ref="B335" r:id="rId334" xr:uid="{00000000-0004-0000-0600-00004D010000}"/>
    <hyperlink ref="B336" r:id="rId335" xr:uid="{00000000-0004-0000-0600-00004E010000}"/>
    <hyperlink ref="B337" r:id="rId336" xr:uid="{00000000-0004-0000-0600-00004F010000}"/>
    <hyperlink ref="B338" r:id="rId337" xr:uid="{00000000-0004-0000-0600-000050010000}"/>
    <hyperlink ref="B339" r:id="rId338" xr:uid="{00000000-0004-0000-0600-000051010000}"/>
    <hyperlink ref="B340" r:id="rId339" xr:uid="{00000000-0004-0000-0600-000052010000}"/>
    <hyperlink ref="B341" r:id="rId340" xr:uid="{00000000-0004-0000-0600-000053010000}"/>
    <hyperlink ref="B342" r:id="rId341" xr:uid="{00000000-0004-0000-0600-000054010000}"/>
    <hyperlink ref="B343" r:id="rId342" xr:uid="{00000000-0004-0000-0600-000055010000}"/>
    <hyperlink ref="B344" r:id="rId343" xr:uid="{00000000-0004-0000-0600-000056010000}"/>
    <hyperlink ref="B345" r:id="rId344" xr:uid="{00000000-0004-0000-0600-000057010000}"/>
    <hyperlink ref="B346" r:id="rId345" xr:uid="{00000000-0004-0000-0600-000058010000}"/>
    <hyperlink ref="B347" r:id="rId346" xr:uid="{00000000-0004-0000-0600-000059010000}"/>
    <hyperlink ref="B348" r:id="rId347" xr:uid="{00000000-0004-0000-0600-00005A010000}"/>
    <hyperlink ref="B349" r:id="rId348" xr:uid="{00000000-0004-0000-0600-00005B010000}"/>
    <hyperlink ref="B350" r:id="rId349" xr:uid="{00000000-0004-0000-0600-00005C010000}"/>
    <hyperlink ref="B351" r:id="rId350" xr:uid="{00000000-0004-0000-0600-00005D010000}"/>
    <hyperlink ref="B352" r:id="rId351" xr:uid="{00000000-0004-0000-0600-00005E010000}"/>
    <hyperlink ref="B353" r:id="rId352" xr:uid="{00000000-0004-0000-0600-00005F010000}"/>
    <hyperlink ref="B354" r:id="rId353" xr:uid="{00000000-0004-0000-0600-000060010000}"/>
    <hyperlink ref="B355" r:id="rId354" xr:uid="{00000000-0004-0000-0600-000061010000}"/>
    <hyperlink ref="B356" r:id="rId355" xr:uid="{00000000-0004-0000-0600-000062010000}"/>
    <hyperlink ref="B357" r:id="rId356" xr:uid="{00000000-0004-0000-0600-000063010000}"/>
    <hyperlink ref="B358" r:id="rId357" xr:uid="{00000000-0004-0000-0600-000064010000}"/>
    <hyperlink ref="B359" r:id="rId358" xr:uid="{00000000-0004-0000-0600-000065010000}"/>
    <hyperlink ref="B360" r:id="rId359" xr:uid="{00000000-0004-0000-0600-000066010000}"/>
    <hyperlink ref="B361" r:id="rId360" xr:uid="{00000000-0004-0000-0600-000067010000}"/>
    <hyperlink ref="B362" r:id="rId361" xr:uid="{00000000-0004-0000-0600-000068010000}"/>
    <hyperlink ref="B363" r:id="rId362" xr:uid="{00000000-0004-0000-0600-000069010000}"/>
    <hyperlink ref="B364" r:id="rId363" xr:uid="{00000000-0004-0000-0600-00006A010000}"/>
    <hyperlink ref="B365" r:id="rId364" xr:uid="{00000000-0004-0000-0600-00006B010000}"/>
    <hyperlink ref="B366" r:id="rId365" xr:uid="{00000000-0004-0000-0600-00006C010000}"/>
    <hyperlink ref="B367" r:id="rId366" xr:uid="{00000000-0004-0000-0600-00006D010000}"/>
    <hyperlink ref="B368" r:id="rId367" xr:uid="{00000000-0004-0000-0600-00006E010000}"/>
    <hyperlink ref="B369" r:id="rId368" xr:uid="{00000000-0004-0000-0600-00006F010000}"/>
    <hyperlink ref="B370" r:id="rId369" xr:uid="{00000000-0004-0000-0600-000070010000}"/>
    <hyperlink ref="B371" r:id="rId370" xr:uid="{00000000-0004-0000-0600-000071010000}"/>
    <hyperlink ref="B372" r:id="rId371" xr:uid="{00000000-0004-0000-0600-000072010000}"/>
    <hyperlink ref="B373" r:id="rId372" xr:uid="{00000000-0004-0000-0600-000073010000}"/>
    <hyperlink ref="B374" r:id="rId373" xr:uid="{00000000-0004-0000-0600-000074010000}"/>
    <hyperlink ref="B375" r:id="rId374" xr:uid="{00000000-0004-0000-0600-000075010000}"/>
    <hyperlink ref="B376" r:id="rId375" xr:uid="{00000000-0004-0000-0600-000076010000}"/>
    <hyperlink ref="B377" r:id="rId376" xr:uid="{00000000-0004-0000-0600-000077010000}"/>
    <hyperlink ref="B378" r:id="rId377" xr:uid="{00000000-0004-0000-0600-000078010000}"/>
    <hyperlink ref="B379" r:id="rId378" xr:uid="{00000000-0004-0000-0600-000079010000}"/>
    <hyperlink ref="B380" r:id="rId379" xr:uid="{00000000-0004-0000-0600-00007A010000}"/>
    <hyperlink ref="B381" r:id="rId380" xr:uid="{00000000-0004-0000-0600-00007B010000}"/>
    <hyperlink ref="B382" r:id="rId381" xr:uid="{00000000-0004-0000-0600-00007C010000}"/>
    <hyperlink ref="B383" r:id="rId382" xr:uid="{00000000-0004-0000-0600-00007D010000}"/>
    <hyperlink ref="B384" r:id="rId383" xr:uid="{00000000-0004-0000-0600-00007E010000}"/>
    <hyperlink ref="B385" r:id="rId384" xr:uid="{00000000-0004-0000-0600-00007F010000}"/>
    <hyperlink ref="B386" r:id="rId385" xr:uid="{00000000-0004-0000-0600-000080010000}"/>
    <hyperlink ref="B387" r:id="rId386" xr:uid="{00000000-0004-0000-0600-000081010000}"/>
    <hyperlink ref="B388" r:id="rId387" xr:uid="{00000000-0004-0000-0600-000082010000}"/>
    <hyperlink ref="B389" r:id="rId388" xr:uid="{00000000-0004-0000-0600-000083010000}"/>
    <hyperlink ref="B390" r:id="rId389" xr:uid="{00000000-0004-0000-0600-000084010000}"/>
    <hyperlink ref="B391" r:id="rId390" xr:uid="{00000000-0004-0000-0600-000085010000}"/>
    <hyperlink ref="B392" r:id="rId391" xr:uid="{00000000-0004-0000-0600-000086010000}"/>
    <hyperlink ref="B393" r:id="rId392" xr:uid="{00000000-0004-0000-0600-000087010000}"/>
    <hyperlink ref="B394" r:id="rId393" xr:uid="{00000000-0004-0000-0600-000088010000}"/>
    <hyperlink ref="B395" r:id="rId394" xr:uid="{00000000-0004-0000-0600-000089010000}"/>
    <hyperlink ref="B396" r:id="rId395" xr:uid="{00000000-0004-0000-0600-00008A010000}"/>
    <hyperlink ref="B397" r:id="rId396" xr:uid="{00000000-0004-0000-0600-00008B010000}"/>
    <hyperlink ref="B398" r:id="rId397" xr:uid="{00000000-0004-0000-0600-00008C010000}"/>
    <hyperlink ref="B399" r:id="rId398" xr:uid="{00000000-0004-0000-0600-00008D010000}"/>
    <hyperlink ref="B400" r:id="rId399" xr:uid="{00000000-0004-0000-0600-00008E010000}"/>
    <hyperlink ref="B401" r:id="rId400" xr:uid="{00000000-0004-0000-0600-00008F010000}"/>
    <hyperlink ref="B402" r:id="rId401" xr:uid="{00000000-0004-0000-0600-000090010000}"/>
    <hyperlink ref="B403" r:id="rId402" xr:uid="{00000000-0004-0000-0600-000091010000}"/>
    <hyperlink ref="B404" r:id="rId403" xr:uid="{00000000-0004-0000-0600-000092010000}"/>
    <hyperlink ref="B405" r:id="rId404" xr:uid="{00000000-0004-0000-0600-000093010000}"/>
    <hyperlink ref="B406" r:id="rId405" xr:uid="{00000000-0004-0000-0600-000094010000}"/>
    <hyperlink ref="B407" r:id="rId406" xr:uid="{00000000-0004-0000-0600-000095010000}"/>
    <hyperlink ref="B408" r:id="rId407" xr:uid="{00000000-0004-0000-0600-000096010000}"/>
    <hyperlink ref="B409" r:id="rId408" xr:uid="{00000000-0004-0000-0600-000097010000}"/>
    <hyperlink ref="B410" r:id="rId409" xr:uid="{00000000-0004-0000-0600-000098010000}"/>
    <hyperlink ref="B411" r:id="rId410" xr:uid="{00000000-0004-0000-0600-000099010000}"/>
    <hyperlink ref="B412" r:id="rId411" xr:uid="{00000000-0004-0000-0600-00009A010000}"/>
    <hyperlink ref="B413" r:id="rId412" xr:uid="{00000000-0004-0000-0600-00009B010000}"/>
    <hyperlink ref="B414" r:id="rId413" xr:uid="{00000000-0004-0000-0600-00009C010000}"/>
    <hyperlink ref="B415" r:id="rId414" xr:uid="{00000000-0004-0000-0600-00009D010000}"/>
    <hyperlink ref="B416" r:id="rId415" xr:uid="{00000000-0004-0000-0600-00009E010000}"/>
    <hyperlink ref="B417" r:id="rId416" xr:uid="{00000000-0004-0000-0600-00009F010000}"/>
    <hyperlink ref="B418" r:id="rId417" xr:uid="{00000000-0004-0000-0600-0000A0010000}"/>
    <hyperlink ref="B419" r:id="rId418" xr:uid="{00000000-0004-0000-0600-0000A1010000}"/>
    <hyperlink ref="B420" r:id="rId419" xr:uid="{00000000-0004-0000-0600-0000A2010000}"/>
    <hyperlink ref="B421" r:id="rId420" xr:uid="{00000000-0004-0000-0600-0000A3010000}"/>
    <hyperlink ref="B422" r:id="rId421" xr:uid="{00000000-0004-0000-0600-0000A4010000}"/>
    <hyperlink ref="B423" r:id="rId422" xr:uid="{00000000-0004-0000-0600-0000A5010000}"/>
    <hyperlink ref="B424" r:id="rId423" xr:uid="{00000000-0004-0000-0600-0000A6010000}"/>
    <hyperlink ref="B425" r:id="rId424" xr:uid="{00000000-0004-0000-0600-0000A7010000}"/>
    <hyperlink ref="B426" r:id="rId425" xr:uid="{00000000-0004-0000-0600-0000A8010000}"/>
    <hyperlink ref="B427" r:id="rId426" xr:uid="{00000000-0004-0000-0600-0000A9010000}"/>
    <hyperlink ref="B428" r:id="rId427" xr:uid="{00000000-0004-0000-0600-0000AA010000}"/>
    <hyperlink ref="B429" r:id="rId428" xr:uid="{00000000-0004-0000-0600-0000AB010000}"/>
    <hyperlink ref="B430" r:id="rId429" xr:uid="{00000000-0004-0000-0600-0000AC010000}"/>
    <hyperlink ref="B431" r:id="rId430" xr:uid="{00000000-0004-0000-0600-0000AD010000}"/>
    <hyperlink ref="B432" r:id="rId431" xr:uid="{00000000-0004-0000-0600-0000AE010000}"/>
    <hyperlink ref="B433" r:id="rId432" xr:uid="{00000000-0004-0000-0600-0000AF010000}"/>
    <hyperlink ref="B434" r:id="rId433" xr:uid="{00000000-0004-0000-0600-0000B0010000}"/>
    <hyperlink ref="B435" r:id="rId434" xr:uid="{00000000-0004-0000-0600-0000B1010000}"/>
    <hyperlink ref="B436" r:id="rId435" xr:uid="{00000000-0004-0000-0600-0000B2010000}"/>
    <hyperlink ref="B437" r:id="rId436" xr:uid="{00000000-0004-0000-0600-0000B3010000}"/>
    <hyperlink ref="B438" r:id="rId437" xr:uid="{00000000-0004-0000-0600-0000B4010000}"/>
    <hyperlink ref="B439" r:id="rId438" xr:uid="{00000000-0004-0000-0600-0000B5010000}"/>
    <hyperlink ref="B440" r:id="rId439" xr:uid="{00000000-0004-0000-0600-0000B6010000}"/>
    <hyperlink ref="B441" r:id="rId440" xr:uid="{00000000-0004-0000-0600-0000B7010000}"/>
    <hyperlink ref="B442" r:id="rId441" xr:uid="{00000000-0004-0000-0600-0000B8010000}"/>
    <hyperlink ref="B443" r:id="rId442" xr:uid="{00000000-0004-0000-0600-0000B9010000}"/>
    <hyperlink ref="B444" r:id="rId443" xr:uid="{00000000-0004-0000-0600-0000BA010000}"/>
    <hyperlink ref="B445" r:id="rId444" xr:uid="{00000000-0004-0000-0600-0000BB010000}"/>
    <hyperlink ref="B446" r:id="rId445" xr:uid="{00000000-0004-0000-0600-0000BC010000}"/>
    <hyperlink ref="B447" r:id="rId446" xr:uid="{00000000-0004-0000-0600-0000BD010000}"/>
    <hyperlink ref="B448" r:id="rId447" xr:uid="{00000000-0004-0000-0600-0000BE010000}"/>
    <hyperlink ref="B449" r:id="rId448" xr:uid="{00000000-0004-0000-0600-0000BF010000}"/>
    <hyperlink ref="B450" r:id="rId449" xr:uid="{00000000-0004-0000-0600-0000C0010000}"/>
    <hyperlink ref="B451" r:id="rId450" xr:uid="{00000000-0004-0000-0600-0000C1010000}"/>
    <hyperlink ref="B452" r:id="rId451" xr:uid="{00000000-0004-0000-0600-0000C2010000}"/>
    <hyperlink ref="B453" r:id="rId452" xr:uid="{00000000-0004-0000-0600-0000C3010000}"/>
    <hyperlink ref="B454" r:id="rId453" xr:uid="{00000000-0004-0000-0600-0000C4010000}"/>
    <hyperlink ref="B455" r:id="rId454" xr:uid="{00000000-0004-0000-0600-0000C5010000}"/>
    <hyperlink ref="B456" r:id="rId455" xr:uid="{00000000-0004-0000-0600-0000C6010000}"/>
    <hyperlink ref="B457" r:id="rId456" xr:uid="{00000000-0004-0000-0600-0000C7010000}"/>
    <hyperlink ref="B458" r:id="rId457" xr:uid="{00000000-0004-0000-0600-0000C8010000}"/>
    <hyperlink ref="B459" r:id="rId458" xr:uid="{00000000-0004-0000-0600-0000C9010000}"/>
    <hyperlink ref="B460" r:id="rId459" xr:uid="{00000000-0004-0000-0600-0000CA010000}"/>
    <hyperlink ref="B461" r:id="rId460" xr:uid="{00000000-0004-0000-0600-0000CB010000}"/>
    <hyperlink ref="B462" r:id="rId461" xr:uid="{00000000-0004-0000-0600-0000CC010000}"/>
    <hyperlink ref="B463" r:id="rId462" xr:uid="{00000000-0004-0000-0600-0000CD010000}"/>
    <hyperlink ref="B464" r:id="rId463" xr:uid="{00000000-0004-0000-0600-0000CE010000}"/>
    <hyperlink ref="B465" r:id="rId464" xr:uid="{00000000-0004-0000-0600-0000CF010000}"/>
    <hyperlink ref="B466" r:id="rId465" xr:uid="{00000000-0004-0000-0600-0000D0010000}"/>
    <hyperlink ref="B467" r:id="rId466" xr:uid="{00000000-0004-0000-0600-0000D1010000}"/>
    <hyperlink ref="B468" r:id="rId467" xr:uid="{00000000-0004-0000-0600-0000D2010000}"/>
    <hyperlink ref="B469" r:id="rId468" xr:uid="{00000000-0004-0000-0600-0000D3010000}"/>
    <hyperlink ref="B470" r:id="rId469" xr:uid="{00000000-0004-0000-0600-0000D4010000}"/>
    <hyperlink ref="B471" r:id="rId470" xr:uid="{00000000-0004-0000-0600-0000D5010000}"/>
    <hyperlink ref="B472" r:id="rId471" xr:uid="{00000000-0004-0000-0600-0000D6010000}"/>
    <hyperlink ref="B473" r:id="rId472" xr:uid="{00000000-0004-0000-0600-0000D7010000}"/>
    <hyperlink ref="B474" r:id="rId473" xr:uid="{00000000-0004-0000-0600-0000D8010000}"/>
    <hyperlink ref="B475" r:id="rId474" xr:uid="{00000000-0004-0000-0600-0000D9010000}"/>
    <hyperlink ref="B476" r:id="rId475" xr:uid="{00000000-0004-0000-0600-0000DA010000}"/>
    <hyperlink ref="B477" r:id="rId476" xr:uid="{00000000-0004-0000-0600-0000DB010000}"/>
    <hyperlink ref="B478" r:id="rId477" xr:uid="{00000000-0004-0000-0600-0000DC010000}"/>
    <hyperlink ref="B479" r:id="rId478" xr:uid="{00000000-0004-0000-0600-0000DD010000}"/>
    <hyperlink ref="B480" r:id="rId479" xr:uid="{00000000-0004-0000-0600-0000DE010000}"/>
    <hyperlink ref="B481" r:id="rId480" xr:uid="{00000000-0004-0000-0600-0000DF010000}"/>
    <hyperlink ref="B482" r:id="rId481" xr:uid="{00000000-0004-0000-0600-0000E0010000}"/>
    <hyperlink ref="B483" r:id="rId482" xr:uid="{00000000-0004-0000-0600-0000E1010000}"/>
    <hyperlink ref="B484" r:id="rId483" xr:uid="{00000000-0004-0000-0600-0000E2010000}"/>
    <hyperlink ref="B485" r:id="rId484" xr:uid="{00000000-0004-0000-0600-0000E3010000}"/>
    <hyperlink ref="B486" r:id="rId485" xr:uid="{00000000-0004-0000-0600-0000E4010000}"/>
    <hyperlink ref="B487" r:id="rId486" xr:uid="{00000000-0004-0000-0600-0000E5010000}"/>
    <hyperlink ref="B488" r:id="rId487" xr:uid="{00000000-0004-0000-0600-0000E6010000}"/>
    <hyperlink ref="B489" r:id="rId488" xr:uid="{00000000-0004-0000-0600-0000E7010000}"/>
    <hyperlink ref="B490" r:id="rId489" xr:uid="{00000000-0004-0000-0600-0000E8010000}"/>
    <hyperlink ref="B491" r:id="rId490" xr:uid="{00000000-0004-0000-0600-0000E9010000}"/>
    <hyperlink ref="B492" r:id="rId491" xr:uid="{00000000-0004-0000-0600-0000EA010000}"/>
    <hyperlink ref="B493" r:id="rId492" xr:uid="{00000000-0004-0000-0600-0000EB010000}"/>
    <hyperlink ref="B494" r:id="rId493" xr:uid="{00000000-0004-0000-0600-0000EC010000}"/>
    <hyperlink ref="B495" r:id="rId494" xr:uid="{00000000-0004-0000-0600-0000ED010000}"/>
    <hyperlink ref="B496" r:id="rId495" xr:uid="{00000000-0004-0000-0600-0000EE010000}"/>
    <hyperlink ref="B497" r:id="rId496" xr:uid="{00000000-0004-0000-0600-0000EF010000}"/>
    <hyperlink ref="B498" r:id="rId497" xr:uid="{00000000-0004-0000-0600-0000F0010000}"/>
    <hyperlink ref="B499" r:id="rId498" xr:uid="{00000000-0004-0000-0600-0000F1010000}"/>
    <hyperlink ref="B500" r:id="rId499" xr:uid="{00000000-0004-0000-0600-0000F2010000}"/>
    <hyperlink ref="B501" r:id="rId500" xr:uid="{00000000-0004-0000-0600-0000F3010000}"/>
    <hyperlink ref="B502" r:id="rId501" xr:uid="{00000000-0004-0000-0600-0000F4010000}"/>
    <hyperlink ref="B503" r:id="rId502" xr:uid="{00000000-0004-0000-0600-0000F5010000}"/>
    <hyperlink ref="B504" r:id="rId503" xr:uid="{00000000-0004-0000-0600-0000F6010000}"/>
    <hyperlink ref="B505" r:id="rId504" xr:uid="{00000000-0004-0000-0600-0000F7010000}"/>
    <hyperlink ref="B506" r:id="rId505" xr:uid="{00000000-0004-0000-0600-0000F8010000}"/>
    <hyperlink ref="B507" r:id="rId506" xr:uid="{00000000-0004-0000-0600-0000F9010000}"/>
    <hyperlink ref="B508" r:id="rId507" xr:uid="{00000000-0004-0000-0600-0000FA010000}"/>
    <hyperlink ref="B509" r:id="rId508" xr:uid="{00000000-0004-0000-0600-0000FB010000}"/>
    <hyperlink ref="B510" r:id="rId509" xr:uid="{00000000-0004-0000-0600-0000FC010000}"/>
    <hyperlink ref="B511" r:id="rId510" xr:uid="{00000000-0004-0000-0600-0000FD010000}"/>
    <hyperlink ref="B512" r:id="rId511" xr:uid="{00000000-0004-0000-0600-0000FE010000}"/>
    <hyperlink ref="B513" r:id="rId512" xr:uid="{00000000-0004-0000-0600-0000FF010000}"/>
    <hyperlink ref="B514" r:id="rId513" xr:uid="{00000000-0004-0000-0600-000000020000}"/>
    <hyperlink ref="B515" r:id="rId514" xr:uid="{00000000-0004-0000-0600-000001020000}"/>
    <hyperlink ref="B516" r:id="rId515" xr:uid="{00000000-0004-0000-0600-000002020000}"/>
    <hyperlink ref="B517" r:id="rId516" xr:uid="{00000000-0004-0000-0600-000003020000}"/>
    <hyperlink ref="B518" r:id="rId517" xr:uid="{00000000-0004-0000-0600-000004020000}"/>
    <hyperlink ref="B519" r:id="rId518" xr:uid="{00000000-0004-0000-0600-000005020000}"/>
    <hyperlink ref="B520" r:id="rId519" xr:uid="{00000000-0004-0000-0600-000006020000}"/>
    <hyperlink ref="B521" r:id="rId520" xr:uid="{00000000-0004-0000-0600-000007020000}"/>
    <hyperlink ref="B522" r:id="rId521" xr:uid="{00000000-0004-0000-0600-000008020000}"/>
    <hyperlink ref="B523" r:id="rId522" xr:uid="{00000000-0004-0000-0600-000009020000}"/>
    <hyperlink ref="B524" r:id="rId523" xr:uid="{00000000-0004-0000-0600-00000A020000}"/>
    <hyperlink ref="B525" r:id="rId524" xr:uid="{00000000-0004-0000-0600-00000B020000}"/>
    <hyperlink ref="B526" r:id="rId525" xr:uid="{00000000-0004-0000-0600-00000C020000}"/>
    <hyperlink ref="B527" r:id="rId526" xr:uid="{00000000-0004-0000-0600-00000D020000}"/>
    <hyperlink ref="B528" r:id="rId527" xr:uid="{00000000-0004-0000-0600-00000E020000}"/>
    <hyperlink ref="B529" r:id="rId528" xr:uid="{00000000-0004-0000-0600-00000F020000}"/>
    <hyperlink ref="B530" r:id="rId529" xr:uid="{00000000-0004-0000-0600-000010020000}"/>
    <hyperlink ref="B531" r:id="rId530" xr:uid="{00000000-0004-0000-0600-000011020000}"/>
    <hyperlink ref="B532" r:id="rId531" xr:uid="{00000000-0004-0000-0600-000012020000}"/>
    <hyperlink ref="B533" r:id="rId532" xr:uid="{00000000-0004-0000-0600-000013020000}"/>
    <hyperlink ref="B534" r:id="rId533" xr:uid="{00000000-0004-0000-0600-000014020000}"/>
    <hyperlink ref="B535" r:id="rId534" xr:uid="{00000000-0004-0000-0600-000015020000}"/>
    <hyperlink ref="B536" r:id="rId535" xr:uid="{00000000-0004-0000-0600-000016020000}"/>
    <hyperlink ref="B537" r:id="rId536" xr:uid="{00000000-0004-0000-0600-000017020000}"/>
    <hyperlink ref="B538" r:id="rId537" xr:uid="{00000000-0004-0000-0600-000018020000}"/>
    <hyperlink ref="B539" r:id="rId538" xr:uid="{00000000-0004-0000-0600-000019020000}"/>
    <hyperlink ref="B540" r:id="rId539" xr:uid="{00000000-0004-0000-0600-00001A020000}"/>
    <hyperlink ref="B541" r:id="rId540" xr:uid="{00000000-0004-0000-0600-00001B020000}"/>
    <hyperlink ref="B542" r:id="rId541" xr:uid="{00000000-0004-0000-0600-00001C020000}"/>
    <hyperlink ref="B543" r:id="rId542" xr:uid="{00000000-0004-0000-0600-00001D020000}"/>
    <hyperlink ref="B544" r:id="rId543" xr:uid="{00000000-0004-0000-0600-00001E020000}"/>
    <hyperlink ref="B545" r:id="rId544" xr:uid="{00000000-0004-0000-0600-00001F020000}"/>
    <hyperlink ref="B546" r:id="rId545" xr:uid="{00000000-0004-0000-0600-000020020000}"/>
    <hyperlink ref="B547" r:id="rId546" xr:uid="{00000000-0004-0000-0600-000021020000}"/>
    <hyperlink ref="B548" r:id="rId547" xr:uid="{00000000-0004-0000-0600-000022020000}"/>
    <hyperlink ref="B549" r:id="rId548" xr:uid="{00000000-0004-0000-0600-000023020000}"/>
    <hyperlink ref="B550" r:id="rId549" xr:uid="{00000000-0004-0000-0600-000024020000}"/>
    <hyperlink ref="B551" r:id="rId550" xr:uid="{00000000-0004-0000-0600-000025020000}"/>
    <hyperlink ref="B552" r:id="rId551" xr:uid="{00000000-0004-0000-0600-000026020000}"/>
    <hyperlink ref="B553" r:id="rId552" xr:uid="{00000000-0004-0000-0600-000027020000}"/>
    <hyperlink ref="B554" r:id="rId553" xr:uid="{00000000-0004-0000-0600-000028020000}"/>
    <hyperlink ref="B555" r:id="rId554" xr:uid="{00000000-0004-0000-0600-000029020000}"/>
    <hyperlink ref="B556" r:id="rId555" xr:uid="{00000000-0004-0000-0600-00002A020000}"/>
    <hyperlink ref="B557" r:id="rId556" xr:uid="{00000000-0004-0000-0600-00002B020000}"/>
    <hyperlink ref="B558" r:id="rId557" xr:uid="{00000000-0004-0000-0600-00002C020000}"/>
    <hyperlink ref="B559" r:id="rId558" xr:uid="{00000000-0004-0000-0600-00002D020000}"/>
    <hyperlink ref="B560" r:id="rId559" xr:uid="{00000000-0004-0000-0600-00002E020000}"/>
    <hyperlink ref="B561" r:id="rId560" xr:uid="{00000000-0004-0000-0600-00002F020000}"/>
    <hyperlink ref="B562" r:id="rId561" xr:uid="{00000000-0004-0000-0600-000030020000}"/>
    <hyperlink ref="B563" r:id="rId562" xr:uid="{00000000-0004-0000-0600-000031020000}"/>
    <hyperlink ref="B564" r:id="rId563" xr:uid="{00000000-0004-0000-0600-000032020000}"/>
    <hyperlink ref="B565" r:id="rId564" xr:uid="{00000000-0004-0000-0600-000033020000}"/>
    <hyperlink ref="B566" r:id="rId565" xr:uid="{00000000-0004-0000-0600-000034020000}"/>
    <hyperlink ref="B567" r:id="rId566" xr:uid="{00000000-0004-0000-0600-000035020000}"/>
    <hyperlink ref="B568" r:id="rId567" xr:uid="{00000000-0004-0000-0600-000036020000}"/>
    <hyperlink ref="B569" r:id="rId568" xr:uid="{00000000-0004-0000-0600-000037020000}"/>
    <hyperlink ref="B570" r:id="rId569" xr:uid="{00000000-0004-0000-0600-000038020000}"/>
    <hyperlink ref="B571" r:id="rId570" xr:uid="{00000000-0004-0000-0600-000039020000}"/>
    <hyperlink ref="B572" r:id="rId571" xr:uid="{00000000-0004-0000-0600-00003A020000}"/>
    <hyperlink ref="B573" r:id="rId572" xr:uid="{00000000-0004-0000-0600-00003B020000}"/>
    <hyperlink ref="B574" r:id="rId573" xr:uid="{00000000-0004-0000-0600-00003C020000}"/>
    <hyperlink ref="B575" r:id="rId574" xr:uid="{00000000-0004-0000-0600-00003D020000}"/>
    <hyperlink ref="B576" r:id="rId575" xr:uid="{00000000-0004-0000-0600-00003E020000}"/>
    <hyperlink ref="B577" r:id="rId576" xr:uid="{00000000-0004-0000-0600-00003F020000}"/>
    <hyperlink ref="B578" r:id="rId577" xr:uid="{00000000-0004-0000-0600-000040020000}"/>
    <hyperlink ref="B579" r:id="rId578" xr:uid="{00000000-0004-0000-0600-000041020000}"/>
    <hyperlink ref="B580" r:id="rId579" xr:uid="{00000000-0004-0000-0600-000042020000}"/>
    <hyperlink ref="B581" r:id="rId580" xr:uid="{00000000-0004-0000-0600-000043020000}"/>
    <hyperlink ref="B582" r:id="rId581" xr:uid="{00000000-0004-0000-0600-000044020000}"/>
    <hyperlink ref="B583" r:id="rId582" xr:uid="{00000000-0004-0000-0600-000045020000}"/>
    <hyperlink ref="B584" r:id="rId583" xr:uid="{00000000-0004-0000-0600-000046020000}"/>
    <hyperlink ref="B585" r:id="rId584" xr:uid="{00000000-0004-0000-0600-000047020000}"/>
    <hyperlink ref="B586" r:id="rId585" xr:uid="{00000000-0004-0000-0600-000048020000}"/>
    <hyperlink ref="B587" r:id="rId586" xr:uid="{00000000-0004-0000-0600-000049020000}"/>
    <hyperlink ref="B588" r:id="rId587" xr:uid="{00000000-0004-0000-0600-00004A020000}"/>
    <hyperlink ref="B589" r:id="rId588" xr:uid="{00000000-0004-0000-0600-00004B020000}"/>
    <hyperlink ref="B590" r:id="rId589" xr:uid="{00000000-0004-0000-0600-00004C020000}"/>
    <hyperlink ref="B591" r:id="rId590" xr:uid="{00000000-0004-0000-0600-00004D020000}"/>
    <hyperlink ref="B592" r:id="rId591" xr:uid="{00000000-0004-0000-0600-00004E020000}"/>
    <hyperlink ref="B593" r:id="rId592" xr:uid="{00000000-0004-0000-0600-00004F020000}"/>
    <hyperlink ref="B594" r:id="rId593" xr:uid="{00000000-0004-0000-0600-000050020000}"/>
    <hyperlink ref="B595" r:id="rId594" xr:uid="{00000000-0004-0000-0600-000051020000}"/>
    <hyperlink ref="B596" r:id="rId595" xr:uid="{00000000-0004-0000-0600-000052020000}"/>
    <hyperlink ref="B597" r:id="rId596" xr:uid="{00000000-0004-0000-0600-000053020000}"/>
    <hyperlink ref="B598" r:id="rId597" xr:uid="{00000000-0004-0000-0600-000054020000}"/>
    <hyperlink ref="B599" r:id="rId598" xr:uid="{00000000-0004-0000-0600-000055020000}"/>
    <hyperlink ref="B600" r:id="rId599" xr:uid="{00000000-0004-0000-0600-000056020000}"/>
    <hyperlink ref="B601" r:id="rId600" xr:uid="{00000000-0004-0000-0600-000057020000}"/>
    <hyperlink ref="B602" r:id="rId601" xr:uid="{00000000-0004-0000-0600-000058020000}"/>
    <hyperlink ref="B603" r:id="rId602" xr:uid="{00000000-0004-0000-0600-000059020000}"/>
    <hyperlink ref="B604" r:id="rId603" xr:uid="{00000000-0004-0000-0600-00005A020000}"/>
    <hyperlink ref="B605" r:id="rId604" xr:uid="{00000000-0004-0000-0600-00005B020000}"/>
    <hyperlink ref="B606" r:id="rId605" xr:uid="{00000000-0004-0000-0600-00005C020000}"/>
    <hyperlink ref="B607" r:id="rId606" xr:uid="{00000000-0004-0000-0600-00005D020000}"/>
    <hyperlink ref="B608" r:id="rId607" xr:uid="{00000000-0004-0000-0600-00005E020000}"/>
    <hyperlink ref="B609" r:id="rId608" xr:uid="{00000000-0004-0000-0600-00005F020000}"/>
    <hyperlink ref="B610" r:id="rId609" xr:uid="{00000000-0004-0000-0600-000060020000}"/>
    <hyperlink ref="B611" r:id="rId610" xr:uid="{00000000-0004-0000-0600-000061020000}"/>
    <hyperlink ref="B612" r:id="rId611" xr:uid="{00000000-0004-0000-0600-000062020000}"/>
    <hyperlink ref="B613" r:id="rId612" xr:uid="{00000000-0004-0000-0600-000063020000}"/>
    <hyperlink ref="B614" r:id="rId613" xr:uid="{00000000-0004-0000-0600-000064020000}"/>
    <hyperlink ref="B615" r:id="rId614" xr:uid="{00000000-0004-0000-0600-000065020000}"/>
    <hyperlink ref="B616" r:id="rId615" xr:uid="{00000000-0004-0000-0600-000066020000}"/>
    <hyperlink ref="B617" r:id="rId616" xr:uid="{00000000-0004-0000-0600-000067020000}"/>
    <hyperlink ref="B618" r:id="rId617" xr:uid="{00000000-0004-0000-0600-000068020000}"/>
    <hyperlink ref="B619" r:id="rId618" xr:uid="{00000000-0004-0000-0600-000069020000}"/>
    <hyperlink ref="B620" r:id="rId619" xr:uid="{00000000-0004-0000-0600-00006A020000}"/>
    <hyperlink ref="B621" r:id="rId620" xr:uid="{00000000-0004-0000-0600-00006B020000}"/>
    <hyperlink ref="B622" r:id="rId621" xr:uid="{00000000-0004-0000-0600-00006C020000}"/>
    <hyperlink ref="B623" r:id="rId622" xr:uid="{00000000-0004-0000-0600-00006D020000}"/>
    <hyperlink ref="B624" r:id="rId623" xr:uid="{00000000-0004-0000-0600-00006E020000}"/>
    <hyperlink ref="B625" r:id="rId624" xr:uid="{00000000-0004-0000-0600-00006F020000}"/>
    <hyperlink ref="B626" r:id="rId625" xr:uid="{00000000-0004-0000-0600-000070020000}"/>
    <hyperlink ref="B627" r:id="rId626" xr:uid="{00000000-0004-0000-0600-000071020000}"/>
    <hyperlink ref="B628" r:id="rId627" xr:uid="{00000000-0004-0000-0600-000072020000}"/>
    <hyperlink ref="B629" r:id="rId628" xr:uid="{00000000-0004-0000-0600-000073020000}"/>
    <hyperlink ref="B630" r:id="rId629" xr:uid="{00000000-0004-0000-0600-000074020000}"/>
    <hyperlink ref="B631" r:id="rId630" xr:uid="{00000000-0004-0000-0600-000075020000}"/>
    <hyperlink ref="B632" r:id="rId631" xr:uid="{00000000-0004-0000-0600-000076020000}"/>
    <hyperlink ref="B633" r:id="rId632" xr:uid="{00000000-0004-0000-0600-000077020000}"/>
    <hyperlink ref="B634" r:id="rId633" xr:uid="{00000000-0004-0000-0600-000078020000}"/>
    <hyperlink ref="B635" r:id="rId634" xr:uid="{00000000-0004-0000-0600-000079020000}"/>
    <hyperlink ref="B636" r:id="rId635" xr:uid="{00000000-0004-0000-0600-00007A020000}"/>
    <hyperlink ref="B637" r:id="rId636" xr:uid="{00000000-0004-0000-0600-00007B020000}"/>
    <hyperlink ref="B638" r:id="rId637" xr:uid="{00000000-0004-0000-0600-00007C020000}"/>
    <hyperlink ref="B639" r:id="rId638" xr:uid="{00000000-0004-0000-0600-00007D020000}"/>
    <hyperlink ref="B640" r:id="rId639" xr:uid="{00000000-0004-0000-0600-00007E020000}"/>
    <hyperlink ref="B641" r:id="rId640" xr:uid="{00000000-0004-0000-0600-00007F020000}"/>
    <hyperlink ref="B642" r:id="rId641" xr:uid="{00000000-0004-0000-0600-000080020000}"/>
    <hyperlink ref="B643" r:id="rId642" xr:uid="{00000000-0004-0000-0600-000081020000}"/>
    <hyperlink ref="B644" r:id="rId643" xr:uid="{00000000-0004-0000-0600-000082020000}"/>
    <hyperlink ref="B645" r:id="rId644" xr:uid="{00000000-0004-0000-0600-000083020000}"/>
    <hyperlink ref="B646" r:id="rId645" xr:uid="{00000000-0004-0000-0600-000084020000}"/>
    <hyperlink ref="B647" r:id="rId646" xr:uid="{00000000-0004-0000-0600-000085020000}"/>
    <hyperlink ref="B648" r:id="rId647" xr:uid="{00000000-0004-0000-0600-000086020000}"/>
    <hyperlink ref="B649" r:id="rId648" xr:uid="{00000000-0004-0000-0600-000087020000}"/>
    <hyperlink ref="B650" r:id="rId649" xr:uid="{00000000-0004-0000-0600-000088020000}"/>
    <hyperlink ref="B651" r:id="rId650" xr:uid="{00000000-0004-0000-0600-000089020000}"/>
    <hyperlink ref="B652" r:id="rId651" xr:uid="{00000000-0004-0000-0600-00008A020000}"/>
    <hyperlink ref="B653" r:id="rId652" xr:uid="{00000000-0004-0000-0600-00008B020000}"/>
    <hyperlink ref="B654" r:id="rId653" xr:uid="{00000000-0004-0000-0600-00008C020000}"/>
    <hyperlink ref="B655" r:id="rId654" xr:uid="{00000000-0004-0000-0600-00008D020000}"/>
    <hyperlink ref="B656" r:id="rId655" xr:uid="{00000000-0004-0000-0600-00008E020000}"/>
    <hyperlink ref="B657" r:id="rId656" xr:uid="{00000000-0004-0000-0600-00008F020000}"/>
    <hyperlink ref="B658" r:id="rId657" xr:uid="{00000000-0004-0000-0600-000090020000}"/>
    <hyperlink ref="B659" r:id="rId658" xr:uid="{00000000-0004-0000-0600-000091020000}"/>
    <hyperlink ref="B660" r:id="rId659" xr:uid="{00000000-0004-0000-0600-000092020000}"/>
    <hyperlink ref="B661" r:id="rId660" xr:uid="{00000000-0004-0000-0600-000093020000}"/>
    <hyperlink ref="B662" r:id="rId661" xr:uid="{00000000-0004-0000-0600-000094020000}"/>
    <hyperlink ref="B663" r:id="rId662" xr:uid="{00000000-0004-0000-0600-000095020000}"/>
    <hyperlink ref="B664" r:id="rId663" xr:uid="{00000000-0004-0000-0600-000096020000}"/>
    <hyperlink ref="B665" r:id="rId664" xr:uid="{00000000-0004-0000-0600-000097020000}"/>
    <hyperlink ref="B666" r:id="rId665" xr:uid="{00000000-0004-0000-0600-000098020000}"/>
    <hyperlink ref="B667" r:id="rId666" xr:uid="{00000000-0004-0000-0600-000099020000}"/>
    <hyperlink ref="B668" r:id="rId667" xr:uid="{00000000-0004-0000-0600-00009A020000}"/>
    <hyperlink ref="B669" r:id="rId668" xr:uid="{00000000-0004-0000-0600-00009B020000}"/>
    <hyperlink ref="B670" r:id="rId669" xr:uid="{00000000-0004-0000-0600-00009C020000}"/>
    <hyperlink ref="B671" r:id="rId670" xr:uid="{00000000-0004-0000-0600-00009D020000}"/>
    <hyperlink ref="B672" r:id="rId671" xr:uid="{00000000-0004-0000-0600-00009E020000}"/>
    <hyperlink ref="B673" r:id="rId672" xr:uid="{00000000-0004-0000-0600-00009F020000}"/>
    <hyperlink ref="B674" r:id="rId673" xr:uid="{00000000-0004-0000-0600-0000A0020000}"/>
    <hyperlink ref="B675" r:id="rId674" xr:uid="{00000000-0004-0000-0600-0000A1020000}"/>
    <hyperlink ref="B676" r:id="rId675" xr:uid="{00000000-0004-0000-0600-0000A2020000}"/>
    <hyperlink ref="B677" r:id="rId676" xr:uid="{00000000-0004-0000-0600-0000A3020000}"/>
    <hyperlink ref="B678" r:id="rId677" xr:uid="{00000000-0004-0000-0600-0000A4020000}"/>
    <hyperlink ref="B679" r:id="rId678" xr:uid="{00000000-0004-0000-0600-0000A5020000}"/>
    <hyperlink ref="B680" r:id="rId679" xr:uid="{00000000-0004-0000-0600-0000A6020000}"/>
    <hyperlink ref="B681" r:id="rId680" xr:uid="{00000000-0004-0000-0600-0000A7020000}"/>
    <hyperlink ref="B682" r:id="rId681" xr:uid="{00000000-0004-0000-0600-0000A8020000}"/>
    <hyperlink ref="B683" r:id="rId682" xr:uid="{00000000-0004-0000-0600-0000A9020000}"/>
    <hyperlink ref="B684" r:id="rId683" xr:uid="{00000000-0004-0000-0600-0000AA020000}"/>
    <hyperlink ref="B685" r:id="rId684" xr:uid="{00000000-0004-0000-0600-0000AB020000}"/>
    <hyperlink ref="B686" r:id="rId685" xr:uid="{00000000-0004-0000-0600-0000AC020000}"/>
    <hyperlink ref="B687" r:id="rId686" xr:uid="{00000000-0004-0000-0600-0000AD020000}"/>
    <hyperlink ref="B688" r:id="rId687" xr:uid="{00000000-0004-0000-0600-0000AE020000}"/>
    <hyperlink ref="B689" r:id="rId688" xr:uid="{00000000-0004-0000-0600-0000AF020000}"/>
    <hyperlink ref="B690" r:id="rId689" xr:uid="{00000000-0004-0000-0600-0000B0020000}"/>
    <hyperlink ref="B691" r:id="rId690" xr:uid="{00000000-0004-0000-0600-0000B1020000}"/>
    <hyperlink ref="B692" r:id="rId691" xr:uid="{00000000-0004-0000-0600-0000B2020000}"/>
    <hyperlink ref="B693" r:id="rId692" xr:uid="{00000000-0004-0000-0600-0000B3020000}"/>
    <hyperlink ref="B694" r:id="rId693" xr:uid="{00000000-0004-0000-0600-0000B4020000}"/>
    <hyperlink ref="B695" r:id="rId694" xr:uid="{00000000-0004-0000-0600-0000B5020000}"/>
    <hyperlink ref="B696" r:id="rId695" xr:uid="{00000000-0004-0000-0600-0000B6020000}"/>
    <hyperlink ref="B697" r:id="rId696" xr:uid="{00000000-0004-0000-0600-0000B7020000}"/>
    <hyperlink ref="B698" r:id="rId697" xr:uid="{00000000-0004-0000-0600-0000B8020000}"/>
    <hyperlink ref="B699" r:id="rId698" xr:uid="{00000000-0004-0000-0600-0000B9020000}"/>
    <hyperlink ref="B700" r:id="rId699" xr:uid="{00000000-0004-0000-0600-0000BA020000}"/>
    <hyperlink ref="B701" r:id="rId700" xr:uid="{00000000-0004-0000-0600-0000BB020000}"/>
    <hyperlink ref="B702" r:id="rId701" xr:uid="{00000000-0004-0000-0600-0000BC020000}"/>
    <hyperlink ref="B703" r:id="rId702" xr:uid="{00000000-0004-0000-0600-0000BD020000}"/>
    <hyperlink ref="B704" r:id="rId703" xr:uid="{00000000-0004-0000-0600-0000BE020000}"/>
    <hyperlink ref="B705" r:id="rId704" xr:uid="{00000000-0004-0000-0600-0000BF020000}"/>
    <hyperlink ref="B706" r:id="rId705" xr:uid="{00000000-0004-0000-0600-0000C0020000}"/>
    <hyperlink ref="B707" r:id="rId706" xr:uid="{00000000-0004-0000-0600-0000C1020000}"/>
    <hyperlink ref="B708" r:id="rId707" xr:uid="{00000000-0004-0000-0600-0000C2020000}"/>
    <hyperlink ref="B709" r:id="rId708" xr:uid="{00000000-0004-0000-0600-0000C3020000}"/>
    <hyperlink ref="B710" r:id="rId709" xr:uid="{00000000-0004-0000-0600-0000C4020000}"/>
    <hyperlink ref="B711" r:id="rId710" xr:uid="{00000000-0004-0000-0600-0000C5020000}"/>
    <hyperlink ref="B712" r:id="rId711" xr:uid="{00000000-0004-0000-0600-0000C6020000}"/>
    <hyperlink ref="B713" r:id="rId712" xr:uid="{00000000-0004-0000-0600-0000C7020000}"/>
    <hyperlink ref="B714" r:id="rId713" xr:uid="{00000000-0004-0000-0600-0000C8020000}"/>
    <hyperlink ref="B715" r:id="rId714" xr:uid="{00000000-0004-0000-0600-0000C9020000}"/>
    <hyperlink ref="B716" r:id="rId715" xr:uid="{00000000-0004-0000-0600-0000CA020000}"/>
    <hyperlink ref="B717" r:id="rId716" xr:uid="{00000000-0004-0000-0600-0000CB020000}"/>
    <hyperlink ref="B718" r:id="rId717" xr:uid="{00000000-0004-0000-0600-0000CC020000}"/>
    <hyperlink ref="B719" r:id="rId718" xr:uid="{00000000-0004-0000-0600-0000CD020000}"/>
    <hyperlink ref="B720" r:id="rId719" xr:uid="{00000000-0004-0000-0600-0000CE020000}"/>
    <hyperlink ref="B721" r:id="rId720" xr:uid="{00000000-0004-0000-0600-0000CF020000}"/>
    <hyperlink ref="B722" r:id="rId721" xr:uid="{00000000-0004-0000-0600-0000D0020000}"/>
    <hyperlink ref="B723" r:id="rId722" xr:uid="{00000000-0004-0000-0600-0000D1020000}"/>
    <hyperlink ref="B724" r:id="rId723" xr:uid="{00000000-0004-0000-0600-0000D2020000}"/>
    <hyperlink ref="B725" r:id="rId724" xr:uid="{00000000-0004-0000-0600-0000D3020000}"/>
    <hyperlink ref="B726" r:id="rId725" xr:uid="{00000000-0004-0000-0600-0000D4020000}"/>
    <hyperlink ref="B727" r:id="rId726" xr:uid="{00000000-0004-0000-0600-0000D5020000}"/>
    <hyperlink ref="B728" r:id="rId727" xr:uid="{00000000-0004-0000-0600-0000D6020000}"/>
    <hyperlink ref="B729" r:id="rId728" xr:uid="{00000000-0004-0000-0600-0000D7020000}"/>
    <hyperlink ref="B730" r:id="rId729" xr:uid="{00000000-0004-0000-0600-0000D8020000}"/>
    <hyperlink ref="B731" r:id="rId730" xr:uid="{00000000-0004-0000-0600-0000D9020000}"/>
    <hyperlink ref="B732" r:id="rId731" xr:uid="{00000000-0004-0000-0600-0000DA020000}"/>
    <hyperlink ref="B733" r:id="rId732" xr:uid="{00000000-0004-0000-0600-0000DB020000}"/>
    <hyperlink ref="B734" r:id="rId733" xr:uid="{00000000-0004-0000-0600-0000DC020000}"/>
    <hyperlink ref="B735" r:id="rId734" xr:uid="{00000000-0004-0000-0600-0000DD020000}"/>
    <hyperlink ref="B736" r:id="rId735" xr:uid="{00000000-0004-0000-0600-0000DE020000}"/>
    <hyperlink ref="B737" r:id="rId736" xr:uid="{00000000-0004-0000-0600-0000DF020000}"/>
    <hyperlink ref="B738" r:id="rId737" xr:uid="{00000000-0004-0000-0600-0000E0020000}"/>
    <hyperlink ref="B739" r:id="rId738" xr:uid="{00000000-0004-0000-0600-0000E1020000}"/>
    <hyperlink ref="B740" r:id="rId739" xr:uid="{00000000-0004-0000-0600-0000E2020000}"/>
    <hyperlink ref="B741" r:id="rId740" xr:uid="{00000000-0004-0000-0600-0000E3020000}"/>
    <hyperlink ref="B742" r:id="rId741" xr:uid="{00000000-0004-0000-0600-0000E4020000}"/>
    <hyperlink ref="B743" r:id="rId742" xr:uid="{00000000-0004-0000-0600-0000E5020000}"/>
    <hyperlink ref="B744" r:id="rId743" xr:uid="{00000000-0004-0000-0600-0000E6020000}"/>
    <hyperlink ref="B745" r:id="rId744" xr:uid="{00000000-0004-0000-0600-0000E7020000}"/>
    <hyperlink ref="B746" r:id="rId745" xr:uid="{00000000-0004-0000-0600-0000E8020000}"/>
    <hyperlink ref="B747" r:id="rId746" xr:uid="{00000000-0004-0000-0600-0000E9020000}"/>
    <hyperlink ref="B748" r:id="rId747" xr:uid="{00000000-0004-0000-0600-0000EA020000}"/>
    <hyperlink ref="B749" r:id="rId748" xr:uid="{00000000-0004-0000-0600-0000EB020000}"/>
    <hyperlink ref="B750" r:id="rId749" xr:uid="{00000000-0004-0000-0600-0000EC020000}"/>
    <hyperlink ref="B751" r:id="rId750" xr:uid="{00000000-0004-0000-0600-0000ED020000}"/>
    <hyperlink ref="B752" r:id="rId751" xr:uid="{00000000-0004-0000-0600-0000EE020000}"/>
    <hyperlink ref="B753" r:id="rId752" xr:uid="{00000000-0004-0000-0600-0000EF020000}"/>
    <hyperlink ref="B754" r:id="rId753" xr:uid="{00000000-0004-0000-0600-0000F0020000}"/>
    <hyperlink ref="B755" r:id="rId754" xr:uid="{00000000-0004-0000-0600-0000F1020000}"/>
    <hyperlink ref="B756" r:id="rId755" xr:uid="{00000000-0004-0000-0600-0000F2020000}"/>
    <hyperlink ref="B757" r:id="rId756" xr:uid="{00000000-0004-0000-0600-0000F3020000}"/>
    <hyperlink ref="B758" r:id="rId757" xr:uid="{00000000-0004-0000-0600-0000F4020000}"/>
    <hyperlink ref="B759" r:id="rId758" xr:uid="{00000000-0004-0000-0600-0000F5020000}"/>
    <hyperlink ref="B760" r:id="rId759" xr:uid="{00000000-0004-0000-0600-0000F6020000}"/>
    <hyperlink ref="B761" r:id="rId760" xr:uid="{00000000-0004-0000-0600-0000F7020000}"/>
    <hyperlink ref="B762" r:id="rId761" xr:uid="{00000000-0004-0000-0600-0000F8020000}"/>
    <hyperlink ref="B763" r:id="rId762" xr:uid="{00000000-0004-0000-0600-0000F9020000}"/>
    <hyperlink ref="B764" r:id="rId763" xr:uid="{00000000-0004-0000-0600-0000FA020000}"/>
    <hyperlink ref="B765" r:id="rId764" xr:uid="{00000000-0004-0000-0600-0000FB020000}"/>
    <hyperlink ref="B766" r:id="rId765" xr:uid="{00000000-0004-0000-0600-0000FC020000}"/>
    <hyperlink ref="B767" r:id="rId766" xr:uid="{00000000-0004-0000-0600-0000FD020000}"/>
    <hyperlink ref="B768" r:id="rId767" xr:uid="{00000000-0004-0000-0600-0000FE020000}"/>
    <hyperlink ref="B769" r:id="rId768" xr:uid="{00000000-0004-0000-0600-0000FF020000}"/>
    <hyperlink ref="B770" r:id="rId769" xr:uid="{00000000-0004-0000-0600-000000030000}"/>
    <hyperlink ref="B771" r:id="rId770" xr:uid="{00000000-0004-0000-0600-000001030000}"/>
    <hyperlink ref="B772" r:id="rId771" xr:uid="{00000000-0004-0000-0600-000002030000}"/>
    <hyperlink ref="B773" r:id="rId772" xr:uid="{00000000-0004-0000-0600-000003030000}"/>
    <hyperlink ref="B774" r:id="rId773" xr:uid="{00000000-0004-0000-0600-000004030000}"/>
    <hyperlink ref="B775" r:id="rId774" xr:uid="{00000000-0004-0000-0600-000005030000}"/>
    <hyperlink ref="B776" r:id="rId775" xr:uid="{00000000-0004-0000-0600-000006030000}"/>
    <hyperlink ref="B777" r:id="rId776" xr:uid="{00000000-0004-0000-0600-000007030000}"/>
    <hyperlink ref="B778" r:id="rId777" xr:uid="{00000000-0004-0000-0600-000008030000}"/>
    <hyperlink ref="B779" r:id="rId778" xr:uid="{00000000-0004-0000-0600-000009030000}"/>
    <hyperlink ref="B780" r:id="rId779" xr:uid="{00000000-0004-0000-0600-00000A030000}"/>
    <hyperlink ref="B781" r:id="rId780" xr:uid="{00000000-0004-0000-0600-00000B030000}"/>
    <hyperlink ref="B782" r:id="rId781" xr:uid="{00000000-0004-0000-0600-00000C030000}"/>
    <hyperlink ref="B783" r:id="rId782" xr:uid="{00000000-0004-0000-0600-00000D030000}"/>
    <hyperlink ref="B784" r:id="rId783" xr:uid="{00000000-0004-0000-0600-00000E030000}"/>
    <hyperlink ref="B785" r:id="rId784" xr:uid="{00000000-0004-0000-0600-00000F030000}"/>
    <hyperlink ref="B786" r:id="rId785" xr:uid="{00000000-0004-0000-0600-000010030000}"/>
    <hyperlink ref="B787" r:id="rId786" xr:uid="{00000000-0004-0000-0600-000011030000}"/>
    <hyperlink ref="E787" r:id="rId787" xr:uid="{00000000-0004-0000-0600-000012030000}"/>
    <hyperlink ref="B788" r:id="rId788" xr:uid="{00000000-0004-0000-0600-000013030000}"/>
    <hyperlink ref="B789" r:id="rId789" xr:uid="{00000000-0004-0000-0600-000014030000}"/>
    <hyperlink ref="B790" r:id="rId790" xr:uid="{00000000-0004-0000-0600-000015030000}"/>
    <hyperlink ref="B791" r:id="rId791" xr:uid="{00000000-0004-0000-0600-000016030000}"/>
    <hyperlink ref="B792" r:id="rId792" xr:uid="{00000000-0004-0000-0600-000017030000}"/>
    <hyperlink ref="B793" r:id="rId793" xr:uid="{00000000-0004-0000-0600-000018030000}"/>
    <hyperlink ref="B794" r:id="rId794" xr:uid="{00000000-0004-0000-0600-000019030000}"/>
    <hyperlink ref="B795" r:id="rId795" xr:uid="{00000000-0004-0000-0600-00001A030000}"/>
    <hyperlink ref="B796" r:id="rId796" xr:uid="{00000000-0004-0000-0600-00001B030000}"/>
    <hyperlink ref="B797" r:id="rId797" xr:uid="{00000000-0004-0000-0600-00001C030000}"/>
    <hyperlink ref="B798" r:id="rId798" xr:uid="{00000000-0004-0000-0600-00001D030000}"/>
    <hyperlink ref="B799" r:id="rId799" xr:uid="{00000000-0004-0000-0600-00001E030000}"/>
    <hyperlink ref="B800" r:id="rId800" xr:uid="{00000000-0004-0000-0600-00001F030000}"/>
    <hyperlink ref="B801" r:id="rId801" xr:uid="{00000000-0004-0000-0600-000020030000}"/>
    <hyperlink ref="B802" r:id="rId802" xr:uid="{00000000-0004-0000-0600-000021030000}"/>
    <hyperlink ref="B803" r:id="rId803" xr:uid="{00000000-0004-0000-0600-000022030000}"/>
    <hyperlink ref="B804" r:id="rId804" xr:uid="{00000000-0004-0000-0600-000023030000}"/>
    <hyperlink ref="B805" r:id="rId805" xr:uid="{00000000-0004-0000-0600-000024030000}"/>
    <hyperlink ref="B806" r:id="rId806" xr:uid="{00000000-0004-0000-0600-000025030000}"/>
    <hyperlink ref="B807" r:id="rId807" xr:uid="{00000000-0004-0000-0600-000026030000}"/>
    <hyperlink ref="B808" r:id="rId808" xr:uid="{00000000-0004-0000-0600-000027030000}"/>
    <hyperlink ref="B809" r:id="rId809" xr:uid="{00000000-0004-0000-0600-000028030000}"/>
    <hyperlink ref="B810" r:id="rId810" xr:uid="{00000000-0004-0000-0600-000029030000}"/>
    <hyperlink ref="B811" r:id="rId811" xr:uid="{00000000-0004-0000-0600-00002A030000}"/>
    <hyperlink ref="B812" r:id="rId812" xr:uid="{00000000-0004-0000-0600-00002B030000}"/>
    <hyperlink ref="B813" r:id="rId813" xr:uid="{00000000-0004-0000-0600-00002C030000}"/>
    <hyperlink ref="B814" r:id="rId814" xr:uid="{00000000-0004-0000-0600-00002D030000}"/>
    <hyperlink ref="B815" r:id="rId815" xr:uid="{00000000-0004-0000-0600-00002E030000}"/>
    <hyperlink ref="B816" r:id="rId816" xr:uid="{00000000-0004-0000-0600-00002F030000}"/>
    <hyperlink ref="B817" r:id="rId817" xr:uid="{00000000-0004-0000-0600-000030030000}"/>
    <hyperlink ref="B818" r:id="rId818" xr:uid="{00000000-0004-0000-0600-000031030000}"/>
    <hyperlink ref="B819" r:id="rId819" xr:uid="{00000000-0004-0000-0600-000032030000}"/>
    <hyperlink ref="B820" r:id="rId820" xr:uid="{00000000-0004-0000-0600-000033030000}"/>
    <hyperlink ref="B821" r:id="rId821" xr:uid="{00000000-0004-0000-0600-000034030000}"/>
    <hyperlink ref="B822" r:id="rId822" xr:uid="{00000000-0004-0000-0600-000035030000}"/>
    <hyperlink ref="B823" r:id="rId823" xr:uid="{00000000-0004-0000-0600-000036030000}"/>
    <hyperlink ref="B824" r:id="rId824" xr:uid="{00000000-0004-0000-0600-000037030000}"/>
    <hyperlink ref="B825" r:id="rId825" xr:uid="{00000000-0004-0000-0600-000038030000}"/>
    <hyperlink ref="B826" r:id="rId826" xr:uid="{00000000-0004-0000-0600-000039030000}"/>
    <hyperlink ref="B827" r:id="rId827" xr:uid="{00000000-0004-0000-0600-00003A030000}"/>
    <hyperlink ref="B828" r:id="rId828" xr:uid="{00000000-0004-0000-0600-00003B030000}"/>
    <hyperlink ref="B829" r:id="rId829" xr:uid="{00000000-0004-0000-0600-00003C030000}"/>
    <hyperlink ref="B830" r:id="rId830" xr:uid="{00000000-0004-0000-0600-00003D030000}"/>
    <hyperlink ref="B831" r:id="rId831" xr:uid="{00000000-0004-0000-0600-00003E030000}"/>
    <hyperlink ref="B832" r:id="rId832" xr:uid="{00000000-0004-0000-0600-00003F030000}"/>
    <hyperlink ref="B833" r:id="rId833" xr:uid="{00000000-0004-0000-0600-000040030000}"/>
    <hyperlink ref="B834" r:id="rId834" xr:uid="{00000000-0004-0000-0600-000041030000}"/>
    <hyperlink ref="B835" r:id="rId835" xr:uid="{00000000-0004-0000-0600-000042030000}"/>
    <hyperlink ref="B836" r:id="rId836" xr:uid="{00000000-0004-0000-0600-000043030000}"/>
    <hyperlink ref="B837" r:id="rId837" xr:uid="{00000000-0004-0000-0600-000044030000}"/>
    <hyperlink ref="B838" r:id="rId838" xr:uid="{00000000-0004-0000-0600-000045030000}"/>
    <hyperlink ref="B839" r:id="rId839" xr:uid="{00000000-0004-0000-0600-000046030000}"/>
    <hyperlink ref="B840" r:id="rId840" xr:uid="{00000000-0004-0000-0600-000047030000}"/>
    <hyperlink ref="B841" r:id="rId841" xr:uid="{00000000-0004-0000-0600-000048030000}"/>
    <hyperlink ref="B842" r:id="rId842" xr:uid="{00000000-0004-0000-0600-000049030000}"/>
    <hyperlink ref="B843" r:id="rId843" xr:uid="{00000000-0004-0000-0600-00004A030000}"/>
    <hyperlink ref="B844" r:id="rId844" xr:uid="{00000000-0004-0000-0600-00004B030000}"/>
    <hyperlink ref="B845" r:id="rId845" xr:uid="{00000000-0004-0000-0600-00004C030000}"/>
    <hyperlink ref="B846" r:id="rId846" xr:uid="{00000000-0004-0000-0600-00004D030000}"/>
    <hyperlink ref="B847" r:id="rId847" xr:uid="{00000000-0004-0000-0600-00004E030000}"/>
    <hyperlink ref="B848" r:id="rId848" xr:uid="{00000000-0004-0000-0600-00004F030000}"/>
    <hyperlink ref="B849" r:id="rId849" xr:uid="{00000000-0004-0000-0600-000050030000}"/>
    <hyperlink ref="B850" r:id="rId850" xr:uid="{00000000-0004-0000-0600-000051030000}"/>
    <hyperlink ref="B851" r:id="rId851" xr:uid="{00000000-0004-0000-0600-000052030000}"/>
    <hyperlink ref="B852" r:id="rId852" xr:uid="{00000000-0004-0000-0600-000053030000}"/>
    <hyperlink ref="B853" r:id="rId853" xr:uid="{00000000-0004-0000-0600-000054030000}"/>
    <hyperlink ref="B854" r:id="rId854" xr:uid="{00000000-0004-0000-0600-000055030000}"/>
    <hyperlink ref="B855" r:id="rId855" xr:uid="{00000000-0004-0000-0600-000056030000}"/>
    <hyperlink ref="B856" r:id="rId856" xr:uid="{00000000-0004-0000-0600-000057030000}"/>
    <hyperlink ref="B857" r:id="rId857" xr:uid="{00000000-0004-0000-0600-000058030000}"/>
    <hyperlink ref="B858" r:id="rId858" xr:uid="{00000000-0004-0000-0600-000059030000}"/>
    <hyperlink ref="B859" r:id="rId859" xr:uid="{00000000-0004-0000-0600-00005A030000}"/>
    <hyperlink ref="B860" r:id="rId860" xr:uid="{00000000-0004-0000-0600-00005B030000}"/>
    <hyperlink ref="B861" r:id="rId861" xr:uid="{00000000-0004-0000-0600-00005C030000}"/>
    <hyperlink ref="B862" r:id="rId862" xr:uid="{00000000-0004-0000-0600-00005D030000}"/>
    <hyperlink ref="B863" r:id="rId863" xr:uid="{00000000-0004-0000-0600-00005E030000}"/>
    <hyperlink ref="B864" r:id="rId864" xr:uid="{00000000-0004-0000-0600-00005F030000}"/>
    <hyperlink ref="B865" r:id="rId865" xr:uid="{00000000-0004-0000-0600-000060030000}"/>
    <hyperlink ref="B866" r:id="rId866" xr:uid="{00000000-0004-0000-0600-000061030000}"/>
    <hyperlink ref="B867" r:id="rId867" xr:uid="{00000000-0004-0000-0600-000062030000}"/>
    <hyperlink ref="B868" r:id="rId868" xr:uid="{00000000-0004-0000-0600-000063030000}"/>
    <hyperlink ref="B869" r:id="rId869" xr:uid="{00000000-0004-0000-0600-000064030000}"/>
    <hyperlink ref="B870" r:id="rId870" xr:uid="{00000000-0004-0000-0600-000065030000}"/>
    <hyperlink ref="B871" r:id="rId871" xr:uid="{00000000-0004-0000-0600-000066030000}"/>
    <hyperlink ref="B872" r:id="rId872" xr:uid="{00000000-0004-0000-0600-000067030000}"/>
    <hyperlink ref="B873" r:id="rId873" xr:uid="{00000000-0004-0000-0600-000068030000}"/>
    <hyperlink ref="B874" r:id="rId874" xr:uid="{00000000-0004-0000-0600-000069030000}"/>
    <hyperlink ref="B875" r:id="rId875" xr:uid="{00000000-0004-0000-0600-00006A030000}"/>
    <hyperlink ref="B876" r:id="rId876" xr:uid="{00000000-0004-0000-0600-00006B030000}"/>
    <hyperlink ref="B877" r:id="rId877" xr:uid="{00000000-0004-0000-0600-00006C030000}"/>
    <hyperlink ref="B878" r:id="rId878" xr:uid="{00000000-0004-0000-0600-00006D030000}"/>
    <hyperlink ref="B879" r:id="rId879" xr:uid="{00000000-0004-0000-0600-00006E030000}"/>
    <hyperlink ref="B880" r:id="rId880" xr:uid="{00000000-0004-0000-0600-00006F030000}"/>
    <hyperlink ref="B881" r:id="rId881" xr:uid="{00000000-0004-0000-0600-000070030000}"/>
    <hyperlink ref="B882" r:id="rId882" xr:uid="{00000000-0004-0000-0600-000071030000}"/>
    <hyperlink ref="B883" r:id="rId883" xr:uid="{00000000-0004-0000-0600-000072030000}"/>
    <hyperlink ref="B884" r:id="rId884" xr:uid="{00000000-0004-0000-0600-000073030000}"/>
    <hyperlink ref="B885" r:id="rId885" xr:uid="{00000000-0004-0000-0600-000074030000}"/>
    <hyperlink ref="B886" r:id="rId886" xr:uid="{00000000-0004-0000-0600-000075030000}"/>
    <hyperlink ref="B887" r:id="rId887" xr:uid="{00000000-0004-0000-0600-000076030000}"/>
    <hyperlink ref="B888" r:id="rId888" xr:uid="{00000000-0004-0000-0600-000077030000}"/>
    <hyperlink ref="B889" r:id="rId889" xr:uid="{00000000-0004-0000-0600-000078030000}"/>
    <hyperlink ref="B890" r:id="rId890" xr:uid="{00000000-0004-0000-0600-000079030000}"/>
    <hyperlink ref="B891" r:id="rId891" xr:uid="{00000000-0004-0000-0600-00007A030000}"/>
    <hyperlink ref="B892" r:id="rId892" xr:uid="{00000000-0004-0000-0600-00007B030000}"/>
    <hyperlink ref="B893" r:id="rId893" xr:uid="{00000000-0004-0000-0600-00007C030000}"/>
    <hyperlink ref="B894" r:id="rId894" xr:uid="{00000000-0004-0000-0600-00007D030000}"/>
    <hyperlink ref="B895" r:id="rId895" xr:uid="{00000000-0004-0000-0600-00007E030000}"/>
    <hyperlink ref="B896" r:id="rId896" xr:uid="{00000000-0004-0000-0600-00007F030000}"/>
    <hyperlink ref="B897" r:id="rId897" xr:uid="{00000000-0004-0000-0600-000080030000}"/>
    <hyperlink ref="B898" r:id="rId898" xr:uid="{00000000-0004-0000-0600-000081030000}"/>
    <hyperlink ref="B899" r:id="rId899" xr:uid="{00000000-0004-0000-0600-000082030000}"/>
    <hyperlink ref="B900" r:id="rId900" xr:uid="{00000000-0004-0000-0600-000083030000}"/>
    <hyperlink ref="B901" r:id="rId901" xr:uid="{00000000-0004-0000-0600-000084030000}"/>
    <hyperlink ref="B902" r:id="rId902" xr:uid="{00000000-0004-0000-0600-000085030000}"/>
    <hyperlink ref="B903" r:id="rId903" xr:uid="{00000000-0004-0000-0600-000086030000}"/>
    <hyperlink ref="B904" r:id="rId904" xr:uid="{00000000-0004-0000-0600-000087030000}"/>
    <hyperlink ref="B905" r:id="rId905" xr:uid="{00000000-0004-0000-0600-000088030000}"/>
    <hyperlink ref="B906" r:id="rId906" xr:uid="{00000000-0004-0000-0600-000089030000}"/>
    <hyperlink ref="B907" r:id="rId907" xr:uid="{00000000-0004-0000-0600-00008A030000}"/>
    <hyperlink ref="B908" r:id="rId908" xr:uid="{00000000-0004-0000-0600-00008B030000}"/>
    <hyperlink ref="B909" r:id="rId909" xr:uid="{00000000-0004-0000-0600-00008C030000}"/>
    <hyperlink ref="B910" r:id="rId910" xr:uid="{00000000-0004-0000-0600-00008D030000}"/>
    <hyperlink ref="B911" r:id="rId911" xr:uid="{00000000-0004-0000-0600-00008E030000}"/>
    <hyperlink ref="B912" r:id="rId912" xr:uid="{00000000-0004-0000-0600-00008F030000}"/>
    <hyperlink ref="B913" r:id="rId913" xr:uid="{00000000-0004-0000-0600-000090030000}"/>
    <hyperlink ref="B914" r:id="rId914" xr:uid="{00000000-0004-0000-0600-000091030000}"/>
    <hyperlink ref="B915" r:id="rId915" xr:uid="{00000000-0004-0000-0600-000092030000}"/>
    <hyperlink ref="B916" r:id="rId916" xr:uid="{00000000-0004-0000-0600-000093030000}"/>
    <hyperlink ref="B917" r:id="rId917" xr:uid="{00000000-0004-0000-0600-000094030000}"/>
    <hyperlink ref="B918" r:id="rId918" xr:uid="{00000000-0004-0000-0600-000095030000}"/>
    <hyperlink ref="B919" r:id="rId919" xr:uid="{00000000-0004-0000-0600-000096030000}"/>
    <hyperlink ref="B920" r:id="rId920" xr:uid="{00000000-0004-0000-0600-000097030000}"/>
    <hyperlink ref="B921" r:id="rId921" xr:uid="{00000000-0004-0000-0600-000098030000}"/>
    <hyperlink ref="B922" r:id="rId922" xr:uid="{00000000-0004-0000-0600-000099030000}"/>
    <hyperlink ref="B923" r:id="rId923" xr:uid="{00000000-0004-0000-0600-00009A030000}"/>
    <hyperlink ref="B924" r:id="rId924" xr:uid="{00000000-0004-0000-0600-00009B030000}"/>
    <hyperlink ref="B925" r:id="rId925" xr:uid="{00000000-0004-0000-0600-00009C030000}"/>
    <hyperlink ref="B926" r:id="rId926" xr:uid="{00000000-0004-0000-0600-00009D030000}"/>
    <hyperlink ref="B927" r:id="rId927" xr:uid="{00000000-0004-0000-0600-00009E030000}"/>
    <hyperlink ref="B928" r:id="rId928" xr:uid="{00000000-0004-0000-0600-00009F030000}"/>
    <hyperlink ref="B929" r:id="rId929" xr:uid="{00000000-0004-0000-0600-0000A0030000}"/>
    <hyperlink ref="B930" r:id="rId930" xr:uid="{00000000-0004-0000-0600-0000A1030000}"/>
    <hyperlink ref="B931" r:id="rId931" xr:uid="{00000000-0004-0000-0600-0000A2030000}"/>
    <hyperlink ref="B932" r:id="rId932" xr:uid="{00000000-0004-0000-0600-0000A3030000}"/>
    <hyperlink ref="B933" r:id="rId933" xr:uid="{00000000-0004-0000-0600-0000A4030000}"/>
    <hyperlink ref="B934" r:id="rId934" xr:uid="{00000000-0004-0000-0600-0000A5030000}"/>
    <hyperlink ref="B935" r:id="rId935" xr:uid="{00000000-0004-0000-0600-0000A6030000}"/>
    <hyperlink ref="B936" r:id="rId936" xr:uid="{00000000-0004-0000-0600-0000A7030000}"/>
    <hyperlink ref="B937" r:id="rId937" xr:uid="{00000000-0004-0000-0600-0000A8030000}"/>
    <hyperlink ref="B938" r:id="rId938" xr:uid="{00000000-0004-0000-0600-0000A9030000}"/>
    <hyperlink ref="B939" r:id="rId939" xr:uid="{00000000-0004-0000-0600-0000AA030000}"/>
    <hyperlink ref="B940" r:id="rId940" xr:uid="{00000000-0004-0000-0600-0000AB030000}"/>
    <hyperlink ref="B941" r:id="rId941" xr:uid="{00000000-0004-0000-0600-0000AC030000}"/>
    <hyperlink ref="B942" r:id="rId942" xr:uid="{00000000-0004-0000-0600-0000AD030000}"/>
    <hyperlink ref="B943" r:id="rId943" xr:uid="{00000000-0004-0000-0600-0000AE030000}"/>
    <hyperlink ref="B944" r:id="rId944" xr:uid="{00000000-0004-0000-0600-0000AF030000}"/>
    <hyperlink ref="B945" r:id="rId945" xr:uid="{00000000-0004-0000-0600-0000B0030000}"/>
    <hyperlink ref="B946" r:id="rId946" xr:uid="{00000000-0004-0000-0600-0000B1030000}"/>
    <hyperlink ref="B947" r:id="rId947" xr:uid="{00000000-0004-0000-0600-0000B2030000}"/>
    <hyperlink ref="B948" r:id="rId948" xr:uid="{00000000-0004-0000-0600-0000B3030000}"/>
    <hyperlink ref="B949" r:id="rId949" xr:uid="{00000000-0004-0000-0600-0000B4030000}"/>
    <hyperlink ref="B950" r:id="rId950" xr:uid="{00000000-0004-0000-0600-0000B5030000}"/>
    <hyperlink ref="B951" r:id="rId951" xr:uid="{00000000-0004-0000-0600-0000B6030000}"/>
    <hyperlink ref="B952" r:id="rId952" xr:uid="{00000000-0004-0000-0600-0000B7030000}"/>
    <hyperlink ref="B953" r:id="rId953" xr:uid="{00000000-0004-0000-0600-0000B8030000}"/>
    <hyperlink ref="B954" r:id="rId954" xr:uid="{00000000-0004-0000-0600-0000B9030000}"/>
    <hyperlink ref="B955" r:id="rId955" xr:uid="{00000000-0004-0000-0600-0000BA030000}"/>
    <hyperlink ref="B956" r:id="rId956" xr:uid="{00000000-0004-0000-0600-0000BB030000}"/>
    <hyperlink ref="B957" r:id="rId957" xr:uid="{00000000-0004-0000-0600-0000BC030000}"/>
    <hyperlink ref="B958" r:id="rId958" xr:uid="{00000000-0004-0000-0600-0000BD030000}"/>
    <hyperlink ref="B959" r:id="rId959" xr:uid="{00000000-0004-0000-0600-0000BE030000}"/>
    <hyperlink ref="B960" r:id="rId960" xr:uid="{00000000-0004-0000-0600-0000BF030000}"/>
    <hyperlink ref="B961" r:id="rId961" xr:uid="{00000000-0004-0000-0600-0000C0030000}"/>
    <hyperlink ref="B962" r:id="rId962" xr:uid="{00000000-0004-0000-0600-0000C1030000}"/>
    <hyperlink ref="B963" r:id="rId963" xr:uid="{00000000-0004-0000-0600-0000C2030000}"/>
    <hyperlink ref="B964" r:id="rId964" xr:uid="{00000000-0004-0000-0600-0000C3030000}"/>
    <hyperlink ref="B965" r:id="rId965" xr:uid="{00000000-0004-0000-0600-0000C4030000}"/>
    <hyperlink ref="B966" r:id="rId966" xr:uid="{00000000-0004-0000-0600-0000C5030000}"/>
    <hyperlink ref="B967" r:id="rId967" xr:uid="{00000000-0004-0000-0600-0000C6030000}"/>
    <hyperlink ref="B968" r:id="rId968" xr:uid="{00000000-0004-0000-0600-0000C7030000}"/>
    <hyperlink ref="B969" r:id="rId969" xr:uid="{00000000-0004-0000-0600-0000C8030000}"/>
    <hyperlink ref="B970" r:id="rId970" xr:uid="{00000000-0004-0000-0600-0000C9030000}"/>
    <hyperlink ref="B971" r:id="rId971" xr:uid="{00000000-0004-0000-0600-0000CA030000}"/>
    <hyperlink ref="B972" r:id="rId972" xr:uid="{00000000-0004-0000-0600-0000CB030000}"/>
    <hyperlink ref="B973" r:id="rId973" xr:uid="{00000000-0004-0000-0600-0000CC030000}"/>
    <hyperlink ref="B974" r:id="rId974" xr:uid="{00000000-0004-0000-0600-0000CD030000}"/>
    <hyperlink ref="B975" r:id="rId975" xr:uid="{00000000-0004-0000-0600-0000CE030000}"/>
    <hyperlink ref="B976" r:id="rId976" xr:uid="{00000000-0004-0000-0600-0000CF030000}"/>
    <hyperlink ref="B977" r:id="rId977" xr:uid="{00000000-0004-0000-0600-0000D0030000}"/>
    <hyperlink ref="B978" r:id="rId978" xr:uid="{00000000-0004-0000-0600-0000D1030000}"/>
    <hyperlink ref="B979" r:id="rId979" xr:uid="{00000000-0004-0000-0600-0000D2030000}"/>
    <hyperlink ref="B980" r:id="rId980" xr:uid="{00000000-0004-0000-0600-0000D3030000}"/>
    <hyperlink ref="B981" r:id="rId981" xr:uid="{00000000-0004-0000-0600-0000D4030000}"/>
    <hyperlink ref="B982" r:id="rId982" xr:uid="{00000000-0004-0000-0600-0000D5030000}"/>
    <hyperlink ref="B983" r:id="rId983" xr:uid="{00000000-0004-0000-0600-0000D6030000}"/>
    <hyperlink ref="B984" r:id="rId984" xr:uid="{00000000-0004-0000-0600-0000D7030000}"/>
    <hyperlink ref="B985" r:id="rId985" xr:uid="{00000000-0004-0000-0600-0000D8030000}"/>
    <hyperlink ref="B986" r:id="rId986" xr:uid="{00000000-0004-0000-0600-0000D9030000}"/>
    <hyperlink ref="B987" r:id="rId987" xr:uid="{00000000-0004-0000-0600-0000DA030000}"/>
    <hyperlink ref="B988" r:id="rId988" xr:uid="{00000000-0004-0000-0600-0000DB030000}"/>
    <hyperlink ref="B989" r:id="rId989" xr:uid="{00000000-0004-0000-0600-0000DC030000}"/>
    <hyperlink ref="B990" r:id="rId990" xr:uid="{00000000-0004-0000-0600-0000DD030000}"/>
    <hyperlink ref="B991" r:id="rId991" xr:uid="{00000000-0004-0000-0600-0000DE030000}"/>
    <hyperlink ref="B992" r:id="rId992" xr:uid="{00000000-0004-0000-0600-0000DF030000}"/>
    <hyperlink ref="B993" r:id="rId993" xr:uid="{00000000-0004-0000-0600-0000E0030000}"/>
    <hyperlink ref="B994" r:id="rId994" xr:uid="{00000000-0004-0000-0600-0000E1030000}"/>
    <hyperlink ref="B995" r:id="rId995" xr:uid="{00000000-0004-0000-0600-0000E2030000}"/>
    <hyperlink ref="B996" r:id="rId996" xr:uid="{00000000-0004-0000-0600-0000E3030000}"/>
    <hyperlink ref="B997" r:id="rId997" xr:uid="{00000000-0004-0000-0600-0000E4030000}"/>
    <hyperlink ref="B998" r:id="rId998" xr:uid="{00000000-0004-0000-0600-0000E5030000}"/>
    <hyperlink ref="B999" r:id="rId999" xr:uid="{00000000-0004-0000-0600-0000E6030000}"/>
    <hyperlink ref="B1000" r:id="rId1000" xr:uid="{00000000-0004-0000-0600-0000E7030000}"/>
    <hyperlink ref="B1001" r:id="rId1001" xr:uid="{00000000-0004-0000-0600-0000E8030000}"/>
    <hyperlink ref="B1002" r:id="rId1002" xr:uid="{00000000-0004-0000-0600-0000E9030000}"/>
    <hyperlink ref="B1003" r:id="rId1003" xr:uid="{00000000-0004-0000-0600-0000EA030000}"/>
    <hyperlink ref="B1004" r:id="rId1004" xr:uid="{00000000-0004-0000-0600-0000EB030000}"/>
    <hyperlink ref="B1005" r:id="rId1005" xr:uid="{00000000-0004-0000-0600-0000EC030000}"/>
    <hyperlink ref="B1006" r:id="rId1006" xr:uid="{00000000-0004-0000-0600-0000ED030000}"/>
    <hyperlink ref="B1007" r:id="rId1007" xr:uid="{00000000-0004-0000-0600-0000EE030000}"/>
    <hyperlink ref="B1008" r:id="rId1008" xr:uid="{00000000-0004-0000-0600-0000EF030000}"/>
    <hyperlink ref="B1009" r:id="rId1009" xr:uid="{00000000-0004-0000-0600-0000F0030000}"/>
    <hyperlink ref="B1010" r:id="rId1010" xr:uid="{00000000-0004-0000-0600-0000F1030000}"/>
    <hyperlink ref="B1011" r:id="rId1011" xr:uid="{00000000-0004-0000-0600-0000F2030000}"/>
    <hyperlink ref="B1012" r:id="rId1012" xr:uid="{00000000-0004-0000-0600-0000F3030000}"/>
    <hyperlink ref="B1013" r:id="rId1013" xr:uid="{00000000-0004-0000-0600-0000F4030000}"/>
    <hyperlink ref="B1014" r:id="rId1014" xr:uid="{00000000-0004-0000-0600-0000F5030000}"/>
    <hyperlink ref="B1015" r:id="rId1015" xr:uid="{00000000-0004-0000-0600-0000F6030000}"/>
    <hyperlink ref="B1016" r:id="rId1016" xr:uid="{00000000-0004-0000-0600-0000F7030000}"/>
    <hyperlink ref="B1017" r:id="rId1017" xr:uid="{00000000-0004-0000-0600-0000F8030000}"/>
    <hyperlink ref="B1018" r:id="rId1018" xr:uid="{00000000-0004-0000-0600-0000F9030000}"/>
    <hyperlink ref="B1019" r:id="rId1019" xr:uid="{00000000-0004-0000-0600-0000FA030000}"/>
    <hyperlink ref="B1020" r:id="rId1020" xr:uid="{00000000-0004-0000-0600-0000FB030000}"/>
    <hyperlink ref="B1021" r:id="rId1021" xr:uid="{00000000-0004-0000-0600-0000FC030000}"/>
    <hyperlink ref="B1022" r:id="rId1022" xr:uid="{00000000-0004-0000-0600-0000FD030000}"/>
    <hyperlink ref="B1023" r:id="rId1023" xr:uid="{00000000-0004-0000-0600-0000FE030000}"/>
    <hyperlink ref="B1024" r:id="rId1024" xr:uid="{00000000-0004-0000-0600-0000FF030000}"/>
    <hyperlink ref="B1025" r:id="rId1025" xr:uid="{00000000-0004-0000-0600-000000040000}"/>
    <hyperlink ref="B1026" r:id="rId1026" xr:uid="{00000000-0004-0000-0600-000001040000}"/>
    <hyperlink ref="B1027" r:id="rId1027" xr:uid="{00000000-0004-0000-0600-000002040000}"/>
    <hyperlink ref="B1028" r:id="rId1028" xr:uid="{00000000-0004-0000-0600-000003040000}"/>
    <hyperlink ref="B1029" r:id="rId1029" xr:uid="{00000000-0004-0000-0600-000004040000}"/>
    <hyperlink ref="B1030" r:id="rId1030" xr:uid="{00000000-0004-0000-0600-000005040000}"/>
    <hyperlink ref="B1031" r:id="rId1031" xr:uid="{00000000-0004-0000-0600-000006040000}"/>
    <hyperlink ref="B1032" r:id="rId1032" xr:uid="{00000000-0004-0000-0600-000007040000}"/>
    <hyperlink ref="B1033" r:id="rId1033" xr:uid="{00000000-0004-0000-0600-000008040000}"/>
    <hyperlink ref="B1034" r:id="rId1034" xr:uid="{00000000-0004-0000-0600-000009040000}"/>
    <hyperlink ref="B1035" r:id="rId1035" xr:uid="{00000000-0004-0000-0600-00000A040000}"/>
    <hyperlink ref="B1036" r:id="rId1036" xr:uid="{00000000-0004-0000-0600-00000B040000}"/>
    <hyperlink ref="B1037" r:id="rId1037" xr:uid="{00000000-0004-0000-0600-00000C040000}"/>
    <hyperlink ref="B1038" r:id="rId1038" xr:uid="{00000000-0004-0000-0600-00000D040000}"/>
    <hyperlink ref="B1039" r:id="rId1039" xr:uid="{00000000-0004-0000-0600-00000E040000}"/>
    <hyperlink ref="B1040" r:id="rId1040" xr:uid="{00000000-0004-0000-0600-00000F040000}"/>
    <hyperlink ref="B1041" r:id="rId1041" xr:uid="{00000000-0004-0000-0600-000010040000}"/>
    <hyperlink ref="B1042" r:id="rId1042" xr:uid="{00000000-0004-0000-0600-000011040000}"/>
    <hyperlink ref="B1043" r:id="rId1043" xr:uid="{00000000-0004-0000-0600-000012040000}"/>
    <hyperlink ref="B1044" r:id="rId1044" xr:uid="{00000000-0004-0000-0600-000013040000}"/>
    <hyperlink ref="B1045" r:id="rId1045" xr:uid="{00000000-0004-0000-0600-000014040000}"/>
    <hyperlink ref="B1046" r:id="rId1046" xr:uid="{00000000-0004-0000-0600-000015040000}"/>
    <hyperlink ref="B1047" r:id="rId1047" xr:uid="{00000000-0004-0000-0600-000016040000}"/>
    <hyperlink ref="B1048" r:id="rId1048" xr:uid="{00000000-0004-0000-0600-000017040000}"/>
    <hyperlink ref="B1049" r:id="rId1049" xr:uid="{00000000-0004-0000-0600-000018040000}"/>
    <hyperlink ref="B1050" r:id="rId1050" xr:uid="{00000000-0004-0000-0600-000019040000}"/>
    <hyperlink ref="B1051" r:id="rId1051" xr:uid="{00000000-0004-0000-0600-00001A040000}"/>
    <hyperlink ref="B1052" r:id="rId1052" xr:uid="{00000000-0004-0000-0600-00001B040000}"/>
    <hyperlink ref="B1053" r:id="rId1053" xr:uid="{00000000-0004-0000-0600-00001C040000}"/>
    <hyperlink ref="B1054" r:id="rId1054" xr:uid="{00000000-0004-0000-0600-00001D040000}"/>
    <hyperlink ref="B1055" r:id="rId1055" xr:uid="{00000000-0004-0000-0600-00001E040000}"/>
    <hyperlink ref="B1056" r:id="rId1056" xr:uid="{00000000-0004-0000-0600-00001F040000}"/>
    <hyperlink ref="B1057" r:id="rId1057" xr:uid="{00000000-0004-0000-0600-000020040000}"/>
    <hyperlink ref="B1058" r:id="rId1058" xr:uid="{00000000-0004-0000-0600-000021040000}"/>
    <hyperlink ref="B1059" r:id="rId1059" xr:uid="{00000000-0004-0000-0600-000022040000}"/>
    <hyperlink ref="B1060" r:id="rId1060" xr:uid="{00000000-0004-0000-0600-000023040000}"/>
    <hyperlink ref="B1061" r:id="rId1061" xr:uid="{00000000-0004-0000-0600-000024040000}"/>
    <hyperlink ref="B1062" r:id="rId1062" xr:uid="{00000000-0004-0000-0600-000025040000}"/>
    <hyperlink ref="B1063" r:id="rId1063" xr:uid="{00000000-0004-0000-0600-000026040000}"/>
    <hyperlink ref="B1064" r:id="rId1064" xr:uid="{00000000-0004-0000-0600-000027040000}"/>
    <hyperlink ref="B1065" r:id="rId1065" xr:uid="{00000000-0004-0000-0600-000028040000}"/>
    <hyperlink ref="B1066" r:id="rId1066" xr:uid="{00000000-0004-0000-0600-000029040000}"/>
    <hyperlink ref="B1067" r:id="rId1067" xr:uid="{00000000-0004-0000-0600-00002A040000}"/>
    <hyperlink ref="B1068" r:id="rId1068" xr:uid="{00000000-0004-0000-0600-00002B040000}"/>
    <hyperlink ref="B1069" r:id="rId1069" xr:uid="{00000000-0004-0000-0600-00002C040000}"/>
    <hyperlink ref="B1070" r:id="rId1070" xr:uid="{00000000-0004-0000-0600-00002D040000}"/>
    <hyperlink ref="B1071" r:id="rId1071" xr:uid="{00000000-0004-0000-0600-00002E040000}"/>
    <hyperlink ref="B1072" r:id="rId1072" xr:uid="{00000000-0004-0000-0600-00002F040000}"/>
    <hyperlink ref="B1073" r:id="rId1073" xr:uid="{00000000-0004-0000-0600-000030040000}"/>
    <hyperlink ref="B1074" r:id="rId1074" xr:uid="{00000000-0004-0000-0600-000031040000}"/>
    <hyperlink ref="B1075" r:id="rId1075" xr:uid="{00000000-0004-0000-0600-000032040000}"/>
    <hyperlink ref="B1076" r:id="rId1076" xr:uid="{00000000-0004-0000-0600-000033040000}"/>
    <hyperlink ref="B1077" r:id="rId1077" xr:uid="{00000000-0004-0000-0600-000034040000}"/>
    <hyperlink ref="B1078" r:id="rId1078" xr:uid="{00000000-0004-0000-0600-000035040000}"/>
    <hyperlink ref="B1079" r:id="rId1079" xr:uid="{00000000-0004-0000-0600-000036040000}"/>
    <hyperlink ref="B1080" r:id="rId1080" xr:uid="{00000000-0004-0000-0600-000037040000}"/>
    <hyperlink ref="B1081" r:id="rId1081" xr:uid="{00000000-0004-0000-0600-000038040000}"/>
    <hyperlink ref="B1082" r:id="rId1082" xr:uid="{00000000-0004-0000-0600-000039040000}"/>
    <hyperlink ref="B1083" r:id="rId1083" xr:uid="{00000000-0004-0000-0600-00003A040000}"/>
    <hyperlink ref="B1084" r:id="rId1084" xr:uid="{00000000-0004-0000-0600-00003B040000}"/>
    <hyperlink ref="B1085" r:id="rId1085" xr:uid="{00000000-0004-0000-0600-00003C040000}"/>
    <hyperlink ref="B1086" r:id="rId1086" xr:uid="{00000000-0004-0000-0600-00003D040000}"/>
    <hyperlink ref="B1087" r:id="rId1087" xr:uid="{00000000-0004-0000-0600-00003E040000}"/>
    <hyperlink ref="B1088" r:id="rId1088" xr:uid="{00000000-0004-0000-0600-00003F040000}"/>
    <hyperlink ref="B1089" r:id="rId1089" xr:uid="{00000000-0004-0000-0600-000040040000}"/>
    <hyperlink ref="B1090" r:id="rId1090" xr:uid="{00000000-0004-0000-0600-000041040000}"/>
    <hyperlink ref="B1091" r:id="rId1091" xr:uid="{00000000-0004-0000-0600-000042040000}"/>
    <hyperlink ref="B1092" r:id="rId1092" xr:uid="{00000000-0004-0000-0600-000043040000}"/>
    <hyperlink ref="B1093" r:id="rId1093" xr:uid="{00000000-0004-0000-0600-000044040000}"/>
    <hyperlink ref="B1094" r:id="rId1094" xr:uid="{00000000-0004-0000-0600-000045040000}"/>
    <hyperlink ref="B1095" r:id="rId1095" xr:uid="{00000000-0004-0000-0600-000046040000}"/>
    <hyperlink ref="B1096" r:id="rId1096" xr:uid="{00000000-0004-0000-0600-000047040000}"/>
    <hyperlink ref="B1097" r:id="rId1097" xr:uid="{00000000-0004-0000-0600-000048040000}"/>
    <hyperlink ref="B1098" r:id="rId1098" xr:uid="{00000000-0004-0000-0600-000049040000}"/>
    <hyperlink ref="B1099" r:id="rId1099" xr:uid="{00000000-0004-0000-0600-00004A040000}"/>
    <hyperlink ref="B1100" r:id="rId1100" xr:uid="{00000000-0004-0000-0600-00004B040000}"/>
    <hyperlink ref="B1101" r:id="rId1101" xr:uid="{00000000-0004-0000-0600-00004C040000}"/>
    <hyperlink ref="B1102" r:id="rId1102" xr:uid="{00000000-0004-0000-0600-00004D040000}"/>
    <hyperlink ref="B1103" r:id="rId1103" xr:uid="{00000000-0004-0000-0600-00004E040000}"/>
    <hyperlink ref="B1104" r:id="rId1104" xr:uid="{00000000-0004-0000-0600-00004F040000}"/>
    <hyperlink ref="B1105" r:id="rId1105" xr:uid="{00000000-0004-0000-0600-000050040000}"/>
    <hyperlink ref="B1106" r:id="rId1106" xr:uid="{00000000-0004-0000-0600-000051040000}"/>
    <hyperlink ref="B1107" r:id="rId1107" xr:uid="{00000000-0004-0000-0600-000052040000}"/>
    <hyperlink ref="B1108" r:id="rId1108" xr:uid="{00000000-0004-0000-0600-000053040000}"/>
    <hyperlink ref="B1109" r:id="rId1109" xr:uid="{00000000-0004-0000-0600-000054040000}"/>
    <hyperlink ref="B1110" r:id="rId1110" xr:uid="{00000000-0004-0000-0600-000055040000}"/>
    <hyperlink ref="B1111" r:id="rId1111" xr:uid="{00000000-0004-0000-0600-000056040000}"/>
    <hyperlink ref="B1112" r:id="rId1112" xr:uid="{00000000-0004-0000-0600-000057040000}"/>
    <hyperlink ref="B1113" r:id="rId1113" xr:uid="{00000000-0004-0000-0600-000058040000}"/>
    <hyperlink ref="B1114" r:id="rId1114" xr:uid="{00000000-0004-0000-0600-000059040000}"/>
    <hyperlink ref="B1115" r:id="rId1115" xr:uid="{00000000-0004-0000-0600-00005A040000}"/>
    <hyperlink ref="B1116" r:id="rId1116" xr:uid="{00000000-0004-0000-0600-00005B040000}"/>
    <hyperlink ref="B1117" r:id="rId1117" xr:uid="{00000000-0004-0000-0600-00005C040000}"/>
    <hyperlink ref="B1118" r:id="rId1118" xr:uid="{00000000-0004-0000-0600-00005D040000}"/>
    <hyperlink ref="B1119" r:id="rId1119" xr:uid="{00000000-0004-0000-0600-00005E040000}"/>
    <hyperlink ref="B1120" r:id="rId1120" xr:uid="{00000000-0004-0000-0600-00005F040000}"/>
    <hyperlink ref="B1121" r:id="rId1121" xr:uid="{00000000-0004-0000-0600-000060040000}"/>
    <hyperlink ref="B1122" r:id="rId1122" xr:uid="{00000000-0004-0000-0600-000061040000}"/>
    <hyperlink ref="B1123" r:id="rId1123" xr:uid="{00000000-0004-0000-0600-000062040000}"/>
    <hyperlink ref="B1124" r:id="rId1124" xr:uid="{00000000-0004-0000-0600-000063040000}"/>
    <hyperlink ref="B1125" r:id="rId1125" xr:uid="{00000000-0004-0000-0600-000064040000}"/>
    <hyperlink ref="B1126" r:id="rId1126" xr:uid="{00000000-0004-0000-0600-000065040000}"/>
    <hyperlink ref="B1127" r:id="rId1127" xr:uid="{00000000-0004-0000-0600-000066040000}"/>
    <hyperlink ref="B1128" r:id="rId1128" xr:uid="{00000000-0004-0000-0600-000067040000}"/>
    <hyperlink ref="B1129" r:id="rId1129" xr:uid="{00000000-0004-0000-0600-000068040000}"/>
    <hyperlink ref="B1130" r:id="rId1130" xr:uid="{00000000-0004-0000-0600-000069040000}"/>
    <hyperlink ref="B1131" r:id="rId1131" xr:uid="{00000000-0004-0000-0600-00006A040000}"/>
    <hyperlink ref="B1132" r:id="rId1132" xr:uid="{00000000-0004-0000-0600-00006B040000}"/>
    <hyperlink ref="B1133" r:id="rId1133" xr:uid="{00000000-0004-0000-0600-00006C040000}"/>
    <hyperlink ref="B1134" r:id="rId1134" xr:uid="{00000000-0004-0000-0600-00006D040000}"/>
    <hyperlink ref="B1135" r:id="rId1135" xr:uid="{00000000-0004-0000-0600-00006E040000}"/>
    <hyperlink ref="B1136" r:id="rId1136" xr:uid="{00000000-0004-0000-0600-00006F040000}"/>
    <hyperlink ref="B1137" r:id="rId1137" xr:uid="{00000000-0004-0000-0600-000070040000}"/>
    <hyperlink ref="B1138" r:id="rId1138" xr:uid="{00000000-0004-0000-0600-000071040000}"/>
    <hyperlink ref="B1139" r:id="rId1139" xr:uid="{00000000-0004-0000-0600-000072040000}"/>
    <hyperlink ref="B1140" r:id="rId1140" xr:uid="{00000000-0004-0000-0600-000073040000}"/>
    <hyperlink ref="B1141" r:id="rId1141" xr:uid="{00000000-0004-0000-0600-000074040000}"/>
    <hyperlink ref="B1142" r:id="rId1142" xr:uid="{00000000-0004-0000-0600-000075040000}"/>
    <hyperlink ref="B1143" r:id="rId1143" xr:uid="{00000000-0004-0000-0600-000076040000}"/>
    <hyperlink ref="B1144" r:id="rId1144" xr:uid="{00000000-0004-0000-0600-000077040000}"/>
    <hyperlink ref="B1145" r:id="rId1145" xr:uid="{00000000-0004-0000-0600-000078040000}"/>
    <hyperlink ref="B1146" r:id="rId1146" xr:uid="{00000000-0004-0000-0600-000079040000}"/>
    <hyperlink ref="B1147" r:id="rId1147" xr:uid="{00000000-0004-0000-0600-00007A040000}"/>
    <hyperlink ref="B1148" r:id="rId1148" xr:uid="{00000000-0004-0000-0600-00007B040000}"/>
    <hyperlink ref="B1149" r:id="rId1149" xr:uid="{00000000-0004-0000-0600-00007C040000}"/>
    <hyperlink ref="B1150" r:id="rId1150" xr:uid="{00000000-0004-0000-0600-00007D040000}"/>
    <hyperlink ref="B1151" r:id="rId1151" xr:uid="{00000000-0004-0000-0600-00007E040000}"/>
    <hyperlink ref="B1152" r:id="rId1152" xr:uid="{00000000-0004-0000-0600-00007F040000}"/>
    <hyperlink ref="B1153" r:id="rId1153" xr:uid="{00000000-0004-0000-0600-000080040000}"/>
    <hyperlink ref="B1154" r:id="rId1154" xr:uid="{00000000-0004-0000-0600-000081040000}"/>
    <hyperlink ref="B1155" r:id="rId1155" xr:uid="{00000000-0004-0000-0600-000082040000}"/>
    <hyperlink ref="B1156" r:id="rId1156" xr:uid="{00000000-0004-0000-0600-000083040000}"/>
    <hyperlink ref="B1157" r:id="rId1157" xr:uid="{00000000-0004-0000-0600-000084040000}"/>
    <hyperlink ref="B1158" r:id="rId1158" xr:uid="{00000000-0004-0000-0600-000085040000}"/>
    <hyperlink ref="B1159" r:id="rId1159" xr:uid="{00000000-0004-0000-0600-000086040000}"/>
    <hyperlink ref="B1160" r:id="rId1160" xr:uid="{00000000-0004-0000-0600-000087040000}"/>
    <hyperlink ref="B1161" r:id="rId1161" xr:uid="{00000000-0004-0000-0600-000088040000}"/>
    <hyperlink ref="B1162" r:id="rId1162" xr:uid="{00000000-0004-0000-0600-000089040000}"/>
    <hyperlink ref="B1163" r:id="rId1163" xr:uid="{00000000-0004-0000-0600-00008A040000}"/>
    <hyperlink ref="B1164" r:id="rId1164" xr:uid="{00000000-0004-0000-0600-00008B040000}"/>
    <hyperlink ref="B1165" r:id="rId1165" xr:uid="{00000000-0004-0000-0600-00008C040000}"/>
    <hyperlink ref="B1166" r:id="rId1166" xr:uid="{00000000-0004-0000-0600-00008D040000}"/>
    <hyperlink ref="B1167" r:id="rId1167" xr:uid="{00000000-0004-0000-0600-00008E040000}"/>
    <hyperlink ref="B1168" r:id="rId1168" xr:uid="{00000000-0004-0000-0600-00008F040000}"/>
    <hyperlink ref="B1169" r:id="rId1169" xr:uid="{00000000-0004-0000-0600-000090040000}"/>
    <hyperlink ref="B1170" r:id="rId1170" xr:uid="{00000000-0004-0000-0600-000091040000}"/>
    <hyperlink ref="B1171" r:id="rId1171" xr:uid="{00000000-0004-0000-0600-000092040000}"/>
    <hyperlink ref="B1172" r:id="rId1172" xr:uid="{00000000-0004-0000-0600-000093040000}"/>
    <hyperlink ref="B1173" r:id="rId1173" xr:uid="{00000000-0004-0000-0600-000094040000}"/>
    <hyperlink ref="B1174" r:id="rId1174" xr:uid="{00000000-0004-0000-0600-000095040000}"/>
    <hyperlink ref="B1175" r:id="rId1175" xr:uid="{00000000-0004-0000-0600-000096040000}"/>
    <hyperlink ref="B1176" r:id="rId1176" xr:uid="{00000000-0004-0000-0600-000097040000}"/>
    <hyperlink ref="B1177" r:id="rId1177" xr:uid="{00000000-0004-0000-0600-000098040000}"/>
    <hyperlink ref="B1178" r:id="rId1178" xr:uid="{00000000-0004-0000-0600-000099040000}"/>
    <hyperlink ref="B1179" r:id="rId1179" xr:uid="{00000000-0004-0000-0600-00009A040000}"/>
    <hyperlink ref="B1180" r:id="rId1180" xr:uid="{00000000-0004-0000-0600-00009B040000}"/>
    <hyperlink ref="B1181" r:id="rId1181" xr:uid="{00000000-0004-0000-0600-00009C040000}"/>
    <hyperlink ref="B1182" r:id="rId1182" xr:uid="{00000000-0004-0000-0600-00009D040000}"/>
    <hyperlink ref="B1183" r:id="rId1183" xr:uid="{00000000-0004-0000-0600-00009E040000}"/>
    <hyperlink ref="B1184" r:id="rId1184" xr:uid="{00000000-0004-0000-0600-00009F040000}"/>
    <hyperlink ref="B1185" r:id="rId1185" xr:uid="{00000000-0004-0000-0600-0000A0040000}"/>
    <hyperlink ref="B1186" r:id="rId1186" xr:uid="{00000000-0004-0000-0600-0000A1040000}"/>
    <hyperlink ref="B1187" r:id="rId1187" xr:uid="{00000000-0004-0000-0600-0000A2040000}"/>
    <hyperlink ref="B1188" r:id="rId1188" xr:uid="{00000000-0004-0000-0600-0000A3040000}"/>
    <hyperlink ref="B1189" r:id="rId1189" xr:uid="{00000000-0004-0000-0600-0000A4040000}"/>
    <hyperlink ref="B1190" r:id="rId1190" xr:uid="{00000000-0004-0000-0600-0000A5040000}"/>
    <hyperlink ref="B1191" r:id="rId1191" xr:uid="{00000000-0004-0000-0600-0000A6040000}"/>
    <hyperlink ref="B1192" r:id="rId1192" xr:uid="{00000000-0004-0000-0600-0000A7040000}"/>
    <hyperlink ref="B1193" r:id="rId1193" xr:uid="{00000000-0004-0000-0600-0000A8040000}"/>
    <hyperlink ref="B1194" r:id="rId1194" xr:uid="{00000000-0004-0000-0600-0000A9040000}"/>
    <hyperlink ref="B1195" r:id="rId1195" xr:uid="{00000000-0004-0000-0600-0000AA040000}"/>
    <hyperlink ref="B1196" r:id="rId1196" xr:uid="{00000000-0004-0000-0600-0000AB040000}"/>
    <hyperlink ref="B1197" r:id="rId1197" xr:uid="{00000000-0004-0000-0600-0000AC040000}"/>
    <hyperlink ref="B1198" r:id="rId1198" xr:uid="{00000000-0004-0000-0600-0000AD040000}"/>
    <hyperlink ref="B1199" r:id="rId1199" xr:uid="{00000000-0004-0000-0600-0000AE040000}"/>
    <hyperlink ref="B1200" r:id="rId1200" xr:uid="{00000000-0004-0000-0600-0000AF040000}"/>
    <hyperlink ref="B1201" r:id="rId1201" xr:uid="{00000000-0004-0000-0600-0000B0040000}"/>
    <hyperlink ref="B1202" r:id="rId1202" xr:uid="{00000000-0004-0000-0600-0000B1040000}"/>
    <hyperlink ref="B1203" r:id="rId1203" xr:uid="{00000000-0004-0000-0600-0000B2040000}"/>
    <hyperlink ref="B1204" r:id="rId1204" xr:uid="{00000000-0004-0000-0600-0000B3040000}"/>
    <hyperlink ref="B1205" r:id="rId1205" xr:uid="{00000000-0004-0000-0600-0000B4040000}"/>
    <hyperlink ref="B1206" r:id="rId1206" xr:uid="{00000000-0004-0000-0600-0000B5040000}"/>
    <hyperlink ref="B1207" r:id="rId1207" xr:uid="{00000000-0004-0000-0600-0000B6040000}"/>
    <hyperlink ref="B1208" r:id="rId1208" xr:uid="{00000000-0004-0000-0600-0000B7040000}"/>
    <hyperlink ref="B1209" r:id="rId1209" xr:uid="{00000000-0004-0000-0600-0000B8040000}"/>
    <hyperlink ref="B1210" r:id="rId1210" xr:uid="{00000000-0004-0000-0600-0000B9040000}"/>
    <hyperlink ref="B1211" r:id="rId1211" xr:uid="{00000000-0004-0000-0600-0000BA040000}"/>
    <hyperlink ref="B1212" r:id="rId1212" xr:uid="{00000000-0004-0000-0600-0000BB040000}"/>
    <hyperlink ref="B1213" r:id="rId1213" xr:uid="{00000000-0004-0000-0600-0000BC040000}"/>
    <hyperlink ref="B1214" r:id="rId1214" xr:uid="{00000000-0004-0000-0600-0000BD040000}"/>
    <hyperlink ref="B1215" r:id="rId1215" xr:uid="{00000000-0004-0000-0600-0000BE040000}"/>
    <hyperlink ref="E1215" r:id="rId1216" xr:uid="{00000000-0004-0000-0600-0000BF040000}"/>
    <hyperlink ref="B1216" r:id="rId1217" xr:uid="{00000000-0004-0000-0600-0000C0040000}"/>
    <hyperlink ref="B1217" r:id="rId1218" xr:uid="{00000000-0004-0000-0600-0000C1040000}"/>
    <hyperlink ref="E1217" r:id="rId1219" xr:uid="{00000000-0004-0000-0600-0000C2040000}"/>
    <hyperlink ref="B1218" r:id="rId1220" xr:uid="{00000000-0004-0000-0600-0000C3040000}"/>
    <hyperlink ref="B1219" r:id="rId1221" xr:uid="{00000000-0004-0000-0600-0000C4040000}"/>
    <hyperlink ref="B1220" r:id="rId1222" xr:uid="{00000000-0004-0000-0600-0000C5040000}"/>
    <hyperlink ref="B1221" r:id="rId1223" xr:uid="{00000000-0004-0000-0600-0000C6040000}"/>
    <hyperlink ref="B1222" r:id="rId1224" xr:uid="{00000000-0004-0000-0600-0000C7040000}"/>
    <hyperlink ref="B1223" r:id="rId1225" xr:uid="{00000000-0004-0000-0600-0000C8040000}"/>
    <hyperlink ref="B1224" r:id="rId1226" xr:uid="{00000000-0004-0000-0600-0000C9040000}"/>
    <hyperlink ref="B1225" r:id="rId1227" xr:uid="{00000000-0004-0000-0600-0000CA040000}"/>
    <hyperlink ref="B1226" r:id="rId1228" xr:uid="{00000000-0004-0000-0600-0000CB040000}"/>
    <hyperlink ref="B1227" r:id="rId1229" xr:uid="{00000000-0004-0000-0600-0000CC040000}"/>
    <hyperlink ref="B1228" r:id="rId1230" xr:uid="{00000000-0004-0000-0600-0000CD040000}"/>
    <hyperlink ref="B1229" r:id="rId1231" xr:uid="{00000000-0004-0000-0600-0000CE040000}"/>
    <hyperlink ref="B1230" r:id="rId1232" xr:uid="{00000000-0004-0000-0600-0000CF040000}"/>
    <hyperlink ref="B1231" r:id="rId1233" xr:uid="{00000000-0004-0000-0600-0000D0040000}"/>
    <hyperlink ref="B1232" r:id="rId1234" xr:uid="{00000000-0004-0000-0600-0000D1040000}"/>
    <hyperlink ref="B1233" r:id="rId1235" xr:uid="{00000000-0004-0000-0600-0000D2040000}"/>
    <hyperlink ref="B1234" r:id="rId1236" xr:uid="{00000000-0004-0000-0600-0000D3040000}"/>
    <hyperlink ref="B1235" r:id="rId1237" xr:uid="{00000000-0004-0000-0600-0000D4040000}"/>
    <hyperlink ref="B1236" r:id="rId1238" xr:uid="{00000000-0004-0000-0600-0000D5040000}"/>
    <hyperlink ref="B1237" r:id="rId1239" xr:uid="{00000000-0004-0000-0600-0000D6040000}"/>
    <hyperlink ref="B1238" r:id="rId1240" xr:uid="{00000000-0004-0000-0600-0000D7040000}"/>
    <hyperlink ref="B1239" r:id="rId1241" xr:uid="{00000000-0004-0000-0600-0000D8040000}"/>
    <hyperlink ref="B1240" r:id="rId1242" xr:uid="{00000000-0004-0000-0600-0000D9040000}"/>
    <hyperlink ref="B1241" r:id="rId1243" xr:uid="{00000000-0004-0000-0600-0000DA040000}"/>
    <hyperlink ref="B1242" r:id="rId1244" xr:uid="{00000000-0004-0000-0600-0000DB040000}"/>
    <hyperlink ref="B1243" r:id="rId1245" xr:uid="{00000000-0004-0000-0600-0000DC040000}"/>
    <hyperlink ref="B1244" r:id="rId1246" xr:uid="{00000000-0004-0000-0600-0000DD040000}"/>
    <hyperlink ref="B1245" r:id="rId1247" xr:uid="{00000000-0004-0000-0600-0000DE040000}"/>
    <hyperlink ref="B1246" r:id="rId1248" xr:uid="{00000000-0004-0000-0600-0000DF040000}"/>
    <hyperlink ref="B1247" r:id="rId1249" xr:uid="{00000000-0004-0000-0600-0000E0040000}"/>
    <hyperlink ref="B1248" r:id="rId1250" xr:uid="{00000000-0004-0000-0600-0000E1040000}"/>
    <hyperlink ref="B1249" r:id="rId1251" xr:uid="{00000000-0004-0000-0600-0000E2040000}"/>
    <hyperlink ref="B1250" r:id="rId1252" xr:uid="{00000000-0004-0000-0600-0000E3040000}"/>
    <hyperlink ref="B1251" r:id="rId1253" xr:uid="{00000000-0004-0000-0600-0000E4040000}"/>
    <hyperlink ref="B1252" r:id="rId1254" xr:uid="{00000000-0004-0000-0600-0000E5040000}"/>
    <hyperlink ref="B1253" r:id="rId1255" xr:uid="{00000000-0004-0000-0600-0000E6040000}"/>
    <hyperlink ref="B1254" r:id="rId1256" xr:uid="{00000000-0004-0000-0600-0000E7040000}"/>
    <hyperlink ref="B1255" r:id="rId1257" xr:uid="{00000000-0004-0000-0600-0000E8040000}"/>
    <hyperlink ref="B1256" r:id="rId1258" xr:uid="{00000000-0004-0000-0600-0000E9040000}"/>
    <hyperlink ref="B1257" r:id="rId1259" xr:uid="{00000000-0004-0000-0600-0000EA040000}"/>
    <hyperlink ref="B1258" r:id="rId1260" xr:uid="{00000000-0004-0000-0600-0000EB040000}"/>
    <hyperlink ref="B1259" r:id="rId1261" xr:uid="{00000000-0004-0000-0600-0000EC040000}"/>
    <hyperlink ref="B1260" r:id="rId1262" xr:uid="{00000000-0004-0000-0600-0000ED040000}"/>
    <hyperlink ref="B1261" r:id="rId1263" xr:uid="{00000000-0004-0000-0600-0000EE040000}"/>
    <hyperlink ref="B1262" r:id="rId1264" xr:uid="{00000000-0004-0000-0600-0000EF040000}"/>
    <hyperlink ref="B1263" r:id="rId1265" xr:uid="{00000000-0004-0000-0600-0000F0040000}"/>
    <hyperlink ref="B1264" r:id="rId1266" xr:uid="{00000000-0004-0000-0600-0000F1040000}"/>
    <hyperlink ref="B1265" r:id="rId1267" xr:uid="{00000000-0004-0000-0600-0000F2040000}"/>
    <hyperlink ref="B1266" r:id="rId1268" xr:uid="{00000000-0004-0000-0600-0000F3040000}"/>
    <hyperlink ref="B1267" r:id="rId1269" xr:uid="{00000000-0004-0000-0600-0000F4040000}"/>
    <hyperlink ref="B1268" r:id="rId1270" xr:uid="{00000000-0004-0000-0600-0000F5040000}"/>
    <hyperlink ref="B1269" r:id="rId1271" xr:uid="{00000000-0004-0000-0600-0000F6040000}"/>
    <hyperlink ref="B1270" r:id="rId1272" xr:uid="{00000000-0004-0000-0600-0000F7040000}"/>
    <hyperlink ref="B1271" r:id="rId1273" xr:uid="{00000000-0004-0000-0600-0000F8040000}"/>
    <hyperlink ref="B1272" r:id="rId1274" xr:uid="{00000000-0004-0000-0600-0000F9040000}"/>
    <hyperlink ref="B1273" r:id="rId1275" xr:uid="{00000000-0004-0000-0600-0000FA040000}"/>
    <hyperlink ref="B1274" r:id="rId1276" xr:uid="{00000000-0004-0000-0600-0000FB040000}"/>
    <hyperlink ref="B1275" r:id="rId1277" xr:uid="{00000000-0004-0000-0600-0000FC040000}"/>
    <hyperlink ref="B1276" r:id="rId1278" xr:uid="{00000000-0004-0000-0600-0000FD040000}"/>
    <hyperlink ref="B1277" r:id="rId1279" xr:uid="{00000000-0004-0000-0600-0000FE040000}"/>
    <hyperlink ref="B1278" r:id="rId1280" xr:uid="{00000000-0004-0000-0600-0000FF040000}"/>
    <hyperlink ref="B1279" r:id="rId1281" xr:uid="{00000000-0004-0000-0600-000000050000}"/>
    <hyperlink ref="B1280" r:id="rId1282" xr:uid="{00000000-0004-0000-0600-000001050000}"/>
    <hyperlink ref="B1281" r:id="rId1283" xr:uid="{00000000-0004-0000-0600-000002050000}"/>
    <hyperlink ref="B1282" r:id="rId1284" xr:uid="{00000000-0004-0000-0600-000003050000}"/>
    <hyperlink ref="B1283" r:id="rId1285" xr:uid="{00000000-0004-0000-0600-000004050000}"/>
    <hyperlink ref="B1284" r:id="rId1286" xr:uid="{00000000-0004-0000-0600-000005050000}"/>
    <hyperlink ref="B1285" r:id="rId1287" xr:uid="{00000000-0004-0000-0600-000006050000}"/>
    <hyperlink ref="B1286" r:id="rId1288" xr:uid="{00000000-0004-0000-0600-000007050000}"/>
    <hyperlink ref="B1287" r:id="rId1289" xr:uid="{00000000-0004-0000-0600-000008050000}"/>
    <hyperlink ref="B1288" r:id="rId1290" xr:uid="{00000000-0004-0000-0600-000009050000}"/>
    <hyperlink ref="B1289" r:id="rId1291" xr:uid="{00000000-0004-0000-0600-00000A050000}"/>
    <hyperlink ref="B1290" r:id="rId1292" xr:uid="{00000000-0004-0000-0600-00000B050000}"/>
    <hyperlink ref="B1291" r:id="rId1293" xr:uid="{00000000-0004-0000-0600-00000C050000}"/>
    <hyperlink ref="B1292" r:id="rId1294" xr:uid="{00000000-0004-0000-0600-00000D050000}"/>
    <hyperlink ref="B1293" r:id="rId1295" xr:uid="{00000000-0004-0000-0600-00000E050000}"/>
    <hyperlink ref="B1294" r:id="rId1296" xr:uid="{00000000-0004-0000-0600-00000F050000}"/>
    <hyperlink ref="B1295" r:id="rId1297" xr:uid="{00000000-0004-0000-0600-000010050000}"/>
    <hyperlink ref="B1296" r:id="rId1298" xr:uid="{00000000-0004-0000-0600-000011050000}"/>
    <hyperlink ref="B1297" r:id="rId1299" xr:uid="{00000000-0004-0000-0600-000012050000}"/>
    <hyperlink ref="B1298" r:id="rId1300" xr:uid="{00000000-0004-0000-0600-000013050000}"/>
    <hyperlink ref="B1299" r:id="rId1301" xr:uid="{00000000-0004-0000-0600-000014050000}"/>
    <hyperlink ref="B1300" r:id="rId1302" xr:uid="{00000000-0004-0000-0600-000015050000}"/>
    <hyperlink ref="B1301" r:id="rId1303" xr:uid="{00000000-0004-0000-0600-000016050000}"/>
    <hyperlink ref="B1302" r:id="rId1304" xr:uid="{00000000-0004-0000-0600-000017050000}"/>
    <hyperlink ref="B1303" r:id="rId1305" xr:uid="{00000000-0004-0000-0600-000018050000}"/>
    <hyperlink ref="B1304" r:id="rId1306" xr:uid="{00000000-0004-0000-0600-000019050000}"/>
    <hyperlink ref="B1305" r:id="rId1307" xr:uid="{00000000-0004-0000-0600-00001A050000}"/>
    <hyperlink ref="B1306" r:id="rId1308" xr:uid="{00000000-0004-0000-0600-00001B050000}"/>
    <hyperlink ref="B1307" r:id="rId1309" xr:uid="{00000000-0004-0000-0600-00001C050000}"/>
    <hyperlink ref="B1308" r:id="rId1310" xr:uid="{00000000-0004-0000-0600-00001D050000}"/>
    <hyperlink ref="B1309" r:id="rId1311" xr:uid="{00000000-0004-0000-0600-00001E050000}"/>
    <hyperlink ref="B1310" r:id="rId1312" xr:uid="{00000000-0004-0000-0600-00001F050000}"/>
    <hyperlink ref="B1311" r:id="rId1313" xr:uid="{00000000-0004-0000-0600-000020050000}"/>
    <hyperlink ref="B1312" r:id="rId1314" xr:uid="{00000000-0004-0000-0600-000021050000}"/>
    <hyperlink ref="B1313" r:id="rId1315" xr:uid="{00000000-0004-0000-0600-000022050000}"/>
    <hyperlink ref="B1314" r:id="rId1316" xr:uid="{00000000-0004-0000-0600-000023050000}"/>
    <hyperlink ref="B1315" r:id="rId1317" xr:uid="{00000000-0004-0000-0600-000024050000}"/>
    <hyperlink ref="B1316" r:id="rId1318" xr:uid="{00000000-0004-0000-0600-000025050000}"/>
    <hyperlink ref="B1317" r:id="rId1319" xr:uid="{00000000-0004-0000-0600-000026050000}"/>
    <hyperlink ref="B1318" r:id="rId1320" xr:uid="{00000000-0004-0000-0600-000027050000}"/>
    <hyperlink ref="B1319" r:id="rId1321" xr:uid="{00000000-0004-0000-0600-000028050000}"/>
    <hyperlink ref="B1320" r:id="rId1322" xr:uid="{00000000-0004-0000-0600-000029050000}"/>
    <hyperlink ref="B1321" r:id="rId1323" xr:uid="{00000000-0004-0000-0600-00002A050000}"/>
    <hyperlink ref="B1322" r:id="rId1324" xr:uid="{00000000-0004-0000-0600-00002B050000}"/>
    <hyperlink ref="B1323" r:id="rId1325" xr:uid="{00000000-0004-0000-0600-00002C050000}"/>
    <hyperlink ref="B1324" r:id="rId1326" xr:uid="{00000000-0004-0000-0600-00002D050000}"/>
    <hyperlink ref="B1325" r:id="rId1327" xr:uid="{00000000-0004-0000-0600-00002E050000}"/>
    <hyperlink ref="B1326" r:id="rId1328" xr:uid="{00000000-0004-0000-0600-00002F050000}"/>
    <hyperlink ref="B1327" r:id="rId1329" xr:uid="{00000000-0004-0000-0600-000030050000}"/>
    <hyperlink ref="B1328" r:id="rId1330" xr:uid="{00000000-0004-0000-0600-000031050000}"/>
    <hyperlink ref="B1329" r:id="rId1331" xr:uid="{00000000-0004-0000-0600-000032050000}"/>
    <hyperlink ref="B1330" r:id="rId1332" xr:uid="{00000000-0004-0000-0600-000033050000}"/>
    <hyperlink ref="B1331" r:id="rId1333" xr:uid="{00000000-0004-0000-0600-000034050000}"/>
    <hyperlink ref="B1332" r:id="rId1334" xr:uid="{00000000-0004-0000-0600-000035050000}"/>
    <hyperlink ref="B1333" r:id="rId1335" xr:uid="{00000000-0004-0000-0600-000036050000}"/>
    <hyperlink ref="B1334" r:id="rId1336" xr:uid="{00000000-0004-0000-0600-000037050000}"/>
    <hyperlink ref="B1335" r:id="rId1337" xr:uid="{00000000-0004-0000-0600-000038050000}"/>
    <hyperlink ref="B1336" r:id="rId1338" xr:uid="{00000000-0004-0000-0600-000039050000}"/>
    <hyperlink ref="B1337" r:id="rId1339" xr:uid="{00000000-0004-0000-0600-00003A050000}"/>
    <hyperlink ref="B1338" r:id="rId1340" xr:uid="{00000000-0004-0000-0600-00003B050000}"/>
    <hyperlink ref="B1339" r:id="rId1341" xr:uid="{00000000-0004-0000-0600-00003C050000}"/>
    <hyperlink ref="B1340" r:id="rId1342" xr:uid="{00000000-0004-0000-0600-00003D050000}"/>
    <hyperlink ref="B1341" r:id="rId1343" xr:uid="{00000000-0004-0000-0600-00003E050000}"/>
    <hyperlink ref="B1342" r:id="rId1344" xr:uid="{00000000-0004-0000-0600-00003F050000}"/>
    <hyperlink ref="B1343" r:id="rId1345" xr:uid="{00000000-0004-0000-0600-000040050000}"/>
    <hyperlink ref="B1344" r:id="rId1346" xr:uid="{00000000-0004-0000-0600-000041050000}"/>
    <hyperlink ref="B1345" r:id="rId1347" xr:uid="{00000000-0004-0000-0600-000042050000}"/>
    <hyperlink ref="B1346" r:id="rId1348" xr:uid="{00000000-0004-0000-0600-000043050000}"/>
    <hyperlink ref="B1347" r:id="rId1349" xr:uid="{00000000-0004-0000-0600-000044050000}"/>
    <hyperlink ref="B1348" r:id="rId1350" xr:uid="{00000000-0004-0000-0600-000045050000}"/>
    <hyperlink ref="B1349" r:id="rId1351" xr:uid="{00000000-0004-0000-0600-000046050000}"/>
    <hyperlink ref="B1350" r:id="rId1352" xr:uid="{00000000-0004-0000-0600-000047050000}"/>
    <hyperlink ref="B1351" r:id="rId1353" xr:uid="{00000000-0004-0000-0600-000048050000}"/>
    <hyperlink ref="B1352" r:id="rId1354" xr:uid="{00000000-0004-0000-0600-000049050000}"/>
    <hyperlink ref="B1353" r:id="rId1355" xr:uid="{00000000-0004-0000-0600-00004A050000}"/>
    <hyperlink ref="B1354" r:id="rId1356" xr:uid="{00000000-0004-0000-0600-00004B050000}"/>
    <hyperlink ref="B1355" r:id="rId1357" xr:uid="{00000000-0004-0000-0600-00004C050000}"/>
    <hyperlink ref="B1356" r:id="rId1358" xr:uid="{00000000-0004-0000-0600-00004D050000}"/>
    <hyperlink ref="B1357" r:id="rId1359" xr:uid="{00000000-0004-0000-0600-00004E050000}"/>
    <hyperlink ref="B1358" r:id="rId1360" xr:uid="{00000000-0004-0000-0600-00004F050000}"/>
    <hyperlink ref="B1359" r:id="rId1361" xr:uid="{00000000-0004-0000-0600-000050050000}"/>
    <hyperlink ref="B1360" r:id="rId1362" xr:uid="{00000000-0004-0000-0600-000051050000}"/>
    <hyperlink ref="B1361" r:id="rId1363" xr:uid="{00000000-0004-0000-0600-000052050000}"/>
    <hyperlink ref="B1362" r:id="rId1364" xr:uid="{00000000-0004-0000-0600-000053050000}"/>
    <hyperlink ref="B1363" r:id="rId1365" xr:uid="{00000000-0004-0000-0600-000054050000}"/>
    <hyperlink ref="B1364" r:id="rId1366" xr:uid="{00000000-0004-0000-0600-000055050000}"/>
    <hyperlink ref="B1365" r:id="rId1367" xr:uid="{00000000-0004-0000-0600-000056050000}"/>
    <hyperlink ref="B1366" r:id="rId1368" xr:uid="{00000000-0004-0000-0600-000057050000}"/>
    <hyperlink ref="B1367" r:id="rId1369" xr:uid="{00000000-0004-0000-0600-000058050000}"/>
    <hyperlink ref="B1368" r:id="rId1370" xr:uid="{00000000-0004-0000-0600-000059050000}"/>
    <hyperlink ref="B1369" r:id="rId1371" xr:uid="{00000000-0004-0000-0600-00005A050000}"/>
    <hyperlink ref="B1370" r:id="rId1372" xr:uid="{00000000-0004-0000-0600-00005B050000}"/>
    <hyperlink ref="B1371" r:id="rId1373" xr:uid="{00000000-0004-0000-0600-00005C050000}"/>
    <hyperlink ref="B1372" r:id="rId1374" xr:uid="{00000000-0004-0000-0600-00005D050000}"/>
    <hyperlink ref="B1373" r:id="rId1375" xr:uid="{00000000-0004-0000-0600-00005E050000}"/>
    <hyperlink ref="B1374" r:id="rId1376" xr:uid="{00000000-0004-0000-0600-00005F050000}"/>
    <hyperlink ref="B1375" r:id="rId1377" xr:uid="{00000000-0004-0000-0600-000060050000}"/>
    <hyperlink ref="B1376" r:id="rId1378" xr:uid="{00000000-0004-0000-0600-000061050000}"/>
    <hyperlink ref="B1377" r:id="rId1379" xr:uid="{00000000-0004-0000-0600-000062050000}"/>
    <hyperlink ref="B1378" r:id="rId1380" xr:uid="{00000000-0004-0000-0600-000063050000}"/>
    <hyperlink ref="B1379" r:id="rId1381" xr:uid="{00000000-0004-0000-0600-000064050000}"/>
    <hyperlink ref="B1380" r:id="rId1382" xr:uid="{00000000-0004-0000-0600-000065050000}"/>
    <hyperlink ref="B1381" r:id="rId1383" xr:uid="{00000000-0004-0000-0600-000066050000}"/>
    <hyperlink ref="B1382" r:id="rId1384" xr:uid="{00000000-0004-0000-0600-000067050000}"/>
    <hyperlink ref="B1383" r:id="rId1385" xr:uid="{00000000-0004-0000-0600-000068050000}"/>
    <hyperlink ref="B1384" r:id="rId1386" xr:uid="{00000000-0004-0000-0600-000069050000}"/>
    <hyperlink ref="B1385" r:id="rId1387" xr:uid="{00000000-0004-0000-0600-00006A050000}"/>
    <hyperlink ref="B1386" r:id="rId1388" xr:uid="{00000000-0004-0000-0600-00006B050000}"/>
    <hyperlink ref="B1387" r:id="rId1389" xr:uid="{00000000-0004-0000-0600-00006C050000}"/>
    <hyperlink ref="B1388" r:id="rId1390" xr:uid="{00000000-0004-0000-0600-00006D050000}"/>
    <hyperlink ref="B1389" r:id="rId1391" xr:uid="{00000000-0004-0000-0600-00006E050000}"/>
    <hyperlink ref="B1390" r:id="rId1392" xr:uid="{00000000-0004-0000-0600-00006F050000}"/>
    <hyperlink ref="B1391" r:id="rId1393" xr:uid="{00000000-0004-0000-0600-000070050000}"/>
    <hyperlink ref="B1392" r:id="rId1394" xr:uid="{00000000-0004-0000-0600-000071050000}"/>
    <hyperlink ref="B1393" r:id="rId1395" xr:uid="{00000000-0004-0000-0600-000072050000}"/>
    <hyperlink ref="B1394" r:id="rId1396" xr:uid="{00000000-0004-0000-0600-000073050000}"/>
    <hyperlink ref="B1395" r:id="rId1397" xr:uid="{00000000-0004-0000-0600-000074050000}"/>
    <hyperlink ref="B1396" r:id="rId1398" xr:uid="{00000000-0004-0000-0600-000075050000}"/>
    <hyperlink ref="B1397" r:id="rId1399" xr:uid="{00000000-0004-0000-0600-000076050000}"/>
    <hyperlink ref="B1398" r:id="rId1400" xr:uid="{00000000-0004-0000-0600-000077050000}"/>
    <hyperlink ref="B1399" r:id="rId1401" xr:uid="{00000000-0004-0000-0600-000078050000}"/>
    <hyperlink ref="B1400" r:id="rId1402" xr:uid="{00000000-0004-0000-0600-000079050000}"/>
    <hyperlink ref="B1401" r:id="rId1403" xr:uid="{00000000-0004-0000-0600-00007A050000}"/>
    <hyperlink ref="B1402" r:id="rId1404" xr:uid="{00000000-0004-0000-0600-00007B050000}"/>
    <hyperlink ref="B1403" r:id="rId1405" xr:uid="{00000000-0004-0000-0600-00007C050000}"/>
    <hyperlink ref="B1404" r:id="rId1406" xr:uid="{00000000-0004-0000-0600-00007D050000}"/>
    <hyperlink ref="B1405" r:id="rId1407" xr:uid="{00000000-0004-0000-0600-00007E050000}"/>
    <hyperlink ref="B1406" r:id="rId1408" xr:uid="{00000000-0004-0000-0600-00007F050000}"/>
    <hyperlink ref="B1407" r:id="rId1409" xr:uid="{00000000-0004-0000-0600-000080050000}"/>
    <hyperlink ref="B1408" r:id="rId1410" xr:uid="{00000000-0004-0000-0600-000081050000}"/>
    <hyperlink ref="B1409" r:id="rId1411" xr:uid="{00000000-0004-0000-0600-000082050000}"/>
    <hyperlink ref="B1410" r:id="rId1412" xr:uid="{00000000-0004-0000-0600-000083050000}"/>
    <hyperlink ref="B1411" r:id="rId1413" xr:uid="{00000000-0004-0000-0600-000084050000}"/>
    <hyperlink ref="E1411" r:id="rId1414" xr:uid="{00000000-0004-0000-0600-000085050000}"/>
    <hyperlink ref="B1412" r:id="rId1415" xr:uid="{00000000-0004-0000-0600-000086050000}"/>
    <hyperlink ref="B1413" r:id="rId1416" xr:uid="{00000000-0004-0000-0600-000087050000}"/>
    <hyperlink ref="B1414" r:id="rId1417" xr:uid="{00000000-0004-0000-0600-000088050000}"/>
    <hyperlink ref="B1415" r:id="rId1418" xr:uid="{00000000-0004-0000-0600-000089050000}"/>
    <hyperlink ref="B1416" r:id="rId1419" xr:uid="{00000000-0004-0000-0600-00008A050000}"/>
    <hyperlink ref="B1417" r:id="rId1420" xr:uid="{00000000-0004-0000-0600-00008B050000}"/>
    <hyperlink ref="B1418" r:id="rId1421" xr:uid="{00000000-0004-0000-0600-00008C050000}"/>
    <hyperlink ref="B1419" r:id="rId1422" xr:uid="{00000000-0004-0000-0600-00008D050000}"/>
    <hyperlink ref="B1420" r:id="rId1423" xr:uid="{00000000-0004-0000-0600-00008E050000}"/>
    <hyperlink ref="B1421" r:id="rId1424" xr:uid="{00000000-0004-0000-0600-00008F050000}"/>
    <hyperlink ref="B1422" r:id="rId1425" xr:uid="{00000000-0004-0000-0600-000090050000}"/>
    <hyperlink ref="B1423" r:id="rId1426" xr:uid="{00000000-0004-0000-0600-000091050000}"/>
    <hyperlink ref="B1424" r:id="rId1427" xr:uid="{00000000-0004-0000-0600-000092050000}"/>
    <hyperlink ref="B1425" r:id="rId1428" xr:uid="{00000000-0004-0000-0600-000093050000}"/>
    <hyperlink ref="B1426" r:id="rId1429" xr:uid="{00000000-0004-0000-0600-000094050000}"/>
    <hyperlink ref="B1427" r:id="rId1430" xr:uid="{00000000-0004-0000-0600-000095050000}"/>
    <hyperlink ref="B1428" r:id="rId1431" xr:uid="{00000000-0004-0000-0600-000096050000}"/>
    <hyperlink ref="B1429" r:id="rId1432" xr:uid="{00000000-0004-0000-0600-000097050000}"/>
    <hyperlink ref="B1430" r:id="rId1433" xr:uid="{00000000-0004-0000-0600-000098050000}"/>
    <hyperlink ref="B1431" r:id="rId1434" xr:uid="{00000000-0004-0000-0600-000099050000}"/>
    <hyperlink ref="B1432" r:id="rId1435" xr:uid="{00000000-0004-0000-0600-00009A050000}"/>
    <hyperlink ref="B1433" r:id="rId1436" xr:uid="{00000000-0004-0000-0600-00009B050000}"/>
    <hyperlink ref="B1434" r:id="rId1437" xr:uid="{00000000-0004-0000-0600-00009C050000}"/>
    <hyperlink ref="B1435" r:id="rId1438" xr:uid="{00000000-0004-0000-0600-00009D050000}"/>
    <hyperlink ref="B1436" r:id="rId1439" xr:uid="{00000000-0004-0000-0600-00009E050000}"/>
    <hyperlink ref="B1437" r:id="rId1440" xr:uid="{00000000-0004-0000-0600-00009F050000}"/>
    <hyperlink ref="B1438" r:id="rId1441" xr:uid="{00000000-0004-0000-0600-0000A0050000}"/>
    <hyperlink ref="B1439" r:id="rId1442" xr:uid="{00000000-0004-0000-0600-0000A1050000}"/>
    <hyperlink ref="B1440" r:id="rId1443" xr:uid="{00000000-0004-0000-0600-0000A2050000}"/>
    <hyperlink ref="B1441" r:id="rId1444" xr:uid="{00000000-0004-0000-0600-0000A3050000}"/>
    <hyperlink ref="B1442" r:id="rId1445" xr:uid="{00000000-0004-0000-0600-0000A4050000}"/>
    <hyperlink ref="B1443" r:id="rId1446" xr:uid="{00000000-0004-0000-0600-0000A5050000}"/>
    <hyperlink ref="B1444" r:id="rId1447" xr:uid="{00000000-0004-0000-0600-0000A6050000}"/>
    <hyperlink ref="B1445" r:id="rId1448" xr:uid="{00000000-0004-0000-0600-0000A7050000}"/>
    <hyperlink ref="B1446" r:id="rId1449" xr:uid="{00000000-0004-0000-0600-0000A8050000}"/>
    <hyperlink ref="B1447" r:id="rId1450" xr:uid="{00000000-0004-0000-0600-0000A9050000}"/>
    <hyperlink ref="B1448" r:id="rId1451" xr:uid="{00000000-0004-0000-0600-0000AA050000}"/>
    <hyperlink ref="B1449" r:id="rId1452" xr:uid="{00000000-0004-0000-0600-0000AB050000}"/>
    <hyperlink ref="B1450" r:id="rId1453" xr:uid="{00000000-0004-0000-0600-0000AC050000}"/>
    <hyperlink ref="B1451" r:id="rId1454" xr:uid="{00000000-0004-0000-0600-0000AD050000}"/>
    <hyperlink ref="B1452" r:id="rId1455" xr:uid="{00000000-0004-0000-0600-0000AE050000}"/>
    <hyperlink ref="B1453" r:id="rId1456" xr:uid="{00000000-0004-0000-0600-0000AF050000}"/>
    <hyperlink ref="B1454" r:id="rId1457" xr:uid="{00000000-0004-0000-0600-0000B0050000}"/>
    <hyperlink ref="B1455" r:id="rId1458" xr:uid="{00000000-0004-0000-0600-0000B1050000}"/>
    <hyperlink ref="B1456" r:id="rId1459" xr:uid="{00000000-0004-0000-0600-0000B2050000}"/>
    <hyperlink ref="B1457" r:id="rId1460" xr:uid="{00000000-0004-0000-0600-0000B3050000}"/>
    <hyperlink ref="B1458" r:id="rId1461" xr:uid="{00000000-0004-0000-0600-0000B4050000}"/>
    <hyperlink ref="B1459" r:id="rId1462" xr:uid="{00000000-0004-0000-0600-0000B5050000}"/>
    <hyperlink ref="B1460" r:id="rId1463" xr:uid="{00000000-0004-0000-0600-0000B6050000}"/>
    <hyperlink ref="B1461" r:id="rId1464" xr:uid="{00000000-0004-0000-0600-0000B7050000}"/>
    <hyperlink ref="B1462" r:id="rId1465" xr:uid="{00000000-0004-0000-0600-0000B8050000}"/>
    <hyperlink ref="B1463" r:id="rId1466" xr:uid="{00000000-0004-0000-0600-0000B9050000}"/>
    <hyperlink ref="B1464" r:id="rId1467" xr:uid="{00000000-0004-0000-0600-0000BA050000}"/>
    <hyperlink ref="B1465" r:id="rId1468" xr:uid="{00000000-0004-0000-0600-0000BB050000}"/>
    <hyperlink ref="B1466" r:id="rId1469" xr:uid="{00000000-0004-0000-0600-0000BC050000}"/>
    <hyperlink ref="B1467" r:id="rId1470" xr:uid="{00000000-0004-0000-0600-0000BD050000}"/>
    <hyperlink ref="B1468" r:id="rId1471" xr:uid="{00000000-0004-0000-0600-0000BE050000}"/>
    <hyperlink ref="B1469" r:id="rId1472" xr:uid="{00000000-0004-0000-0600-0000BF050000}"/>
    <hyperlink ref="B1470" r:id="rId1473" xr:uid="{00000000-0004-0000-0600-0000C0050000}"/>
    <hyperlink ref="B1471" r:id="rId1474" xr:uid="{00000000-0004-0000-0600-0000C1050000}"/>
    <hyperlink ref="B1472" r:id="rId1475" xr:uid="{00000000-0004-0000-0600-0000C2050000}"/>
    <hyperlink ref="B1473" r:id="rId1476" xr:uid="{00000000-0004-0000-0600-0000C3050000}"/>
    <hyperlink ref="B1474" r:id="rId1477" xr:uid="{00000000-0004-0000-0600-0000C4050000}"/>
    <hyperlink ref="B1475" r:id="rId1478" xr:uid="{00000000-0004-0000-0600-0000C5050000}"/>
    <hyperlink ref="B1476" r:id="rId1479" xr:uid="{00000000-0004-0000-0600-0000C6050000}"/>
    <hyperlink ref="B1477" r:id="rId1480" xr:uid="{00000000-0004-0000-0600-0000C705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1:AA955"/>
  <sheetViews>
    <sheetView workbookViewId="0">
      <pane ySplit="1" topLeftCell="A2" activePane="bottomLeft" state="frozen"/>
      <selection pane="bottomLeft" activeCell="B367" sqref="B367"/>
    </sheetView>
  </sheetViews>
  <sheetFormatPr defaultColWidth="14.42578125" defaultRowHeight="15.75" customHeight="1"/>
  <cols>
    <col min="1" max="1" width="14.42578125" style="73"/>
    <col min="2" max="2" width="40.5703125" style="67" customWidth="1"/>
    <col min="3" max="4" width="23.140625" style="67" customWidth="1"/>
    <col min="5" max="5" width="59" style="67" customWidth="1"/>
  </cols>
  <sheetData>
    <row r="1" spans="1:27" s="68" customFormat="1" ht="12.75">
      <c r="A1" s="56" t="s">
        <v>6</v>
      </c>
      <c r="B1" s="38" t="s">
        <v>35</v>
      </c>
      <c r="C1" s="50" t="s">
        <v>8</v>
      </c>
      <c r="D1" s="50" t="s">
        <v>2610</v>
      </c>
      <c r="E1" s="53" t="s">
        <v>10</v>
      </c>
      <c r="F1" s="50" t="s">
        <v>11</v>
      </c>
      <c r="G1" s="50" t="s">
        <v>12</v>
      </c>
      <c r="H1" s="50" t="s">
        <v>2611</v>
      </c>
      <c r="I1" s="12" t="s">
        <v>2612</v>
      </c>
      <c r="J1" s="54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ht="12.75" hidden="1">
      <c r="A2" s="70">
        <v>280</v>
      </c>
      <c r="B2" s="65" t="str">
        <f ca="1">IFERROR(__xludf.DUMMYFUNCTION("IF(ISBLANK(A59),,FILTER('Leetcode List'!B:C,'Leetcode List'!A:A = A59))"),"Wiggle Sort")</f>
        <v>Wiggle Sort</v>
      </c>
      <c r="C2" s="63" t="str">
        <f ca="1">IFERROR(__xludf.DUMMYFUNCTION("""COMPUTED_VALUE"""),"Medium")</f>
        <v>Medium</v>
      </c>
      <c r="D2" s="63" t="s">
        <v>123</v>
      </c>
      <c r="E2" s="66" t="str">
        <f ca="1">IFERROR(__xludf.DUMMYFUNCTION("IF(ISBLANK(A59),,FILTER('Leetcode List'!E:G,'Leetcode List'!A:A = A59))"),"Airbnb,Facebook,Amazon,Microsoft,Google")</f>
        <v>Airbnb,Facebook,Amazon,Microsoft,Google</v>
      </c>
      <c r="F2" s="39">
        <f ca="1">IFERROR(__xludf.DUMMYFUNCTION("""COMPUTED_VALUE"""),63.41)</f>
        <v>63.41</v>
      </c>
      <c r="G2" s="39" t="str">
        <f ca="1">IFERROR(__xludf.DUMMYFUNCTION("""COMPUTED_VALUE"""),"算法")</f>
        <v>算法</v>
      </c>
      <c r="H2" s="50">
        <v>58</v>
      </c>
    </row>
    <row r="3" spans="1:27" ht="38.25" hidden="1">
      <c r="A3" s="70">
        <v>349</v>
      </c>
      <c r="B3" s="65" t="str">
        <f ca="1">IFERROR(__xludf.DUMMYFUNCTION("IF(ISBLANK(A70),,FILTER('Leetcode List'!B:C,'Leetcode List'!A:A = A70))"),"Intersection of Two Arrays")</f>
        <v>Intersection of Two Arrays</v>
      </c>
      <c r="C3" s="63" t="str">
        <f ca="1">IFERROR(__xludf.DUMMYFUNCTION("""COMPUTED_VALUE"""),"Easy")</f>
        <v>Easy</v>
      </c>
      <c r="D3" s="63" t="s">
        <v>123</v>
      </c>
      <c r="E3" s="66" t="str">
        <f ca="1">IFERROR(__xludf.DUMMYFUNCTION("IF(ISBLANK(A70),,FILTER('Leetcode List'!E:G,'Leetcode List'!A:A = A70))"),"Two Sigma,ByteDance,Indeed,JPMorgan,Yelp,Oracle,Lyft,Apple,Uber,Facebook,Amazon,LinkedIn,Microsoft,Google")</f>
        <v>Two Sigma,ByteDance,Indeed,JPMorgan,Yelp,Oracle,Lyft,Apple,Uber,Facebook,Amazon,LinkedIn,Microsoft,Google</v>
      </c>
      <c r="F3" s="39">
        <f ca="1">IFERROR(__xludf.DUMMYFUNCTION("""COMPUTED_VALUE"""),61.66)</f>
        <v>61.66</v>
      </c>
      <c r="G3" s="39" t="str">
        <f ca="1">IFERROR(__xludf.DUMMYFUNCTION("""COMPUTED_VALUE"""),"算法")</f>
        <v>算法</v>
      </c>
      <c r="H3" s="50">
        <v>69</v>
      </c>
    </row>
    <row r="4" spans="1:27" ht="12.75" hidden="1">
      <c r="A4" s="70">
        <v>243</v>
      </c>
      <c r="B4" s="65" t="str">
        <f ca="1">IFERROR(__xludf.DUMMYFUNCTION("IF(ISBLANK(A16),,FILTER('Leetcode List'!B:C,'Leetcode List'!A:A = A16))"),"Shortest Word Distance")</f>
        <v>Shortest Word Distance</v>
      </c>
      <c r="C4" s="63" t="str">
        <f ca="1">IFERROR(__xludf.DUMMYFUNCTION("""COMPUTED_VALUE"""),"Easy")</f>
        <v>Easy</v>
      </c>
      <c r="D4" s="63" t="s">
        <v>123</v>
      </c>
      <c r="E4" s="66" t="str">
        <f ca="1">IFERROR(__xludf.DUMMYFUNCTION("IF(ISBLANK(A16),,FILTER('Leetcode List'!E:G,'Leetcode List'!A:A = A16))"),"VMware,Paypal,Oracle,Uber,Amazon,LinkedIn,Microsoft,Google")</f>
        <v>VMware,Paypal,Oracle,Uber,Amazon,LinkedIn,Microsoft,Google</v>
      </c>
      <c r="F4" s="39">
        <f ca="1">IFERROR(__xludf.DUMMYFUNCTION("""COMPUTED_VALUE"""),60.66)</f>
        <v>60.66</v>
      </c>
      <c r="G4" s="39" t="str">
        <f ca="1">IFERROR(__xludf.DUMMYFUNCTION("""COMPUTED_VALUE"""),"算法")</f>
        <v>算法</v>
      </c>
      <c r="H4" s="50">
        <v>15</v>
      </c>
    </row>
    <row r="5" spans="1:27" ht="63.75" hidden="1">
      <c r="A5" s="70">
        <v>238</v>
      </c>
      <c r="B5" s="65" t="str">
        <f ca="1">IFERROR(__xludf.DUMMYFUNCTION("IF(ISBLANK(A51),,FILTER('Leetcode List'!B:C,'Leetcode List'!A:A = A51))"),"Product of Array Except Self")</f>
        <v>Product of Array Except Self</v>
      </c>
      <c r="C5" s="63" t="str">
        <f ca="1">IFERROR(__xludf.DUMMYFUNCTION("""COMPUTED_VALUE"""),"Medium")</f>
        <v>Medium</v>
      </c>
      <c r="D5" s="63" t="s">
        <v>123</v>
      </c>
      <c r="E5" s="66" t="str">
        <f ca="1">IFERROR(__xludf.DUMMYFUNCTION("IF(ISBLANK(A51),,FILTER('Leetcode List'!E:G,'Leetcode List'!A:A = A51))"),"Asana,Nutanix,Qualtrics,Evernote,Zenefits,Grab,Splunk,ByteDance,Tableau,Salesforce,Groupon,Intel,Visa,VMware,Walmart Labs,Snapchat,Paypal,Yelp,Oracle,Lyft,EBay,BlackRock,Apple,Uber,Yahoo,SAP,Bloomberg,Adobe,Facebook,Amazon,LinkedIn,Microsoft,Goldman Sachs"&amp;",Google")</f>
        <v>Asana,Nutanix,Qualtrics,Evernote,Zenefits,Grab,Splunk,ByteDance,Tableau,Salesforce,Groupon,Intel,Visa,VMware,Walmart Labs,Snapchat,Paypal,Yelp,Oracle,Lyft,EBay,BlackRock,Apple,Uber,Yahoo,SAP,Bloomberg,Adobe,Facebook,Amazon,LinkedIn,Microsoft,Goldman Sachs,Google</v>
      </c>
      <c r="F5" s="39">
        <f ca="1">IFERROR(__xludf.DUMMYFUNCTION("""COMPUTED_VALUE"""),59.65)</f>
        <v>59.65</v>
      </c>
      <c r="G5" s="39" t="str">
        <f ca="1">IFERROR(__xludf.DUMMYFUNCTION("""COMPUTED_VALUE"""),"算法")</f>
        <v>算法</v>
      </c>
      <c r="H5" s="50">
        <v>50</v>
      </c>
      <c r="I5" s="55" t="s">
        <v>2613</v>
      </c>
    </row>
    <row r="6" spans="1:27" ht="25.5" hidden="1">
      <c r="A6" s="70">
        <v>169</v>
      </c>
      <c r="B6" s="65" t="str">
        <f ca="1">IFERROR(__xludf.DUMMYFUNCTION("IF(ISBLANK(A12),,FILTER('Leetcode List'!B:C,'Leetcode List'!A:A = A12))"),"Majority Element")</f>
        <v>Majority Element</v>
      </c>
      <c r="C6" s="63" t="str">
        <f ca="1">IFERROR(__xludf.DUMMYFUNCTION("""COMPUTED_VALUE"""),"Easy")</f>
        <v>Easy</v>
      </c>
      <c r="D6" s="63" t="s">
        <v>123</v>
      </c>
      <c r="E6" s="66" t="str">
        <f ca="1">IFERROR(__xludf.DUMMYFUNCTION("IF(ISBLANK(A12),,FILTER('Leetcode List'!E:G,'Leetcode List'!A:A = A12))"),"Zenefits,Snapchat,Twitter,Oracle,Apple,Yahoo,Tencent,Adobe,Amazon,Microsoft,Google")</f>
        <v>Zenefits,Snapchat,Twitter,Oracle,Apple,Yahoo,Tencent,Adobe,Amazon,Microsoft,Google</v>
      </c>
      <c r="F6" s="39">
        <f ca="1">IFERROR(__xludf.DUMMYFUNCTION("""COMPUTED_VALUE"""),58.23)</f>
        <v>58.23</v>
      </c>
      <c r="G6" s="39" t="str">
        <f ca="1">IFERROR(__xludf.DUMMYFUNCTION("""COMPUTED_VALUE"""),"算法")</f>
        <v>算法</v>
      </c>
      <c r="H6" s="78">
        <v>11</v>
      </c>
    </row>
    <row r="7" spans="1:27" ht="51" hidden="1">
      <c r="A7" s="70">
        <v>283</v>
      </c>
      <c r="B7" s="65" t="str">
        <f ca="1">IFERROR(__xludf.DUMMYFUNCTION("IF(ISBLANK(A57),,FILTER('Leetcode List'!B:C,'Leetcode List'!A:A = A57))"),"Move Zeroes")</f>
        <v>Move Zeroes</v>
      </c>
      <c r="C7" s="63" t="str">
        <f ca="1">IFERROR(__xludf.DUMMYFUNCTION("""COMPUTED_VALUE"""),"Easy")</f>
        <v>Easy</v>
      </c>
      <c r="D7" s="63" t="s">
        <v>123</v>
      </c>
      <c r="E7" s="66" t="str">
        <f ca="1">IFERROR(__xludf.DUMMYFUNCTION("IF(ISBLANK(A57),,FILTER('Leetcode List'!E:G,'Leetcode List'!A:A = A57))"),"Cohesity,Nutanix,Dell,Qualcomm,Walmart Labs,Zillow,Paypal,Oracle,Lyft,Yandex,EBay,Apple,Uber,Yahoo,SAP,Bloomberg,Adobe,Facebook,Amazon,Microsoft,Goldman Sachs,Google")</f>
        <v>Cohesity,Nutanix,Dell,Qualcomm,Walmart Labs,Zillow,Paypal,Oracle,Lyft,Yandex,EBay,Apple,Uber,Yahoo,SAP,Bloomberg,Adobe,Facebook,Amazon,Microsoft,Goldman Sachs,Google</v>
      </c>
      <c r="F7" s="39">
        <f ca="1">IFERROR(__xludf.DUMMYFUNCTION("""COMPUTED_VALUE"""),57.53)</f>
        <v>57.53</v>
      </c>
      <c r="G7" s="39" t="str">
        <f ca="1">IFERROR(__xludf.DUMMYFUNCTION("""COMPUTED_VALUE"""),"算法")</f>
        <v>算法</v>
      </c>
      <c r="H7" s="50">
        <v>56</v>
      </c>
      <c r="J7" s="55" t="s">
        <v>2613</v>
      </c>
    </row>
    <row r="8" spans="1:27" ht="38.25" hidden="1">
      <c r="A8" s="70">
        <v>122</v>
      </c>
      <c r="B8" s="65" t="str">
        <f ca="1">IFERROR(__xludf.DUMMYFUNCTION("IF(ISBLANK(A25),,FILTER('Leetcode List'!B:C,'Leetcode List'!A:A = A25))"),"Best Time to Buy and Sell Stock II")</f>
        <v>Best Time to Buy and Sell Stock II</v>
      </c>
      <c r="C8" s="63" t="str">
        <f ca="1">IFERROR(__xludf.DUMMYFUNCTION("""COMPUTED_VALUE"""),"Easy")</f>
        <v>Easy</v>
      </c>
      <c r="D8" s="63" t="s">
        <v>123</v>
      </c>
      <c r="E8" s="66" t="str">
        <f ca="1">IFERROR(__xludf.DUMMYFUNCTION("IF(ISBLANK(A25),,FILTER('Leetcode List'!E:G,'Leetcode List'!A:A = A25))"),"Citadel,Walmart Labs,Oracle,Apple,Uber,Yahoo,Bloomberg,Adobe,Facebook,Amazon,Microsoft,Goldman Sachs,Google")</f>
        <v>Citadel,Walmart Labs,Oracle,Apple,Uber,Yahoo,Bloomberg,Adobe,Facebook,Amazon,Microsoft,Goldman Sachs,Google</v>
      </c>
      <c r="F8" s="39">
        <f ca="1">IFERROR(__xludf.DUMMYFUNCTION("""COMPUTED_VALUE"""),56.34)</f>
        <v>56.34</v>
      </c>
      <c r="G8" s="39" t="str">
        <f ca="1">IFERROR(__xludf.DUMMYFUNCTION("""COMPUTED_VALUE"""),"算法")</f>
        <v>算法</v>
      </c>
      <c r="H8" s="50">
        <v>24</v>
      </c>
    </row>
    <row r="9" spans="1:27" ht="38.25" hidden="1">
      <c r="A9" s="70">
        <v>217</v>
      </c>
      <c r="B9" s="65" t="str">
        <f ca="1">IFERROR(__xludf.DUMMYFUNCTION("IF(ISBLANK(A19),,FILTER('Leetcode List'!B:C,'Leetcode List'!A:A = A19))"),"Contains Duplicate")</f>
        <v>Contains Duplicate</v>
      </c>
      <c r="C9" s="63" t="str">
        <f ca="1">IFERROR(__xludf.DUMMYFUNCTION("""COMPUTED_VALUE"""),"Easy")</f>
        <v>Easy</v>
      </c>
      <c r="D9" s="63" t="s">
        <v>123</v>
      </c>
      <c r="E9" s="66" t="str">
        <f ca="1">IFERROR(__xludf.DUMMYFUNCTION("IF(ISBLANK(A19),,FILTER('Leetcode List'!E:G,'Leetcode List'!A:A = A19))"),"Palantir Technologies,Oracle,Apple,Airbnb,Yahoo,Bloomberg,Adobe,Facebook,Amazon,Microsoft")</f>
        <v>Palantir Technologies,Oracle,Apple,Airbnb,Yahoo,Bloomberg,Adobe,Facebook,Amazon,Microsoft</v>
      </c>
      <c r="F9" s="39">
        <f ca="1">IFERROR(__xludf.DUMMYFUNCTION("""COMPUTED_VALUE"""),55.71)</f>
        <v>55.71</v>
      </c>
      <c r="G9" s="39" t="str">
        <f ca="1">IFERROR(__xludf.DUMMYFUNCTION("""COMPUTED_VALUE"""),"算法")</f>
        <v>算法</v>
      </c>
      <c r="H9" s="50">
        <v>18</v>
      </c>
    </row>
    <row r="10" spans="1:27" ht="12.75" hidden="1">
      <c r="A10" s="70">
        <v>245</v>
      </c>
      <c r="B10" s="65" t="str">
        <f ca="1">IFERROR(__xludf.DUMMYFUNCTION("IF(ISBLANK(A18),,FILTER('Leetcode List'!B:C,'Leetcode List'!A:A = A18))"),"Shortest Word Distance III")</f>
        <v>Shortest Word Distance III</v>
      </c>
      <c r="C10" s="63" t="str">
        <f ca="1">IFERROR(__xludf.DUMMYFUNCTION("""COMPUTED_VALUE"""),"Medium")</f>
        <v>Medium</v>
      </c>
      <c r="D10" s="63" t="s">
        <v>123</v>
      </c>
      <c r="E10" s="66" t="str">
        <f ca="1">IFERROR(__xludf.DUMMYFUNCTION("IF(ISBLANK(A18),,FILTER('Leetcode List'!E:G,'Leetcode List'!A:A = A18))"),"LinkedIn")</f>
        <v>LinkedIn</v>
      </c>
      <c r="F10" s="39">
        <f ca="1">IFERROR(__xludf.DUMMYFUNCTION("""COMPUTED_VALUE"""),55.18)</f>
        <v>55.18</v>
      </c>
      <c r="G10" s="39" t="str">
        <f ca="1">IFERROR(__xludf.DUMMYFUNCTION("""COMPUTED_VALUE"""),"算法")</f>
        <v>算法</v>
      </c>
      <c r="H10" s="50">
        <v>17</v>
      </c>
    </row>
    <row r="11" spans="1:27" ht="12.75" hidden="1">
      <c r="A11" s="70">
        <v>252</v>
      </c>
      <c r="B11" s="65" t="str">
        <f ca="1">IFERROR(__xludf.DUMMYFUNCTION("IF(ISBLANK(A43),,FILTER('Leetcode List'!B:C,'Leetcode List'!A:A = A43))"),"Meeting Rooms")</f>
        <v>Meeting Rooms</v>
      </c>
      <c r="C11" s="63" t="str">
        <f ca="1">IFERROR(__xludf.DUMMYFUNCTION("""COMPUTED_VALUE"""),"Easy")</f>
        <v>Easy</v>
      </c>
      <c r="D11" s="63" t="s">
        <v>123</v>
      </c>
      <c r="E11" s="66" t="str">
        <f ca="1">IFERROR(__xludf.DUMMYFUNCTION("IF(ISBLANK(A43),,FILTER('Leetcode List'!E:G,'Leetcode List'!A:A = A43))"),"Bloomberg,Facebook,Amazon,Microsoft,Google")</f>
        <v>Bloomberg,Facebook,Amazon,Microsoft,Google</v>
      </c>
      <c r="F11" s="39">
        <f ca="1">IFERROR(__xludf.DUMMYFUNCTION("""COMPUTED_VALUE"""),54.29)</f>
        <v>54.29</v>
      </c>
      <c r="G11" s="39" t="str">
        <f ca="1">IFERROR(__xludf.DUMMYFUNCTION("""COMPUTED_VALUE"""),"算法")</f>
        <v>算法</v>
      </c>
      <c r="H11" s="50">
        <v>42</v>
      </c>
    </row>
    <row r="12" spans="1:27" ht="25.5" hidden="1">
      <c r="A12" s="70">
        <v>287</v>
      </c>
      <c r="B12" s="65" t="str">
        <f ca="1">IFERROR(__xludf.DUMMYFUNCTION("IF(ISBLANK(A34),,FILTER('Leetcode List'!B:C,'Leetcode List'!A:A = A34))"),"Find the Duplicate Number")</f>
        <v>Find the Duplicate Number</v>
      </c>
      <c r="C12" s="63" t="str">
        <f ca="1">IFERROR(__xludf.DUMMYFUNCTION("""COMPUTED_VALUE"""),"Medium")</f>
        <v>Medium</v>
      </c>
      <c r="D12" s="63" t="s">
        <v>123</v>
      </c>
      <c r="E12" s="66" t="str">
        <f ca="1">IFERROR(__xludf.DUMMYFUNCTION("IF(ISBLANK(A34),,FILTER('Leetcode List'!E:G,'Leetcode List'!A:A = A34))"),"Salesforce,VMware,Oracle,Intuit,EBay,Apple,Tencent,Morgan Stanley,Bloomberg,Adobe,Facebook,Amazon,Microsoft,Google")</f>
        <v>Salesforce,VMware,Oracle,Intuit,EBay,Apple,Tencent,Morgan Stanley,Bloomberg,Adobe,Facebook,Amazon,Microsoft,Google</v>
      </c>
      <c r="F12" s="39">
        <f ca="1">IFERROR(__xludf.DUMMYFUNCTION("""COMPUTED_VALUE"""),53.94)</f>
        <v>53.94</v>
      </c>
      <c r="G12" s="39" t="str">
        <f ca="1">IFERROR(__xludf.DUMMYFUNCTION("""COMPUTED_VALUE"""),"算法")</f>
        <v>算法</v>
      </c>
      <c r="H12" s="50">
        <v>33</v>
      </c>
    </row>
    <row r="13" spans="1:27" ht="38.25" hidden="1">
      <c r="A13" s="70">
        <v>289</v>
      </c>
      <c r="B13" s="65" t="str">
        <f ca="1">IFERROR(__xludf.DUMMYFUNCTION("IF(ISBLANK(A40),,FILTER('Leetcode List'!B:C,'Leetcode List'!A:A = A40))"),"Game of Life")</f>
        <v>Game of Life</v>
      </c>
      <c r="C13" s="63" t="str">
        <f ca="1">IFERROR(__xludf.DUMMYFUNCTION("""COMPUTED_VALUE"""),"Medium")</f>
        <v>Medium</v>
      </c>
      <c r="D13" s="63" t="s">
        <v>123</v>
      </c>
      <c r="E13" s="66" t="str">
        <f ca="1">IFERROR(__xludf.DUMMYFUNCTION("IF(ISBLANK(A40),,FILTER('Leetcode List'!E:G,'Leetcode List'!A:A = A40))"),"Reddit,Evernote,Opendoor,Two Sigma,Booking.com,Dropbox,Snapchat,Zillow,Oracle,Uber,Bloomberg,Facebook,Amazon,Microsoft,Goldman Sachs,Google")</f>
        <v>Reddit,Evernote,Opendoor,Two Sigma,Booking.com,Dropbox,Snapchat,Zillow,Oracle,Uber,Bloomberg,Facebook,Amazon,Microsoft,Goldman Sachs,Google</v>
      </c>
      <c r="F13" s="39">
        <f ca="1">IFERROR(__xludf.DUMMYFUNCTION("""COMPUTED_VALUE"""),53.57)</f>
        <v>53.57</v>
      </c>
      <c r="G13" s="39" t="str">
        <f ca="1">IFERROR(__xludf.DUMMYFUNCTION("""COMPUTED_VALUE"""),"算法")</f>
        <v>算法</v>
      </c>
      <c r="H13" s="50">
        <v>39</v>
      </c>
    </row>
    <row r="14" spans="1:27" ht="12.75" hidden="1">
      <c r="A14" s="70">
        <v>244</v>
      </c>
      <c r="B14" s="65" t="str">
        <f ca="1">IFERROR(__xludf.DUMMYFUNCTION("IF(ISBLANK(A17),,FILTER('Leetcode List'!B:C,'Leetcode List'!A:A = A17))"),"Shortest Word Distance II")</f>
        <v>Shortest Word Distance II</v>
      </c>
      <c r="C14" s="63" t="str">
        <f ca="1">IFERROR(__xludf.DUMMYFUNCTION("""COMPUTED_VALUE"""),"Medium")</f>
        <v>Medium</v>
      </c>
      <c r="D14" s="63" t="s">
        <v>123</v>
      </c>
      <c r="E14" s="66" t="str">
        <f ca="1">IFERROR(__xludf.DUMMYFUNCTION("IF(ISBLANK(A17),,FILTER('Leetcode List'!E:G,'Leetcode List'!A:A = A17))"),"EBay,Uber,Amazon,LinkedIn")</f>
        <v>EBay,Uber,Amazon,LinkedIn</v>
      </c>
      <c r="F14" s="39">
        <f ca="1">IFERROR(__xludf.DUMMYFUNCTION("""COMPUTED_VALUE"""),51.99)</f>
        <v>51.99</v>
      </c>
      <c r="G14" s="39" t="str">
        <f ca="1">IFERROR(__xludf.DUMMYFUNCTION("""COMPUTED_VALUE"""),"算法")</f>
        <v>算法</v>
      </c>
      <c r="H14" s="50">
        <v>16</v>
      </c>
    </row>
    <row r="15" spans="1:27" ht="25.5" hidden="1">
      <c r="A15" s="70">
        <v>118</v>
      </c>
      <c r="B15" s="65" t="str">
        <f ca="1">IFERROR(__xludf.DUMMYFUNCTION("IF(ISBLANK(A10),,FILTER('Leetcode List'!B:C,'Leetcode List'!A:A = A10))"),"Pascal's Triangle")</f>
        <v>Pascal's Triangle</v>
      </c>
      <c r="C15" s="63" t="str">
        <f ca="1">IFERROR(__xludf.DUMMYFUNCTION("""COMPUTED_VALUE"""),"Easy")</f>
        <v>Easy</v>
      </c>
      <c r="D15" s="63" t="s">
        <v>123</v>
      </c>
      <c r="E15" s="66" t="str">
        <f ca="1">IFERROR(__xludf.DUMMYFUNCTION("IF(ISBLANK(A10),,FILTER('Leetcode List'!E:G,'Leetcode List'!A:A = A10))"),"Twitter,Oracle,Apple,Uber,Bloomberg,Adobe,Facebook,Amazon,Microsoft,Goldman Sachs,Google")</f>
        <v>Twitter,Oracle,Apple,Uber,Bloomberg,Adobe,Facebook,Amazon,Microsoft,Goldman Sachs,Google</v>
      </c>
      <c r="F15" s="39">
        <f ca="1">IFERROR(__xludf.DUMMYFUNCTION("""COMPUTED_VALUE"""),51.67)</f>
        <v>51.67</v>
      </c>
      <c r="G15" s="39" t="str">
        <f ca="1">IFERROR(__xludf.DUMMYFUNCTION("""COMPUTED_VALUE"""),"算法")</f>
        <v>算法</v>
      </c>
      <c r="H15" s="78">
        <v>9</v>
      </c>
    </row>
    <row r="16" spans="1:27" ht="25.5" hidden="1">
      <c r="A16" s="70">
        <v>350</v>
      </c>
      <c r="B16" s="65" t="str">
        <f ca="1">IFERROR(__xludf.DUMMYFUNCTION("IF(ISBLANK(A71),,FILTER('Leetcode List'!B:C,'Leetcode List'!A:A = A71))"),"Intersection of Two Arrays II")</f>
        <v>Intersection of Two Arrays II</v>
      </c>
      <c r="C16" s="63" t="str">
        <f ca="1">IFERROR(__xludf.DUMMYFUNCTION("""COMPUTED_VALUE"""),"Easy")</f>
        <v>Easy</v>
      </c>
      <c r="D16" s="63" t="s">
        <v>123</v>
      </c>
      <c r="E16" s="66" t="str">
        <f ca="1">IFERROR(__xludf.DUMMYFUNCTION("IF(ISBLANK(A71),,FILTER('Leetcode List'!E:G,'Leetcode List'!A:A = A71))"),"Databricks,ByteDance,Salesforce,Oracle,Yandex,Apple,Uber,Bloomberg,Facebook,Amazon,LinkedIn,Microsoft,Google")</f>
        <v>Databricks,ByteDance,Salesforce,Oracle,Yandex,Apple,Uber,Bloomberg,Facebook,Amazon,LinkedIn,Microsoft,Google</v>
      </c>
      <c r="F16" s="39">
        <f ca="1">IFERROR(__xludf.DUMMYFUNCTION("""COMPUTED_VALUE"""),51.09)</f>
        <v>51.09</v>
      </c>
      <c r="G16" s="39" t="str">
        <f ca="1">IFERROR(__xludf.DUMMYFUNCTION("""COMPUTED_VALUE"""),"算法")</f>
        <v>算法</v>
      </c>
      <c r="H16" s="39">
        <v>70</v>
      </c>
    </row>
    <row r="17" spans="1:8" ht="25.5" hidden="1">
      <c r="A17" s="70">
        <v>11</v>
      </c>
      <c r="B17" s="65" t="str">
        <f ca="1">IFERROR(__xludf.DUMMYFUNCTION("IF(ISBLANK(A29),,FILTER('Leetcode List'!B:C,'Leetcode List'!A:A = A29))"),"Container With Most Water")</f>
        <v>Container With Most Water</v>
      </c>
      <c r="C17" s="63" t="str">
        <f ca="1">IFERROR(__xludf.DUMMYFUNCTION("""COMPUTED_VALUE"""),"Medium")</f>
        <v>Medium</v>
      </c>
      <c r="D17" s="63" t="s">
        <v>123</v>
      </c>
      <c r="E17" s="66" t="str">
        <f ca="1">IFERROR(__xludf.DUMMYFUNCTION("IF(ISBLANK(A29),,FILTER('Leetcode List'!E:G,'Leetcode List'!A:A = A29))"),"ByteDance,VMware,Oracle,Lyft,Apple,Airbnb,Uber,Yahoo,Bloomberg,Adobe,Facebook,Amazon,Microsoft,Goldman Sachs,Google")</f>
        <v>ByteDance,VMware,Oracle,Lyft,Apple,Airbnb,Uber,Yahoo,Bloomberg,Adobe,Facebook,Amazon,Microsoft,Goldman Sachs,Google</v>
      </c>
      <c r="F17" s="39">
        <f ca="1">IFERROR(__xludf.DUMMYFUNCTION("""COMPUTED_VALUE"""),50.24)</f>
        <v>50.24</v>
      </c>
      <c r="G17" s="39" t="str">
        <f ca="1">IFERROR(__xludf.DUMMYFUNCTION("""COMPUTED_VALUE"""),"算法")</f>
        <v>算法</v>
      </c>
      <c r="H17" s="39">
        <v>28</v>
      </c>
    </row>
    <row r="18" spans="1:8" ht="89.25" hidden="1">
      <c r="A18" s="70">
        <v>121</v>
      </c>
      <c r="B18" s="65" t="str">
        <f ca="1">IFERROR(__xludf.DUMMYFUNCTION("IF(ISBLANK(A24),,FILTER('Leetcode List'!B:C,'Leetcode List'!A:A = A24))"),"Best Time to Buy and Sell Stock")</f>
        <v>Best Time to Buy and Sell Stock</v>
      </c>
      <c r="C18" s="63" t="str">
        <f ca="1">IFERROR(__xludf.DUMMYFUNCTION("""COMPUTED_VALUE"""),"Easy")</f>
        <v>Easy</v>
      </c>
      <c r="D18" s="63" t="s">
        <v>123</v>
      </c>
      <c r="E18" s="66" t="str">
        <f ca="1">IFERROR(__xludf.DUMMYFUNCTION("IF(ISBLANK(A24),,FILTER('Leetcode List'!E:G,'Leetcode List'!A:A = A24))"),"DoorDash,Akuna Capital,Atlassian,Redfin,Grab,Audible,ByteDance,Deutsche Bank,Tableau,Groupon,Intel,Visa,Citadel,Walmart Labs,Snapchat,JPMorgan,Zillow,Paypal,Expedia,Oracle,Lyft,Cisco,BlackRock,Apple,Uber,Yahoo,Tencent,SAP,Morgan Stanley,Bloomberg,Adobe,Fa"&amp;"cebook,Amazon,LinkedIn,Microsoft,Alibaba,Goldman Sachs,Google")</f>
        <v>DoorDash,Akuna Capital,Atlassian,Redfin,Grab,Audible,ByteDance,Deutsche Bank,Tableau,Groupon,Intel,Visa,Citadel,Walmart Labs,Snapchat,JPMorgan,Zillow,Paypal,Expedia,Oracle,Lyft,Cisco,BlackRock,Apple,Uber,Yahoo,Tencent,SAP,Morgan Stanley,Bloomberg,Adobe,Facebook,Amazon,LinkedIn,Microsoft,Alibaba,Goldman Sachs,Google</v>
      </c>
      <c r="F18" s="39">
        <f ca="1">IFERROR(__xludf.DUMMYFUNCTION("""COMPUTED_VALUE"""),50.17)</f>
        <v>50.17</v>
      </c>
      <c r="G18" s="39" t="str">
        <f ca="1">IFERROR(__xludf.DUMMYFUNCTION("""COMPUTED_VALUE"""),"算法")</f>
        <v>算法</v>
      </c>
      <c r="H18" s="39">
        <v>23</v>
      </c>
    </row>
    <row r="19" spans="1:8" ht="14.25" hidden="1">
      <c r="A19" s="70">
        <v>119</v>
      </c>
      <c r="B19" s="65" t="str">
        <f ca="1">IFERROR(__xludf.DUMMYFUNCTION("IF(ISBLANK(A11),,FILTER('Leetcode List'!B:C,'Leetcode List'!A:A = A11))"),"Pascal's Triangle II")</f>
        <v>Pascal's Triangle II</v>
      </c>
      <c r="C19" s="63" t="str">
        <f ca="1">IFERROR(__xludf.DUMMYFUNCTION("""COMPUTED_VALUE"""),"Easy")</f>
        <v>Easy</v>
      </c>
      <c r="D19" s="63" t="s">
        <v>123</v>
      </c>
      <c r="E19" s="66" t="str">
        <f ca="1">IFERROR(__xludf.DUMMYFUNCTION("IF(ISBLANK(A11),,FILTER('Leetcode List'!E:G,'Leetcode List'!A:A = A11))"),"Qualtrics,Oracle,Amazon,Goldman Sachs,Google")</f>
        <v>Qualtrics,Oracle,Amazon,Goldman Sachs,Google</v>
      </c>
      <c r="F19" s="39">
        <f ca="1">IFERROR(__xludf.DUMMYFUNCTION("""COMPUTED_VALUE"""),48.37)</f>
        <v>48.37</v>
      </c>
      <c r="G19" s="39" t="str">
        <f ca="1">IFERROR(__xludf.DUMMYFUNCTION("""COMPUTED_VALUE"""),"算法")</f>
        <v>算法</v>
      </c>
      <c r="H19" s="78">
        <v>10</v>
      </c>
    </row>
    <row r="20" spans="1:8" ht="76.5" hidden="1">
      <c r="A20" s="70">
        <v>42</v>
      </c>
      <c r="B20" s="65" t="str">
        <f ca="1">IFERROR(__xludf.DUMMYFUNCTION("IF(ISBLANK(A30),,FILTER('Leetcode List'!B:C,'Leetcode List'!A:A = A30))"),"Trapping Rain Water")</f>
        <v>Trapping Rain Water</v>
      </c>
      <c r="C20" s="63" t="str">
        <f ca="1">IFERROR(__xludf.DUMMYFUNCTION("""COMPUTED_VALUE"""),"Hard")</f>
        <v>Hard</v>
      </c>
      <c r="D20" s="63" t="s">
        <v>123</v>
      </c>
      <c r="E20" s="66" t="str">
        <f ca="1">IFERROR(__xludf.DUMMYFUNCTION("IF(ISBLANK(A30),,FILTER('Leetcode List'!E:G,'Leetcode List'!A:A = A30))"),"Electronic Arts,Dataminr,Qualtrics,Databricks,Palantir Technologies,Zenefits,Atlassian,Flipkart,Grab,ByteDance,Tableau,Salesforce,Visa,Citadel,Affirm,Walmart Labs,Snapchat,Twitter,Wish,Nvidia,Oracle,Lyft,Yandex,Huawei,EBay,Apple,Airbnb,Uber,Yahoo,Bloomber"&amp;"g,Adobe,Facebook,Amazon,Microsoft,Goldman Sachs,Google")</f>
        <v>Electronic Arts,Dataminr,Qualtrics,Databricks,Palantir Technologies,Zenefits,Atlassian,Flipkart,Grab,ByteDance,Tableau,Salesforce,Visa,Citadel,Affirm,Walmart Labs,Snapchat,Twitter,Wish,Nvidia,Oracle,Lyft,Yandex,Huawei,EBay,Apple,Airbnb,Uber,Yahoo,Bloomberg,Adobe,Facebook,Amazon,Microsoft,Goldman Sachs,Google</v>
      </c>
      <c r="F20" s="39">
        <f ca="1">IFERROR(__xludf.DUMMYFUNCTION("""COMPUTED_VALUE"""),48.21)</f>
        <v>48.21</v>
      </c>
      <c r="G20" s="39" t="str">
        <f ca="1">IFERROR(__xludf.DUMMYFUNCTION("""COMPUTED_VALUE"""),"算法")</f>
        <v>算法</v>
      </c>
      <c r="H20" s="50">
        <v>29</v>
      </c>
    </row>
    <row r="21" spans="1:8" ht="14.25" hidden="1">
      <c r="A21" s="70">
        <v>27</v>
      </c>
      <c r="B21" s="65" t="str">
        <f ca="1">IFERROR(__xludf.DUMMYFUNCTION("IF(ISBLANK(A2),,FILTER('Leetcode List'!B:C,'Leetcode List'!A:A = A2))"),"Remove Element")</f>
        <v>Remove Element</v>
      </c>
      <c r="C21" s="63" t="str">
        <f ca="1">IFERROR(__xludf.DUMMYFUNCTION("""COMPUTED_VALUE"""),"Easy")</f>
        <v>Easy</v>
      </c>
      <c r="D21" s="63" t="s">
        <v>123</v>
      </c>
      <c r="E21" s="66" t="str">
        <f ca="1">IFERROR(__xludf.DUMMYFUNCTION("IF(ISBLANK(A2),,FILTER('Leetcode List'!E:G,'Leetcode List'!A:A = A2))"),"Bloomberg,Amazon,Microsoft,Google")</f>
        <v>Bloomberg,Amazon,Microsoft,Google</v>
      </c>
      <c r="F21" s="39">
        <f ca="1">IFERROR(__xludf.DUMMYFUNCTION("""COMPUTED_VALUE"""),47.84)</f>
        <v>47.84</v>
      </c>
      <c r="G21" s="39" t="str">
        <f ca="1">IFERROR(__xludf.DUMMYFUNCTION("""COMPUTED_VALUE"""),"算法")</f>
        <v>算法</v>
      </c>
      <c r="H21" s="78">
        <v>1</v>
      </c>
    </row>
    <row r="22" spans="1:8" ht="38.25" hidden="1">
      <c r="A22" s="70">
        <v>75</v>
      </c>
      <c r="B22" s="65" t="str">
        <f ca="1">IFERROR(__xludf.DUMMYFUNCTION("IF(ISBLANK(A56),,FILTER('Leetcode List'!B:C,'Leetcode List'!A:A = A56))"),"Sort Colors")</f>
        <v>Sort Colors</v>
      </c>
      <c r="C22" s="63" t="str">
        <f ca="1">IFERROR(__xludf.DUMMYFUNCTION("""COMPUTED_VALUE"""),"Medium")</f>
        <v>Medium</v>
      </c>
      <c r="D22" s="63" t="s">
        <v>123</v>
      </c>
      <c r="E22" s="66" t="str">
        <f ca="1">IFERROR(__xludf.DUMMYFUNCTION("IF(ISBLANK(A56),,FILTER('Leetcode List'!E:G,'Leetcode List'!A:A = A56))"),"Pocket Gems,Pure Storage,Walmart Labs,Paypal,Oracle,EBay,Apple,Uber,Yahoo,Bloomberg,Facebook,Amazon,LinkedIn,Microsoft,Google")</f>
        <v>Pocket Gems,Pure Storage,Walmart Labs,Paypal,Oracle,EBay,Apple,Uber,Yahoo,Bloomberg,Facebook,Amazon,LinkedIn,Microsoft,Google</v>
      </c>
      <c r="F22" s="39">
        <f ca="1">IFERROR(__xludf.DUMMYFUNCTION("""COMPUTED_VALUE"""),46.82)</f>
        <v>46.82</v>
      </c>
      <c r="G22" s="39" t="str">
        <f ca="1">IFERROR(__xludf.DUMMYFUNCTION("""COMPUTED_VALUE"""),"算法")</f>
        <v>算法</v>
      </c>
      <c r="H22" s="39">
        <v>55</v>
      </c>
    </row>
    <row r="23" spans="1:8" ht="12.75" hidden="1">
      <c r="A23" s="70">
        <v>352</v>
      </c>
      <c r="B23" s="65" t="str">
        <f ca="1">IFERROR(__xludf.DUMMYFUNCTION("IF(ISBLANK(A45),,FILTER('Leetcode List'!B:C,'Leetcode List'!A:A = A45))"),"Data Stream as Disjoint Intervals")</f>
        <v>Data Stream as Disjoint Intervals</v>
      </c>
      <c r="C23" s="63" t="str">
        <f ca="1">IFERROR(__xludf.DUMMYFUNCTION("""COMPUTED_VALUE"""),"Hard")</f>
        <v>Hard</v>
      </c>
      <c r="D23" s="63" t="s">
        <v>123</v>
      </c>
      <c r="E23" s="66" t="str">
        <f ca="1">IFERROR(__xludf.DUMMYFUNCTION("IF(ISBLANK(A45),,FILTER('Leetcode List'!E:G,'Leetcode List'!A:A = A45))"),"Oracle,Facebook,Amazon,Google")</f>
        <v>Oracle,Facebook,Amazon,Google</v>
      </c>
      <c r="F23" s="39">
        <f ca="1">IFERROR(__xludf.DUMMYFUNCTION("""COMPUTED_VALUE"""),46.57)</f>
        <v>46.57</v>
      </c>
      <c r="G23" s="39" t="str">
        <f ca="1">IFERROR(__xludf.DUMMYFUNCTION("""COMPUTED_VALUE"""),"算法")</f>
        <v>算法</v>
      </c>
      <c r="H23" s="50">
        <v>44</v>
      </c>
    </row>
    <row r="24" spans="1:8" ht="12.75" hidden="1">
      <c r="A24" s="70">
        <v>325</v>
      </c>
      <c r="B24" s="65" t="str">
        <f ca="1">IFERROR(__xludf.DUMMYFUNCTION("IF(ISBLANK(A49),,FILTER('Leetcode List'!B:C,'Leetcode List'!A:A = A49))"),"Maximum Size Subarray Sum Equals k")</f>
        <v>Maximum Size Subarray Sum Equals k</v>
      </c>
      <c r="C24" s="63" t="str">
        <f ca="1">IFERROR(__xludf.DUMMYFUNCTION("""COMPUTED_VALUE"""),"Medium")</f>
        <v>Medium</v>
      </c>
      <c r="D24" s="63" t="s">
        <v>123</v>
      </c>
      <c r="E24" s="66" t="str">
        <f ca="1">IFERROR(__xludf.DUMMYFUNCTION("IF(ISBLANK(A49),,FILTER('Leetcode List'!E:G,'Leetcode List'!A:A = A49))"),"Palantir Technologies,Facebook,Amazon,Microsoft,Google")</f>
        <v>Palantir Technologies,Facebook,Amazon,Microsoft,Google</v>
      </c>
      <c r="F24" s="39">
        <f ca="1">IFERROR(__xludf.DUMMYFUNCTION("""COMPUTED_VALUE"""),46.57)</f>
        <v>46.57</v>
      </c>
      <c r="G24" s="39" t="str">
        <f ca="1">IFERROR(__xludf.DUMMYFUNCTION("""COMPUTED_VALUE"""),"算法")</f>
        <v>算法</v>
      </c>
      <c r="H24" s="39">
        <v>48</v>
      </c>
    </row>
    <row r="25" spans="1:8" ht="89.25" hidden="1">
      <c r="A25" s="70">
        <v>53</v>
      </c>
      <c r="B25" s="65" t="str">
        <f ca="1">IFERROR(__xludf.DUMMYFUNCTION("IF(ISBLANK(A48),,FILTER('Leetcode List'!B:C,'Leetcode List'!A:A = A48))"),"Maximum Subarray")</f>
        <v>Maximum Subarray</v>
      </c>
      <c r="C25" s="63" t="str">
        <f ca="1">IFERROR(__xludf.DUMMYFUNCTION("""COMPUTED_VALUE"""),"Easy")</f>
        <v>Easy</v>
      </c>
      <c r="D25" s="63" t="s">
        <v>123</v>
      </c>
      <c r="E25" s="66" t="str">
        <f ca="1">IFERROR(__xludf.DUMMYFUNCTION("IF(ISBLANK(A48),,FILTER('Leetcode List'!E:G,'Leetcode List'!A:A = A48))"),"Asana,Tesla,Palantir Technologies,Wayfair,Two Sigma,Atlassian,ByteDance,Capital One,Salesforce,Intel,Visa,Citadel,Walmart Labs,JPMorgan,Zillow,Paypal,Expedia,Nvidia,Oracle,IBM,Cisco,EBay,Apple,Uber,Yahoo,SAP,Morgan Stanley,Bloomberg,Adobe,Facebook,Amazon,"&amp;"LinkedIn,Microsoft,Alibaba,Goldman Sachs,Google")</f>
        <v>Asana,Tesla,Palantir Technologies,Wayfair,Two Sigma,Atlassian,ByteDance,Capital One,Salesforce,Intel,Visa,Citadel,Walmart Labs,JPMorgan,Zillow,Paypal,Expedia,Nvidia,Oracle,IBM,Cisco,EBay,Apple,Uber,Yahoo,SAP,Morgan Stanley,Bloomberg,Adobe,Facebook,Amazon,LinkedIn,Microsoft,Alibaba,Goldman Sachs,Google</v>
      </c>
      <c r="F25" s="39">
        <f ca="1">IFERROR(__xludf.DUMMYFUNCTION("""COMPUTED_VALUE"""),46.23)</f>
        <v>46.23</v>
      </c>
      <c r="G25" s="39" t="str">
        <f ca="1">IFERROR(__xludf.DUMMYFUNCTION("""COMPUTED_VALUE"""),"算法")</f>
        <v>算法</v>
      </c>
      <c r="H25" s="50">
        <v>47</v>
      </c>
    </row>
    <row r="26" spans="1:8" ht="12.75" hidden="1">
      <c r="A26" s="70">
        <v>309</v>
      </c>
      <c r="B26" s="65" t="str">
        <f ca="1">IFERROR(__xludf.DUMMYFUNCTION("IF(ISBLANK(A28),,FILTER('Leetcode List'!B:C,'Leetcode List'!A:A = A28))"),"Best Time to Buy and Sell Stock with Cooldown")</f>
        <v>Best Time to Buy and Sell Stock with Cooldown</v>
      </c>
      <c r="C26" s="63" t="str">
        <f ca="1">IFERROR(__xludf.DUMMYFUNCTION("""COMPUTED_VALUE"""),"Medium")</f>
        <v>Medium</v>
      </c>
      <c r="D26" s="63" t="s">
        <v>123</v>
      </c>
      <c r="E26" s="66" t="str">
        <f ca="1">IFERROR(__xludf.DUMMYFUNCTION("IF(ISBLANK(A28),,FILTER('Leetcode List'!E:G,'Leetcode List'!A:A = A28))"),"Apple,Amazon,Google")</f>
        <v>Apple,Amazon,Google</v>
      </c>
      <c r="F26" s="39">
        <f ca="1">IFERROR(__xludf.DUMMYFUNCTION("""COMPUTED_VALUE"""),46.14)</f>
        <v>46.14</v>
      </c>
      <c r="G26" s="39" t="str">
        <f ca="1">IFERROR(__xludf.DUMMYFUNCTION("""COMPUTED_VALUE"""),"算法")</f>
        <v>算法</v>
      </c>
      <c r="H26" s="39">
        <v>27</v>
      </c>
    </row>
    <row r="27" spans="1:8" ht="63.75" hidden="1">
      <c r="A27" s="70">
        <v>253</v>
      </c>
      <c r="B27" s="65" t="str">
        <f ca="1">IFERROR(__xludf.DUMMYFUNCTION("IF(ISBLANK(A44),,FILTER('Leetcode List'!B:C,'Leetcode List'!A:A = A44))"),"Meeting Rooms II")</f>
        <v>Meeting Rooms II</v>
      </c>
      <c r="C27" s="63" t="str">
        <f ca="1">IFERROR(__xludf.DUMMYFUNCTION("""COMPUTED_VALUE"""),"Medium")</f>
        <v>Medium</v>
      </c>
      <c r="D27" s="63" t="s">
        <v>123</v>
      </c>
      <c r="E27" s="66" t="str">
        <f ca="1">IFERROR(__xludf.DUMMYFUNCTION("IF(ISBLANK(A44),,FILTER('Leetcode List'!E:G,'Leetcode List'!A:A = A44))"),"Nutanix,Postmates,Citrix,Atlassian,Booking.com,Drawbridge,Visa,Quora,Walmart Labs,GoDaddy,Snapchat,Paypal,Expedia,Yelp,Oracle,Lyft,Cisco,EBay,Baidu,Apple,Uber,Bloomberg,Facebook,Amazon,Microsoft,Goldman Sachs,Google")</f>
        <v>Nutanix,Postmates,Citrix,Atlassian,Booking.com,Drawbridge,Visa,Quora,Walmart Labs,GoDaddy,Snapchat,Paypal,Expedia,Yelp,Oracle,Lyft,Cisco,EBay,Baidu,Apple,Uber,Bloomberg,Facebook,Amazon,Microsoft,Goldman Sachs,Google</v>
      </c>
      <c r="F27" s="39">
        <f ca="1">IFERROR(__xludf.DUMMYFUNCTION("""COMPUTED_VALUE"""),45.4)</f>
        <v>45.4</v>
      </c>
      <c r="G27" s="39" t="str">
        <f ca="1">IFERROR(__xludf.DUMMYFUNCTION("""COMPUTED_VALUE"""),"算法")</f>
        <v>算法</v>
      </c>
      <c r="H27" s="39">
        <v>43</v>
      </c>
    </row>
    <row r="28" spans="1:8" ht="38.25" hidden="1">
      <c r="A28" s="70">
        <v>153</v>
      </c>
      <c r="B28" s="65" t="str">
        <f ca="1">IFERROR(__xludf.DUMMYFUNCTION("IF(ISBLANK(A65),,FILTER('Leetcode List'!B:C,'Leetcode List'!A:A = A65))"),"Find Minimum in Rotated Sorted Array")</f>
        <v>Find Minimum in Rotated Sorted Array</v>
      </c>
      <c r="C28" s="63" t="str">
        <f ca="1">IFERROR(__xludf.DUMMYFUNCTION("""COMPUTED_VALUE"""),"Medium")</f>
        <v>Medium</v>
      </c>
      <c r="D28" s="63" t="s">
        <v>123</v>
      </c>
      <c r="E28" s="66" t="str">
        <f ca="1">IFERROR(__xludf.DUMMYFUNCTION("IF(ISBLANK(A65),,FILTER('Leetcode List'!E:G,'Leetcode List'!A:A = A65))"),"Salesforce,VMware,Walmart Labs,Oracle,EBay,Apple,Uber,Bloomberg,Facebook,Amazon,Microsoft,Goldman Sachs,Google")</f>
        <v>Salesforce,VMware,Walmart Labs,Oracle,EBay,Apple,Uber,Bloomberg,Facebook,Amazon,Microsoft,Goldman Sachs,Google</v>
      </c>
      <c r="F28" s="39">
        <f ca="1">IFERROR(__xludf.DUMMYFUNCTION("""COMPUTED_VALUE"""),44.71)</f>
        <v>44.71</v>
      </c>
      <c r="G28" s="39" t="str">
        <f ca="1">IFERROR(__xludf.DUMMYFUNCTION("""COMPUTED_VALUE"""),"算法")</f>
        <v>算法</v>
      </c>
      <c r="H28" s="39">
        <v>64</v>
      </c>
    </row>
    <row r="29" spans="1:8" ht="25.5" hidden="1">
      <c r="A29" s="70">
        <v>128</v>
      </c>
      <c r="B29" s="65" t="str">
        <f ca="1">IFERROR(__xludf.DUMMYFUNCTION("IF(ISBLANK(A32),,FILTER('Leetcode List'!B:C,'Leetcode List'!A:A = A32))"),"Longest Consecutive Sequence")</f>
        <v>Longest Consecutive Sequence</v>
      </c>
      <c r="C29" s="63" t="str">
        <f ca="1">IFERROR(__xludf.DUMMYFUNCTION("""COMPUTED_VALUE"""),"Hard")</f>
        <v>Hard</v>
      </c>
      <c r="D29" s="63" t="s">
        <v>123</v>
      </c>
      <c r="E29" s="66" t="str">
        <f ca="1">IFERROR(__xludf.DUMMYFUNCTION("IF(ISBLANK(A32),,FILTER('Leetcode List'!E:G,'Leetcode List'!A:A = A32))"),"Nutanix,Paypal,Wish,Oracle,Spotify,Apple,Uber,Bloomberg,Facebook,Amazon,Microsoft,Google")</f>
        <v>Nutanix,Paypal,Wish,Oracle,Spotify,Apple,Uber,Bloomberg,Facebook,Amazon,Microsoft,Google</v>
      </c>
      <c r="F29" s="39">
        <f ca="1">IFERROR(__xludf.DUMMYFUNCTION("""COMPUTED_VALUE"""),44.68)</f>
        <v>44.68</v>
      </c>
      <c r="G29" s="39" t="str">
        <f ca="1">IFERROR(__xludf.DUMMYFUNCTION("""COMPUTED_VALUE"""),"算法")</f>
        <v>算法</v>
      </c>
      <c r="H29" s="50">
        <v>31</v>
      </c>
    </row>
    <row r="30" spans="1:8" ht="25.5" hidden="1">
      <c r="A30" s="70">
        <v>26</v>
      </c>
      <c r="B30" s="65" t="str">
        <f ca="1">IFERROR(__xludf.DUMMYFUNCTION("IF(ISBLANK(A3),,FILTER('Leetcode List'!B:C,'Leetcode List'!A:A = A3))"),"Remove Duplicates from Sorted Array")</f>
        <v>Remove Duplicates from Sorted Array</v>
      </c>
      <c r="C30" s="63" t="str">
        <f ca="1">IFERROR(__xludf.DUMMYFUNCTION("""COMPUTED_VALUE"""),"Easy")</f>
        <v>Easy</v>
      </c>
      <c r="D30" s="63" t="s">
        <v>123</v>
      </c>
      <c r="E30" s="66" t="str">
        <f ca="1">IFERROR(__xludf.DUMMYFUNCTION("IF(ISBLANK(A3),,FILTER('Leetcode List'!E:G,'Leetcode List'!A:A = A3))"),"Hulu,Cohesity,VMware,ServiceNow,Oracle,Cisco,Apple,Uber,Bloomberg,Adobe,Facebook,Amazon,Microsoft,Google")</f>
        <v>Hulu,Cohesity,VMware,ServiceNow,Oracle,Cisco,Apple,Uber,Bloomberg,Adobe,Facebook,Amazon,Microsoft,Google</v>
      </c>
      <c r="F30" s="39">
        <f ca="1">IFERROR(__xludf.DUMMYFUNCTION("""COMPUTED_VALUE"""),44.65)</f>
        <v>44.65</v>
      </c>
      <c r="G30" s="39" t="str">
        <f ca="1">IFERROR(__xludf.DUMMYFUNCTION("""COMPUTED_VALUE"""),"算法")</f>
        <v>算法</v>
      </c>
      <c r="H30" s="78">
        <v>2</v>
      </c>
    </row>
    <row r="31" spans="1:8" ht="14.25" hidden="1">
      <c r="A31" s="70">
        <v>80</v>
      </c>
      <c r="B31" s="65" t="str">
        <f ca="1">IFERROR(__xludf.DUMMYFUNCTION("IF(ISBLANK(A4),,FILTER('Leetcode List'!B:C,'Leetcode List'!A:A = A4))"),"Remove Duplicates from Sorted Array II")</f>
        <v>Remove Duplicates from Sorted Array II</v>
      </c>
      <c r="C31" s="63" t="str">
        <f ca="1">IFERROR(__xludf.DUMMYFUNCTION("""COMPUTED_VALUE"""),"Medium")</f>
        <v>Medium</v>
      </c>
      <c r="D31" s="63" t="s">
        <v>123</v>
      </c>
      <c r="E31" s="66" t="str">
        <f ca="1">IFERROR(__xludf.DUMMYFUNCTION("IF(ISBLANK(A4),,FILTER('Leetcode List'!E:G,'Leetcode List'!A:A = A4))"),"VMware,Baidu,Facebook,Google")</f>
        <v>VMware,Baidu,Facebook,Google</v>
      </c>
      <c r="F31" s="39">
        <f ca="1">IFERROR(__xludf.DUMMYFUNCTION("""COMPUTED_VALUE"""),43.48)</f>
        <v>43.48</v>
      </c>
      <c r="G31" s="39" t="str">
        <f ca="1">IFERROR(__xludf.DUMMYFUNCTION("""COMPUTED_VALUE"""),"算法")</f>
        <v>算法</v>
      </c>
      <c r="H31" s="78">
        <v>3</v>
      </c>
    </row>
    <row r="32" spans="1:8" ht="38.25" hidden="1">
      <c r="A32" s="70">
        <v>295</v>
      </c>
      <c r="B32" s="65" t="str">
        <f ca="1">IFERROR(__xludf.DUMMYFUNCTION("IF(ISBLANK(A47),,FILTER('Leetcode List'!B:C,'Leetcode List'!A:A = A47))"),"Find Median from Data Stream")</f>
        <v>Find Median from Data Stream</v>
      </c>
      <c r="C32" s="63" t="str">
        <f ca="1">IFERROR(__xludf.DUMMYFUNCTION("""COMPUTED_VALUE"""),"Hard")</f>
        <v>Hard</v>
      </c>
      <c r="D32" s="63" t="s">
        <v>123</v>
      </c>
      <c r="E32" s="66" t="str">
        <f ca="1">IFERROR(__xludf.DUMMYFUNCTION("IF(ISBLANK(A47),,FILTER('Leetcode List'!E:G,'Leetcode List'!A:A = A47))"),"Netflix,Pinterest,Qualtrics,Atlassian,ByteDance,Salesforce,VMware,Snapchat,Twitter,Expedia,Oracle,EBay,Apple,Uber,Yahoo,Bloomberg,Adobe,Facebook,Amazon,Microsoft,Goldman Sachs,Google")</f>
        <v>Netflix,Pinterest,Qualtrics,Atlassian,ByteDance,Salesforce,VMware,Snapchat,Twitter,Expedia,Oracle,EBay,Apple,Uber,Yahoo,Bloomberg,Adobe,Facebook,Amazon,Microsoft,Goldman Sachs,Google</v>
      </c>
      <c r="F32" s="39">
        <f ca="1">IFERROR(__xludf.DUMMYFUNCTION("""COMPUTED_VALUE"""),43.36)</f>
        <v>43.36</v>
      </c>
      <c r="G32" s="39" t="str">
        <f ca="1">IFERROR(__xludf.DUMMYFUNCTION("""COMPUTED_VALUE"""),"算法")</f>
        <v>算法</v>
      </c>
      <c r="H32" s="39">
        <v>46</v>
      </c>
    </row>
    <row r="33" spans="1:8" ht="38.25" hidden="1">
      <c r="A33" s="70">
        <v>162</v>
      </c>
      <c r="B33" s="65" t="str">
        <f ca="1">IFERROR(__xludf.DUMMYFUNCTION("IF(ISBLANK(A67),,FILTER('Leetcode List'!B:C,'Leetcode List'!A:A = A67))"),"Find Peak Element")</f>
        <v>Find Peak Element</v>
      </c>
      <c r="C33" s="63" t="str">
        <f ca="1">IFERROR(__xludf.DUMMYFUNCTION("""COMPUTED_VALUE"""),"Medium")</f>
        <v>Medium</v>
      </c>
      <c r="D33" s="63" t="s">
        <v>123</v>
      </c>
      <c r="E33" s="66" t="str">
        <f ca="1">IFERROR(__xludf.DUMMYFUNCTION("IF(ISBLANK(A67),,FILTER('Leetcode List'!E:G,'Leetcode List'!A:A = A67))"),"IXL,VMware,Quora,Walmart Labs,Lyft,Apple,Uber,Yahoo,Bloomberg,Facebook,Amazon,Microsoft,Google")</f>
        <v>IXL,VMware,Quora,Walmart Labs,Lyft,Apple,Uber,Yahoo,Bloomberg,Facebook,Amazon,Microsoft,Google</v>
      </c>
      <c r="F33" s="39">
        <f ca="1">IFERROR(__xludf.DUMMYFUNCTION("""COMPUTED_VALUE"""),43.08)</f>
        <v>43.08</v>
      </c>
      <c r="G33" s="39" t="str">
        <f ca="1">IFERROR(__xludf.DUMMYFUNCTION("""COMPUTED_VALUE"""),"算法")</f>
        <v>算法</v>
      </c>
      <c r="H33" s="39">
        <v>66</v>
      </c>
    </row>
    <row r="34" spans="1:8" ht="12.75" hidden="1">
      <c r="A34" s="70">
        <v>374</v>
      </c>
      <c r="B34" s="65" t="str">
        <f ca="1">IFERROR(__xludf.DUMMYFUNCTION("IF(ISBLANK(A68),,FILTER('Leetcode List'!B:C,'Leetcode List'!A:A = A68))"),"Guess Number Higher or Lower")</f>
        <v>Guess Number Higher or Lower</v>
      </c>
      <c r="C34" s="63" t="str">
        <f ca="1">IFERROR(__xludf.DUMMYFUNCTION("""COMPUTED_VALUE"""),"Easy")</f>
        <v>Easy</v>
      </c>
      <c r="D34" s="63" t="s">
        <v>123</v>
      </c>
      <c r="E34" s="66" t="str">
        <f ca="1">IFERROR(__xludf.DUMMYFUNCTION("IF(ISBLANK(A68),,FILTER('Leetcode List'!E:G,'Leetcode List'!A:A = A68))"),"Apple,Google")</f>
        <v>Apple,Google</v>
      </c>
      <c r="F34" s="39">
        <f ca="1">IFERROR(__xludf.DUMMYFUNCTION("""COMPUTED_VALUE"""),42.55)</f>
        <v>42.55</v>
      </c>
      <c r="G34" s="39" t="str">
        <f ca="1">IFERROR(__xludf.DUMMYFUNCTION("""COMPUTED_VALUE"""),"算法")</f>
        <v>算法</v>
      </c>
      <c r="H34" s="39">
        <v>67</v>
      </c>
    </row>
    <row r="35" spans="1:8" ht="12.75" hidden="1">
      <c r="A35" s="70">
        <v>35</v>
      </c>
      <c r="B35" s="65" t="str">
        <f ca="1">IFERROR(__xludf.DUMMYFUNCTION("IF(ISBLANK(A62),,FILTER('Leetcode List'!B:C,'Leetcode List'!A:A = A62))"),"Search Insert Position")</f>
        <v>Search Insert Position</v>
      </c>
      <c r="C35" s="63" t="str">
        <f ca="1">IFERROR(__xludf.DUMMYFUNCTION("""COMPUTED_VALUE"""),"Easy")</f>
        <v>Easy</v>
      </c>
      <c r="D35" s="63" t="s">
        <v>123</v>
      </c>
      <c r="E35" s="66" t="str">
        <f ca="1">IFERROR(__xludf.DUMMYFUNCTION("IF(ISBLANK(A62),,FILTER('Leetcode List'!E:G,'Leetcode List'!A:A = A62))"),"Apple,SAP,Bloomberg,Adobe,Amazon,Microsoft,Google")</f>
        <v>Apple,SAP,Bloomberg,Adobe,Amazon,Microsoft,Google</v>
      </c>
      <c r="F35" s="39">
        <f ca="1">IFERROR(__xludf.DUMMYFUNCTION("""COMPUTED_VALUE"""),42.5)</f>
        <v>42.5</v>
      </c>
      <c r="G35" s="39" t="str">
        <f ca="1">IFERROR(__xludf.DUMMYFUNCTION("""COMPUTED_VALUE"""),"算法")</f>
        <v>算法</v>
      </c>
      <c r="H35" s="39">
        <v>61</v>
      </c>
    </row>
    <row r="36" spans="1:8" ht="38.25" hidden="1">
      <c r="A36" s="70">
        <v>239</v>
      </c>
      <c r="B36" s="65" t="str">
        <f ca="1">IFERROR(__xludf.DUMMYFUNCTION("IF(ISBLANK(A46),,FILTER('Leetcode List'!B:C,'Leetcode List'!A:A = A46))"),"Sliding Window Maximum")</f>
        <v>Sliding Window Maximum</v>
      </c>
      <c r="C36" s="63" t="str">
        <f ca="1">IFERROR(__xludf.DUMMYFUNCTION("""COMPUTED_VALUE"""),"Hard")</f>
        <v>Hard</v>
      </c>
      <c r="D36" s="63" t="s">
        <v>123</v>
      </c>
      <c r="E36" s="66" t="str">
        <f ca="1">IFERROR(__xludf.DUMMYFUNCTION("IF(ISBLANK(A46),,FILTER('Leetcode List'!E:G,'Leetcode List'!A:A = A46))"),"Nutanix,Pinterest,Databricks,Coursera,Zenefits,Roblox,ByteDance,VMware,Citadel,Twitter,Wish,Yelp,Oracle,Lyft,Apple,Uber,Bloomberg,Adobe,Facebook,Amazon,Microsoft,Alibaba,Google")</f>
        <v>Nutanix,Pinterest,Databricks,Coursera,Zenefits,Roblox,ByteDance,VMware,Citadel,Twitter,Wish,Yelp,Oracle,Lyft,Apple,Uber,Bloomberg,Adobe,Facebook,Amazon,Microsoft,Alibaba,Google</v>
      </c>
      <c r="F36" s="39">
        <f ca="1">IFERROR(__xludf.DUMMYFUNCTION("""COMPUTED_VALUE"""),42.44)</f>
        <v>42.44</v>
      </c>
      <c r="G36" s="39" t="str">
        <f ca="1">IFERROR(__xludf.DUMMYFUNCTION("""COMPUTED_VALUE"""),"算法")</f>
        <v>算法</v>
      </c>
      <c r="H36" s="39">
        <v>45</v>
      </c>
    </row>
    <row r="37" spans="1:8" ht="25.5" hidden="1">
      <c r="A37" s="70">
        <v>300</v>
      </c>
      <c r="B37" s="65" t="str">
        <f ca="1">IFERROR(__xludf.DUMMYFUNCTION("IF(ISBLANK(A73),,FILTER('Leetcode List'!B:C,'Leetcode List'!A:A = A73))"),"Longest Increasing Subsequence")</f>
        <v>Longest Increasing Subsequence</v>
      </c>
      <c r="C37" s="63" t="str">
        <f ca="1">IFERROR(__xludf.DUMMYFUNCTION("""COMPUTED_VALUE"""),"Medium")</f>
        <v>Medium</v>
      </c>
      <c r="D37" s="63" t="s">
        <v>123</v>
      </c>
      <c r="E37" s="66" t="str">
        <f ca="1">IFERROR(__xludf.DUMMYFUNCTION("IF(ISBLANK(A73),,FILTER('Leetcode List'!E:G,'Leetcode List'!A:A = A73))"),"Atlassian,Salesforce,VMware,Oracle,EBay,Apple,Uber,Adobe,Facebook,Amazon,Microsoft,Google")</f>
        <v>Atlassian,Salesforce,VMware,Oracle,EBay,Apple,Uber,Adobe,Facebook,Amazon,Microsoft,Google</v>
      </c>
      <c r="F37" s="39">
        <f ca="1">IFERROR(__xludf.DUMMYFUNCTION("""COMPUTED_VALUE"""),42.35)</f>
        <v>42.35</v>
      </c>
      <c r="G37" s="39" t="str">
        <f ca="1">IFERROR(__xludf.DUMMYFUNCTION("""COMPUTED_VALUE"""),"算法")</f>
        <v>算法</v>
      </c>
      <c r="H37" s="50">
        <v>72</v>
      </c>
    </row>
    <row r="38" spans="1:8" ht="14.25" hidden="1">
      <c r="A38" s="70">
        <v>299</v>
      </c>
      <c r="B38" s="65" t="str">
        <f ca="1">IFERROR(__xludf.DUMMYFUNCTION("IF(ISBLANK(A8),,FILTER('Leetcode List'!B:C,'Leetcode List'!A:A = A8))"),"Bulls and Cows")</f>
        <v>Bulls and Cows</v>
      </c>
      <c r="C38" s="63" t="str">
        <f ca="1">IFERROR(__xludf.DUMMYFUNCTION("""COMPUTED_VALUE"""),"Easy")</f>
        <v>Easy</v>
      </c>
      <c r="D38" s="63" t="s">
        <v>123</v>
      </c>
      <c r="E38" s="66" t="str">
        <f ca="1">IFERROR(__xludf.DUMMYFUNCTION("IF(ISBLANK(A8),,FILTER('Leetcode List'!E:G,'Leetcode List'!A:A = A8))"),"Zillow,Airbnb,Uber,Amazon,Microsoft,Google")</f>
        <v>Zillow,Airbnb,Uber,Amazon,Microsoft,Google</v>
      </c>
      <c r="F38" s="39">
        <f ca="1">IFERROR(__xludf.DUMMYFUNCTION("""COMPUTED_VALUE"""),42.1)</f>
        <v>42.1</v>
      </c>
      <c r="G38" s="39" t="str">
        <f ca="1">IFERROR(__xludf.DUMMYFUNCTION("""COMPUTED_VALUE"""),"算法")</f>
        <v>算法</v>
      </c>
      <c r="H38" s="79">
        <v>7</v>
      </c>
    </row>
    <row r="39" spans="1:8" ht="38.25" hidden="1">
      <c r="A39" s="70">
        <v>277</v>
      </c>
      <c r="B39" s="65" t="str">
        <f ca="1">IFERROR(__xludf.DUMMYFUNCTION("IF(ISBLANK(A5),,FILTER('Leetcode List'!B:C,'Leetcode List'!A:A = A5))"),"Find the Celebrity")</f>
        <v>Find the Celebrity</v>
      </c>
      <c r="C39" s="63" t="str">
        <f ca="1">IFERROR(__xludf.DUMMYFUNCTION("""COMPUTED_VALUE"""),"Medium")</f>
        <v>Medium</v>
      </c>
      <c r="D39" s="63" t="s">
        <v>123</v>
      </c>
      <c r="E39" s="66" t="str">
        <f ca="1">IFERROR(__xludf.DUMMYFUNCTION("IF(ISBLANK(A5),,FILTER('Leetcode List'!E:G,'Leetcode List'!A:A = A5))"),"Square,Pinterest,Palantir Technologies,VMware,Apple,Uber,Facebook,Amazon,LinkedIn,Microsoft,Google")</f>
        <v>Square,Pinterest,Palantir Technologies,VMware,Apple,Uber,Facebook,Amazon,LinkedIn,Microsoft,Google</v>
      </c>
      <c r="F39" s="39">
        <f ca="1">IFERROR(__xludf.DUMMYFUNCTION("""COMPUTED_VALUE"""),41.35)</f>
        <v>41.35</v>
      </c>
      <c r="G39" s="39" t="str">
        <f ca="1">IFERROR(__xludf.DUMMYFUNCTION("""COMPUTED_VALUE"""),"算法")</f>
        <v>算法</v>
      </c>
      <c r="H39" s="78">
        <v>4</v>
      </c>
    </row>
    <row r="40" spans="1:8" ht="12.75" hidden="1">
      <c r="A40" s="70">
        <v>315</v>
      </c>
      <c r="B40" s="65" t="str">
        <f ca="1">IFERROR(__xludf.DUMMYFUNCTION("IF(ISBLANK(A72),,FILTER('Leetcode List'!B:C,'Leetcode List'!A:A = A72))"),"Count of Smaller Numbers After Self")</f>
        <v>Count of Smaller Numbers After Self</v>
      </c>
      <c r="C40" s="63" t="str">
        <f ca="1">IFERROR(__xludf.DUMMYFUNCTION("""COMPUTED_VALUE"""),"Hard")</f>
        <v>Hard</v>
      </c>
      <c r="D40" s="63" t="s">
        <v>123</v>
      </c>
      <c r="E40" s="66" t="str">
        <f ca="1">IFERROR(__xludf.DUMMYFUNCTION("IF(ISBLANK(A72),,FILTER('Leetcode List'!E:G,'Leetcode List'!A:A = A72))"),"Oracle,Apple,Uber,Bloomberg,Facebook,Amazon,Microsoft,Google")</f>
        <v>Oracle,Apple,Uber,Bloomberg,Facebook,Amazon,Microsoft,Google</v>
      </c>
      <c r="F40" s="39">
        <f ca="1">IFERROR(__xludf.DUMMYFUNCTION("""COMPUTED_VALUE"""),41.17)</f>
        <v>41.17</v>
      </c>
      <c r="G40" s="39" t="str">
        <f ca="1">IFERROR(__xludf.DUMMYFUNCTION("""COMPUTED_VALUE"""),"算法")</f>
        <v>算法</v>
      </c>
      <c r="H40" s="39">
        <v>71</v>
      </c>
    </row>
    <row r="41" spans="1:8" ht="12.75" hidden="1">
      <c r="A41" s="70">
        <v>154</v>
      </c>
      <c r="B41" s="65" t="str">
        <f ca="1">IFERROR(__xludf.DUMMYFUNCTION("IF(ISBLANK(A66),,FILTER('Leetcode List'!B:C,'Leetcode List'!A:A = A66))"),"Find Minimum in Rotated Sorted Array II")</f>
        <v>Find Minimum in Rotated Sorted Array II</v>
      </c>
      <c r="C41" s="63" t="str">
        <f ca="1">IFERROR(__xludf.DUMMYFUNCTION("""COMPUTED_VALUE"""),"Hard")</f>
        <v>Hard</v>
      </c>
      <c r="D41" s="63" t="s">
        <v>123</v>
      </c>
      <c r="E41" s="66" t="str">
        <f ca="1">IFERROR(__xludf.DUMMYFUNCTION("IF(ISBLANK(A66),,FILTER('Leetcode List'!E:G,'Leetcode List'!A:A = A66))"),"Uber,Adobe,Facebook,Amazon,Google")</f>
        <v>Uber,Adobe,Facebook,Amazon,Google</v>
      </c>
      <c r="F41" s="39">
        <f ca="1">IFERROR(__xludf.DUMMYFUNCTION("""COMPUTED_VALUE"""),40.48)</f>
        <v>40.479999999999997</v>
      </c>
      <c r="G41" s="39" t="str">
        <f ca="1">IFERROR(__xludf.DUMMYFUNCTION("""COMPUTED_VALUE"""),"算法")</f>
        <v>算法</v>
      </c>
      <c r="H41" s="39">
        <v>65</v>
      </c>
    </row>
    <row r="42" spans="1:8" ht="12.75" hidden="1">
      <c r="A42" s="70">
        <v>334</v>
      </c>
      <c r="B42" s="65" t="str">
        <f ca="1">IFERROR(__xludf.DUMMYFUNCTION("IF(ISBLANK(A31),,FILTER('Leetcode List'!B:C,'Leetcode List'!A:A = A31))"),"Increasing Triplet Subsequence")</f>
        <v>Increasing Triplet Subsequence</v>
      </c>
      <c r="C42" s="63" t="str">
        <f ca="1">IFERROR(__xludf.DUMMYFUNCTION("""COMPUTED_VALUE"""),"Medium")</f>
        <v>Medium</v>
      </c>
      <c r="D42" s="63" t="s">
        <v>123</v>
      </c>
      <c r="E42" s="66" t="str">
        <f ca="1">IFERROR(__xludf.DUMMYFUNCTION("IF(ISBLANK(A31),,FILTER('Leetcode List'!E:G,'Leetcode List'!A:A = A31))"),"Yahoo,Bloomberg,Facebook,Amazon,Google")</f>
        <v>Yahoo,Bloomberg,Facebook,Amazon,Google</v>
      </c>
      <c r="F42" s="39">
        <f ca="1">IFERROR(__xludf.DUMMYFUNCTION("""COMPUTED_VALUE"""),39.97)</f>
        <v>39.97</v>
      </c>
      <c r="G42" s="39" t="str">
        <f ca="1">IFERROR(__xludf.DUMMYFUNCTION("""COMPUTED_VALUE"""),"算法")</f>
        <v>算法</v>
      </c>
      <c r="H42" s="39">
        <v>30</v>
      </c>
    </row>
    <row r="43" spans="1:8" ht="12.75" hidden="1">
      <c r="A43" s="70">
        <v>376</v>
      </c>
      <c r="B43" s="65" t="str">
        <f ca="1">IFERROR(__xludf.DUMMYFUNCTION("IF(ISBLANK(A58),,FILTER('Leetcode List'!B:C,'Leetcode List'!A:A = A58))"),"Wiggle Subsequence")</f>
        <v>Wiggle Subsequence</v>
      </c>
      <c r="C43" s="63" t="str">
        <f ca="1">IFERROR(__xludf.DUMMYFUNCTION("""COMPUTED_VALUE"""),"Medium")</f>
        <v>Medium</v>
      </c>
      <c r="D43" s="63" t="s">
        <v>123</v>
      </c>
      <c r="E43" s="66" t="str">
        <f ca="1">IFERROR(__xludf.DUMMYFUNCTION("IF(ISBLANK(A58),,FILTER('Leetcode List'!E:G,'Leetcode List'!A:A = A58))"),"Uber,Amazon")</f>
        <v>Uber,Amazon</v>
      </c>
      <c r="F43" s="39">
        <f ca="1">IFERROR(__xludf.DUMMYFUNCTION("""COMPUTED_VALUE"""),39.34)</f>
        <v>39.340000000000003</v>
      </c>
      <c r="G43" s="39" t="str">
        <f ca="1">IFERROR(__xludf.DUMMYFUNCTION("""COMPUTED_VALUE"""),"算法")</f>
        <v>算法</v>
      </c>
      <c r="H43" s="39">
        <v>57</v>
      </c>
    </row>
    <row r="44" spans="1:8" ht="38.25" hidden="1">
      <c r="A44" s="70">
        <v>228</v>
      </c>
      <c r="B44" s="65" t="str">
        <f ca="1">IFERROR(__xludf.DUMMYFUNCTION("IF(ISBLANK(A53),,FILTER('Leetcode List'!B:C,'Leetcode List'!A:A = A53))"),"Summary Ranges")</f>
        <v>Summary Ranges</v>
      </c>
      <c r="C44" s="63" t="str">
        <f ca="1">IFERROR(__xludf.DUMMYFUNCTION("""COMPUTED_VALUE"""),"Medium")</f>
        <v>Medium</v>
      </c>
      <c r="D44" s="63" t="s">
        <v>123</v>
      </c>
      <c r="E44" s="66" t="str">
        <f ca="1">IFERROR(__xludf.DUMMYFUNCTION("IF(ISBLANK(A53),,FILTER('Leetcode List'!E:G,'Leetcode List'!A:A = A53))"),"Capital One,Indeed,Yandex,Uber,Bloomberg,Facebook,Amazon,Microsoft,Google")</f>
        <v>Capital One,Indeed,Yandex,Uber,Bloomberg,Facebook,Amazon,Microsoft,Google</v>
      </c>
      <c r="F44" s="39">
        <f ca="1">IFERROR(__xludf.DUMMYFUNCTION("""COMPUTED_VALUE"""),39.1)</f>
        <v>39.1</v>
      </c>
      <c r="G44" s="39" t="str">
        <f ca="1">IFERROR(__xludf.DUMMYFUNCTION("""COMPUTED_VALUE"""),"算法")</f>
        <v>算法</v>
      </c>
      <c r="H44" s="39">
        <v>52</v>
      </c>
    </row>
    <row r="45" spans="1:8" ht="51" hidden="1">
      <c r="A45" s="70">
        <v>88</v>
      </c>
      <c r="B45" s="65" t="str">
        <f ca="1">IFERROR(__xludf.DUMMYFUNCTION("IF(ISBLANK(A55),,FILTER('Leetcode List'!B:C,'Leetcode List'!A:A = A55))"),"Merge Sorted Array")</f>
        <v>Merge Sorted Array</v>
      </c>
      <c r="C45" s="63" t="str">
        <f ca="1">IFERROR(__xludf.DUMMYFUNCTION("""COMPUTED_VALUE"""),"Easy")</f>
        <v>Easy</v>
      </c>
      <c r="D45" s="63" t="s">
        <v>123</v>
      </c>
      <c r="E45" s="66" t="str">
        <f ca="1">IFERROR(__xludf.DUMMYFUNCTION("IF(ISBLANK(A55),,FILTER('Leetcode List'!E:G,'Leetcode List'!A:A = A55))"),"Netflix,Quip (Salesforce),ByteDance,Tableau,Intel,VMware,Indeed,Expedia,Oracle,IBM,Lyft,Cisco,Yandex,EBay,Baidu,Apple,Uber,Yahoo,Bloomberg,Adobe,Facebook,Amazon,LinkedIn,Microsoft,Goldman Sachs,Google")</f>
        <v>Netflix,Quip (Salesforce),ByteDance,Tableau,Intel,VMware,Indeed,Expedia,Oracle,IBM,Lyft,Cisco,Yandex,EBay,Baidu,Apple,Uber,Yahoo,Bloomberg,Adobe,Facebook,Amazon,LinkedIn,Microsoft,Goldman Sachs,Google</v>
      </c>
      <c r="F45" s="39">
        <f ca="1">IFERROR(__xludf.DUMMYFUNCTION("""COMPUTED_VALUE"""),39.06)</f>
        <v>39.06</v>
      </c>
      <c r="G45" s="39" t="str">
        <f ca="1">IFERROR(__xludf.DUMMYFUNCTION("""COMPUTED_VALUE"""),"算法")</f>
        <v>算法</v>
      </c>
      <c r="H45" s="50">
        <v>54</v>
      </c>
    </row>
    <row r="46" spans="1:8" ht="102" hidden="1">
      <c r="A46" s="70">
        <v>56</v>
      </c>
      <c r="B46" s="65" t="str">
        <f ca="1">IFERROR(__xludf.DUMMYFUNCTION("IF(ISBLANK(A42),,FILTER('Leetcode List'!B:C,'Leetcode List'!A:A = A42))"),"Merge Intervals")</f>
        <v>Merge Intervals</v>
      </c>
      <c r="C46" s="63" t="str">
        <f ca="1">IFERROR(__xludf.DUMMYFUNCTION("""COMPUTED_VALUE"""),"Medium")</f>
        <v>Medium</v>
      </c>
      <c r="D46" s="63" t="s">
        <v>123</v>
      </c>
      <c r="E46" s="66" t="str">
        <f ca="1">IFERROR(__xludf.DUMMYFUNCTION("IF(ISBLANK(A42),,FILTER('Leetcode List'!E:G,'Leetcode List'!A:A = A42))"),"Dataminr,Sumologic,Cohesity,DoorDash,Postmates,Pinterest,Palantir Technologies,Cruise Automation,Wayfair,Zulily,Two Sigma,Zenefits,Coupang,Atlassian,Twitch,ByteDance,Salesforce,Visa,VMware,Walmart Labs,GoDaddy,Snapchat,Paypal,Twitter,ServiceNow,Wish,Yelp,"&amp;"Oracle,Intuit,Cisco,Yandex,EBay,Apple,Uber,Yahoo,Tencent,SAP,Bloomberg,Adobe,Facebook,Amazon,LinkedIn,Microsoft,Alibaba,Goldman Sachs,Google")</f>
        <v>Dataminr,Sumologic,Cohesity,DoorDash,Postmates,Pinterest,Palantir Technologies,Cruise Automation,Wayfair,Zulily,Two Sigma,Zenefits,Coupang,Atlassian,Twitch,ByteDance,Salesforce,Visa,VMware,Walmart Labs,GoDaddy,Snapchat,Paypal,Twitter,ServiceNow,Wish,Yelp,Oracle,Intuit,Cisco,Yandex,EBay,Apple,Uber,Yahoo,Tencent,SAP,Bloomberg,Adobe,Facebook,Amazon,LinkedIn,Microsoft,Alibaba,Goldman Sachs,Google</v>
      </c>
      <c r="F46" s="39">
        <f ca="1">IFERROR(__xludf.DUMMYFUNCTION("""COMPUTED_VALUE"""),38.89)</f>
        <v>38.89</v>
      </c>
      <c r="G46" s="39" t="str">
        <f ca="1">IFERROR(__xludf.DUMMYFUNCTION("""COMPUTED_VALUE"""),"算法")</f>
        <v>算法</v>
      </c>
      <c r="H46" s="50">
        <v>41</v>
      </c>
    </row>
    <row r="47" spans="1:8" ht="14.25" hidden="1">
      <c r="A47" s="70">
        <v>134</v>
      </c>
      <c r="B47" s="65" t="str">
        <f ca="1">IFERROR(__xludf.DUMMYFUNCTION("IF(ISBLANK(A9),,FILTER('Leetcode List'!B:C,'Leetcode List'!A:A = A9))"),"Gas Station")</f>
        <v>Gas Station</v>
      </c>
      <c r="C47" s="63" t="str">
        <f ca="1">IFERROR(__xludf.DUMMYFUNCTION("""COMPUTED_VALUE"""),"Medium")</f>
        <v>Medium</v>
      </c>
      <c r="D47" s="63" t="s">
        <v>123</v>
      </c>
      <c r="E47" s="66" t="str">
        <f ca="1">IFERROR(__xludf.DUMMYFUNCTION("IF(ISBLANK(A9),,FILTER('Leetcode List'!E:G,'Leetcode List'!A:A = A9))"),"Paypal,Expedia,IBM,Apple,Amazon,Microsoft,Google")</f>
        <v>Paypal,Expedia,IBM,Apple,Amazon,Microsoft,Google</v>
      </c>
      <c r="F47" s="39">
        <f ca="1">IFERROR(__xludf.DUMMYFUNCTION("""COMPUTED_VALUE"""),37.88)</f>
        <v>37.880000000000003</v>
      </c>
      <c r="G47" s="39" t="str">
        <f ca="1">IFERROR(__xludf.DUMMYFUNCTION("""COMPUTED_VALUE"""),"算法")</f>
        <v>算法</v>
      </c>
      <c r="H47" s="79">
        <v>8</v>
      </c>
    </row>
    <row r="48" spans="1:8" ht="25.5" hidden="1">
      <c r="A48" s="71">
        <v>209</v>
      </c>
      <c r="B48" s="65" t="str">
        <f ca="1">IFERROR(__xludf.DUMMYFUNCTION("IF(ISBLANK(A50),,FILTER('Leetcode List'!B:C,'Leetcode List'!A:A = A50))"),"Minimum Size Subarray Sum")</f>
        <v>Minimum Size Subarray Sum</v>
      </c>
      <c r="C48" s="63" t="str">
        <f ca="1">IFERROR(__xludf.DUMMYFUNCTION("""COMPUTED_VALUE"""),"Medium")</f>
        <v>Medium</v>
      </c>
      <c r="D48" s="63" t="s">
        <v>123</v>
      </c>
      <c r="E48" s="66" t="str">
        <f ca="1">IFERROR(__xludf.DUMMYFUNCTION("IF(ISBLANK(A50),,FILTER('Leetcode List'!E:G,'Leetcode List'!A:A = A50))"),"ByteDance,Oracle,Apple,SAP,Bloomberg,Facebook,Amazon,Microsoft,Goldman Sachs,Google")</f>
        <v>ByteDance,Oracle,Apple,SAP,Bloomberg,Facebook,Amazon,Microsoft,Goldman Sachs,Google</v>
      </c>
      <c r="F48" s="39">
        <f ca="1">IFERROR(__xludf.DUMMYFUNCTION("""COMPUTED_VALUE"""),37.69)</f>
        <v>37.69</v>
      </c>
      <c r="G48" s="39" t="str">
        <f ca="1">IFERROR(__xludf.DUMMYFUNCTION("""COMPUTED_VALUE"""),"算法")</f>
        <v>算法</v>
      </c>
      <c r="H48" s="39">
        <v>49</v>
      </c>
    </row>
    <row r="49" spans="1:8" ht="38.25" hidden="1">
      <c r="A49" s="70">
        <v>219</v>
      </c>
      <c r="B49" s="65" t="str">
        <f ca="1">IFERROR(__xludf.DUMMYFUNCTION("IF(ISBLANK(A20),,FILTER('Leetcode List'!B:C,'Leetcode List'!A:A = A20))"),"Contains Duplicate II")</f>
        <v>Contains Duplicate II</v>
      </c>
      <c r="C49" s="63" t="str">
        <f ca="1">IFERROR(__xludf.DUMMYFUNCTION("""COMPUTED_VALUE"""),"Easy")</f>
        <v>Easy</v>
      </c>
      <c r="D49" s="63" t="s">
        <v>123</v>
      </c>
      <c r="E49" s="66" t="str">
        <f ca="1">IFERROR(__xludf.DUMMYFUNCTION("IF(ISBLANK(A20),,FILTER('Leetcode List'!E:G,'Leetcode List'!A:A = A20))"),"Palantir Technologies,Apple,Airbnb,Bloomberg,Adobe,Amazon,Microsoft,Google")</f>
        <v>Palantir Technologies,Apple,Airbnb,Bloomberg,Adobe,Amazon,Microsoft,Google</v>
      </c>
      <c r="F49" s="39">
        <f ca="1">IFERROR(__xludf.DUMMYFUNCTION("""COMPUTED_VALUE"""),37.42)</f>
        <v>37.42</v>
      </c>
      <c r="G49" s="39" t="str">
        <f ca="1">IFERROR(__xludf.DUMMYFUNCTION("""COMPUTED_VALUE"""),"算法")</f>
        <v>算法</v>
      </c>
      <c r="H49" s="39">
        <v>19</v>
      </c>
    </row>
    <row r="50" spans="1:8" ht="38.25" hidden="1">
      <c r="A50" s="70">
        <v>123</v>
      </c>
      <c r="B50" s="65" t="str">
        <f ca="1">IFERROR(__xludf.DUMMYFUNCTION("IF(ISBLANK(A26),,FILTER('Leetcode List'!B:C,'Leetcode List'!A:A = A26))"),"Best Time to Buy and Sell Stock III")</f>
        <v>Best Time to Buy and Sell Stock III</v>
      </c>
      <c r="C50" s="63" t="str">
        <f ca="1">IFERROR(__xludf.DUMMYFUNCTION("""COMPUTED_VALUE"""),"Hard")</f>
        <v>Hard</v>
      </c>
      <c r="D50" s="63" t="s">
        <v>123</v>
      </c>
      <c r="E50" s="66" t="str">
        <f ca="1">IFERROR(__xludf.DUMMYFUNCTION("IF(ISBLANK(A26),,FILTER('Leetcode List'!E:G,'Leetcode List'!A:A = A26))"),"Rubrik,Two Sigma,Atlassian,Flipkart,Citadel,Apple,Bloomberg,Facebook,Amazon,Microsoft,Google")</f>
        <v>Rubrik,Two Sigma,Atlassian,Flipkart,Citadel,Apple,Bloomberg,Facebook,Amazon,Microsoft,Google</v>
      </c>
      <c r="F50" s="39">
        <f ca="1">IFERROR(__xludf.DUMMYFUNCTION("""COMPUTED_VALUE"""),36.93)</f>
        <v>36.93</v>
      </c>
      <c r="G50" s="39" t="str">
        <f ca="1">IFERROR(__xludf.DUMMYFUNCTION("""COMPUTED_VALUE"""),"算法")</f>
        <v>算法</v>
      </c>
      <c r="H50" s="39">
        <v>25</v>
      </c>
    </row>
    <row r="51" spans="1:8" ht="14.25" hidden="1">
      <c r="A51" s="70">
        <v>275</v>
      </c>
      <c r="B51" s="65" t="str">
        <f ca="1">IFERROR(__xludf.DUMMYFUNCTION("IF(ISBLANK(A15),,FILTER('Leetcode List'!B:C,'Leetcode List'!A:A = A15))"),"H-Index II")</f>
        <v>H-Index II</v>
      </c>
      <c r="C51" s="63" t="str">
        <f ca="1">IFERROR(__xludf.DUMMYFUNCTION("""COMPUTED_VALUE"""),"Medium")</f>
        <v>Medium</v>
      </c>
      <c r="D51" s="63" t="s">
        <v>123</v>
      </c>
      <c r="E51" s="66" t="str">
        <f ca="1">IFERROR(__xludf.DUMMYFUNCTION("IF(ISBLANK(A15),,FILTER('Leetcode List'!E:G,'Leetcode List'!A:A = A15))"),"Facebook")</f>
        <v>Facebook</v>
      </c>
      <c r="F51" s="39">
        <f ca="1">IFERROR(__xludf.DUMMYFUNCTION("""COMPUTED_VALUE"""),35.88)</f>
        <v>35.880000000000003</v>
      </c>
      <c r="G51" s="39" t="str">
        <f ca="1">IFERROR(__xludf.DUMMYFUNCTION("""COMPUTED_VALUE"""),"算法")</f>
        <v>算法</v>
      </c>
      <c r="H51" s="78">
        <v>14</v>
      </c>
    </row>
    <row r="52" spans="1:8" ht="38.25" hidden="1">
      <c r="A52" s="70">
        <v>34</v>
      </c>
      <c r="B52" s="65" t="str">
        <f ca="1">IFERROR(__xludf.DUMMYFUNCTION("IF(ISBLANK(A69),,FILTER('Leetcode List'!B:C,'Leetcode List'!A:A = A69))"),"Find First and Last Position of Element in Sorted Array")</f>
        <v>Find First and Last Position of Element in Sorted Array</v>
      </c>
      <c r="C52" s="63" t="str">
        <f ca="1">IFERROR(__xludf.DUMMYFUNCTION("""COMPUTED_VALUE"""),"Medium")</f>
        <v>Medium</v>
      </c>
      <c r="D52" s="63" t="s">
        <v>123</v>
      </c>
      <c r="E52" s="66" t="str">
        <f ca="1">IFERROR(__xludf.DUMMYFUNCTION("IF(ISBLANK(A69),,FILTER('Leetcode List'!E:G,'Leetcode List'!A:A = A69))"),"Netflix,Quip (Salesforce),Qualtrics,ByteDance,Visa,Oracle,Yandex,Apple,Airbnb,Uber,Yahoo,Bloomberg,Facebook,Amazon,LinkedIn,Microsoft,Google")</f>
        <v>Netflix,Quip (Salesforce),Qualtrics,ByteDance,Visa,Oracle,Yandex,Apple,Airbnb,Uber,Yahoo,Bloomberg,Facebook,Amazon,LinkedIn,Microsoft,Google</v>
      </c>
      <c r="F52" s="39">
        <f ca="1">IFERROR(__xludf.DUMMYFUNCTION("""COMPUTED_VALUE"""),35.81)</f>
        <v>35.81</v>
      </c>
      <c r="G52" s="39" t="str">
        <f ca="1">IFERROR(__xludf.DUMMYFUNCTION("""COMPUTED_VALUE"""),"算法")</f>
        <v>算法</v>
      </c>
      <c r="H52" s="39">
        <v>68</v>
      </c>
    </row>
    <row r="53" spans="1:8" ht="14.25" hidden="1">
      <c r="A53" s="70">
        <v>274</v>
      </c>
      <c r="B53" s="65" t="str">
        <f ca="1">IFERROR(__xludf.DUMMYFUNCTION("IF(ISBLANK(A14),,FILTER('Leetcode List'!B:C,'Leetcode List'!A:A = A14))"),"H-Index")</f>
        <v>H-Index</v>
      </c>
      <c r="C53" s="63" t="str">
        <f ca="1">IFERROR(__xludf.DUMMYFUNCTION("""COMPUTED_VALUE"""),"Medium")</f>
        <v>Medium</v>
      </c>
      <c r="D53" s="63" t="s">
        <v>123</v>
      </c>
      <c r="E53" s="66" t="str">
        <f ca="1">IFERROR(__xludf.DUMMYFUNCTION("IF(ISBLANK(A14),,FILTER('Leetcode List'!E:G,'Leetcode List'!A:A = A14))"),"TripAdvisor,Yahoo,Bloomberg,Adobe,Facebook,Google")</f>
        <v>TripAdvisor,Yahoo,Bloomberg,Adobe,Facebook,Google</v>
      </c>
      <c r="F53" s="39">
        <f ca="1">IFERROR(__xludf.DUMMYFUNCTION("""COMPUTED_VALUE"""),35.71)</f>
        <v>35.71</v>
      </c>
      <c r="G53" s="39" t="str">
        <f ca="1">IFERROR(__xludf.DUMMYFUNCTION("""COMPUTED_VALUE"""),"算法")</f>
        <v>算法</v>
      </c>
      <c r="H53" s="78">
        <v>13</v>
      </c>
    </row>
    <row r="54" spans="1:8" ht="12.75" hidden="1">
      <c r="A54" s="70">
        <v>354</v>
      </c>
      <c r="B54" s="65" t="str">
        <f ca="1">IFERROR(__xludf.DUMMYFUNCTION("IF(ISBLANK(A74),,FILTER('Leetcode List'!B:C,'Leetcode List'!A:A = A74))"),"Russian Doll Envelopes")</f>
        <v>Russian Doll Envelopes</v>
      </c>
      <c r="C54" s="63" t="str">
        <f ca="1">IFERROR(__xludf.DUMMYFUNCTION("""COMPUTED_VALUE"""),"Hard")</f>
        <v>Hard</v>
      </c>
      <c r="D54" s="63" t="s">
        <v>123</v>
      </c>
      <c r="E54" s="66" t="str">
        <f ca="1">IFERROR(__xludf.DUMMYFUNCTION("IF(ISBLANK(A74),,FILTER('Leetcode List'!E:G,'Leetcode List'!A:A = A74))"),"Uber,Amazon,Microsoft,Google")</f>
        <v>Uber,Amazon,Microsoft,Google</v>
      </c>
      <c r="F54" s="39">
        <f ca="1">IFERROR(__xludf.DUMMYFUNCTION("""COMPUTED_VALUE"""),35.37)</f>
        <v>35.369999999999997</v>
      </c>
      <c r="G54" s="39" t="str">
        <f ca="1">IFERROR(__xludf.DUMMYFUNCTION("""COMPUTED_VALUE"""),"算法")</f>
        <v>算法</v>
      </c>
      <c r="H54" s="39">
        <v>73</v>
      </c>
    </row>
    <row r="55" spans="1:8" ht="12.75" hidden="1">
      <c r="A55" s="70">
        <v>278</v>
      </c>
      <c r="B55" s="65" t="str">
        <f ca="1">IFERROR(__xludf.DUMMYFUNCTION("IF(ISBLANK(A61),,FILTER('Leetcode List'!B:C,'Leetcode List'!A:A = A61))"),"First Bad Version")</f>
        <v>First Bad Version</v>
      </c>
      <c r="C55" s="63" t="str">
        <f ca="1">IFERROR(__xludf.DUMMYFUNCTION("""COMPUTED_VALUE"""),"Easy")</f>
        <v>Easy</v>
      </c>
      <c r="D55" s="63" t="s">
        <v>123</v>
      </c>
      <c r="E55" s="66" t="str">
        <f ca="1">IFERROR(__xludf.DUMMYFUNCTION("IF(ISBLANK(A61),,FILTER('Leetcode List'!E:G,'Leetcode List'!A:A = A61))"),"Uber,Bloomberg,Adobe,Facebook,Amazon,Microsoft,Google")</f>
        <v>Uber,Bloomberg,Adobe,Facebook,Amazon,Microsoft,Google</v>
      </c>
      <c r="F55" s="39">
        <f ca="1">IFERROR(__xludf.DUMMYFUNCTION("""COMPUTED_VALUE"""),35.16)</f>
        <v>35.159999999999997</v>
      </c>
      <c r="G55" s="39" t="str">
        <f ca="1">IFERROR(__xludf.DUMMYFUNCTION("""COMPUTED_VALUE"""),"算法")</f>
        <v>算法</v>
      </c>
      <c r="H55" s="50">
        <v>60</v>
      </c>
    </row>
    <row r="56" spans="1:8" ht="25.5" hidden="1">
      <c r="A56" s="70">
        <v>229</v>
      </c>
      <c r="B56" s="65" t="str">
        <f ca="1">IFERROR(__xludf.DUMMYFUNCTION("IF(ISBLANK(A13),,FILTER('Leetcode List'!B:C,'Leetcode List'!A:A = A13))"),"Majority Element II")</f>
        <v>Majority Element II</v>
      </c>
      <c r="C56" s="63" t="str">
        <f ca="1">IFERROR(__xludf.DUMMYFUNCTION("""COMPUTED_VALUE"""),"Medium")</f>
        <v>Medium</v>
      </c>
      <c r="D56" s="63" t="s">
        <v>123</v>
      </c>
      <c r="E56" s="66" t="str">
        <f ca="1">IFERROR(__xludf.DUMMYFUNCTION("IF(ISBLANK(A13),,FILTER('Leetcode List'!E:G,'Leetcode List'!A:A = A13))"),"Zenefits,Apple,Uber,Bloomberg,Adobe,Facebook,Amazon,Microsoft,Google")</f>
        <v>Zenefits,Apple,Uber,Bloomberg,Adobe,Facebook,Amazon,Microsoft,Google</v>
      </c>
      <c r="F56" s="39">
        <f ca="1">IFERROR(__xludf.DUMMYFUNCTION("""COMPUTED_VALUE"""),35.15)</f>
        <v>35.15</v>
      </c>
      <c r="G56" s="39" t="str">
        <f ca="1">IFERROR(__xludf.DUMMYFUNCTION("""COMPUTED_VALUE"""),"算法")</f>
        <v>算法</v>
      </c>
      <c r="H56" s="79">
        <v>12</v>
      </c>
    </row>
    <row r="57" spans="1:8" ht="12.75" hidden="1">
      <c r="A57" s="70">
        <v>164</v>
      </c>
      <c r="B57" s="65" t="str">
        <f ca="1">IFERROR(__xludf.DUMMYFUNCTION("IF(ISBLANK(A33),,FILTER('Leetcode List'!B:C,'Leetcode List'!A:A = A33))"),"Maximum Gap")</f>
        <v>Maximum Gap</v>
      </c>
      <c r="C57" s="63" t="str">
        <f ca="1">IFERROR(__xludf.DUMMYFUNCTION("""COMPUTED_VALUE"""),"Hard")</f>
        <v>Hard</v>
      </c>
      <c r="D57" s="63" t="s">
        <v>123</v>
      </c>
      <c r="E57" s="66" t="str">
        <f ca="1">IFERROR(__xludf.DUMMYFUNCTION("IF(ISBLANK(A33),,FILTER('Leetcode List'!E:G,'Leetcode List'!A:A = A33))"),"Amazon")</f>
        <v>Amazon</v>
      </c>
      <c r="F57" s="39">
        <f ca="1">IFERROR(__xludf.DUMMYFUNCTION("""COMPUTED_VALUE"""),35.06)</f>
        <v>35.06</v>
      </c>
      <c r="G57" s="39" t="str">
        <f ca="1">IFERROR(__xludf.DUMMYFUNCTION("""COMPUTED_VALUE"""),"算法")</f>
        <v>算法</v>
      </c>
      <c r="H57" s="50">
        <v>32</v>
      </c>
    </row>
    <row r="58" spans="1:8" ht="12.75" hidden="1">
      <c r="A58" s="70">
        <v>327</v>
      </c>
      <c r="B58" s="65" t="str">
        <f ca="1">IFERROR(__xludf.DUMMYFUNCTION("IF(ISBLANK(A39),,FILTER('Leetcode List'!B:C,'Leetcode List'!A:A = A39))"),"Count of Range Sum")</f>
        <v>Count of Range Sum</v>
      </c>
      <c r="C58" s="63" t="str">
        <f ca="1">IFERROR(__xludf.DUMMYFUNCTION("""COMPUTED_VALUE"""),"Hard")</f>
        <v>Hard</v>
      </c>
      <c r="D58" s="63" t="s">
        <v>123</v>
      </c>
      <c r="E58" s="66" t="str">
        <f ca="1">IFERROR(__xludf.DUMMYFUNCTION("IF(ISBLANK(A39),,FILTER('Leetcode List'!E:G,'Leetcode List'!A:A = A39))"),"Google")</f>
        <v>Google</v>
      </c>
      <c r="F58" s="39">
        <f ca="1">IFERROR(__xludf.DUMMYFUNCTION("""COMPUTED_VALUE"""),34.81)</f>
        <v>34.81</v>
      </c>
      <c r="G58" s="39" t="str">
        <f ca="1">IFERROR(__xludf.DUMMYFUNCTION("""COMPUTED_VALUE"""),"算法")</f>
        <v>算法</v>
      </c>
      <c r="H58" s="39">
        <v>38</v>
      </c>
    </row>
    <row r="59" spans="1:8" ht="25.5" hidden="1">
      <c r="A59" s="70">
        <v>55</v>
      </c>
      <c r="B59" s="65" t="str">
        <f ca="1">IFERROR(__xludf.DUMMYFUNCTION("IF(ISBLANK(A22),,FILTER('Leetcode List'!B:C,'Leetcode List'!A:A = A22))"),"Jump Game")</f>
        <v>Jump Game</v>
      </c>
      <c r="C59" s="63" t="str">
        <f ca="1">IFERROR(__xludf.DUMMYFUNCTION("""COMPUTED_VALUE"""),"Medium")</f>
        <v>Medium</v>
      </c>
      <c r="D59" s="63" t="s">
        <v>123</v>
      </c>
      <c r="E59" s="66" t="str">
        <f ca="1">IFERROR(__xludf.DUMMYFUNCTION("IF(ISBLANK(A22),,FILTER('Leetcode List'!E:G,'Leetcode List'!A:A = A22))"),"Nutanix,Postmates,ByteDance,Oracle,Apple,Uber,Bloomberg,Adobe,Facebook,Amazon,Microsoft,Google")</f>
        <v>Nutanix,Postmates,ByteDance,Oracle,Apple,Uber,Bloomberg,Adobe,Facebook,Amazon,Microsoft,Google</v>
      </c>
      <c r="F59" s="39">
        <f ca="1">IFERROR(__xludf.DUMMYFUNCTION("""COMPUTED_VALUE"""),34.39)</f>
        <v>34.39</v>
      </c>
      <c r="G59" s="39" t="str">
        <f ca="1">IFERROR(__xludf.DUMMYFUNCTION("""COMPUTED_VALUE"""),"算法")</f>
        <v>算法</v>
      </c>
      <c r="H59" s="39">
        <v>21</v>
      </c>
    </row>
    <row r="60" spans="1:8" ht="76.5" hidden="1">
      <c r="A60" s="70">
        <v>33</v>
      </c>
      <c r="B60" s="65" t="str">
        <f ca="1">IFERROR(__xludf.DUMMYFUNCTION("IF(ISBLANK(A63),,FILTER('Leetcode List'!B:C,'Leetcode List'!A:A = A63))"),"Search in Rotated Sorted Array")</f>
        <v>Search in Rotated Sorted Array</v>
      </c>
      <c r="C60" s="63" t="str">
        <f ca="1">IFERROR(__xludf.DUMMYFUNCTION("""COMPUTED_VALUE"""),"Medium")</f>
        <v>Medium</v>
      </c>
      <c r="D60" s="63" t="s">
        <v>123</v>
      </c>
      <c r="E60" s="66" t="str">
        <f ca="1">IFERROR(__xludf.DUMMYFUNCTION("IF(ISBLANK(A63),,FILTER('Leetcode List'!E:G,'Leetcode List'!A:A = A63))"),"TripAdvisor,Tesla,Nutanix,Zulily,Twitch,ByteDance,Salesforce,Visa,VMware,Walmart Labs,Snapchat,JPMorgan,Zillow,Expedia,Nvidia,Oracle,NetEase,Cisco,Yandex,EBay,Baidu,Apple,Uber,Yahoo,Samsung,Tencent,Bloomberg,Adobe,Facebook,Amazon,LinkedIn,Microsoft,Alibab"&amp;"a,Goldman Sachs,Google")</f>
        <v>TripAdvisor,Tesla,Nutanix,Zulily,Twitch,ByteDance,Salesforce,Visa,VMware,Walmart Labs,Snapchat,JPMorgan,Zillow,Expedia,Nvidia,Oracle,NetEase,Cisco,Yandex,EBay,Baidu,Apple,Uber,Yahoo,Samsung,Tencent,Bloomberg,Adobe,Facebook,Amazon,LinkedIn,Microsoft,Alibaba,Goldman Sachs,Google</v>
      </c>
      <c r="F60" s="39">
        <f ca="1">IFERROR(__xludf.DUMMYFUNCTION("""COMPUTED_VALUE"""),34.35)</f>
        <v>34.35</v>
      </c>
      <c r="G60" s="39" t="str">
        <f ca="1">IFERROR(__xludf.DUMMYFUNCTION("""COMPUTED_VALUE"""),"算法")</f>
        <v>算法</v>
      </c>
      <c r="H60" s="39">
        <v>62</v>
      </c>
    </row>
    <row r="61" spans="1:8" ht="12.75" hidden="1">
      <c r="A61" s="70">
        <v>330</v>
      </c>
      <c r="B61" s="65" t="str">
        <f ca="1">IFERROR(__xludf.DUMMYFUNCTION("IF(ISBLANK(A36),,FILTER('Leetcode List'!B:C,'Leetcode List'!A:A = A36))"),"Patching Array")</f>
        <v>Patching Array</v>
      </c>
      <c r="C61" s="63" t="str">
        <f ca="1">IFERROR(__xludf.DUMMYFUNCTION("""COMPUTED_VALUE"""),"Hard")</f>
        <v>Hard</v>
      </c>
      <c r="D61" s="63" t="s">
        <v>123</v>
      </c>
      <c r="E61" s="66" t="str">
        <f ca="1">IFERROR(__xludf.DUMMYFUNCTION("IF(ISBLANK(A36),,FILTER('Leetcode List'!E:G,'Leetcode List'!A:A = A36))"),"Google")</f>
        <v>Google</v>
      </c>
      <c r="F61" s="39">
        <f ca="1">IFERROR(__xludf.DUMMYFUNCTION("""COMPUTED_VALUE"""),34.3)</f>
        <v>34.299999999999997</v>
      </c>
      <c r="G61" s="39" t="str">
        <f ca="1">IFERROR(__xludf.DUMMYFUNCTION("""COMPUTED_VALUE"""),"算法")</f>
        <v>算法</v>
      </c>
      <c r="H61" s="50">
        <v>35</v>
      </c>
    </row>
    <row r="62" spans="1:8" ht="25.5" hidden="1">
      <c r="A62" s="70">
        <v>189</v>
      </c>
      <c r="B62" s="65" t="str">
        <f ca="1">IFERROR(__xludf.DUMMYFUNCTION("IF(ISBLANK(A6),,FILTER('Leetcode List'!B:C,'Leetcode List'!A:A = A6))"),"Rotate Array")</f>
        <v>Rotate Array</v>
      </c>
      <c r="C62" s="63" t="str">
        <f ca="1">IFERROR(__xludf.DUMMYFUNCTION("""COMPUTED_VALUE"""),"Easy")</f>
        <v>Easy</v>
      </c>
      <c r="D62" s="63" t="s">
        <v>123</v>
      </c>
      <c r="E62" s="66" t="str">
        <f ca="1">IFERROR(__xludf.DUMMYFUNCTION("IF(ISBLANK(A6),,FILTER('Leetcode List'!E:G,'Leetcode List'!A:A = A6))"),"Snapchat,Paypal,Oracle,Cisco,EBay,Uber,Bloomberg,Adobe,Facebook,Amazon,Microsoft,Goldman Sachs")</f>
        <v>Snapchat,Paypal,Oracle,Cisco,EBay,Uber,Bloomberg,Adobe,Facebook,Amazon,Microsoft,Goldman Sachs</v>
      </c>
      <c r="F62" s="39">
        <f ca="1">IFERROR(__xludf.DUMMYFUNCTION("""COMPUTED_VALUE"""),34.19)</f>
        <v>34.19</v>
      </c>
      <c r="G62" s="39" t="str">
        <f ca="1">IFERROR(__xludf.DUMMYFUNCTION("""COMPUTED_VALUE"""),"算法")</f>
        <v>算法</v>
      </c>
      <c r="H62" s="78">
        <v>5</v>
      </c>
    </row>
    <row r="63" spans="1:8" ht="25.5" hidden="1">
      <c r="A63" s="70">
        <v>57</v>
      </c>
      <c r="B63" s="65" t="str">
        <f ca="1">IFERROR(__xludf.DUMMYFUNCTION("IF(ISBLANK(A41),,FILTER('Leetcode List'!B:C,'Leetcode List'!A:A = A41))"),"Insert Interval")</f>
        <v>Insert Interval</v>
      </c>
      <c r="C63" s="63" t="str">
        <f ca="1">IFERROR(__xludf.DUMMYFUNCTION("""COMPUTED_VALUE"""),"Hard")</f>
        <v>Hard</v>
      </c>
      <c r="D63" s="63" t="s">
        <v>123</v>
      </c>
      <c r="E63" s="66" t="str">
        <f ca="1">IFERROR(__xludf.DUMMYFUNCTION("IF(ISBLANK(A41),,FILTER('Leetcode List'!E:G,'Leetcode List'!A:A = A41))"),"Dataminr,Tableau,Twitter,Oracle,Apple,Uber,Adobe,Facebook,Amazon,LinkedIn,Microsoft,Google")</f>
        <v>Dataminr,Tableau,Twitter,Oracle,Apple,Uber,Adobe,Facebook,Amazon,LinkedIn,Microsoft,Google</v>
      </c>
      <c r="F63" s="39">
        <f ca="1">IFERROR(__xludf.DUMMYFUNCTION("""COMPUTED_VALUE"""),33.23)</f>
        <v>33.229999999999997</v>
      </c>
      <c r="G63" s="39" t="str">
        <f ca="1">IFERROR(__xludf.DUMMYFUNCTION("""COMPUTED_VALUE"""),"算法")</f>
        <v>算法</v>
      </c>
      <c r="H63" s="39">
        <v>40</v>
      </c>
    </row>
    <row r="64" spans="1:8" ht="12.75" hidden="1">
      <c r="A64" s="70">
        <v>81</v>
      </c>
      <c r="B64" s="65" t="str">
        <f ca="1">IFERROR(__xludf.DUMMYFUNCTION("IF(ISBLANK(A64),,FILTER('Leetcode List'!B:C,'Leetcode List'!A:A = A64))"),"Search in Rotated Sorted Array II")</f>
        <v>Search in Rotated Sorted Array II</v>
      </c>
      <c r="C64" s="63" t="str">
        <f ca="1">IFERROR(__xludf.DUMMYFUNCTION("""COMPUTED_VALUE"""),"Medium")</f>
        <v>Medium</v>
      </c>
      <c r="D64" s="63" t="s">
        <v>123</v>
      </c>
      <c r="E64" s="66" t="str">
        <f ca="1">IFERROR(__xludf.DUMMYFUNCTION("IF(ISBLANK(A64),,FILTER('Leetcode List'!E:G,'Leetcode List'!A:A = A64))"),"Bloomberg,Adobe,Facebook,Amazon,Microsoft,Google")</f>
        <v>Bloomberg,Adobe,Facebook,Amazon,Microsoft,Google</v>
      </c>
      <c r="F64" s="39">
        <f ca="1">IFERROR(__xludf.DUMMYFUNCTION("""COMPUTED_VALUE"""),32.96)</f>
        <v>32.96</v>
      </c>
      <c r="G64" s="39" t="str">
        <f ca="1">IFERROR(__xludf.DUMMYFUNCTION("""COMPUTED_VALUE"""),"算法")</f>
        <v>算法</v>
      </c>
      <c r="H64" s="39">
        <v>63</v>
      </c>
    </row>
    <row r="65" spans="1:8" ht="51" hidden="1">
      <c r="A65" s="70">
        <v>41</v>
      </c>
      <c r="B65" s="65" t="str">
        <f ca="1">IFERROR(__xludf.DUMMYFUNCTION("IF(ISBLANK(A7),,FILTER('Leetcode List'!B:C,'Leetcode List'!A:A = A7))"),"First Missing Positive")</f>
        <v>First Missing Positive</v>
      </c>
      <c r="C65" s="63" t="str">
        <f ca="1">IFERROR(__xludf.DUMMYFUNCTION("""COMPUTED_VALUE"""),"Hard")</f>
        <v>Hard</v>
      </c>
      <c r="D65" s="63" t="s">
        <v>123</v>
      </c>
      <c r="E65" s="66" t="str">
        <f ca="1">IFERROR(__xludf.DUMMYFUNCTION("IF(ISBLANK(A7),,FILTER('Leetcode List'!E:G,'Leetcode List'!A:A = A7))"),"Databricks,Pocket Gems,Wayfair,Twitch,Grab,ByteDance,Salesforce,Walmart Labs,Wish,Oracle,EBay,Apple,Airbnb,Uber,SAP,Morgan Stanley,Bloomberg,Adobe,Facebook,Amazon,Microsoft,Google")</f>
        <v>Databricks,Pocket Gems,Wayfair,Twitch,Grab,ByteDance,Salesforce,Walmart Labs,Wish,Oracle,EBay,Apple,Airbnb,Uber,SAP,Morgan Stanley,Bloomberg,Adobe,Facebook,Amazon,Microsoft,Google</v>
      </c>
      <c r="F65" s="39">
        <f ca="1">IFERROR(__xludf.DUMMYFUNCTION("""COMPUTED_VALUE"""),31.6)</f>
        <v>31.6</v>
      </c>
      <c r="G65" s="39" t="str">
        <f ca="1">IFERROR(__xludf.DUMMYFUNCTION("""COMPUTED_VALUE"""),"算法")</f>
        <v>算法</v>
      </c>
      <c r="H65" s="79">
        <v>6</v>
      </c>
    </row>
    <row r="66" spans="1:8" ht="38.25" hidden="1">
      <c r="A66" s="70">
        <v>152</v>
      </c>
      <c r="B66" s="65" t="str">
        <f ca="1">IFERROR(__xludf.DUMMYFUNCTION("IF(ISBLANK(A52),,FILTER('Leetcode List'!B:C,'Leetcode List'!A:A = A52))"),"Maximum Product Subarray")</f>
        <v>Maximum Product Subarray</v>
      </c>
      <c r="C66" s="63" t="str">
        <f ca="1">IFERROR(__xludf.DUMMYFUNCTION("""COMPUTED_VALUE"""),"Medium")</f>
        <v>Medium</v>
      </c>
      <c r="D66" s="63" t="s">
        <v>123</v>
      </c>
      <c r="E66" s="66" t="str">
        <f ca="1">IFERROR(__xludf.DUMMYFUNCTION("IF(ISBLANK(A52),,FILTER('Leetcode List'!E:G,'Leetcode List'!A:A = A52))"),"Akuna Capital,ByteDance,Oracle,Uber,Bloomberg,Adobe,Facebook,Amazon,LinkedIn,Microsoft,Alibaba,Google")</f>
        <v>Akuna Capital,ByteDance,Oracle,Uber,Bloomberg,Adobe,Facebook,Amazon,LinkedIn,Microsoft,Alibaba,Google</v>
      </c>
      <c r="F66" s="39">
        <f ca="1">IFERROR(__xludf.DUMMYFUNCTION("""COMPUTED_VALUE"""),31.4)</f>
        <v>31.4</v>
      </c>
      <c r="G66" s="39" t="str">
        <f ca="1">IFERROR(__xludf.DUMMYFUNCTION("""COMPUTED_VALUE"""),"算法")</f>
        <v>算法</v>
      </c>
      <c r="H66" s="39">
        <v>51</v>
      </c>
    </row>
    <row r="67" spans="1:8" ht="12.75" hidden="1">
      <c r="A67" s="70">
        <v>135</v>
      </c>
      <c r="B67" s="65" t="str">
        <f ca="1">IFERROR(__xludf.DUMMYFUNCTION("IF(ISBLANK(A35),,FILTER('Leetcode List'!B:C,'Leetcode List'!A:A = A35))"),"Candy")</f>
        <v>Candy</v>
      </c>
      <c r="C67" s="63" t="str">
        <f ca="1">IFERROR(__xludf.DUMMYFUNCTION("""COMPUTED_VALUE"""),"Hard")</f>
        <v>Hard</v>
      </c>
      <c r="D67" s="63" t="s">
        <v>123</v>
      </c>
      <c r="E67" s="66" t="str">
        <f ca="1">IFERROR(__xludf.DUMMYFUNCTION("IF(ISBLANK(A35),,FILTER('Leetcode List'!E:G,'Leetcode List'!A:A = A35))"),"Salesforce,Uber,Amazon,Microsoft,Google")</f>
        <v>Salesforce,Uber,Amazon,Microsoft,Google</v>
      </c>
      <c r="F67" s="39">
        <f ca="1">IFERROR(__xludf.DUMMYFUNCTION("""COMPUTED_VALUE"""),31.2)</f>
        <v>31.2</v>
      </c>
      <c r="G67" s="39" t="str">
        <f ca="1">IFERROR(__xludf.DUMMYFUNCTION("""COMPUTED_VALUE"""),"算法")</f>
        <v>算法</v>
      </c>
      <c r="H67" s="39">
        <v>34</v>
      </c>
    </row>
    <row r="68" spans="1:8" ht="25.5" hidden="1">
      <c r="A68" s="70">
        <v>45</v>
      </c>
      <c r="B68" s="65" t="str">
        <f ca="1">IFERROR(__xludf.DUMMYFUNCTION("IF(ISBLANK(A23),,FILTER('Leetcode List'!B:C,'Leetcode List'!A:A = A23))"),"Jump Game II")</f>
        <v>Jump Game II</v>
      </c>
      <c r="C68" s="63" t="str">
        <f ca="1">IFERROR(__xludf.DUMMYFUNCTION("""COMPUTED_VALUE"""),"Hard")</f>
        <v>Hard</v>
      </c>
      <c r="D68" s="63" t="s">
        <v>123</v>
      </c>
      <c r="E68" s="66" t="str">
        <f ca="1">IFERROR(__xludf.DUMMYFUNCTION("IF(ISBLANK(A23),,FILTER('Leetcode List'!E:G,'Leetcode List'!A:A = A23))"),"Nutanix,Oracle,Huawei,Apple,Uber,Adobe,Facebook,Amazon,Microsoft,Goldman Sachs,Google")</f>
        <v>Nutanix,Oracle,Huawei,Apple,Uber,Adobe,Facebook,Amazon,Microsoft,Goldman Sachs,Google</v>
      </c>
      <c r="F68" s="39">
        <f ca="1">IFERROR(__xludf.DUMMYFUNCTION("""COMPUTED_VALUE"""),30.3)</f>
        <v>30.3</v>
      </c>
      <c r="G68" s="39" t="str">
        <f ca="1">IFERROR(__xludf.DUMMYFUNCTION("""COMPUTED_VALUE"""),"算法")</f>
        <v>算法</v>
      </c>
      <c r="H68" s="39">
        <v>22</v>
      </c>
    </row>
    <row r="69" spans="1:8" ht="12.75" hidden="1">
      <c r="A69" s="70">
        <v>324</v>
      </c>
      <c r="B69" s="65" t="str">
        <f ca="1">IFERROR(__xludf.DUMMYFUNCTION("IF(ISBLANK(A60),,FILTER('Leetcode List'!B:C,'Leetcode List'!A:A = A60))"),"Wiggle Sort II")</f>
        <v>Wiggle Sort II</v>
      </c>
      <c r="C69" s="63" t="str">
        <f ca="1">IFERROR(__xludf.DUMMYFUNCTION("""COMPUTED_VALUE"""),"Medium")</f>
        <v>Medium</v>
      </c>
      <c r="D69" s="63" t="s">
        <v>123</v>
      </c>
      <c r="E69" s="66" t="str">
        <f ca="1">IFERROR(__xludf.DUMMYFUNCTION("IF(ISBLANK(A60),,FILTER('Leetcode List'!E:G,'Leetcode List'!A:A = A60))"),"Akuna Capital,Airbnb,Facebook,Google")</f>
        <v>Akuna Capital,Airbnb,Facebook,Google</v>
      </c>
      <c r="F69" s="39">
        <f ca="1">IFERROR(__xludf.DUMMYFUNCTION("""COMPUTED_VALUE"""),29.69)</f>
        <v>29.69</v>
      </c>
      <c r="G69" s="39" t="str">
        <f ca="1">IFERROR(__xludf.DUMMYFUNCTION("""COMPUTED_VALUE"""),"算法")</f>
        <v>算法</v>
      </c>
      <c r="H69" s="39">
        <v>59</v>
      </c>
    </row>
    <row r="70" spans="1:8" ht="63.75" hidden="1">
      <c r="A70" s="70">
        <v>4</v>
      </c>
      <c r="B70" s="65" t="str">
        <f ca="1">IFERROR(__xludf.DUMMYFUNCTION("IF(ISBLANK(A37),,FILTER('Leetcode List'!B:C,'Leetcode List'!A:A = A37))"),"Median of Two Sorted Arrays")</f>
        <v>Median of Two Sorted Arrays</v>
      </c>
      <c r="C70" s="63" t="str">
        <f ca="1">IFERROR(__xludf.DUMMYFUNCTION("""COMPUTED_VALUE"""),"Hard")</f>
        <v>Hard</v>
      </c>
      <c r="D70" s="63" t="s">
        <v>123</v>
      </c>
      <c r="E70" s="66" t="str">
        <f ca="1">IFERROR(__xludf.DUMMYFUNCTION("IF(ISBLANK(A37),,FILTER('Leetcode List'!E:G,'Leetcode List'!A:A = A37))"),"Zulily,Garena,Rubrik,Houzz,Two Sigma,Zenefits,ByteDance,Visa,VMware,Walmart Labs,Dropbox,GoDaddy,JPMorgan,Zillow,Oracle,DiDi,Yandex,Huawei,EBay,Baidu,Apple,Airbnb,Uber,Yahoo,Tencent,Bloomberg,Adobe,Facebook,Amazon,Microsoft,Alibaba,Goldman Sachs,Google")</f>
        <v>Zulily,Garena,Rubrik,Houzz,Two Sigma,Zenefits,ByteDance,Visa,VMware,Walmart Labs,Dropbox,GoDaddy,JPMorgan,Zillow,Oracle,DiDi,Yandex,Huawei,EBay,Baidu,Apple,Airbnb,Uber,Yahoo,Tencent,Bloomberg,Adobe,Facebook,Amazon,Microsoft,Alibaba,Goldman Sachs,Google</v>
      </c>
      <c r="F70" s="39">
        <f ca="1">IFERROR(__xludf.DUMMYFUNCTION("""COMPUTED_VALUE"""),29.21)</f>
        <v>29.21</v>
      </c>
      <c r="G70" s="39" t="str">
        <f ca="1">IFERROR(__xludf.DUMMYFUNCTION("""COMPUTED_VALUE"""),"算法")</f>
        <v>算法</v>
      </c>
      <c r="H70" s="50">
        <v>36</v>
      </c>
    </row>
    <row r="71" spans="1:8" ht="12.75" hidden="1">
      <c r="A71" s="70">
        <v>188</v>
      </c>
      <c r="B71" s="65" t="str">
        <f ca="1">IFERROR(__xludf.DUMMYFUNCTION("IF(ISBLANK(A27),,FILTER('Leetcode List'!B:C,'Leetcode List'!A:A = A27))"),"Best Time to Buy and Sell Stock IV")</f>
        <v>Best Time to Buy and Sell Stock IV</v>
      </c>
      <c r="C71" s="63" t="str">
        <f ca="1">IFERROR(__xludf.DUMMYFUNCTION("""COMPUTED_VALUE"""),"Hard")</f>
        <v>Hard</v>
      </c>
      <c r="D71" s="63" t="s">
        <v>123</v>
      </c>
      <c r="E71" s="66" t="str">
        <f ca="1">IFERROR(__xludf.DUMMYFUNCTION("IF(ISBLANK(A27),,FILTER('Leetcode List'!E:G,'Leetcode List'!A:A = A27))"),"JPMorgan,Apple,Bloomberg,Facebook,Amazon,Google")</f>
        <v>JPMorgan,Apple,Bloomberg,Facebook,Amazon,Google</v>
      </c>
      <c r="F71" s="39">
        <f ca="1">IFERROR(__xludf.DUMMYFUNCTION("""COMPUTED_VALUE"""),27.77)</f>
        <v>27.77</v>
      </c>
      <c r="G71" s="39" t="str">
        <f ca="1">IFERROR(__xludf.DUMMYFUNCTION("""COMPUTED_VALUE"""),"算法")</f>
        <v>算法</v>
      </c>
      <c r="H71" s="39">
        <v>26</v>
      </c>
    </row>
    <row r="72" spans="1:8" ht="12.75" hidden="1">
      <c r="A72" s="70">
        <v>321</v>
      </c>
      <c r="B72" s="65" t="str">
        <f ca="1">IFERROR(__xludf.DUMMYFUNCTION("IF(ISBLANK(A38),,FILTER('Leetcode List'!B:C,'Leetcode List'!A:A = A38))"),"Create Maximum Number")</f>
        <v>Create Maximum Number</v>
      </c>
      <c r="C72" s="63" t="str">
        <f ca="1">IFERROR(__xludf.DUMMYFUNCTION("""COMPUTED_VALUE"""),"Hard")</f>
        <v>Hard</v>
      </c>
      <c r="D72" s="63" t="s">
        <v>123</v>
      </c>
      <c r="E72" s="66" t="str">
        <f ca="1">IFERROR(__xludf.DUMMYFUNCTION("IF(ISBLANK(A38),,FILTER('Leetcode List'!E:G,'Leetcode List'!A:A = A38))"),"Amazon,Google")</f>
        <v>Amazon,Google</v>
      </c>
      <c r="F72" s="39">
        <f ca="1">IFERROR(__xludf.DUMMYFUNCTION("""COMPUTED_VALUE"""),26.72)</f>
        <v>26.72</v>
      </c>
      <c r="G72" s="39" t="str">
        <f ca="1">IFERROR(__xludf.DUMMYFUNCTION("""COMPUTED_VALUE"""),"算法")</f>
        <v>算法</v>
      </c>
      <c r="H72" s="39">
        <v>37</v>
      </c>
    </row>
    <row r="73" spans="1:8" ht="12.75" hidden="1">
      <c r="A73" s="70">
        <v>163</v>
      </c>
      <c r="B73" s="65" t="str">
        <f ca="1">IFERROR(__xludf.DUMMYFUNCTION("IF(ISBLANK(A54),,FILTER('Leetcode List'!B:C,'Leetcode List'!A:A = A54))"),"Missing Ranges")</f>
        <v>Missing Ranges</v>
      </c>
      <c r="C73" s="63" t="str">
        <f ca="1">IFERROR(__xludf.DUMMYFUNCTION("""COMPUTED_VALUE"""),"Medium")</f>
        <v>Medium</v>
      </c>
      <c r="D73" s="63" t="s">
        <v>123</v>
      </c>
      <c r="E73" s="66" t="str">
        <f ca="1">IFERROR(__xludf.DUMMYFUNCTION("IF(ISBLANK(A54),,FILTER('Leetcode List'!E:G,'Leetcode List'!A:A = A54))"),"Oracle,Facebook,Amazon,Google")</f>
        <v>Oracle,Facebook,Amazon,Google</v>
      </c>
      <c r="F73" s="39">
        <f ca="1">IFERROR(__xludf.DUMMYFUNCTION("""COMPUTED_VALUE"""),24.15)</f>
        <v>24.15</v>
      </c>
      <c r="G73" s="39" t="str">
        <f ca="1">IFERROR(__xludf.DUMMYFUNCTION("""COMPUTED_VALUE"""),"算法")</f>
        <v>算法</v>
      </c>
      <c r="H73" s="39">
        <v>53</v>
      </c>
    </row>
    <row r="74" spans="1:8" ht="12.75" hidden="1">
      <c r="A74" s="70">
        <v>220</v>
      </c>
      <c r="B74" s="65" t="str">
        <f ca="1">IFERROR(__xludf.DUMMYFUNCTION("IF(ISBLANK(A21),,FILTER('Leetcode List'!B:C,'Leetcode List'!A:A = A21))"),"Contains Duplicate III")</f>
        <v>Contains Duplicate III</v>
      </c>
      <c r="C74" s="63" t="str">
        <f ca="1">IFERROR(__xludf.DUMMYFUNCTION("""COMPUTED_VALUE"""),"Medium")</f>
        <v>Medium</v>
      </c>
      <c r="D74" s="63" t="s">
        <v>123</v>
      </c>
      <c r="E74" s="66" t="str">
        <f ca="1">IFERROR(__xludf.DUMMYFUNCTION("IF(ISBLANK(A21),,FILTER('Leetcode List'!E:G,'Leetcode List'!A:A = A21))"),"Palantir Technologies,Apple,Airbnb,Adobe,Microsoft,Google")</f>
        <v>Palantir Technologies,Apple,Airbnb,Adobe,Microsoft,Google</v>
      </c>
      <c r="F74" s="39">
        <f ca="1">IFERROR(__xludf.DUMMYFUNCTION("""COMPUTED_VALUE"""),20.81)</f>
        <v>20.81</v>
      </c>
      <c r="G74" s="39" t="str">
        <f ca="1">IFERROR(__xludf.DUMMYFUNCTION("""COMPUTED_VALUE"""),"算法")</f>
        <v>算法</v>
      </c>
      <c r="H74" s="39">
        <v>20</v>
      </c>
    </row>
    <row r="75" spans="1:8" ht="38.25" hidden="1">
      <c r="A75" s="70">
        <v>28</v>
      </c>
      <c r="B75" s="65" t="str">
        <f ca="1">IFERROR(__xludf.DUMMYFUNCTION("IF(ISBLANK(A75),,FILTER('Leetcode List'!B:C,'Leetcode List'!A:A = A75))"),"Implement strStr()")</f>
        <v>Implement strStr()</v>
      </c>
      <c r="C75" s="62" t="str">
        <f ca="1">IFERROR(__xludf.DUMMYFUNCTION("""COMPUTED_VALUE"""),"Easy")</f>
        <v>Easy</v>
      </c>
      <c r="D75" s="62" t="s">
        <v>59</v>
      </c>
      <c r="E75" s="66" t="str">
        <f ca="1">IFERROR(__xludf.DUMMYFUNCTION("IF(ISBLANK(A75),,FILTER('Leetcode List'!E:G,'Leetcode List'!A:A = A75))"),"Pocket Gems,VMware,Citadel,Dropbox,Oracle,Yandex,EBay,Apple,Yahoo,Bloomberg,Facebook,Amazon,Microsoft,Google")</f>
        <v>Pocket Gems,VMware,Citadel,Dropbox,Oracle,Yandex,EBay,Apple,Yahoo,Bloomberg,Facebook,Amazon,Microsoft,Google</v>
      </c>
      <c r="F75" s="39">
        <f ca="1">IFERROR(__xludf.DUMMYFUNCTION("""COMPUTED_VALUE"""),34.27)</f>
        <v>34.270000000000003</v>
      </c>
      <c r="G75" s="39" t="str">
        <f ca="1">IFERROR(__xludf.DUMMYFUNCTION("""COMPUTED_VALUE"""),"算法")</f>
        <v>算法</v>
      </c>
      <c r="H75" s="39">
        <v>74</v>
      </c>
    </row>
    <row r="76" spans="1:8" ht="38.25" hidden="1">
      <c r="A76" s="70">
        <v>14</v>
      </c>
      <c r="B76" s="65" t="str">
        <f ca="1">IFERROR(__xludf.DUMMYFUNCTION("IF(ISBLANK(A76),,FILTER('Leetcode List'!B:C,'Leetcode List'!A:A = A76))"),"Longest Common Prefix")</f>
        <v>Longest Common Prefix</v>
      </c>
      <c r="C76" s="62" t="str">
        <f ca="1">IFERROR(__xludf.DUMMYFUNCTION("""COMPUTED_VALUE"""),"Easy")</f>
        <v>Easy</v>
      </c>
      <c r="D76" s="62" t="s">
        <v>59</v>
      </c>
      <c r="E76" s="66" t="str">
        <f ca="1">IFERROR(__xludf.DUMMYFUNCTION("IF(ISBLANK(A76),,FILTER('Leetcode List'!E:G,'Leetcode List'!A:A = A76))"),"Pinterest,IXL,Citrix,Splunk,Twilio,Visa,Quora,Snapchat,Yelp,Oracle,IBM,Cisco,Apple,Bloomberg,Adobe,Facebook,Amazon,Microsoft,Alibaba,Google")</f>
        <v>Pinterest,IXL,Citrix,Splunk,Twilio,Visa,Quora,Snapchat,Yelp,Oracle,IBM,Cisco,Apple,Bloomberg,Adobe,Facebook,Amazon,Microsoft,Alibaba,Google</v>
      </c>
      <c r="F76" s="39">
        <f ca="1">IFERROR(__xludf.DUMMYFUNCTION("""COMPUTED_VALUE"""),35.21)</f>
        <v>35.21</v>
      </c>
      <c r="G76" s="39" t="str">
        <f ca="1">IFERROR(__xludf.DUMMYFUNCTION("""COMPUTED_VALUE"""),"算法")</f>
        <v>算法</v>
      </c>
      <c r="H76" s="39">
        <v>75</v>
      </c>
    </row>
    <row r="77" spans="1:8" ht="12.75" hidden="1">
      <c r="A77" s="70">
        <v>58</v>
      </c>
      <c r="B77" s="65" t="str">
        <f ca="1">IFERROR(__xludf.DUMMYFUNCTION("IF(ISBLANK(A77),,FILTER('Leetcode List'!B:C,'Leetcode List'!A:A = A77))"),"Length of Last Word")</f>
        <v>Length of Last Word</v>
      </c>
      <c r="C77" s="62" t="str">
        <f ca="1">IFERROR(__xludf.DUMMYFUNCTION("""COMPUTED_VALUE"""),"Easy")</f>
        <v>Easy</v>
      </c>
      <c r="D77" s="62" t="s">
        <v>59</v>
      </c>
      <c r="E77" s="66" t="str">
        <f ca="1">IFERROR(__xludf.DUMMYFUNCTION("IF(ISBLANK(A77),,FILTER('Leetcode List'!E:G,'Leetcode List'!A:A = A77))"),"")</f>
        <v/>
      </c>
      <c r="F77" s="39">
        <f ca="1">IFERROR(__xludf.DUMMYFUNCTION("""COMPUTED_VALUE"""),32.52)</f>
        <v>32.520000000000003</v>
      </c>
      <c r="G77" s="39" t="str">
        <f ca="1">IFERROR(__xludf.DUMMYFUNCTION("""COMPUTED_VALUE"""),"算法")</f>
        <v>算法</v>
      </c>
      <c r="H77" s="39">
        <v>76</v>
      </c>
    </row>
    <row r="78" spans="1:8" ht="38.25" hidden="1">
      <c r="A78" s="70">
        <v>387</v>
      </c>
      <c r="B78" s="65" t="str">
        <f ca="1">IFERROR(__xludf.DUMMYFUNCTION("IF(ISBLANK(A78),,FILTER('Leetcode List'!B:C,'Leetcode List'!A:A = A78))"),"First Unique Character in a String")</f>
        <v>First Unique Character in a String</v>
      </c>
      <c r="C78" s="62" t="str">
        <f ca="1">IFERROR(__xludf.DUMMYFUNCTION("""COMPUTED_VALUE"""),"Easy")</f>
        <v>Easy</v>
      </c>
      <c r="D78" s="62" t="s">
        <v>59</v>
      </c>
      <c r="E78" s="66" t="str">
        <f ca="1">IFERROR(__xludf.DUMMYFUNCTION("IF(ISBLANK(A78),,FILTER('Leetcode List'!E:G,'Leetcode List'!A:A = A78))"),"Zulily,Walmart Labs,JPMorgan,Zillow,ServiceNow,Huawei,Apple,Yahoo,Bloomberg,Adobe,Facebook,Amazon,LinkedIn,Microsoft,Goldman Sachs,Google")</f>
        <v>Zulily,Walmart Labs,JPMorgan,Zillow,ServiceNow,Huawei,Apple,Yahoo,Bloomberg,Adobe,Facebook,Amazon,LinkedIn,Microsoft,Goldman Sachs,Google</v>
      </c>
      <c r="F78" s="39">
        <f ca="1">IFERROR(__xludf.DUMMYFUNCTION("""COMPUTED_VALUE"""),53.18)</f>
        <v>53.18</v>
      </c>
      <c r="G78" s="39" t="str">
        <f ca="1">IFERROR(__xludf.DUMMYFUNCTION("""COMPUTED_VALUE"""),"算法")</f>
        <v>算法</v>
      </c>
      <c r="H78" s="39">
        <v>77</v>
      </c>
    </row>
    <row r="79" spans="1:8" ht="12.75" hidden="1">
      <c r="A79" s="70">
        <v>383</v>
      </c>
      <c r="B79" s="65" t="str">
        <f ca="1">IFERROR(__xludf.DUMMYFUNCTION("IF(ISBLANK(A79),,FILTER('Leetcode List'!B:C,'Leetcode List'!A:A = A79))"),"Ransom Note")</f>
        <v>Ransom Note</v>
      </c>
      <c r="C79" s="62" t="str">
        <f ca="1">IFERROR(__xludf.DUMMYFUNCTION("""COMPUTED_VALUE"""),"Easy")</f>
        <v>Easy</v>
      </c>
      <c r="D79" s="62" t="s">
        <v>59</v>
      </c>
      <c r="E79" s="66" t="str">
        <f ca="1">IFERROR(__xludf.DUMMYFUNCTION("IF(ISBLANK(A79),,FILTER('Leetcode List'!E:G,'Leetcode List'!A:A = A79))"),"Spotify,Apple,Amazon,Microsoft")</f>
        <v>Spotify,Apple,Amazon,Microsoft</v>
      </c>
      <c r="F79" s="39">
        <f ca="1">IFERROR(__xludf.DUMMYFUNCTION("""COMPUTED_VALUE"""),52.93)</f>
        <v>52.93</v>
      </c>
      <c r="G79" s="39" t="str">
        <f ca="1">IFERROR(__xludf.DUMMYFUNCTION("""COMPUTED_VALUE"""),"算法")</f>
        <v>算法</v>
      </c>
      <c r="H79" s="39">
        <v>78</v>
      </c>
    </row>
    <row r="80" spans="1:8" ht="25.5" hidden="1">
      <c r="A80" s="70">
        <v>344</v>
      </c>
      <c r="B80" s="65" t="str">
        <f ca="1">IFERROR(__xludf.DUMMYFUNCTION("IF(ISBLANK(A80),,FILTER('Leetcode List'!B:C,'Leetcode List'!A:A = A80))"),"Reverse String")</f>
        <v>Reverse String</v>
      </c>
      <c r="C80" s="62" t="str">
        <f ca="1">IFERROR(__xludf.DUMMYFUNCTION("""COMPUTED_VALUE"""),"Easy")</f>
        <v>Easy</v>
      </c>
      <c r="D80" s="62" t="s">
        <v>59</v>
      </c>
      <c r="E80" s="66" t="str">
        <f ca="1">IFERROR(__xludf.DUMMYFUNCTION("IF(ISBLANK(A80),,FILTER('Leetcode List'!E:G,'Leetcode List'!A:A = A80))"),"GoDaddy,Snapchat,Paypal,Oracle,Cisco,EBay,Apple,Uber,Bloomberg,Adobe,Facebook,Amazon,Microsoft,Goldman Sachs,Google")</f>
        <v>GoDaddy,Snapchat,Paypal,Oracle,Cisco,EBay,Apple,Uber,Bloomberg,Adobe,Facebook,Amazon,Microsoft,Goldman Sachs,Google</v>
      </c>
      <c r="F80" s="39">
        <f ca="1">IFERROR(__xludf.DUMMYFUNCTION("""COMPUTED_VALUE"""),67.93)</f>
        <v>67.930000000000007</v>
      </c>
      <c r="G80" s="39" t="str">
        <f ca="1">IFERROR(__xludf.DUMMYFUNCTION("""COMPUTED_VALUE"""),"算法")</f>
        <v>算法</v>
      </c>
      <c r="H80" s="39">
        <v>79</v>
      </c>
    </row>
    <row r="81" spans="1:8" ht="38.25" hidden="1">
      <c r="A81" s="70">
        <v>151</v>
      </c>
      <c r="B81" s="65" t="str">
        <f ca="1">IFERROR(__xludf.DUMMYFUNCTION("IF(ISBLANK(A81),,FILTER('Leetcode List'!B:C,'Leetcode List'!A:A = A81))"),"Reverse Words in a String")</f>
        <v>Reverse Words in a String</v>
      </c>
      <c r="C81" s="62" t="str">
        <f ca="1">IFERROR(__xludf.DUMMYFUNCTION("""COMPUTED_VALUE"""),"Medium")</f>
        <v>Medium</v>
      </c>
      <c r="D81" s="62" t="s">
        <v>59</v>
      </c>
      <c r="E81" s="66" t="str">
        <f ca="1">IFERROR(__xludf.DUMMYFUNCTION("IF(ISBLANK(A81),,FILTER('Leetcode List'!E:G,'Leetcode List'!A:A = A81))"),"Salesforce,VMware,Citadel,Walmart Labs,Snapchat,Zillow,Yelp,Nvidia,Oracle,Cisco,Huawei,Apple,Bloomberg,Facebook,Amazon,Microsoft,Alibaba,Google")</f>
        <v>Salesforce,VMware,Citadel,Walmart Labs,Snapchat,Zillow,Yelp,Nvidia,Oracle,Cisco,Huawei,Apple,Bloomberg,Facebook,Amazon,Microsoft,Alibaba,Google</v>
      </c>
      <c r="F81" s="39">
        <f ca="1">IFERROR(__xludf.DUMMYFUNCTION("""COMPUTED_VALUE"""),20.47)</f>
        <v>20.47</v>
      </c>
      <c r="G81" s="39" t="str">
        <f ca="1">IFERROR(__xludf.DUMMYFUNCTION("""COMPUTED_VALUE"""),"算法")</f>
        <v>算法</v>
      </c>
      <c r="H81" s="39">
        <v>80</v>
      </c>
    </row>
    <row r="82" spans="1:8" ht="12.75" hidden="1">
      <c r="A82" s="70">
        <v>186</v>
      </c>
      <c r="B82" s="65" t="str">
        <f ca="1">IFERROR(__xludf.DUMMYFUNCTION("IF(ISBLANK(A82),,FILTER('Leetcode List'!B:C,'Leetcode List'!A:A = A82))"),"Reverse Words in a String II")</f>
        <v>Reverse Words in a String II</v>
      </c>
      <c r="C82" s="62" t="str">
        <f ca="1">IFERROR(__xludf.DUMMYFUNCTION("""COMPUTED_VALUE"""),"Medium")</f>
        <v>Medium</v>
      </c>
      <c r="D82" s="62" t="s">
        <v>59</v>
      </c>
      <c r="E82" s="66" t="str">
        <f ca="1">IFERROR(__xludf.DUMMYFUNCTION("IF(ISBLANK(A82),,FILTER('Leetcode List'!E:G,'Leetcode List'!A:A = A82))"),"VMware,Uber,Amazon,Microsoft")</f>
        <v>VMware,Uber,Amazon,Microsoft</v>
      </c>
      <c r="F82" s="39">
        <f ca="1">IFERROR(__xludf.DUMMYFUNCTION("""COMPUTED_VALUE"""),42.7)</f>
        <v>42.7</v>
      </c>
      <c r="G82" s="39" t="str">
        <f ca="1">IFERROR(__xludf.DUMMYFUNCTION("""COMPUTED_VALUE"""),"算法")</f>
        <v>算法</v>
      </c>
      <c r="H82" s="39">
        <v>81</v>
      </c>
    </row>
    <row r="83" spans="1:8" ht="12.75" hidden="1">
      <c r="A83" s="70">
        <v>345</v>
      </c>
      <c r="B83" s="65" t="str">
        <f ca="1">IFERROR(__xludf.DUMMYFUNCTION("IF(ISBLANK(A83),,FILTER('Leetcode List'!B:C,'Leetcode List'!A:A = A83))"),"Reverse Vowels of a String")</f>
        <v>Reverse Vowels of a String</v>
      </c>
      <c r="C83" s="62" t="str">
        <f ca="1">IFERROR(__xludf.DUMMYFUNCTION("""COMPUTED_VALUE"""),"Easy")</f>
        <v>Easy</v>
      </c>
      <c r="D83" s="62" t="s">
        <v>59</v>
      </c>
      <c r="E83" s="66" t="str">
        <f ca="1">IFERROR(__xludf.DUMMYFUNCTION("IF(ISBLANK(A83),,FILTER('Leetcode List'!E:G,'Leetcode List'!A:A = A83))"),"Apple,Facebook,Amazon,Google")</f>
        <v>Apple,Facebook,Amazon,Google</v>
      </c>
      <c r="F83" s="39">
        <f ca="1">IFERROR(__xludf.DUMMYFUNCTION("""COMPUTED_VALUE"""),43.85)</f>
        <v>43.85</v>
      </c>
      <c r="G83" s="39" t="str">
        <f ca="1">IFERROR(__xludf.DUMMYFUNCTION("""COMPUTED_VALUE"""),"算法")</f>
        <v>算法</v>
      </c>
      <c r="H83" s="39">
        <v>82</v>
      </c>
    </row>
    <row r="84" spans="1:8" ht="25.5" hidden="1">
      <c r="A84" s="70">
        <v>205</v>
      </c>
      <c r="B84" s="65" t="str">
        <f ca="1">IFERROR(__xludf.DUMMYFUNCTION("IF(ISBLANK(A84),,FILTER('Leetcode List'!B:C,'Leetcode List'!A:A = A84))"),"Isomorphic Strings")</f>
        <v>Isomorphic Strings</v>
      </c>
      <c r="C84" s="62" t="str">
        <f ca="1">IFERROR(__xludf.DUMMYFUNCTION("""COMPUTED_VALUE"""),"Easy")</f>
        <v>Easy</v>
      </c>
      <c r="D84" s="62" t="s">
        <v>59</v>
      </c>
      <c r="E84" s="66" t="str">
        <f ca="1">IFERROR(__xludf.DUMMYFUNCTION("IF(ISBLANK(A84),,FILTER('Leetcode List'!E:G,'Leetcode List'!A:A = A84))"),"Salesforce,Yelp,Oracle,Yahoo,Bloomberg,Adobe,Facebook,Amazon,LinkedIn,Microsoft,Google")</f>
        <v>Salesforce,Yelp,Oracle,Yahoo,Bloomberg,Adobe,Facebook,Amazon,LinkedIn,Microsoft,Google</v>
      </c>
      <c r="F84" s="39">
        <f ca="1">IFERROR(__xludf.DUMMYFUNCTION("""COMPUTED_VALUE"""),39.54)</f>
        <v>39.54</v>
      </c>
      <c r="G84" s="39" t="str">
        <f ca="1">IFERROR(__xludf.DUMMYFUNCTION("""COMPUTED_VALUE"""),"算法")</f>
        <v>算法</v>
      </c>
      <c r="H84" s="39">
        <v>83</v>
      </c>
    </row>
    <row r="85" spans="1:8" ht="12.75" hidden="1">
      <c r="A85" s="70">
        <v>293</v>
      </c>
      <c r="B85" s="65" t="str">
        <f ca="1">IFERROR(__xludf.DUMMYFUNCTION("IF(ISBLANK(A85),,FILTER('Leetcode List'!B:C,'Leetcode List'!A:A = A85))"),"Flip Game")</f>
        <v>Flip Game</v>
      </c>
      <c r="C85" s="62" t="str">
        <f ca="1">IFERROR(__xludf.DUMMYFUNCTION("""COMPUTED_VALUE"""),"Easy")</f>
        <v>Easy</v>
      </c>
      <c r="D85" s="62" t="s">
        <v>59</v>
      </c>
      <c r="E85" s="66" t="str">
        <f ca="1">IFERROR(__xludf.DUMMYFUNCTION("IF(ISBLANK(A85),,FILTER('Leetcode List'!E:G,'Leetcode List'!A:A = A85))"),"Google")</f>
        <v>Google</v>
      </c>
      <c r="F85" s="39">
        <f ca="1">IFERROR(__xludf.DUMMYFUNCTION("""COMPUTED_VALUE"""),60.44)</f>
        <v>60.44</v>
      </c>
      <c r="G85" s="39" t="str">
        <f ca="1">IFERROR(__xludf.DUMMYFUNCTION("""COMPUTED_VALUE"""),"算法")</f>
        <v>算法</v>
      </c>
      <c r="H85" s="39">
        <v>84</v>
      </c>
    </row>
    <row r="86" spans="1:8" ht="12.75" hidden="1">
      <c r="A86" s="70">
        <v>294</v>
      </c>
      <c r="B86" s="65" t="str">
        <f ca="1">IFERROR(__xludf.DUMMYFUNCTION("IF(ISBLANK(A86),,FILTER('Leetcode List'!B:C,'Leetcode List'!A:A = A86))"),"Flip Game II")</f>
        <v>Flip Game II</v>
      </c>
      <c r="C86" s="62" t="str">
        <f ca="1">IFERROR(__xludf.DUMMYFUNCTION("""COMPUTED_VALUE"""),"Medium")</f>
        <v>Medium</v>
      </c>
      <c r="D86" s="62" t="s">
        <v>59</v>
      </c>
      <c r="E86" s="66" t="str">
        <f ca="1">IFERROR(__xludf.DUMMYFUNCTION("IF(ISBLANK(A86),,FILTER('Leetcode List'!E:G,'Leetcode List'!A:A = A86))"),"Google")</f>
        <v>Google</v>
      </c>
      <c r="F86" s="39">
        <f ca="1">IFERROR(__xludf.DUMMYFUNCTION("""COMPUTED_VALUE"""),49.81)</f>
        <v>49.81</v>
      </c>
      <c r="G86" s="39" t="str">
        <f ca="1">IFERROR(__xludf.DUMMYFUNCTION("""COMPUTED_VALUE"""),"算法")</f>
        <v>算法</v>
      </c>
      <c r="H86" s="39">
        <v>85</v>
      </c>
    </row>
    <row r="87" spans="1:8" ht="12.75" hidden="1">
      <c r="A87" s="70">
        <v>290</v>
      </c>
      <c r="B87" s="65" t="str">
        <f ca="1">IFERROR(__xludf.DUMMYFUNCTION("IF(ISBLANK(A87),,FILTER('Leetcode List'!B:C,'Leetcode List'!A:A = A87))"),"Word Pattern")</f>
        <v>Word Pattern</v>
      </c>
      <c r="C87" s="62" t="str">
        <f ca="1">IFERROR(__xludf.DUMMYFUNCTION("""COMPUTED_VALUE"""),"Easy")</f>
        <v>Easy</v>
      </c>
      <c r="D87" s="62" t="s">
        <v>59</v>
      </c>
      <c r="E87" s="66" t="str">
        <f ca="1">IFERROR(__xludf.DUMMYFUNCTION("IF(ISBLANK(A87),,FILTER('Leetcode List'!E:G,'Leetcode List'!A:A = A87))"),"Capital One,Dropbox,Uber,Facebook,Amazon,Microsoft,Google")</f>
        <v>Capital One,Dropbox,Uber,Facebook,Amazon,Microsoft,Google</v>
      </c>
      <c r="F87" s="39">
        <f ca="1">IFERROR(__xludf.DUMMYFUNCTION("""COMPUTED_VALUE"""),36.74)</f>
        <v>36.74</v>
      </c>
      <c r="G87" s="39" t="str">
        <f ca="1">IFERROR(__xludf.DUMMYFUNCTION("""COMPUTED_VALUE"""),"算法")</f>
        <v>算法</v>
      </c>
      <c r="H87" s="39">
        <v>86</v>
      </c>
    </row>
    <row r="88" spans="1:8" ht="51" hidden="1">
      <c r="A88" s="70">
        <v>242</v>
      </c>
      <c r="B88" s="65" t="str">
        <f ca="1">IFERROR(__xludf.DUMMYFUNCTION("IF(ISBLANK(A88),,FILTER('Leetcode List'!B:C,'Leetcode List'!A:A = A88))"),"Valid Anagram")</f>
        <v>Valid Anagram</v>
      </c>
      <c r="C88" s="62" t="str">
        <f ca="1">IFERROR(__xludf.DUMMYFUNCTION("""COMPUTED_VALUE"""),"Easy")</f>
        <v>Easy</v>
      </c>
      <c r="D88" s="62" t="s">
        <v>59</v>
      </c>
      <c r="E88" s="66" t="str">
        <f ca="1">IFERROR(__xludf.DUMMYFUNCTION("IF(ISBLANK(A88),,FILTER('Leetcode List'!E:G,'Leetcode List'!A:A = A88))"),"Docusign,Zulily,Snapchat,Paypal,ServiceNow,Expedia,Yelp,Oracle,Cisco,Apple,Uber,Yahoo,Morgan Stanley,Bloomberg,Facebook,Amazon,Microsoft,Goldman Sachs,Google")</f>
        <v>Docusign,Zulily,Snapchat,Paypal,ServiceNow,Expedia,Yelp,Oracle,Cisco,Apple,Uber,Yahoo,Morgan Stanley,Bloomberg,Facebook,Amazon,Microsoft,Goldman Sachs,Google</v>
      </c>
      <c r="F88" s="39">
        <f ca="1">IFERROR(__xludf.DUMMYFUNCTION("""COMPUTED_VALUE"""),56.37)</f>
        <v>56.37</v>
      </c>
      <c r="G88" s="39" t="str">
        <f ca="1">IFERROR(__xludf.DUMMYFUNCTION("""COMPUTED_VALUE"""),"算法")</f>
        <v>算法</v>
      </c>
      <c r="H88" s="39">
        <v>87</v>
      </c>
    </row>
    <row r="89" spans="1:8" ht="76.5" hidden="1">
      <c r="A89" s="70">
        <v>49</v>
      </c>
      <c r="B89" s="65" t="str">
        <f ca="1">IFERROR(__xludf.DUMMYFUNCTION("IF(ISBLANK(A89),,FILTER('Leetcode List'!B:C,'Leetcode List'!A:A = A89))"),"Group Anagrams")</f>
        <v>Group Anagrams</v>
      </c>
      <c r="C89" s="62" t="str">
        <f ca="1">IFERROR(__xludf.DUMMYFUNCTION("""COMPUTED_VALUE"""),"Medium")</f>
        <v>Medium</v>
      </c>
      <c r="D89" s="62" t="s">
        <v>59</v>
      </c>
      <c r="E89" s="66" t="str">
        <f ca="1">IFERROR(__xludf.DUMMYFUNCTION("IF(ISBLANK(A89),,FILTER('Leetcode List'!E:G,'Leetcode List'!A:A = A89))"),"Docusign,Electronic Arts,Hulu,Tesla,Nutanix,Qualtrics,Zulily,Twilio,Salesforce,Booking.com,Visa,VMware,Affirm,Walmart Labs,Snapchat,ServiceNow,Wish,Yelp,Oracle,Intuit,Cisco,Mathworks,Yandex,EBay,Apple,Uber,Yahoo,Bloomberg,Adobe,Facebook,Amazon,Microsoft,G"&amp;"oldman Sachs,Google")</f>
        <v>Docusign,Electronic Arts,Hulu,Tesla,Nutanix,Qualtrics,Zulily,Twilio,Salesforce,Booking.com,Visa,VMware,Affirm,Walmart Labs,Snapchat,ServiceNow,Wish,Yelp,Oracle,Intuit,Cisco,Mathworks,Yandex,EBay,Apple,Uber,Yahoo,Bloomberg,Adobe,Facebook,Amazon,Microsoft,Goldman Sachs,Google</v>
      </c>
      <c r="F89" s="39">
        <f ca="1">IFERROR(__xludf.DUMMYFUNCTION("""COMPUTED_VALUE"""),56.04)</f>
        <v>56.04</v>
      </c>
      <c r="G89" s="39" t="str">
        <f ca="1">IFERROR(__xludf.DUMMYFUNCTION("""COMPUTED_VALUE"""),"算法")</f>
        <v>算法</v>
      </c>
      <c r="H89" s="39">
        <v>88</v>
      </c>
    </row>
    <row r="90" spans="1:8" ht="12.75" hidden="1">
      <c r="A90" s="70">
        <v>249</v>
      </c>
      <c r="B90" s="65" t="str">
        <f ca="1">IFERROR(__xludf.DUMMYFUNCTION("IF(ISBLANK(A90),,FILTER('Leetcode List'!B:C,'Leetcode List'!A:A = A90))"),"Group Shifted Strings")</f>
        <v>Group Shifted Strings</v>
      </c>
      <c r="C90" s="62" t="str">
        <f ca="1">IFERROR(__xludf.DUMMYFUNCTION("""COMPUTED_VALUE"""),"Medium")</f>
        <v>Medium</v>
      </c>
      <c r="D90" s="62" t="s">
        <v>59</v>
      </c>
      <c r="E90" s="66" t="str">
        <f ca="1">IFERROR(__xludf.DUMMYFUNCTION("IF(ISBLANK(A90),,FILTER('Leetcode List'!E:G,'Leetcode List'!A:A = A90))"),"Uber,Facebook,Amazon,Google")</f>
        <v>Uber,Facebook,Amazon,Google</v>
      </c>
      <c r="F90" s="39">
        <f ca="1">IFERROR(__xludf.DUMMYFUNCTION("""COMPUTED_VALUE"""),53.9)</f>
        <v>53.9</v>
      </c>
      <c r="G90" s="39" t="str">
        <f ca="1">IFERROR(__xludf.DUMMYFUNCTION("""COMPUTED_VALUE"""),"算法")</f>
        <v>算法</v>
      </c>
      <c r="H90" s="39">
        <v>89</v>
      </c>
    </row>
    <row r="91" spans="1:8" ht="12.75" hidden="1">
      <c r="A91" s="70">
        <v>87</v>
      </c>
      <c r="B91" s="65" t="str">
        <f ca="1">IFERROR(__xludf.DUMMYFUNCTION("IF(ISBLANK(A91),,FILTER('Leetcode List'!B:C,'Leetcode List'!A:A = A91))"),"Scramble String")</f>
        <v>Scramble String</v>
      </c>
      <c r="C91" s="62" t="str">
        <f ca="1">IFERROR(__xludf.DUMMYFUNCTION("""COMPUTED_VALUE"""),"Hard")</f>
        <v>Hard</v>
      </c>
      <c r="D91" s="62" t="s">
        <v>59</v>
      </c>
      <c r="E91" s="66" t="str">
        <f ca="1">IFERROR(__xludf.DUMMYFUNCTION("IF(ISBLANK(A91),,FILTER('Leetcode List'!E:G,'Leetcode List'!A:A = A91))"),"Apple,Facebook,Google")</f>
        <v>Apple,Facebook,Google</v>
      </c>
      <c r="F91" s="39">
        <f ca="1">IFERROR(__xludf.DUMMYFUNCTION("""COMPUTED_VALUE"""),33.36)</f>
        <v>33.36</v>
      </c>
      <c r="G91" s="39" t="str">
        <f ca="1">IFERROR(__xludf.DUMMYFUNCTION("""COMPUTED_VALUE"""),"算法")</f>
        <v>算法</v>
      </c>
      <c r="H91" s="39">
        <v>90</v>
      </c>
    </row>
    <row r="92" spans="1:8" ht="25.5" hidden="1">
      <c r="A92" s="70">
        <v>179</v>
      </c>
      <c r="B92" s="65" t="str">
        <f ca="1">IFERROR(__xludf.DUMMYFUNCTION("IF(ISBLANK(A92),,FILTER('Leetcode List'!B:C,'Leetcode List'!A:A = A92))"),"Largest Number")</f>
        <v>Largest Number</v>
      </c>
      <c r="C92" s="62" t="str">
        <f ca="1">IFERROR(__xludf.DUMMYFUNCTION("""COMPUTED_VALUE"""),"Medium")</f>
        <v>Medium</v>
      </c>
      <c r="D92" s="62" t="s">
        <v>59</v>
      </c>
      <c r="E92" s="66" t="str">
        <f ca="1">IFERROR(__xludf.DUMMYFUNCTION("IF(ISBLANK(A92),,FILTER('Leetcode List'!E:G,'Leetcode List'!A:A = A92))"),"Salesforce,Walmart Labs,Works Applications,Oracle,Apple,Facebook,Amazon,Microsoft")</f>
        <v>Salesforce,Walmart Labs,Works Applications,Oracle,Apple,Facebook,Amazon,Microsoft</v>
      </c>
      <c r="F92" s="39">
        <f ca="1">IFERROR(__xludf.DUMMYFUNCTION("""COMPUTED_VALUE"""),28.3)</f>
        <v>28.3</v>
      </c>
      <c r="G92" s="39" t="str">
        <f ca="1">IFERROR(__xludf.DUMMYFUNCTION("""COMPUTED_VALUE"""),"算法")</f>
        <v>算法</v>
      </c>
      <c r="H92" s="39">
        <v>91</v>
      </c>
    </row>
    <row r="93" spans="1:8" ht="25.5" hidden="1">
      <c r="A93" s="70">
        <v>6</v>
      </c>
      <c r="B93" s="65" t="str">
        <f ca="1">IFERROR(__xludf.DUMMYFUNCTION("IF(ISBLANK(A93),,FILTER('Leetcode List'!B:C,'Leetcode List'!A:A = A93))"),"ZigZag Conversion")</f>
        <v>ZigZag Conversion</v>
      </c>
      <c r="C93" s="62" t="str">
        <f ca="1">IFERROR(__xludf.DUMMYFUNCTION("""COMPUTED_VALUE"""),"Medium")</f>
        <v>Medium</v>
      </c>
      <c r="D93" s="62" t="s">
        <v>59</v>
      </c>
      <c r="E93" s="66" t="str">
        <f ca="1">IFERROR(__xludf.DUMMYFUNCTION("IF(ISBLANK(A93),,FILTER('Leetcode List'!E:G,'Leetcode List'!A:A = A93))"),"Paypal,Wish,Apple,Bloomberg,Adobe,Facebook,Amazon,Microsoft,Google")</f>
        <v>Paypal,Wish,Apple,Bloomberg,Adobe,Facebook,Amazon,Microsoft,Google</v>
      </c>
      <c r="F93" s="39">
        <f ca="1">IFERROR(__xludf.DUMMYFUNCTION("""COMPUTED_VALUE"""),35.79)</f>
        <v>35.79</v>
      </c>
      <c r="G93" s="39" t="str">
        <f ca="1">IFERROR(__xludf.DUMMYFUNCTION("""COMPUTED_VALUE"""),"算法")</f>
        <v>算法</v>
      </c>
      <c r="H93" s="39">
        <v>92</v>
      </c>
    </row>
    <row r="94" spans="1:8" ht="12.75" hidden="1">
      <c r="A94" s="70">
        <v>161</v>
      </c>
      <c r="B94" s="65" t="str">
        <f ca="1">IFERROR(__xludf.DUMMYFUNCTION("IF(ISBLANK(A94),,FILTER('Leetcode List'!B:C,'Leetcode List'!A:A = A94))"),"One Edit Distance")</f>
        <v>One Edit Distance</v>
      </c>
      <c r="C94" s="62" t="str">
        <f ca="1">IFERROR(__xludf.DUMMYFUNCTION("""COMPUTED_VALUE"""),"Medium")</f>
        <v>Medium</v>
      </c>
      <c r="D94" s="62" t="s">
        <v>59</v>
      </c>
      <c r="E94" s="66" t="str">
        <f ca="1">IFERROR(__xludf.DUMMYFUNCTION("IF(ISBLANK(A94),,FILTER('Leetcode List'!E:G,'Leetcode List'!A:A = A94))"),"Snapchat,Twitter,Uber,Facebook,Amazon,Microsoft,Google")</f>
        <v>Snapchat,Twitter,Uber,Facebook,Amazon,Microsoft,Google</v>
      </c>
      <c r="F94" s="39">
        <f ca="1">IFERROR(__xludf.DUMMYFUNCTION("""COMPUTED_VALUE"""),32.24)</f>
        <v>32.24</v>
      </c>
      <c r="G94" s="39" t="str">
        <f ca="1">IFERROR(__xludf.DUMMYFUNCTION("""COMPUTED_VALUE"""),"算法")</f>
        <v>算法</v>
      </c>
      <c r="H94" s="39">
        <v>93</v>
      </c>
    </row>
    <row r="95" spans="1:8" ht="38.25" hidden="1">
      <c r="A95" s="70">
        <v>38</v>
      </c>
      <c r="B95" s="65" t="str">
        <f ca="1">IFERROR(__xludf.DUMMYFUNCTION("IF(ISBLANK(A95),,FILTER('Leetcode List'!B:C,'Leetcode List'!A:A = A95))"),"Count and Say")</f>
        <v>Count and Say</v>
      </c>
      <c r="C95" s="62" t="str">
        <f ca="1">IFERROR(__xludf.DUMMYFUNCTION("""COMPUTED_VALUE"""),"Easy")</f>
        <v>Easy</v>
      </c>
      <c r="D95" s="62" t="s">
        <v>59</v>
      </c>
      <c r="E95" s="66" t="str">
        <f ca="1">IFERROR(__xludf.DUMMYFUNCTION("IF(ISBLANK(A95),,FILTER('Leetcode List'!E:G,'Leetcode List'!A:A = A95))"),"Epic Systems,Oracle,Apple,Bloomberg,Adobe,Facebook,Amazon,Microsoft,Google")</f>
        <v>Epic Systems,Oracle,Apple,Bloomberg,Adobe,Facebook,Amazon,Microsoft,Google</v>
      </c>
      <c r="F95" s="39">
        <f ca="1">IFERROR(__xludf.DUMMYFUNCTION("""COMPUTED_VALUE"""),44.17)</f>
        <v>44.17</v>
      </c>
      <c r="G95" s="39" t="str">
        <f ca="1">IFERROR(__xludf.DUMMYFUNCTION("""COMPUTED_VALUE"""),"算法")</f>
        <v>算法</v>
      </c>
      <c r="H95" s="39">
        <v>94</v>
      </c>
    </row>
    <row r="96" spans="1:8" ht="12.75" hidden="1">
      <c r="A96" s="70">
        <v>358</v>
      </c>
      <c r="B96" s="65" t="str">
        <f ca="1">IFERROR(__xludf.DUMMYFUNCTION("IF(ISBLANK(A96),,FILTER('Leetcode List'!B:C,'Leetcode List'!A:A = A96))"),"Rearrange String k Distance Apart")</f>
        <v>Rearrange String k Distance Apart</v>
      </c>
      <c r="C96" s="62" t="str">
        <f ca="1">IFERROR(__xludf.DUMMYFUNCTION("""COMPUTED_VALUE"""),"Hard")</f>
        <v>Hard</v>
      </c>
      <c r="D96" s="62" t="s">
        <v>59</v>
      </c>
      <c r="E96" s="66" t="str">
        <f ca="1">IFERROR(__xludf.DUMMYFUNCTION("IF(ISBLANK(A96),,FILTER('Leetcode List'!E:G,'Leetcode List'!A:A = A96))"),"EBay,Facebook,Amazon,Microsoft,Google")</f>
        <v>EBay,Facebook,Amazon,Microsoft,Google</v>
      </c>
      <c r="F96" s="39">
        <f ca="1">IFERROR(__xludf.DUMMYFUNCTION("""COMPUTED_VALUE"""),34.58)</f>
        <v>34.58</v>
      </c>
      <c r="G96" s="39" t="str">
        <f ca="1">IFERROR(__xludf.DUMMYFUNCTION("""COMPUTED_VALUE"""),"算法")</f>
        <v>算法</v>
      </c>
      <c r="H96" s="39">
        <v>95</v>
      </c>
    </row>
    <row r="97" spans="1:8" ht="25.5" hidden="1">
      <c r="A97" s="70">
        <v>316</v>
      </c>
      <c r="B97" s="65" t="str">
        <f ca="1">IFERROR(__xludf.DUMMYFUNCTION("IF(ISBLANK(A97),,FILTER('Leetcode List'!B:C,'Leetcode List'!A:A = A97))"),"Remove Duplicate Letters")</f>
        <v>Remove Duplicate Letters</v>
      </c>
      <c r="C97" s="62" t="str">
        <f ca="1">IFERROR(__xludf.DUMMYFUNCTION("""COMPUTED_VALUE"""),"Hard")</f>
        <v>Hard</v>
      </c>
      <c r="D97" s="62" t="s">
        <v>59</v>
      </c>
      <c r="E97" s="66" t="str">
        <f ca="1">IFERROR(__xludf.DUMMYFUNCTION("IF(ISBLANK(A97),,FILTER('Leetcode List'!E:G,'Leetcode List'!A:A = A97))"),"Nutanix,ByteDance,Apple,Yahoo,Adobe,Facebook,Amazon,Microsoft,Google")</f>
        <v>Nutanix,ByteDance,Apple,Yahoo,Adobe,Facebook,Amazon,Microsoft,Google</v>
      </c>
      <c r="F97" s="39">
        <f ca="1">IFERROR(__xludf.DUMMYFUNCTION("""COMPUTED_VALUE"""),35.24)</f>
        <v>35.24</v>
      </c>
      <c r="G97" s="39" t="str">
        <f ca="1">IFERROR(__xludf.DUMMYFUNCTION("""COMPUTED_VALUE"""),"算法")</f>
        <v>算法</v>
      </c>
      <c r="H97" s="39">
        <v>96</v>
      </c>
    </row>
    <row r="98" spans="1:8" ht="12.75" hidden="1">
      <c r="A98" s="70">
        <v>271</v>
      </c>
      <c r="B98" s="65" t="str">
        <f ca="1">IFERROR(__xludf.DUMMYFUNCTION("IF(ISBLANK(A98),,FILTER('Leetcode List'!B:C,'Leetcode List'!A:A = A98))"),"Encode and Decode Strings")</f>
        <v>Encode and Decode Strings</v>
      </c>
      <c r="C98" s="62" t="str">
        <f ca="1">IFERROR(__xludf.DUMMYFUNCTION("""COMPUTED_VALUE"""),"Medium")</f>
        <v>Medium</v>
      </c>
      <c r="D98" s="62" t="s">
        <v>59</v>
      </c>
      <c r="E98" s="66" t="str">
        <f ca="1">IFERROR(__xludf.DUMMYFUNCTION("IF(ISBLANK(A98),,FILTER('Leetcode List'!E:G,'Leetcode List'!A:A = A98))"),"Square,Twitter,Bloomberg,Microsoft,Google")</f>
        <v>Square,Twitter,Bloomberg,Microsoft,Google</v>
      </c>
      <c r="F98" s="39">
        <f ca="1">IFERROR(__xludf.DUMMYFUNCTION("""COMPUTED_VALUE"""),31.09)</f>
        <v>31.09</v>
      </c>
      <c r="G98" s="39" t="str">
        <f ca="1">IFERROR(__xludf.DUMMYFUNCTION("""COMPUTED_VALUE"""),"算法")</f>
        <v>算法</v>
      </c>
      <c r="H98" s="39">
        <v>97</v>
      </c>
    </row>
    <row r="99" spans="1:8" ht="25.5" hidden="1">
      <c r="A99" s="70">
        <v>168</v>
      </c>
      <c r="B99" s="65" t="str">
        <f ca="1">IFERROR(__xludf.DUMMYFUNCTION("IF(ISBLANK(A99),,FILTER('Leetcode List'!B:C,'Leetcode List'!A:A = A99))"),"Excel Sheet Column Title")</f>
        <v>Excel Sheet Column Title</v>
      </c>
      <c r="C99" s="62" t="str">
        <f ca="1">IFERROR(__xludf.DUMMYFUNCTION("""COMPUTED_VALUE"""),"Easy")</f>
        <v>Easy</v>
      </c>
      <c r="D99" s="62" t="s">
        <v>59</v>
      </c>
      <c r="E99" s="66" t="str">
        <f ca="1">IFERROR(__xludf.DUMMYFUNCTION("IF(ISBLANK(A99),,FILTER('Leetcode List'!E:G,'Leetcode List'!A:A = A99))"),"Zenefits,Alation,FactSet,Apple,Yahoo,Adobe,Facebook,Microsoft,Google")</f>
        <v>Zenefits,Alation,FactSet,Apple,Yahoo,Adobe,Facebook,Microsoft,Google</v>
      </c>
      <c r="F99" s="39">
        <f ca="1">IFERROR(__xludf.DUMMYFUNCTION("""COMPUTED_VALUE"""),30.74)</f>
        <v>30.74</v>
      </c>
      <c r="G99" s="39" t="str">
        <f ca="1">IFERROR(__xludf.DUMMYFUNCTION("""COMPUTED_VALUE"""),"算法")</f>
        <v>算法</v>
      </c>
      <c r="H99" s="39">
        <v>98</v>
      </c>
    </row>
    <row r="100" spans="1:8" ht="25.5" hidden="1">
      <c r="A100" s="70">
        <v>171</v>
      </c>
      <c r="B100" s="65" t="str">
        <f ca="1">IFERROR(__xludf.DUMMYFUNCTION("IF(ISBLANK(A100),,FILTER('Leetcode List'!B:C,'Leetcode List'!A:A = A100))"),"Excel Sheet Column Number")</f>
        <v>Excel Sheet Column Number</v>
      </c>
      <c r="C100" s="62" t="str">
        <f ca="1">IFERROR(__xludf.DUMMYFUNCTION("""COMPUTED_VALUE"""),"Easy")</f>
        <v>Easy</v>
      </c>
      <c r="D100" s="62" t="s">
        <v>59</v>
      </c>
      <c r="E100" s="66" t="str">
        <f ca="1">IFERROR(__xludf.DUMMYFUNCTION("IF(ISBLANK(A100),,FILTER('Leetcode List'!E:G,'Leetcode List'!A:A = A100))"),"Alation,Flipkart,FactSet,Apple,Uber,Bloomberg,Facebook,Amazon,Microsoft,Google")</f>
        <v>Alation,Flipkart,FactSet,Apple,Uber,Bloomberg,Facebook,Amazon,Microsoft,Google</v>
      </c>
      <c r="F100" s="39">
        <f ca="1">IFERROR(__xludf.DUMMYFUNCTION("""COMPUTED_VALUE"""),54.11)</f>
        <v>54.11</v>
      </c>
      <c r="G100" s="39" t="str">
        <f ca="1">IFERROR(__xludf.DUMMYFUNCTION("""COMPUTED_VALUE"""),"算法")</f>
        <v>算法</v>
      </c>
      <c r="H100" s="39">
        <v>99</v>
      </c>
    </row>
    <row r="101" spans="1:8" ht="25.5" hidden="1">
      <c r="A101" s="70">
        <v>13</v>
      </c>
      <c r="B101" s="65" t="str">
        <f ca="1">IFERROR(__xludf.DUMMYFUNCTION("IF(ISBLANK(A101),,FILTER('Leetcode List'!B:C,'Leetcode List'!A:A = A101))"),"Roman to Integer")</f>
        <v>Roman to Integer</v>
      </c>
      <c r="C101" s="62" t="str">
        <f ca="1">IFERROR(__xludf.DUMMYFUNCTION("""COMPUTED_VALUE"""),"Easy")</f>
        <v>Easy</v>
      </c>
      <c r="D101" s="62" t="s">
        <v>59</v>
      </c>
      <c r="E101" s="66" t="str">
        <f ca="1">IFERROR(__xludf.DUMMYFUNCTION("IF(ISBLANK(A101),,FILTER('Leetcode List'!E:G,'Leetcode List'!A:A = A101))"),"Qualtrics,Zillow,Oracle,Apple,Uber,Yahoo,Bloomberg,Adobe,Facebook,Amazon,LinkedIn,Microsoft,Goldman Sachs,Google")</f>
        <v>Qualtrics,Zillow,Oracle,Apple,Uber,Yahoo,Bloomberg,Adobe,Facebook,Amazon,LinkedIn,Microsoft,Goldman Sachs,Google</v>
      </c>
      <c r="F101" s="39">
        <f ca="1">IFERROR(__xludf.DUMMYFUNCTION("""COMPUTED_VALUE"""),55.37)</f>
        <v>55.37</v>
      </c>
      <c r="G101" s="39" t="str">
        <f ca="1">IFERROR(__xludf.DUMMYFUNCTION("""COMPUTED_VALUE"""),"算法")</f>
        <v>算法</v>
      </c>
      <c r="H101" s="39">
        <v>100</v>
      </c>
    </row>
    <row r="102" spans="1:8" ht="38.25" hidden="1">
      <c r="A102" s="70">
        <v>12</v>
      </c>
      <c r="B102" s="65" t="str">
        <f ca="1">IFERROR(__xludf.DUMMYFUNCTION("IF(ISBLANK(A102),,FILTER('Leetcode List'!B:C,'Leetcode List'!A:A = A102))"),"Integer to Roman")</f>
        <v>Integer to Roman</v>
      </c>
      <c r="C102" s="62" t="str">
        <f ca="1">IFERROR(__xludf.DUMMYFUNCTION("""COMPUTED_VALUE"""),"Medium")</f>
        <v>Medium</v>
      </c>
      <c r="D102" s="62" t="s">
        <v>59</v>
      </c>
      <c r="E102" s="66" t="str">
        <f ca="1">IFERROR(__xludf.DUMMYFUNCTION("IF(ISBLANK(A102),,FILTER('Leetcode List'!E:G,'Leetcode List'!A:A = A102))"),"Evernote,Opendoor,Salesforce,Paypal,Twitter,Oracle,BlackRock,Apple,Yahoo,SAP,Bloomberg,Adobe,Facebook,Amazon,LinkedIn,Microsoft,Google")</f>
        <v>Evernote,Opendoor,Salesforce,Paypal,Twitter,Oracle,BlackRock,Apple,Yahoo,SAP,Bloomberg,Adobe,Facebook,Amazon,LinkedIn,Microsoft,Google</v>
      </c>
      <c r="F102" s="39">
        <f ca="1">IFERROR(__xludf.DUMMYFUNCTION("""COMPUTED_VALUE"""),54.6)</f>
        <v>54.6</v>
      </c>
      <c r="G102" s="39" t="str">
        <f ca="1">IFERROR(__xludf.DUMMYFUNCTION("""COMPUTED_VALUE"""),"算法")</f>
        <v>算法</v>
      </c>
      <c r="H102" s="39">
        <v>101</v>
      </c>
    </row>
    <row r="103" spans="1:8" ht="63.75" hidden="1">
      <c r="A103" s="70">
        <v>273</v>
      </c>
      <c r="B103" s="65" t="str">
        <f ca="1">IFERROR(__xludf.DUMMYFUNCTION("IF(ISBLANK(A103),,FILTER('Leetcode List'!B:C,'Leetcode List'!A:A = A103))"),"Integer to English Words")</f>
        <v>Integer to English Words</v>
      </c>
      <c r="C103" s="62" t="str">
        <f ca="1">IFERROR(__xludf.DUMMYFUNCTION("""COMPUTED_VALUE"""),"Hard")</f>
        <v>Hard</v>
      </c>
      <c r="D103" s="62" t="s">
        <v>59</v>
      </c>
      <c r="E103" s="66" t="str">
        <f ca="1">IFERROR(__xludf.DUMMYFUNCTION("IF(ISBLANK(A103),,FILTER('Leetcode List'!E:G,'Leetcode List'!A:A = A103))"),"Tesla,Nutanix,Square,Palantir Technologies,Citrix,Barclays,Coupang,Splunk,Capital One,Tableau,Visa,Walmart Labs,JPMorgan,Zillow,Paypal,Yelp,Oracle,Apple,Uber,Yahoo,SAP,Bloomberg,Facebook,Amazon,LinkedIn,Microsoft,Google")</f>
        <v>Tesla,Nutanix,Square,Palantir Technologies,Citrix,Barclays,Coupang,Splunk,Capital One,Tableau,Visa,Walmart Labs,JPMorgan,Zillow,Paypal,Yelp,Oracle,Apple,Uber,Yahoo,SAP,Bloomberg,Facebook,Amazon,LinkedIn,Microsoft,Google</v>
      </c>
      <c r="F103" s="39">
        <f ca="1">IFERROR(__xludf.DUMMYFUNCTION("""COMPUTED_VALUE"""),26.69)</f>
        <v>26.69</v>
      </c>
      <c r="G103" s="39" t="str">
        <f ca="1">IFERROR(__xludf.DUMMYFUNCTION("""COMPUTED_VALUE"""),"算法")</f>
        <v>算法</v>
      </c>
      <c r="H103" s="39">
        <v>102</v>
      </c>
    </row>
    <row r="104" spans="1:8" ht="12.75" hidden="1">
      <c r="A104" s="70">
        <v>246</v>
      </c>
      <c r="B104" s="65" t="str">
        <f ca="1">IFERROR(__xludf.DUMMYFUNCTION("IF(ISBLANK(A104),,FILTER('Leetcode List'!B:C,'Leetcode List'!A:A = A104))"),"Strobogrammatic Number")</f>
        <v>Strobogrammatic Number</v>
      </c>
      <c r="C104" s="62" t="str">
        <f ca="1">IFERROR(__xludf.DUMMYFUNCTION("""COMPUTED_VALUE"""),"Easy")</f>
        <v>Easy</v>
      </c>
      <c r="D104" s="62" t="s">
        <v>59</v>
      </c>
      <c r="E104" s="66" t="str">
        <f ca="1">IFERROR(__xludf.DUMMYFUNCTION("IF(ISBLANK(A104),,FILTER('Leetcode List'!E:G,'Leetcode List'!A:A = A104))"),"Cisco,Facebook,Google")</f>
        <v>Cisco,Facebook,Google</v>
      </c>
      <c r="F104" s="39">
        <f ca="1">IFERROR(__xludf.DUMMYFUNCTION("""COMPUTED_VALUE"""),44.77)</f>
        <v>44.77</v>
      </c>
      <c r="G104" s="39" t="str">
        <f ca="1">IFERROR(__xludf.DUMMYFUNCTION("""COMPUTED_VALUE"""),"算法")</f>
        <v>算法</v>
      </c>
      <c r="H104" s="39">
        <v>103</v>
      </c>
    </row>
    <row r="105" spans="1:8" ht="12.75" hidden="1">
      <c r="A105" s="70">
        <v>247</v>
      </c>
      <c r="B105" s="65" t="str">
        <f ca="1">IFERROR(__xludf.DUMMYFUNCTION("IF(ISBLANK(A105),,FILTER('Leetcode List'!B:C,'Leetcode List'!A:A = A105))"),"Strobogrammatic Number II")</f>
        <v>Strobogrammatic Number II</v>
      </c>
      <c r="C105" s="62" t="str">
        <f ca="1">IFERROR(__xludf.DUMMYFUNCTION("""COMPUTED_VALUE"""),"Medium")</f>
        <v>Medium</v>
      </c>
      <c r="D105" s="62" t="s">
        <v>59</v>
      </c>
      <c r="E105" s="66" t="str">
        <f ca="1">IFERROR(__xludf.DUMMYFUNCTION("IF(ISBLANK(A105),,FILTER('Leetcode List'!E:G,'Leetcode List'!A:A = A105))"),"Cisco,Facebook,Google")</f>
        <v>Cisco,Facebook,Google</v>
      </c>
      <c r="F105" s="39">
        <f ca="1">IFERROR(__xludf.DUMMYFUNCTION("""COMPUTED_VALUE"""),47.27)</f>
        <v>47.27</v>
      </c>
      <c r="G105" s="39" t="str">
        <f ca="1">IFERROR(__xludf.DUMMYFUNCTION("""COMPUTED_VALUE"""),"算法")</f>
        <v>算法</v>
      </c>
      <c r="H105" s="39">
        <v>104</v>
      </c>
    </row>
    <row r="106" spans="1:8" ht="12.75" hidden="1">
      <c r="A106" s="70">
        <v>248</v>
      </c>
      <c r="B106" s="65" t="str">
        <f ca="1">IFERROR(__xludf.DUMMYFUNCTION("IF(ISBLANK(A106),,FILTER('Leetcode List'!B:C,'Leetcode List'!A:A = A106))"),"Strobogrammatic Number III")</f>
        <v>Strobogrammatic Number III</v>
      </c>
      <c r="C106" s="62" t="str">
        <f ca="1">IFERROR(__xludf.DUMMYFUNCTION("""COMPUTED_VALUE"""),"Hard")</f>
        <v>Hard</v>
      </c>
      <c r="D106" s="62" t="s">
        <v>59</v>
      </c>
      <c r="E106" s="66" t="str">
        <f ca="1">IFERROR(__xludf.DUMMYFUNCTION("IF(ISBLANK(A106),,FILTER('Leetcode List'!E:G,'Leetcode List'!A:A = A106))"),"Facebook,Google")</f>
        <v>Facebook,Google</v>
      </c>
      <c r="F106" s="39">
        <f ca="1">IFERROR(__xludf.DUMMYFUNCTION("""COMPUTED_VALUE"""),39.36)</f>
        <v>39.36</v>
      </c>
      <c r="G106" s="39" t="str">
        <f ca="1">IFERROR(__xludf.DUMMYFUNCTION("""COMPUTED_VALUE"""),"算法")</f>
        <v>算法</v>
      </c>
      <c r="H106" s="39">
        <v>105</v>
      </c>
    </row>
    <row r="107" spans="1:8" ht="12.75" hidden="1">
      <c r="A107" s="70">
        <v>157</v>
      </c>
      <c r="B107" s="65" t="str">
        <f ca="1">IFERROR(__xludf.DUMMYFUNCTION("IF(ISBLANK(A107),,FILTER('Leetcode List'!B:C,'Leetcode List'!A:A = A107))"),"Read N Characters Given Read4")</f>
        <v>Read N Characters Given Read4</v>
      </c>
      <c r="C107" s="62" t="str">
        <f ca="1">IFERROR(__xludf.DUMMYFUNCTION("""COMPUTED_VALUE"""),"Easy")</f>
        <v>Easy</v>
      </c>
      <c r="D107" s="62" t="s">
        <v>59</v>
      </c>
      <c r="E107" s="66" t="str">
        <f ca="1">IFERROR(__xludf.DUMMYFUNCTION("IF(ISBLANK(A107),,FILTER('Leetcode List'!E:G,'Leetcode List'!A:A = A107))"),"Facebook,Google")</f>
        <v>Facebook,Google</v>
      </c>
      <c r="F107" s="39">
        <f ca="1">IFERROR(__xludf.DUMMYFUNCTION("""COMPUTED_VALUE"""),33.6)</f>
        <v>33.6</v>
      </c>
      <c r="G107" s="39" t="str">
        <f ca="1">IFERROR(__xludf.DUMMYFUNCTION("""COMPUTED_VALUE"""),"算法")</f>
        <v>算法</v>
      </c>
      <c r="H107" s="39">
        <v>106</v>
      </c>
    </row>
    <row r="108" spans="1:8" ht="12.75" hidden="1">
      <c r="A108" s="70">
        <v>158</v>
      </c>
      <c r="B108" s="65" t="str">
        <f ca="1">IFERROR(__xludf.DUMMYFUNCTION("IF(ISBLANK(A108),,FILTER('Leetcode List'!B:C,'Leetcode List'!A:A = A108))"),"Read N Characters Given Read4 II - Call multiple times")</f>
        <v>Read N Characters Given Read4 II - Call multiple times</v>
      </c>
      <c r="C108" s="62" t="str">
        <f ca="1">IFERROR(__xludf.DUMMYFUNCTION("""COMPUTED_VALUE"""),"Hard")</f>
        <v>Hard</v>
      </c>
      <c r="D108" s="62" t="s">
        <v>59</v>
      </c>
      <c r="E108" s="66" t="str">
        <f ca="1">IFERROR(__xludf.DUMMYFUNCTION("IF(ISBLANK(A108),,FILTER('Leetcode List'!E:G,'Leetcode List'!A:A = A108))"),"Pinterest,Lyft,Uber,Bloomberg,Facebook,Amazon,Microsoft,Google")</f>
        <v>Pinterest,Lyft,Uber,Bloomberg,Facebook,Amazon,Microsoft,Google</v>
      </c>
      <c r="F108" s="39">
        <f ca="1">IFERROR(__xludf.DUMMYFUNCTION("""COMPUTED_VALUE"""),32.82)</f>
        <v>32.82</v>
      </c>
      <c r="G108" s="39" t="str">
        <f ca="1">IFERROR(__xludf.DUMMYFUNCTION("""COMPUTED_VALUE"""),"算法")</f>
        <v>算法</v>
      </c>
      <c r="H108" s="39">
        <v>107</v>
      </c>
    </row>
    <row r="109" spans="1:8" ht="25.5" hidden="1">
      <c r="A109" s="70">
        <v>68</v>
      </c>
      <c r="B109" s="65" t="str">
        <f ca="1">IFERROR(__xludf.DUMMYFUNCTION("IF(ISBLANK(A109),,FILTER('Leetcode List'!B:C,'Leetcode List'!A:A = A109))"),"Text Justification")</f>
        <v>Text Justification</v>
      </c>
      <c r="C109" s="62" t="str">
        <f ca="1">IFERROR(__xludf.DUMMYFUNCTION("""COMPUTED_VALUE"""),"Hard")</f>
        <v>Hard</v>
      </c>
      <c r="D109" s="62" t="s">
        <v>59</v>
      </c>
      <c r="E109" s="66" t="str">
        <f ca="1">IFERROR(__xludf.DUMMYFUNCTION("IF(ISBLANK(A109),,FILTER('Leetcode List'!E:G,'Leetcode List'!A:A = A109))"),"Robinhood,Pinterest,Coursera,Twilio,Box,Snapchat,Indeed,Twitter,Intuit,Lyft,Apple,Airbnb,Uber,Facebook,Amazon,LinkedIn,Microsoft,Google")</f>
        <v>Robinhood,Pinterest,Coursera,Twilio,Box,Snapchat,Indeed,Twitter,Intuit,Lyft,Apple,Airbnb,Uber,Facebook,Amazon,LinkedIn,Microsoft,Google</v>
      </c>
      <c r="F109" s="39">
        <f ca="1">IFERROR(__xludf.DUMMYFUNCTION("""COMPUTED_VALUE"""),27.25)</f>
        <v>27.25</v>
      </c>
      <c r="G109" s="39" t="str">
        <f ca="1">IFERROR(__xludf.DUMMYFUNCTION("""COMPUTED_VALUE"""),"算法")</f>
        <v>算法</v>
      </c>
      <c r="H109" s="39">
        <v>108</v>
      </c>
    </row>
    <row r="110" spans="1:8" ht="12.75" hidden="1">
      <c r="A110" s="70">
        <v>65</v>
      </c>
      <c r="B110" s="65" t="str">
        <f ca="1">IFERROR(__xludf.DUMMYFUNCTION("IF(ISBLANK(A110),,FILTER('Leetcode List'!B:C,'Leetcode List'!A:A = A110))"),"Valid Number")</f>
        <v>Valid Number</v>
      </c>
      <c r="C110" s="62" t="str">
        <f ca="1">IFERROR(__xludf.DUMMYFUNCTION("""COMPUTED_VALUE"""),"Hard")</f>
        <v>Hard</v>
      </c>
      <c r="D110" s="62" t="s">
        <v>59</v>
      </c>
      <c r="E110" s="66" t="str">
        <f ca="1">IFERROR(__xludf.DUMMYFUNCTION("IF(ISBLANK(A110),,FILTER('Leetcode List'!E:G,'Leetcode List'!A:A = A110))"),"TripAdvisor,Apple,Adobe,Facebook,Amazon,LinkedIn,Microsoft,Google")</f>
        <v>TripAdvisor,Apple,Adobe,Facebook,Amazon,LinkedIn,Microsoft,Google</v>
      </c>
      <c r="F110" s="39">
        <f ca="1">IFERROR(__xludf.DUMMYFUNCTION("""COMPUTED_VALUE"""),15.13)</f>
        <v>15.13</v>
      </c>
      <c r="G110" s="39" t="str">
        <f ca="1">IFERROR(__xludf.DUMMYFUNCTION("""COMPUTED_VALUE"""),"算法")</f>
        <v>算法</v>
      </c>
      <c r="H110" s="39">
        <v>109</v>
      </c>
    </row>
    <row r="111" spans="1:8" ht="63.75" hidden="1">
      <c r="A111" s="70">
        <v>76</v>
      </c>
      <c r="B111" s="65" t="str">
        <f ca="1">IFERROR(__xludf.DUMMYFUNCTION("IF(ISBLANK(A111),,FILTER('Leetcode List'!B:C,'Leetcode List'!A:A = A111))"),"Minimum Window Substring")</f>
        <v>Minimum Window Substring</v>
      </c>
      <c r="C111" s="62" t="str">
        <f ca="1">IFERROR(__xludf.DUMMYFUNCTION("""COMPUTED_VALUE"""),"Hard")</f>
        <v>Hard</v>
      </c>
      <c r="D111" s="62" t="s">
        <v>59</v>
      </c>
      <c r="E111" s="66" t="str">
        <f ca="1">IFERROR(__xludf.DUMMYFUNCTION("IF(ISBLANK(A111),,FILTER('Leetcode List'!E:G,'Leetcode List'!A:A = A111))"),"Cohesity,Nutanix,ByteDance,Deutsche Bank,Salesforce,Visa,VMware,Walmart Labs,GoDaddy,Snapchat,Twitter,Oracle,Lyft,EBay,Apple,Airbnb,Uber,Yahoo,Tencent,Bloomberg,Adobe,Facebook,Amazon,LinkedIn,Microsoft,Goldman Sachs,Google")</f>
        <v>Cohesity,Nutanix,ByteDance,Deutsche Bank,Salesforce,Visa,VMware,Walmart Labs,GoDaddy,Snapchat,Twitter,Oracle,Lyft,EBay,Apple,Airbnb,Uber,Yahoo,Tencent,Bloomberg,Adobe,Facebook,Amazon,LinkedIn,Microsoft,Goldman Sachs,Google</v>
      </c>
      <c r="F111" s="39">
        <f ca="1">IFERROR(__xludf.DUMMYFUNCTION("""COMPUTED_VALUE"""),34.27)</f>
        <v>34.270000000000003</v>
      </c>
      <c r="G111" s="39" t="str">
        <f ca="1">IFERROR(__xludf.DUMMYFUNCTION("""COMPUTED_VALUE"""),"算法")</f>
        <v>算法</v>
      </c>
      <c r="H111" s="39">
        <v>110</v>
      </c>
    </row>
    <row r="112" spans="1:8" ht="12.75" hidden="1">
      <c r="A112" s="70">
        <v>30</v>
      </c>
      <c r="B112" s="65" t="str">
        <f ca="1">IFERROR(__xludf.DUMMYFUNCTION("IF(ISBLANK(A112),,FILTER('Leetcode List'!B:C,'Leetcode List'!A:A = A112))"),"Substring with Concatenation of All Words")</f>
        <v>Substring with Concatenation of All Words</v>
      </c>
      <c r="C112" s="62" t="str">
        <f ca="1">IFERROR(__xludf.DUMMYFUNCTION("""COMPUTED_VALUE"""),"Hard")</f>
        <v>Hard</v>
      </c>
      <c r="D112" s="62" t="s">
        <v>59</v>
      </c>
      <c r="E112" s="66" t="str">
        <f ca="1">IFERROR(__xludf.DUMMYFUNCTION("IF(ISBLANK(A112),,FILTER('Leetcode List'!E:G,'Leetcode List'!A:A = A112))"),"Apple,Bloomberg,Adobe,Facebook,Amazon,Microsoft,Google")</f>
        <v>Apple,Bloomberg,Adobe,Facebook,Amazon,Microsoft,Google</v>
      </c>
      <c r="F112" s="39">
        <f ca="1">IFERROR(__xludf.DUMMYFUNCTION("""COMPUTED_VALUE"""),25.18)</f>
        <v>25.18</v>
      </c>
      <c r="G112" s="39" t="str">
        <f ca="1">IFERROR(__xludf.DUMMYFUNCTION("""COMPUTED_VALUE"""),"算法")</f>
        <v>算法</v>
      </c>
      <c r="H112" s="39">
        <v>111</v>
      </c>
    </row>
    <row r="113" spans="1:8" ht="76.5" hidden="1">
      <c r="A113" s="70">
        <v>3</v>
      </c>
      <c r="B113" s="65" t="str">
        <f ca="1">IFERROR(__xludf.DUMMYFUNCTION("IF(ISBLANK(A113),,FILTER('Leetcode List'!B:C,'Leetcode List'!A:A = A113))"),"Longest Substring Without Repeating Characters")</f>
        <v>Longest Substring Without Repeating Characters</v>
      </c>
      <c r="C113" s="62" t="str">
        <f ca="1">IFERROR(__xludf.DUMMYFUNCTION("""COMPUTED_VALUE"""),"Medium")</f>
        <v>Medium</v>
      </c>
      <c r="D113" s="62" t="s">
        <v>59</v>
      </c>
      <c r="E113" s="66" t="str">
        <f ca="1">IFERROR(__xludf.DUMMYFUNCTION("IF(ISBLANK(A113),,FILTER('Leetcode List'!E:G,'Leetcode List'!A:A = A113))"),"Coupang,Atlassian,Twitch,Alation,ByteDance,Salesforce,VMware,Walmart Labs,Snapchat,Zillow,Paypal,Expedia,Yelp,Zoho,Oracle,Spotify,Cisco,Yandex,Huawei,EBay,Baidu,Apple,Uber,Yahoo,Samsung,Tencent,SAP,Bloomberg,Adobe,Facebook,Amazon,Microsoft,Alibaba,Goldman"&amp;" Sachs,Google")</f>
        <v>Coupang,Atlassian,Twitch,Alation,ByteDance,Salesforce,VMware,Walmart Labs,Snapchat,Zillow,Paypal,Expedia,Yelp,Zoho,Oracle,Spotify,Cisco,Yandex,Huawei,EBay,Baidu,Apple,Uber,Yahoo,Samsung,Tencent,SAP,Bloomberg,Adobe,Facebook,Amazon,Microsoft,Alibaba,Goldman Sachs,Google</v>
      </c>
      <c r="F113" s="39">
        <f ca="1">IFERROR(__xludf.DUMMYFUNCTION("""COMPUTED_VALUE"""),30.15)</f>
        <v>30.15</v>
      </c>
      <c r="G113" s="39" t="str">
        <f ca="1">IFERROR(__xludf.DUMMYFUNCTION("""COMPUTED_VALUE"""),"算法")</f>
        <v>算法</v>
      </c>
      <c r="H113" s="39">
        <v>112</v>
      </c>
    </row>
    <row r="114" spans="1:8" ht="25.5" hidden="1">
      <c r="A114" s="70">
        <v>340</v>
      </c>
      <c r="B114" s="65" t="str">
        <f ca="1">IFERROR(__xludf.DUMMYFUNCTION("IF(ISBLANK(A114),,FILTER('Leetcode List'!B:C,'Leetcode List'!A:A = A114))"),"Longest Substring with At Most K Distinct Characters")</f>
        <v>Longest Substring with At Most K Distinct Characters</v>
      </c>
      <c r="C114" s="62" t="str">
        <f ca="1">IFERROR(__xludf.DUMMYFUNCTION("""COMPUTED_VALUE"""),"Hard")</f>
        <v>Hard</v>
      </c>
      <c r="D114" s="62" t="s">
        <v>59</v>
      </c>
      <c r="E114" s="66" t="str">
        <f ca="1">IFERROR(__xludf.DUMMYFUNCTION("IF(ISBLANK(A114),,FILTER('Leetcode List'!E:G,'Leetcode List'!A:A = A114))"),"AppDynamics,Coupang,Citadel,Snapchat,Wish,Oracle,Uber,Bloomberg,Facebook,Amazon,Microsoft,Google")</f>
        <v>AppDynamics,Coupang,Citadel,Snapchat,Wish,Oracle,Uber,Bloomberg,Facebook,Amazon,Microsoft,Google</v>
      </c>
      <c r="F114" s="39">
        <f ca="1">IFERROR(__xludf.DUMMYFUNCTION("""COMPUTED_VALUE"""),43.66)</f>
        <v>43.66</v>
      </c>
      <c r="G114" s="39" t="str">
        <f ca="1">IFERROR(__xludf.DUMMYFUNCTION("""COMPUTED_VALUE"""),"算法")</f>
        <v>算法</v>
      </c>
      <c r="H114" s="39">
        <v>113</v>
      </c>
    </row>
    <row r="115" spans="1:8" ht="12.75" hidden="1">
      <c r="A115" s="70">
        <v>395</v>
      </c>
      <c r="B115" s="65" t="str">
        <f ca="1">IFERROR(__xludf.DUMMYFUNCTION("IF(ISBLANK(A115),,FILTER('Leetcode List'!B:C,'Leetcode List'!A:A = A115))"),"Longest Substring with At Least K Repeating Characters")</f>
        <v>Longest Substring with At Least K Repeating Characters</v>
      </c>
      <c r="C115" s="62" t="str">
        <f ca="1">IFERROR(__xludf.DUMMYFUNCTION("""COMPUTED_VALUE"""),"Medium")</f>
        <v>Medium</v>
      </c>
      <c r="D115" s="62" t="s">
        <v>59</v>
      </c>
      <c r="E115" s="66" t="str">
        <f ca="1">IFERROR(__xludf.DUMMYFUNCTION("IF(ISBLANK(A115),,FILTER('Leetcode List'!E:G,'Leetcode List'!A:A = A115))"),"ByteDance,Baidu,Uber,Bloomberg,Adobe,Facebook,Amazon,Google")</f>
        <v>ByteDance,Baidu,Uber,Bloomberg,Adobe,Facebook,Amazon,Google</v>
      </c>
      <c r="F115" s="39">
        <f ca="1">IFERROR(__xludf.DUMMYFUNCTION("""COMPUTED_VALUE"""),40.93)</f>
        <v>40.93</v>
      </c>
      <c r="G115" s="39" t="str">
        <f ca="1">IFERROR(__xludf.DUMMYFUNCTION("""COMPUTED_VALUE"""),"算法")</f>
        <v>算法</v>
      </c>
      <c r="H115" s="39">
        <v>114</v>
      </c>
    </row>
    <row r="116" spans="1:8" ht="12.75" hidden="1">
      <c r="A116" s="70">
        <v>159</v>
      </c>
      <c r="B116" s="65" t="str">
        <f ca="1">IFERROR(__xludf.DUMMYFUNCTION("IF(ISBLANK(A116),,FILTER('Leetcode List'!B:C,'Leetcode List'!A:A = A116))"),"Longest Substring with At Most Two Distinct Characters")</f>
        <v>Longest Substring with At Most Two Distinct Characters</v>
      </c>
      <c r="C116" s="62" t="str">
        <f ca="1">IFERROR(__xludf.DUMMYFUNCTION("""COMPUTED_VALUE"""),"Medium")</f>
        <v>Medium</v>
      </c>
      <c r="D116" s="62" t="s">
        <v>59</v>
      </c>
      <c r="E116" s="66" t="str">
        <f ca="1">IFERROR(__xludf.DUMMYFUNCTION("IF(ISBLANK(A116),,FILTER('Leetcode List'!E:G,'Leetcode List'!A:A = A116))"),"Adobe,Facebook,Amazon,Microsoft,Google")</f>
        <v>Adobe,Facebook,Amazon,Microsoft,Google</v>
      </c>
      <c r="F116" s="39">
        <f ca="1">IFERROR(__xludf.DUMMYFUNCTION("""COMPUTED_VALUE"""),49.04)</f>
        <v>49.04</v>
      </c>
      <c r="G116" s="39" t="str">
        <f ca="1">IFERROR(__xludf.DUMMYFUNCTION("""COMPUTED_VALUE"""),"算法")</f>
        <v>算法</v>
      </c>
      <c r="H116" s="39">
        <v>115</v>
      </c>
    </row>
    <row r="117" spans="1:8" ht="25.5" hidden="1">
      <c r="A117" s="70">
        <v>125</v>
      </c>
      <c r="B117" s="65" t="str">
        <f ca="1">IFERROR(__xludf.DUMMYFUNCTION("IF(ISBLANK(A117),,FILTER('Leetcode List'!B:C,'Leetcode List'!A:A = A117))"),"Valid Palindrome")</f>
        <v>Valid Palindrome</v>
      </c>
      <c r="C117" s="62" t="str">
        <f ca="1">IFERROR(__xludf.DUMMYFUNCTION("""COMPUTED_VALUE"""),"Easy")</f>
        <v>Easy</v>
      </c>
      <c r="D117" s="62" t="s">
        <v>59</v>
      </c>
      <c r="E117" s="66" t="str">
        <f ca="1">IFERROR(__xludf.DUMMYFUNCTION("IF(ISBLANK(A117),,FILTER('Leetcode List'!E:G,'Leetcode List'!A:A = A117))"),"Wayfair,Zenefits,Wish,Oracle,Cisco,Yandex,EBay,Apple,Uber,Bloomberg,Adobe,Facebook,Amazon,LinkedIn,Microsoft,Google")</f>
        <v>Wayfair,Zenefits,Wish,Oracle,Cisco,Yandex,EBay,Apple,Uber,Bloomberg,Adobe,Facebook,Amazon,LinkedIn,Microsoft,Google</v>
      </c>
      <c r="F117" s="39">
        <f ca="1">IFERROR(__xludf.DUMMYFUNCTION("""COMPUTED_VALUE"""),35.54)</f>
        <v>35.54</v>
      </c>
      <c r="G117" s="39" t="str">
        <f ca="1">IFERROR(__xludf.DUMMYFUNCTION("""COMPUTED_VALUE"""),"算法")</f>
        <v>算法</v>
      </c>
      <c r="H117" s="39">
        <v>116</v>
      </c>
    </row>
    <row r="118" spans="1:8" ht="12.75" hidden="1">
      <c r="A118" s="70">
        <v>266</v>
      </c>
      <c r="B118" s="65" t="str">
        <f ca="1">IFERROR(__xludf.DUMMYFUNCTION("IF(ISBLANK(A118),,FILTER('Leetcode List'!B:C,'Leetcode List'!A:A = A118))"),"Palindrome Permutation")</f>
        <v>Palindrome Permutation</v>
      </c>
      <c r="C118" s="62" t="str">
        <f ca="1">IFERROR(__xludf.DUMMYFUNCTION("""COMPUTED_VALUE"""),"Easy")</f>
        <v>Easy</v>
      </c>
      <c r="D118" s="62" t="s">
        <v>59</v>
      </c>
      <c r="E118" s="66" t="str">
        <f ca="1">IFERROR(__xludf.DUMMYFUNCTION("IF(ISBLANK(A118),,FILTER('Leetcode List'!E:G,'Leetcode List'!A:A = A118))"),"Apple,Uber,Bloomberg,Facebook,Amazon,Microsoft,Google")</f>
        <v>Apple,Uber,Bloomberg,Facebook,Amazon,Microsoft,Google</v>
      </c>
      <c r="F118" s="39">
        <f ca="1">IFERROR(__xludf.DUMMYFUNCTION("""COMPUTED_VALUE"""),61.64)</f>
        <v>61.64</v>
      </c>
      <c r="G118" s="39" t="str">
        <f ca="1">IFERROR(__xludf.DUMMYFUNCTION("""COMPUTED_VALUE"""),"算法")</f>
        <v>算法</v>
      </c>
      <c r="H118" s="39">
        <v>117</v>
      </c>
    </row>
    <row r="119" spans="1:8" ht="51" hidden="1">
      <c r="A119" s="70">
        <v>5</v>
      </c>
      <c r="B119" s="65" t="str">
        <f ca="1">IFERROR(__xludf.DUMMYFUNCTION("IF(ISBLANK(A119),,FILTER('Leetcode List'!B:C,'Leetcode List'!A:A = A119))"),"Longest Palindromic Substring")</f>
        <v>Longest Palindromic Substring</v>
      </c>
      <c r="C119" s="62" t="str">
        <f ca="1">IFERROR(__xludf.DUMMYFUNCTION("""COMPUTED_VALUE"""),"Medium")</f>
        <v>Medium</v>
      </c>
      <c r="D119" s="62" t="s">
        <v>59</v>
      </c>
      <c r="E119" s="66" t="str">
        <f ca="1">IFERROR(__xludf.DUMMYFUNCTION("IF(ISBLANK(A119),,FILTER('Leetcode List'!E:G,'Leetcode List'!A:A = A119))"),"Wayfair,Pure Storage,Roblox,VMware,Walmart Labs,GoDaddy,JPMorgan,Paypal,ServiceNow,Oracle,Cisco,Mathworks,Yandex,Huawei,EBay,Apple,Airbnb,Uber,Yahoo,Samsung,Tencent,SAP,Bloomberg,Adobe,Facebook,Amazon,Microsoft,Alibaba,Google")</f>
        <v>Wayfair,Pure Storage,Roblox,VMware,Walmart Labs,GoDaddy,JPMorgan,Paypal,ServiceNow,Oracle,Cisco,Mathworks,Yandex,Huawei,EBay,Apple,Airbnb,Uber,Yahoo,Samsung,Tencent,SAP,Bloomberg,Adobe,Facebook,Amazon,Microsoft,Alibaba,Google</v>
      </c>
      <c r="F119" s="39">
        <f ca="1">IFERROR(__xludf.DUMMYFUNCTION("""COMPUTED_VALUE"""),29.25)</f>
        <v>29.25</v>
      </c>
      <c r="G119" s="39" t="str">
        <f ca="1">IFERROR(__xludf.DUMMYFUNCTION("""COMPUTED_VALUE"""),"算法")</f>
        <v>算法</v>
      </c>
      <c r="H119" s="39">
        <v>118</v>
      </c>
    </row>
    <row r="120" spans="1:8" ht="25.5" hidden="1">
      <c r="A120" s="70">
        <v>9</v>
      </c>
      <c r="B120" s="65" t="str">
        <f ca="1">IFERROR(__xludf.DUMMYFUNCTION("IF(ISBLANK(A120),,FILTER('Leetcode List'!B:C,'Leetcode List'!A:A = A120))"),"Palindrome Number")</f>
        <v>Palindrome Number</v>
      </c>
      <c r="C120" s="62" t="str">
        <f ca="1">IFERROR(__xludf.DUMMYFUNCTION("""COMPUTED_VALUE"""),"Easy")</f>
        <v>Easy</v>
      </c>
      <c r="D120" s="62" t="s">
        <v>59</v>
      </c>
      <c r="E120" s="66" t="str">
        <f ca="1">IFERROR(__xludf.DUMMYFUNCTION("IF(ISBLANK(A120),,FILTER('Leetcode List'!E:G,'Leetcode List'!A:A = A120))"),"JPMorgan,Oracle,Apple,Yahoo,Bloomberg,Adobe,Facebook,Amazon,Microsoft,Goldman Sachs,Google")</f>
        <v>JPMorgan,Oracle,Apple,Yahoo,Bloomberg,Adobe,Facebook,Amazon,Microsoft,Goldman Sachs,Google</v>
      </c>
      <c r="F120" s="39">
        <f ca="1">IFERROR(__xludf.DUMMYFUNCTION("""COMPUTED_VALUE"""),47.86)</f>
        <v>47.86</v>
      </c>
      <c r="G120" s="39" t="str">
        <f ca="1">IFERROR(__xludf.DUMMYFUNCTION("""COMPUTED_VALUE"""),"算法")</f>
        <v>算法</v>
      </c>
      <c r="H120" s="39">
        <v>119</v>
      </c>
    </row>
    <row r="121" spans="1:8" ht="25.5" hidden="1">
      <c r="A121" s="70">
        <v>214</v>
      </c>
      <c r="B121" s="65" t="str">
        <f ca="1">IFERROR(__xludf.DUMMYFUNCTION("IF(ISBLANK(A121),,FILTER('Leetcode List'!B:C,'Leetcode List'!A:A = A121))"),"Shortest Palindrome")</f>
        <v>Shortest Palindrome</v>
      </c>
      <c r="C121" s="62" t="str">
        <f ca="1">IFERROR(__xludf.DUMMYFUNCTION("""COMPUTED_VALUE"""),"Hard")</f>
        <v>Hard</v>
      </c>
      <c r="D121" s="62" t="s">
        <v>59</v>
      </c>
      <c r="E121" s="66" t="str">
        <f ca="1">IFERROR(__xludf.DUMMYFUNCTION("IF(ISBLANK(A121),,FILTER('Leetcode List'!E:G,'Leetcode List'!A:A = A121))"),"Pocket Gems,Oracle,Bloomberg,Adobe,Facebook,Amazon,Microsoft,Google")</f>
        <v>Pocket Gems,Oracle,Bloomberg,Adobe,Facebook,Amazon,Microsoft,Google</v>
      </c>
      <c r="F121" s="39">
        <f ca="1">IFERROR(__xludf.DUMMYFUNCTION("""COMPUTED_VALUE"""),29.53)</f>
        <v>29.53</v>
      </c>
      <c r="G121" s="39" t="str">
        <f ca="1">IFERROR(__xludf.DUMMYFUNCTION("""COMPUTED_VALUE"""),"算法")</f>
        <v>算法</v>
      </c>
      <c r="H121" s="39">
        <v>120</v>
      </c>
    </row>
    <row r="122" spans="1:8" ht="25.5" hidden="1">
      <c r="A122" s="70">
        <v>336</v>
      </c>
      <c r="B122" s="65" t="str">
        <f ca="1">IFERROR(__xludf.DUMMYFUNCTION("IF(ISBLANK(A122),,FILTER('Leetcode List'!B:C,'Leetcode List'!A:A = A122))"),"Palindrome Pairs")</f>
        <v>Palindrome Pairs</v>
      </c>
      <c r="C122" s="62" t="str">
        <f ca="1">IFERROR(__xludf.DUMMYFUNCTION("""COMPUTED_VALUE"""),"Hard")</f>
        <v>Hard</v>
      </c>
      <c r="D122" s="62" t="s">
        <v>59</v>
      </c>
      <c r="E122" s="66" t="str">
        <f ca="1">IFERROR(__xludf.DUMMYFUNCTION("IF(ISBLANK(A122),,FILTER('Leetcode List'!E:G,'Leetcode List'!A:A = A122))"),"Square,Apple,Airbnb,Uber,Bloomberg,Adobe,Facebook,Amazon,Google")</f>
        <v>Square,Apple,Airbnb,Uber,Bloomberg,Adobe,Facebook,Amazon,Google</v>
      </c>
      <c r="F122" s="39">
        <f ca="1">IFERROR(__xludf.DUMMYFUNCTION("""COMPUTED_VALUE"""),33.44)</f>
        <v>33.44</v>
      </c>
      <c r="G122" s="39" t="str">
        <f ca="1">IFERROR(__xludf.DUMMYFUNCTION("""COMPUTED_VALUE"""),"算法")</f>
        <v>算法</v>
      </c>
      <c r="H122" s="39">
        <v>121</v>
      </c>
    </row>
    <row r="123" spans="1:8" ht="12.75" hidden="1">
      <c r="A123" s="70">
        <v>131</v>
      </c>
      <c r="B123" s="65" t="str">
        <f ca="1">IFERROR(__xludf.DUMMYFUNCTION("IF(ISBLANK(A123),,FILTER('Leetcode List'!B:C,'Leetcode List'!A:A = A123))"),"Palindrome Partitioning")</f>
        <v>Palindrome Partitioning</v>
      </c>
      <c r="C123" s="62" t="str">
        <f ca="1">IFERROR(__xludf.DUMMYFUNCTION("""COMPUTED_VALUE"""),"Medium")</f>
        <v>Medium</v>
      </c>
      <c r="D123" s="62" t="s">
        <v>59</v>
      </c>
      <c r="E123" s="66" t="str">
        <f ca="1">IFERROR(__xludf.DUMMYFUNCTION("IF(ISBLANK(A123),,FILTER('Leetcode List'!E:G,'Leetcode List'!A:A = A123))"),"Qualtrics,Uber,Yahoo,Bloomberg,Adobe,Amazon,Google")</f>
        <v>Qualtrics,Uber,Yahoo,Bloomberg,Adobe,Amazon,Google</v>
      </c>
      <c r="F123" s="39">
        <f ca="1">IFERROR(__xludf.DUMMYFUNCTION("""COMPUTED_VALUE"""),46.51)</f>
        <v>46.51</v>
      </c>
      <c r="G123" s="39" t="str">
        <f ca="1">IFERROR(__xludf.DUMMYFUNCTION("""COMPUTED_VALUE"""),"算法")</f>
        <v>算法</v>
      </c>
      <c r="H123" s="39">
        <v>122</v>
      </c>
    </row>
    <row r="124" spans="1:8" ht="12.75" hidden="1">
      <c r="A124" s="70">
        <v>132</v>
      </c>
      <c r="B124" s="65" t="str">
        <f ca="1">IFERROR(__xludf.DUMMYFUNCTION("IF(ISBLANK(A124),,FILTER('Leetcode List'!B:C,'Leetcode List'!A:A = A124))"),"Palindrome Partitioning II")</f>
        <v>Palindrome Partitioning II</v>
      </c>
      <c r="C124" s="62" t="str">
        <f ca="1">IFERROR(__xludf.DUMMYFUNCTION("""COMPUTED_VALUE"""),"Hard")</f>
        <v>Hard</v>
      </c>
      <c r="D124" s="62" t="s">
        <v>59</v>
      </c>
      <c r="E124" s="66" t="str">
        <f ca="1">IFERROR(__xludf.DUMMYFUNCTION("IF(ISBLANK(A124),,FILTER('Leetcode List'!E:G,'Leetcode List'!A:A = A124))"),"Amazon,Google")</f>
        <v>Amazon,Google</v>
      </c>
      <c r="F124" s="39">
        <f ca="1">IFERROR(__xludf.DUMMYFUNCTION("""COMPUTED_VALUE"""),29.93)</f>
        <v>29.93</v>
      </c>
      <c r="G124" s="39" t="str">
        <f ca="1">IFERROR(__xludf.DUMMYFUNCTION("""COMPUTED_VALUE"""),"算法")</f>
        <v>算法</v>
      </c>
      <c r="H124" s="39">
        <v>123</v>
      </c>
    </row>
    <row r="125" spans="1:8" ht="12.75" hidden="1">
      <c r="A125" s="70">
        <v>267</v>
      </c>
      <c r="B125" s="65" t="str">
        <f ca="1">IFERROR(__xludf.DUMMYFUNCTION("IF(ISBLANK(A125),,FILTER('Leetcode List'!B:C,'Leetcode List'!A:A = A125))"),"Palindrome Permutation II")</f>
        <v>Palindrome Permutation II</v>
      </c>
      <c r="C125" s="62" t="str">
        <f ca="1">IFERROR(__xludf.DUMMYFUNCTION("""COMPUTED_VALUE"""),"Medium")</f>
        <v>Medium</v>
      </c>
      <c r="D125" s="62" t="s">
        <v>59</v>
      </c>
      <c r="E125" s="66" t="str">
        <f ca="1">IFERROR(__xludf.DUMMYFUNCTION("IF(ISBLANK(A125),,FILTER('Leetcode List'!E:G,'Leetcode List'!A:A = A125))"),"Uber,Amazon,Google")</f>
        <v>Uber,Amazon,Google</v>
      </c>
      <c r="F125" s="39">
        <f ca="1">IFERROR(__xludf.DUMMYFUNCTION("""COMPUTED_VALUE"""),36.09)</f>
        <v>36.090000000000003</v>
      </c>
      <c r="G125" s="39" t="str">
        <f ca="1">IFERROR(__xludf.DUMMYFUNCTION("""COMPUTED_VALUE"""),"算法")</f>
        <v>算法</v>
      </c>
      <c r="H125" s="39">
        <v>124</v>
      </c>
    </row>
    <row r="126" spans="1:8" ht="114.75" hidden="1">
      <c r="A126" s="70">
        <v>20</v>
      </c>
      <c r="B126" s="65" t="str">
        <f ca="1">IFERROR(__xludf.DUMMYFUNCTION("IF(ISBLANK(A126),,FILTER('Leetcode List'!B:C,'Leetcode List'!A:A = A126))"),"Valid Parentheses")</f>
        <v>Valid Parentheses</v>
      </c>
      <c r="C126" s="62" t="str">
        <f ca="1">IFERROR(__xludf.DUMMYFUNCTION("""COMPUTED_VALUE"""),"Easy")</f>
        <v>Easy</v>
      </c>
      <c r="D126" s="62" t="s">
        <v>59</v>
      </c>
      <c r="E126" s="66" t="str">
        <f ca="1">IFERROR(__xludf.DUMMYFUNCTION("IF(ISBLANK(A126),,FILTER('Leetcode List'!E:G,'Leetcode List'!A:A = A126))"),"LiveRamp,Netflix,Epic Systems,Riot Games,Tesla,Blizzard,DoorDash,Postmates,Akuna Capital,Barclays,Zenefits,Atlassian,Audible,Twilio,Salesforce,Intel,Visa,VMware,Citadel,Walmart Labs,GoDaddy,JPMorgan,Zillow,Paypal,Twitter,ServiceNow,Expedia,Oracle,Spotify,"&amp;"Intuit,IBM,Lyft,Cisco,Mathworks,Yandex,EBay,Apple,Airbnb,Uber,Yahoo,Samsung,Tencent,SAP,Morgan Stanley,Bloomberg,Adobe,Facebook,Amazon,LinkedIn,Microsoft,Goldman Sachs,Google")</f>
        <v>LiveRamp,Netflix,Epic Systems,Riot Games,Tesla,Blizzard,DoorDash,Postmates,Akuna Capital,Barclays,Zenefits,Atlassian,Audible,Twilio,Salesforce,Intel,Visa,VMware,Citadel,Walmart Labs,GoDaddy,JPMorgan,Zillow,Paypal,Twitter,ServiceNow,Expedia,Oracle,Spotify,Intuit,IBM,Lyft,Cisco,Mathworks,Yandex,EBay,Apple,Airbnb,Uber,Yahoo,Samsung,Tencent,SAP,Morgan Stanley,Bloomberg,Adobe,Facebook,Amazon,LinkedIn,Microsoft,Goldman Sachs,Google</v>
      </c>
      <c r="F126" s="39">
        <f ca="1">IFERROR(__xludf.DUMMYFUNCTION("""COMPUTED_VALUE"""),38.68)</f>
        <v>38.68</v>
      </c>
      <c r="G126" s="39" t="str">
        <f ca="1">IFERROR(__xludf.DUMMYFUNCTION("""COMPUTED_VALUE"""),"算法")</f>
        <v>算法</v>
      </c>
      <c r="H126" s="39">
        <v>125</v>
      </c>
    </row>
    <row r="127" spans="1:8" ht="51" hidden="1">
      <c r="A127" s="70">
        <v>22</v>
      </c>
      <c r="B127" s="65" t="str">
        <f ca="1">IFERROR(__xludf.DUMMYFUNCTION("IF(ISBLANK(A127),,FILTER('Leetcode List'!B:C,'Leetcode List'!A:A = A127))"),"Generate Parentheses")</f>
        <v>Generate Parentheses</v>
      </c>
      <c r="C127" s="62" t="str">
        <f ca="1">IFERROR(__xludf.DUMMYFUNCTION("""COMPUTED_VALUE"""),"Medium")</f>
        <v>Medium</v>
      </c>
      <c r="D127" s="62" t="s">
        <v>59</v>
      </c>
      <c r="E127" s="66" t="str">
        <f ca="1">IFERROR(__xludf.DUMMYFUNCTION("IF(ISBLANK(A127),,FILTER('Leetcode List'!E:G,'Leetcode List'!A:A = A127))"),"Nutanix,Zenefits,Atlassian,ByteDance,Salesforce,Walmart Labs,Snapchat,Yelp,Nvidia,Spotify,Lyft,Cisco,Yandex,Apple,Uber,Yahoo,Samsung,SAP,Bloomberg,Adobe,Facebook,Amazon,Microsoft,Alibaba,Google")</f>
        <v>Nutanix,Zenefits,Atlassian,ByteDance,Salesforce,Walmart Labs,Snapchat,Yelp,Nvidia,Spotify,Lyft,Cisco,Yandex,Apple,Uber,Yahoo,Samsung,SAP,Bloomberg,Adobe,Facebook,Amazon,Microsoft,Alibaba,Google</v>
      </c>
      <c r="F127" s="39">
        <f ca="1">IFERROR(__xludf.DUMMYFUNCTION("""COMPUTED_VALUE"""),61.77)</f>
        <v>61.77</v>
      </c>
      <c r="G127" s="39" t="str">
        <f ca="1">IFERROR(__xludf.DUMMYFUNCTION("""COMPUTED_VALUE"""),"算法")</f>
        <v>算法</v>
      </c>
      <c r="H127" s="39">
        <v>126</v>
      </c>
    </row>
    <row r="128" spans="1:8" ht="25.5" hidden="1">
      <c r="A128" s="70">
        <v>32</v>
      </c>
      <c r="B128" s="65" t="str">
        <f ca="1">IFERROR(__xludf.DUMMYFUNCTION("IF(ISBLANK(A128),,FILTER('Leetcode List'!B:C,'Leetcode List'!A:A = A128))"),"Longest Valid Parentheses")</f>
        <v>Longest Valid Parentheses</v>
      </c>
      <c r="C128" s="62" t="str">
        <f ca="1">IFERROR(__xludf.DUMMYFUNCTION("""COMPUTED_VALUE"""),"Hard")</f>
        <v>Hard</v>
      </c>
      <c r="D128" s="62" t="s">
        <v>59</v>
      </c>
      <c r="E128" s="66" t="str">
        <f ca="1">IFERROR(__xludf.DUMMYFUNCTION("IF(ISBLANK(A128),,FILTER('Leetcode List'!E:G,'Leetcode List'!A:A = A128))"),"Salesforce,Citadel,Expedia,Oracle,EBay,Apple,Uber,Yahoo,Samsung,Adobe,Facebook,Amazon,Microsoft,Google")</f>
        <v>Salesforce,Citadel,Expedia,Oracle,EBay,Apple,Uber,Yahoo,Samsung,Adobe,Facebook,Amazon,Microsoft,Google</v>
      </c>
      <c r="F128" s="39">
        <f ca="1">IFERROR(__xludf.DUMMYFUNCTION("""COMPUTED_VALUE"""),28.02)</f>
        <v>28.02</v>
      </c>
      <c r="G128" s="39" t="str">
        <f ca="1">IFERROR(__xludf.DUMMYFUNCTION("""COMPUTED_VALUE"""),"算法")</f>
        <v>算法</v>
      </c>
      <c r="H128" s="39">
        <v>127</v>
      </c>
    </row>
    <row r="129" spans="1:8" ht="12.75" hidden="1">
      <c r="A129" s="70">
        <v>241</v>
      </c>
      <c r="B129" s="65" t="str">
        <f ca="1">IFERROR(__xludf.DUMMYFUNCTION("IF(ISBLANK(A129),,FILTER('Leetcode List'!B:C,'Leetcode List'!A:A = A129))"),"Different Ways to Add Parentheses")</f>
        <v>Different Ways to Add Parentheses</v>
      </c>
      <c r="C129" s="62" t="str">
        <f ca="1">IFERROR(__xludf.DUMMYFUNCTION("""COMPUTED_VALUE"""),"Medium")</f>
        <v>Medium</v>
      </c>
      <c r="D129" s="62" t="s">
        <v>59</v>
      </c>
      <c r="E129" s="66" t="str">
        <f ca="1">IFERROR(__xludf.DUMMYFUNCTION("IF(ISBLANK(A129),,FILTER('Leetcode List'!E:G,'Leetcode List'!A:A = A129))"),"Citadel,Facebook,Amazon,Google")</f>
        <v>Citadel,Facebook,Amazon,Google</v>
      </c>
      <c r="F129" s="39">
        <f ca="1">IFERROR(__xludf.DUMMYFUNCTION("""COMPUTED_VALUE"""),54.49)</f>
        <v>54.49</v>
      </c>
      <c r="G129" s="39" t="str">
        <f ca="1">IFERROR(__xludf.DUMMYFUNCTION("""COMPUTED_VALUE"""),"算法")</f>
        <v>算法</v>
      </c>
      <c r="H129" s="39">
        <v>128</v>
      </c>
    </row>
    <row r="130" spans="1:8" ht="25.5" hidden="1">
      <c r="A130" s="70">
        <v>301</v>
      </c>
      <c r="B130" s="65" t="str">
        <f ca="1">IFERROR(__xludf.DUMMYFUNCTION("IF(ISBLANK(A130),,FILTER('Leetcode List'!B:C,'Leetcode List'!A:A = A130))"),"Remove Invalid Parentheses")</f>
        <v>Remove Invalid Parentheses</v>
      </c>
      <c r="C130" s="62" t="str">
        <f ca="1">IFERROR(__xludf.DUMMYFUNCTION("""COMPUTED_VALUE"""),"Hard")</f>
        <v>Hard</v>
      </c>
      <c r="D130" s="62" t="s">
        <v>59</v>
      </c>
      <c r="E130" s="66" t="str">
        <f ca="1">IFERROR(__xludf.DUMMYFUNCTION("IF(ISBLANK(A130),,FILTER('Leetcode List'!E:G,'Leetcode List'!A:A = A130))"),"Pony.ai,Postmates,Houzz,Apple,Uber,Bloomberg,Facebook,Amazon,Google")</f>
        <v>Pony.ai,Postmates,Houzz,Apple,Uber,Bloomberg,Facebook,Amazon,Google</v>
      </c>
      <c r="F130" s="39">
        <f ca="1">IFERROR(__xludf.DUMMYFUNCTION("""COMPUTED_VALUE"""),42.82)</f>
        <v>42.82</v>
      </c>
      <c r="G130" s="39" t="str">
        <f ca="1">IFERROR(__xludf.DUMMYFUNCTION("""COMPUTED_VALUE"""),"算法")</f>
        <v>算法</v>
      </c>
      <c r="H130" s="39">
        <v>129</v>
      </c>
    </row>
    <row r="131" spans="1:8" ht="12.75" hidden="1">
      <c r="A131" s="70">
        <v>392</v>
      </c>
      <c r="B131" s="65" t="str">
        <f ca="1">IFERROR(__xludf.DUMMYFUNCTION("IF(ISBLANK(A131),,FILTER('Leetcode List'!B:C,'Leetcode List'!A:A = A131))"),"Is Subsequence")</f>
        <v>Is Subsequence</v>
      </c>
      <c r="C131" s="62" t="str">
        <f ca="1">IFERROR(__xludf.DUMMYFUNCTION("""COMPUTED_VALUE"""),"Easy")</f>
        <v>Easy</v>
      </c>
      <c r="D131" s="62" t="s">
        <v>59</v>
      </c>
      <c r="E131" s="66" t="str">
        <f ca="1">IFERROR(__xludf.DUMMYFUNCTION("IF(ISBLANK(A131),,FILTER('Leetcode List'!E:G,'Leetcode List'!A:A = A131))"),"Pinterest,Coursera,Bloomberg,Facebook,Amazon,Google")</f>
        <v>Pinterest,Coursera,Bloomberg,Facebook,Amazon,Google</v>
      </c>
      <c r="F131" s="39">
        <f ca="1">IFERROR(__xludf.DUMMYFUNCTION("""COMPUTED_VALUE"""),49.07)</f>
        <v>49.07</v>
      </c>
      <c r="G131" s="39" t="str">
        <f ca="1">IFERROR(__xludf.DUMMYFUNCTION("""COMPUTED_VALUE"""),"算法")</f>
        <v>算法</v>
      </c>
      <c r="H131" s="39">
        <v>130</v>
      </c>
    </row>
    <row r="132" spans="1:8" ht="12.75" hidden="1">
      <c r="A132" s="70">
        <v>115</v>
      </c>
      <c r="B132" s="65" t="str">
        <f ca="1">IFERROR(__xludf.DUMMYFUNCTION("IF(ISBLANK(A132),,FILTER('Leetcode List'!B:C,'Leetcode List'!A:A = A132))"),"Distinct Subsequences")</f>
        <v>Distinct Subsequences</v>
      </c>
      <c r="C132" s="62" t="str">
        <f ca="1">IFERROR(__xludf.DUMMYFUNCTION("""COMPUTED_VALUE"""),"Hard")</f>
        <v>Hard</v>
      </c>
      <c r="D132" s="62" t="s">
        <v>59</v>
      </c>
      <c r="E132" s="66" t="str">
        <f ca="1">IFERROR(__xludf.DUMMYFUNCTION("IF(ISBLANK(A132),,FILTER('Leetcode List'!E:G,'Leetcode List'!A:A = A132))"),"Barclays,Mathworks,Adobe,Amazon,Google")</f>
        <v>Barclays,Mathworks,Adobe,Amazon,Google</v>
      </c>
      <c r="F132" s="39">
        <f ca="1">IFERROR(__xludf.DUMMYFUNCTION("""COMPUTED_VALUE"""),37.77)</f>
        <v>37.770000000000003</v>
      </c>
      <c r="G132" s="39" t="str">
        <f ca="1">IFERROR(__xludf.DUMMYFUNCTION("""COMPUTED_VALUE"""),"算法")</f>
        <v>算法</v>
      </c>
      <c r="H132" s="39">
        <v>131</v>
      </c>
    </row>
    <row r="133" spans="1:8" ht="12.75" hidden="1">
      <c r="A133" s="70">
        <v>187</v>
      </c>
      <c r="B133" s="65" t="str">
        <f ca="1">IFERROR(__xludf.DUMMYFUNCTION("IF(ISBLANK(A133),,FILTER('Leetcode List'!B:C,'Leetcode List'!A:A = A133))"),"Repeated DNA Sequences")</f>
        <v>Repeated DNA Sequences</v>
      </c>
      <c r="C133" s="62" t="str">
        <f ca="1">IFERROR(__xludf.DUMMYFUNCTION("""COMPUTED_VALUE"""),"Medium")</f>
        <v>Medium</v>
      </c>
      <c r="D133" s="62" t="s">
        <v>59</v>
      </c>
      <c r="E133" s="66" t="str">
        <f ca="1">IFERROR(__xludf.DUMMYFUNCTION("IF(ISBLANK(A133),,FILTER('Leetcode List'!E:G,'Leetcode List'!A:A = A133))"),"Amazon,LinkedIn,Google")</f>
        <v>Amazon,LinkedIn,Google</v>
      </c>
      <c r="F133" s="39">
        <f ca="1">IFERROR(__xludf.DUMMYFUNCTION("""COMPUTED_VALUE"""),38.55)</f>
        <v>38.549999999999997</v>
      </c>
      <c r="G133" s="39" t="str">
        <f ca="1">IFERROR(__xludf.DUMMYFUNCTION("""COMPUTED_VALUE"""),"算法")</f>
        <v>算法</v>
      </c>
      <c r="H133" s="39">
        <v>132</v>
      </c>
    </row>
    <row r="134" spans="1:8" ht="25.5" hidden="1">
      <c r="A134" s="70">
        <v>7</v>
      </c>
      <c r="B134" s="65" t="str">
        <f ca="1">IFERROR(__xludf.DUMMYFUNCTION("IF(ISBLANK(A134),,FILTER('Leetcode List'!B:C,'Leetcode List'!A:A = A134))"),"Reverse Integer")</f>
        <v>Reverse Integer</v>
      </c>
      <c r="C134" s="61" t="str">
        <f ca="1">IFERROR(__xludf.DUMMYFUNCTION("""COMPUTED_VALUE"""),"Easy")</f>
        <v>Easy</v>
      </c>
      <c r="D134" s="61" t="s">
        <v>62</v>
      </c>
      <c r="E134" s="66" t="str">
        <f ca="1">IFERROR(__xludf.DUMMYFUNCTION("IF(ISBLANK(A134),,FILTER('Leetcode List'!E:G,'Leetcode List'!A:A = A134))"),"Barclays,JPMorgan,Oracle,NetEase,Lyft,Cisco,Apple,Uber,Yahoo,Bloomberg,Adobe,Facebook,Amazon,Microsoft,Google")</f>
        <v>Barclays,JPMorgan,Oracle,NetEase,Lyft,Cisco,Apple,Uber,Yahoo,Bloomberg,Adobe,Facebook,Amazon,Microsoft,Google</v>
      </c>
      <c r="F134" s="39">
        <f ca="1">IFERROR(__xludf.DUMMYFUNCTION("""COMPUTED_VALUE"""),25.74)</f>
        <v>25.74</v>
      </c>
      <c r="G134" s="39" t="str">
        <f ca="1">IFERROR(__xludf.DUMMYFUNCTION("""COMPUTED_VALUE"""),"算法")</f>
        <v>算法</v>
      </c>
      <c r="H134" s="39">
        <v>133</v>
      </c>
    </row>
    <row r="135" spans="1:8" ht="12.75" hidden="1">
      <c r="A135" s="70">
        <v>165</v>
      </c>
      <c r="B135" s="65" t="str">
        <f ca="1">IFERROR(__xludf.DUMMYFUNCTION("IF(ISBLANK(A135),,FILTER('Leetcode List'!B:C,'Leetcode List'!A:A = A135))"),"Compare Version Numbers")</f>
        <v>Compare Version Numbers</v>
      </c>
      <c r="C135" s="61" t="str">
        <f ca="1">IFERROR(__xludf.DUMMYFUNCTION("""COMPUTED_VALUE"""),"Medium")</f>
        <v>Medium</v>
      </c>
      <c r="D135" s="61" t="s">
        <v>62</v>
      </c>
      <c r="E135" s="66" t="str">
        <f ca="1">IFERROR(__xludf.DUMMYFUNCTION("IF(ISBLANK(A135),,FILTER('Leetcode List'!E:G,'Leetcode List'!A:A = A135))"),"Arista Networks,Square,Apple,Amazon,Microsoft,Google")</f>
        <v>Arista Networks,Square,Apple,Amazon,Microsoft,Google</v>
      </c>
      <c r="F135" s="39">
        <f ca="1">IFERROR(__xludf.DUMMYFUNCTION("""COMPUTED_VALUE"""),26.84)</f>
        <v>26.84</v>
      </c>
      <c r="G135" s="39" t="str">
        <f ca="1">IFERROR(__xludf.DUMMYFUNCTION("""COMPUTED_VALUE"""),"算法")</f>
        <v>算法</v>
      </c>
      <c r="H135" s="39">
        <v>134</v>
      </c>
    </row>
    <row r="136" spans="1:8" ht="12.75" hidden="1">
      <c r="A136" s="70">
        <v>66</v>
      </c>
      <c r="B136" s="65" t="str">
        <f ca="1">IFERROR(__xludf.DUMMYFUNCTION("IF(ISBLANK(A136),,FILTER('Leetcode List'!B:C,'Leetcode List'!A:A = A136))"),"Plus One")</f>
        <v>Plus One</v>
      </c>
      <c r="C136" s="61" t="str">
        <f ca="1">IFERROR(__xludf.DUMMYFUNCTION("""COMPUTED_VALUE"""),"Easy")</f>
        <v>Easy</v>
      </c>
      <c r="D136" s="61" t="s">
        <v>62</v>
      </c>
      <c r="E136" s="66" t="str">
        <f ca="1">IFERROR(__xludf.DUMMYFUNCTION("IF(ISBLANK(A136),,FILTER('Leetcode List'!E:G,'Leetcode List'!A:A = A136))"),"Spotify,EBay,Uber,Bloomberg,Facebook,Amazon,Google")</f>
        <v>Spotify,EBay,Uber,Bloomberg,Facebook,Amazon,Google</v>
      </c>
      <c r="F136" s="39">
        <f ca="1">IFERROR(__xludf.DUMMYFUNCTION("""COMPUTED_VALUE"""),42.18)</f>
        <v>42.18</v>
      </c>
      <c r="G136" s="39" t="str">
        <f ca="1">IFERROR(__xludf.DUMMYFUNCTION("""COMPUTED_VALUE"""),"算法")</f>
        <v>算法</v>
      </c>
      <c r="H136" s="39">
        <v>135</v>
      </c>
    </row>
    <row r="137" spans="1:8" ht="38.25" hidden="1">
      <c r="A137" s="70">
        <v>8</v>
      </c>
      <c r="B137" s="65" t="str">
        <f ca="1">IFERROR(__xludf.DUMMYFUNCTION("IF(ISBLANK(A137),,FILTER('Leetcode List'!B:C,'Leetcode List'!A:A = A137))"),"String to Integer (atoi)")</f>
        <v>String to Integer (atoi)</v>
      </c>
      <c r="C137" s="61" t="str">
        <f ca="1">IFERROR(__xludf.DUMMYFUNCTION("""COMPUTED_VALUE"""),"Medium")</f>
        <v>Medium</v>
      </c>
      <c r="D137" s="61" t="s">
        <v>62</v>
      </c>
      <c r="E137" s="66" t="str">
        <f ca="1">IFERROR(__xludf.DUMMYFUNCTION("IF(ISBLANK(A137),,FILTER('Leetcode List'!E:G,'Leetcode List'!A:A = A137))"),"Citrix,Redfin,VMware,Citadel,Zillow,Nvidia,Oracle,Cisco,EBay,Apple,Uber,Tencent,SAP,Bloomberg,Adobe,Facebook,Amazon,LinkedIn,Microsoft,Goldman Sachs,Google")</f>
        <v>Citrix,Redfin,VMware,Citadel,Zillow,Nvidia,Oracle,Cisco,EBay,Apple,Uber,Tencent,SAP,Bloomberg,Adobe,Facebook,Amazon,LinkedIn,Microsoft,Goldman Sachs,Google</v>
      </c>
      <c r="F137" s="39">
        <f ca="1">IFERROR(__xludf.DUMMYFUNCTION("""COMPUTED_VALUE"""),15.27)</f>
        <v>15.27</v>
      </c>
      <c r="G137" s="39" t="str">
        <f ca="1">IFERROR(__xludf.DUMMYFUNCTION("""COMPUTED_VALUE"""),"算法")</f>
        <v>算法</v>
      </c>
      <c r="H137" s="39">
        <v>136</v>
      </c>
    </row>
    <row r="138" spans="1:8" ht="12.75" hidden="1">
      <c r="A138" s="70">
        <v>258</v>
      </c>
      <c r="B138" s="65" t="str">
        <f ca="1">IFERROR(__xludf.DUMMYFUNCTION("IF(ISBLANK(A138),,FILTER('Leetcode List'!B:C,'Leetcode List'!A:A = A138))"),"Add Digits")</f>
        <v>Add Digits</v>
      </c>
      <c r="C138" s="61" t="str">
        <f ca="1">IFERROR(__xludf.DUMMYFUNCTION("""COMPUTED_VALUE"""),"Easy")</f>
        <v>Easy</v>
      </c>
      <c r="D138" s="61" t="s">
        <v>62</v>
      </c>
      <c r="E138" s="66" t="str">
        <f ca="1">IFERROR(__xludf.DUMMYFUNCTION("IF(ISBLANK(A138),,FILTER('Leetcode List'!E:G,'Leetcode List'!A:A = A138))"),"Apple,Bloomberg,Adobe,Microsoft")</f>
        <v>Apple,Bloomberg,Adobe,Microsoft</v>
      </c>
      <c r="F138" s="39">
        <f ca="1">IFERROR(__xludf.DUMMYFUNCTION("""COMPUTED_VALUE"""),56.25)</f>
        <v>56.25</v>
      </c>
      <c r="G138" s="39" t="str">
        <f ca="1">IFERROR(__xludf.DUMMYFUNCTION("""COMPUTED_VALUE"""),"算法")</f>
        <v>算法</v>
      </c>
      <c r="H138" s="39">
        <v>137</v>
      </c>
    </row>
    <row r="139" spans="1:8" ht="12.75" hidden="1">
      <c r="A139" s="70">
        <v>67</v>
      </c>
      <c r="B139" s="65" t="str">
        <f ca="1">IFERROR(__xludf.DUMMYFUNCTION("IF(ISBLANK(A139),,FILTER('Leetcode List'!B:C,'Leetcode List'!A:A = A139))"),"Add Binary")</f>
        <v>Add Binary</v>
      </c>
      <c r="C139" s="61" t="str">
        <f ca="1">IFERROR(__xludf.DUMMYFUNCTION("""COMPUTED_VALUE"""),"Easy")</f>
        <v>Easy</v>
      </c>
      <c r="D139" s="61" t="s">
        <v>62</v>
      </c>
      <c r="E139" s="66" t="str">
        <f ca="1">IFERROR(__xludf.DUMMYFUNCTION("IF(ISBLANK(A139),,FILTER('Leetcode List'!E:G,'Leetcode List'!A:A = A139))"),"Oracle,Apple,Adobe,Facebook,Amazon,Microsoft,Google")</f>
        <v>Oracle,Apple,Adobe,Facebook,Amazon,Microsoft,Google</v>
      </c>
      <c r="F139" s="39">
        <f ca="1">IFERROR(__xludf.DUMMYFUNCTION("""COMPUTED_VALUE"""),43.8)</f>
        <v>43.8</v>
      </c>
      <c r="G139" s="39" t="str">
        <f ca="1">IFERROR(__xludf.DUMMYFUNCTION("""COMPUTED_VALUE"""),"算法")</f>
        <v>算法</v>
      </c>
      <c r="H139" s="39">
        <v>138</v>
      </c>
    </row>
    <row r="140" spans="1:8" ht="38.25" hidden="1">
      <c r="A140" s="70">
        <v>43</v>
      </c>
      <c r="B140" s="65" t="str">
        <f ca="1">IFERROR(__xludf.DUMMYFUNCTION("IF(ISBLANK(A140),,FILTER('Leetcode List'!B:C,'Leetcode List'!A:A = A140))"),"Multiply Strings")</f>
        <v>Multiply Strings</v>
      </c>
      <c r="C140" s="61" t="str">
        <f ca="1">IFERROR(__xludf.DUMMYFUNCTION("""COMPUTED_VALUE"""),"Medium")</f>
        <v>Medium</v>
      </c>
      <c r="D140" s="61" t="s">
        <v>62</v>
      </c>
      <c r="E140" s="66" t="str">
        <f ca="1">IFERROR(__xludf.DUMMYFUNCTION("IF(ISBLANK(A140),,FILTER('Leetcode List'!E:G,'Leetcode List'!A:A = A140))"),"Houzz,Redfin,Walmart Labs,Zillow,Twitter,Expedia,Oracle,Mathworks,Huawei,Apple,Uber,Facebook,Amazon,Microsoft,Google")</f>
        <v>Houzz,Redfin,Walmart Labs,Zillow,Twitter,Expedia,Oracle,Mathworks,Huawei,Apple,Uber,Facebook,Amazon,Microsoft,Google</v>
      </c>
      <c r="F140" s="39">
        <f ca="1">IFERROR(__xludf.DUMMYFUNCTION("""COMPUTED_VALUE"""),33.49)</f>
        <v>33.49</v>
      </c>
      <c r="G140" s="39" t="str">
        <f ca="1">IFERROR(__xludf.DUMMYFUNCTION("""COMPUTED_VALUE"""),"算法")</f>
        <v>算法</v>
      </c>
      <c r="H140" s="39">
        <v>139</v>
      </c>
    </row>
    <row r="141" spans="1:8" ht="38.25" hidden="1">
      <c r="A141" s="70">
        <v>29</v>
      </c>
      <c r="B141" s="65" t="str">
        <f ca="1">IFERROR(__xludf.DUMMYFUNCTION("IF(ISBLANK(A141),,FILTER('Leetcode List'!B:C,'Leetcode List'!A:A = A141))"),"Divide Two Integers")</f>
        <v>Divide Two Integers</v>
      </c>
      <c r="C141" s="61" t="str">
        <f ca="1">IFERROR(__xludf.DUMMYFUNCTION("""COMPUTED_VALUE"""),"Medium")</f>
        <v>Medium</v>
      </c>
      <c r="D141" s="61" t="s">
        <v>62</v>
      </c>
      <c r="E141" s="66" t="str">
        <f ca="1">IFERROR(__xludf.DUMMYFUNCTION("IF(ISBLANK(A141),,FILTER('Leetcode List'!E:G,'Leetcode List'!A:A = A141))"),"Riot Games,Oracle,Apple,Bloomberg,Adobe,Facebook,Amazon,Microsoft,Google")</f>
        <v>Riot Games,Oracle,Apple,Bloomberg,Adobe,Facebook,Amazon,Microsoft,Google</v>
      </c>
      <c r="F141" s="39">
        <f ca="1">IFERROR(__xludf.DUMMYFUNCTION("""COMPUTED_VALUE"""),16.32)</f>
        <v>16.32</v>
      </c>
      <c r="G141" s="39" t="str">
        <f ca="1">IFERROR(__xludf.DUMMYFUNCTION("""COMPUTED_VALUE"""),"算法")</f>
        <v>算法</v>
      </c>
      <c r="H141" s="39">
        <v>140</v>
      </c>
    </row>
    <row r="142" spans="1:8" ht="25.5" hidden="1">
      <c r="A142" s="70">
        <v>69</v>
      </c>
      <c r="B142" s="65" t="str">
        <f ca="1">IFERROR(__xludf.DUMMYFUNCTION("IF(ISBLANK(A142),,FILTER('Leetcode List'!B:C,'Leetcode List'!A:A = A142))"),"Sqrt(x)")</f>
        <v>Sqrt(x)</v>
      </c>
      <c r="C142" s="61" t="str">
        <f ca="1">IFERROR(__xludf.DUMMYFUNCTION("""COMPUTED_VALUE"""),"Easy")</f>
        <v>Easy</v>
      </c>
      <c r="D142" s="61" t="s">
        <v>62</v>
      </c>
      <c r="E142" s="66" t="str">
        <f ca="1">IFERROR(__xludf.DUMMYFUNCTION("IF(ISBLANK(A142),,FILTER('Leetcode List'!E:G,'Leetcode List'!A:A = A142))"),"Qualtrics,Wayfair,Lyft,Huawei,Apple,Uber,Bloomberg,Facebook,Amazon,LinkedIn,Microsoft,Google")</f>
        <v>Qualtrics,Wayfair,Lyft,Huawei,Apple,Uber,Bloomberg,Facebook,Amazon,LinkedIn,Microsoft,Google</v>
      </c>
      <c r="F142" s="39">
        <f ca="1">IFERROR(__xludf.DUMMYFUNCTION("""COMPUTED_VALUE"""),33.61)</f>
        <v>33.61</v>
      </c>
      <c r="G142" s="39" t="str">
        <f ca="1">IFERROR(__xludf.DUMMYFUNCTION("""COMPUTED_VALUE"""),"算法")</f>
        <v>算法</v>
      </c>
      <c r="H142" s="39">
        <v>141</v>
      </c>
    </row>
    <row r="143" spans="1:8" ht="38.25" hidden="1">
      <c r="A143" s="70">
        <v>50</v>
      </c>
      <c r="B143" s="65" t="str">
        <f ca="1">IFERROR(__xludf.DUMMYFUNCTION("IF(ISBLANK(A143),,FILTER('Leetcode List'!B:C,'Leetcode List'!A:A = A143))"),"Pow(x, n)")</f>
        <v>Pow(x, n)</v>
      </c>
      <c r="C143" s="61" t="str">
        <f ca="1">IFERROR(__xludf.DUMMYFUNCTION("""COMPUTED_VALUE"""),"Medium")</f>
        <v>Medium</v>
      </c>
      <c r="D143" s="61" t="s">
        <v>62</v>
      </c>
      <c r="E143" s="66" t="str">
        <f ca="1">IFERROR(__xludf.DUMMYFUNCTION("IF(ISBLANK(A143),,FILTER('Leetcode List'!E:G,'Leetcode List'!A:A = A143))"),"Asana,Walmart Labs,Oracle,Apple,Uber,Morgan Stanley,Bloomberg,Adobe,Facebook,Amazon,LinkedIn,Microsoft,Goldman Sachs,Google")</f>
        <v>Asana,Walmart Labs,Oracle,Apple,Uber,Morgan Stanley,Bloomberg,Adobe,Facebook,Amazon,LinkedIn,Microsoft,Goldman Sachs,Google</v>
      </c>
      <c r="F143" s="39">
        <f ca="1">IFERROR(__xludf.DUMMYFUNCTION("""COMPUTED_VALUE"""),29.56)</f>
        <v>29.56</v>
      </c>
      <c r="G143" s="39" t="str">
        <f ca="1">IFERROR(__xludf.DUMMYFUNCTION("""COMPUTED_VALUE"""),"算法")</f>
        <v>算法</v>
      </c>
      <c r="H143" s="39">
        <v>142</v>
      </c>
    </row>
    <row r="144" spans="1:8" ht="12.75" hidden="1">
      <c r="A144" s="70">
        <v>367</v>
      </c>
      <c r="B144" s="65" t="str">
        <f ca="1">IFERROR(__xludf.DUMMYFUNCTION("IF(ISBLANK(A144),,FILTER('Leetcode List'!B:C,'Leetcode List'!A:A = A144))"),"Valid Perfect Square")</f>
        <v>Valid Perfect Square</v>
      </c>
      <c r="C144" s="61" t="str">
        <f ca="1">IFERROR(__xludf.DUMMYFUNCTION("""COMPUTED_VALUE"""),"Easy")</f>
        <v>Easy</v>
      </c>
      <c r="D144" s="61" t="s">
        <v>62</v>
      </c>
      <c r="E144" s="66" t="str">
        <f ca="1">IFERROR(__xludf.DUMMYFUNCTION("IF(ISBLANK(A144),,FILTER('Leetcode List'!E:G,'Leetcode List'!A:A = A144))"),"Amazon,LinkedIn,Microsoft,Google")</f>
        <v>Amazon,LinkedIn,Microsoft,Google</v>
      </c>
      <c r="F144" s="39">
        <f ca="1">IFERROR(__xludf.DUMMYFUNCTION("""COMPUTED_VALUE"""),41.52)</f>
        <v>41.52</v>
      </c>
      <c r="G144" s="39" t="str">
        <f ca="1">IFERROR(__xludf.DUMMYFUNCTION("""COMPUTED_VALUE"""),"算法")</f>
        <v>算法</v>
      </c>
      <c r="H144" s="39">
        <v>143</v>
      </c>
    </row>
    <row r="145" spans="1:8" ht="12.75" hidden="1">
      <c r="A145" s="70">
        <v>365</v>
      </c>
      <c r="B145" s="65" t="str">
        <f ca="1">IFERROR(__xludf.DUMMYFUNCTION("IF(ISBLANK(A145),,FILTER('Leetcode List'!B:C,'Leetcode List'!A:A = A145))"),"Water and Jug Problem")</f>
        <v>Water and Jug Problem</v>
      </c>
      <c r="C145" s="61" t="str">
        <f ca="1">IFERROR(__xludf.DUMMYFUNCTION("""COMPUTED_VALUE"""),"Medium")</f>
        <v>Medium</v>
      </c>
      <c r="D145" s="61" t="s">
        <v>62</v>
      </c>
      <c r="E145" s="66" t="str">
        <f ca="1">IFERROR(__xludf.DUMMYFUNCTION("IF(ISBLANK(A145),,FILTER('Leetcode List'!E:G,'Leetcode List'!A:A = A145))"),"Lyft,Uber,Amazon,Microsoft,Google")</f>
        <v>Lyft,Uber,Amazon,Microsoft,Google</v>
      </c>
      <c r="F145" s="39">
        <f ca="1">IFERROR(__xludf.DUMMYFUNCTION("""COMPUTED_VALUE"""),30.42)</f>
        <v>30.42</v>
      </c>
      <c r="G145" s="39" t="str">
        <f ca="1">IFERROR(__xludf.DUMMYFUNCTION("""COMPUTED_VALUE"""),"算法")</f>
        <v>算法</v>
      </c>
      <c r="H145" s="39">
        <v>144</v>
      </c>
    </row>
    <row r="146" spans="1:8" ht="38.25" hidden="1">
      <c r="A146" s="70">
        <v>204</v>
      </c>
      <c r="B146" s="65" t="str">
        <f ca="1">IFERROR(__xludf.DUMMYFUNCTION("IF(ISBLANK(A146),,FILTER('Leetcode List'!B:C,'Leetcode List'!A:A = A146))"),"Count Primes")</f>
        <v>Count Primes</v>
      </c>
      <c r="C146" s="61" t="str">
        <f ca="1">IFERROR(__xludf.DUMMYFUNCTION("""COMPUTED_VALUE"""),"Easy")</f>
        <v>Easy</v>
      </c>
      <c r="D146" s="61" t="s">
        <v>62</v>
      </c>
      <c r="E146" s="66" t="str">
        <f ca="1">IFERROR(__xludf.DUMMYFUNCTION("IF(ISBLANK(A146),,FILTER('Leetcode List'!E:G,'Leetcode List'!A:A = A146))"),"Capital One,Intel,Oracle,Yandex,EBay,Apple,Yahoo,Bloomberg,Adobe,Facebook,Amazon,Microsoft,Goldman Sachs,Google")</f>
        <v>Capital One,Intel,Oracle,Yandex,EBay,Apple,Yahoo,Bloomberg,Adobe,Facebook,Amazon,Microsoft,Goldman Sachs,Google</v>
      </c>
      <c r="F146" s="39">
        <f ca="1">IFERROR(__xludf.DUMMYFUNCTION("""COMPUTED_VALUE"""),31.23)</f>
        <v>31.23</v>
      </c>
      <c r="G146" s="39" t="str">
        <f ca="1">IFERROR(__xludf.DUMMYFUNCTION("""COMPUTED_VALUE"""),"算法")</f>
        <v>算法</v>
      </c>
      <c r="H146" s="39">
        <v>145</v>
      </c>
    </row>
    <row r="147" spans="1:8" ht="153" hidden="1">
      <c r="A147" s="70">
        <v>1</v>
      </c>
      <c r="B147" s="65" t="str">
        <f ca="1">IFERROR(__xludf.DUMMYFUNCTION("IF(ISBLANK(A147),,FILTER('Leetcode List'!B:C,'Leetcode List'!A:A = A147))"),"Two Sum")</f>
        <v>Two Sum</v>
      </c>
      <c r="C147" s="61" t="str">
        <f ca="1">IFERROR(__xludf.DUMMYFUNCTION("""COMPUTED_VALUE"""),"Easy")</f>
        <v>Easy</v>
      </c>
      <c r="D147" s="61" t="s">
        <v>62</v>
      </c>
      <c r="E147" s="66" t="str">
        <f ca="1">IFERROR(__xludf.DUMMYFUNCTION("IF(ISBLANK(A147),,FILTER('Leetcode List'!E:G,'Leetcode List'!A:A = A147))"),"Roblox,Audible,Splunk,ByteDance,FactSet,Twilio,Qualcomm,GE Digital,Capital One,EMC,Deutsche Bank,Tableau,Salesforce,Groupon,Zynga,Intel,Booking.com,Drawbridge,Visa,VMware,Box,Citadel,Quora,Affirm,Walmart Labs,Dropbox,GoDaddy,Snapchat,MAQ Software,Indeed,R"&amp;"adius,Works Applications,JPMorgan,Zillow,Paypal,Twitter,ServiceNow,Expedia,Wish,Yelp,Nvidia,Zoho,Oracle,NetEase,Spotify,Intuit,IBM,Lyft,Cisco,Mathworks,DiDi,Yandex,Huawei,EBay,BlackRock,Baidu,Valve,Apple,Airbnb,Uber,Yahoo,Samsung,Tencent,SAP,Morgan Stanle"&amp;"y,Aetion,Bloomberg,Adobe,Facebook,Amazon,LinkedIn,Microsoft,Alibaba,Goldman Sachs,Google")</f>
        <v>Roblox,Audible,Splunk,ByteDance,FactSet,Twilio,Qualcomm,GE Digital,Capital One,EMC,Deutsche Bank,Tableau,Salesforce,Groupon,Zynga,Intel,Booking.com,Drawbridge,Visa,VMware,Box,Citadel,Quora,Affirm,Walmart Labs,Dropbox,GoDaddy,Snapchat,MAQ Software,Indeed,Radius,Works Applications,JPMorgan,Zillow,Paypal,Twitter,ServiceNow,Expedia,Wish,Yelp,Nvidia,Zoho,Oracle,NetEase,Spotify,Intuit,IBM,Lyft,Cisco,Mathworks,DiDi,Yandex,Huawei,EBay,BlackRock,Baidu,Valve,Apple,Airbnb,Uber,Yahoo,Samsung,Tencent,SAP,Morgan Stanley,Aetion,Bloomberg,Adobe,Facebook,Amazon,LinkedIn,Microsoft,Alibaba,Goldman Sachs,Google</v>
      </c>
      <c r="F147" s="39">
        <f ca="1">IFERROR(__xludf.DUMMYFUNCTION("""COMPUTED_VALUE"""),45.47)</f>
        <v>45.47</v>
      </c>
      <c r="G147" s="39" t="str">
        <f ca="1">IFERROR(__xludf.DUMMYFUNCTION("""COMPUTED_VALUE"""),"算法")</f>
        <v>算法</v>
      </c>
      <c r="H147" s="39">
        <v>146</v>
      </c>
    </row>
    <row r="148" spans="1:8" ht="38.25" hidden="1">
      <c r="A148" s="70">
        <v>167</v>
      </c>
      <c r="B148" s="65" t="str">
        <f ca="1">IFERROR(__xludf.DUMMYFUNCTION("IF(ISBLANK(A148),,FILTER('Leetcode List'!B:C,'Leetcode List'!A:A = A148))"),"Two Sum II - Input array is sorted")</f>
        <v>Two Sum II - Input array is sorted</v>
      </c>
      <c r="C148" s="61" t="str">
        <f ca="1">IFERROR(__xludf.DUMMYFUNCTION("""COMPUTED_VALUE"""),"Easy")</f>
        <v>Easy</v>
      </c>
      <c r="D148" s="61" t="s">
        <v>62</v>
      </c>
      <c r="E148" s="66" t="str">
        <f ca="1">IFERROR(__xludf.DUMMYFUNCTION("IF(ISBLANK(A148),,FILTER('Leetcode List'!E:G,'Leetcode List'!A:A = A148))"),"Wayfair,Pure Storage,ByteDance,Paypal,Expedia,Apple,Facebook,Amazon,Microsoft,Goldman Sachs,Google")</f>
        <v>Wayfair,Pure Storage,ByteDance,Paypal,Expedia,Apple,Facebook,Amazon,Microsoft,Goldman Sachs,Google</v>
      </c>
      <c r="F148" s="39">
        <f ca="1">IFERROR(__xludf.DUMMYFUNCTION("""COMPUTED_VALUE"""),53.57)</f>
        <v>53.57</v>
      </c>
      <c r="G148" s="39" t="str">
        <f ca="1">IFERROR(__xludf.DUMMYFUNCTION("""COMPUTED_VALUE"""),"算法")</f>
        <v>算法</v>
      </c>
      <c r="H148" s="39">
        <v>147</v>
      </c>
    </row>
    <row r="149" spans="1:8" ht="76.5" hidden="1">
      <c r="A149" s="70">
        <v>15</v>
      </c>
      <c r="B149" s="65" t="str">
        <f ca="1">IFERROR(__xludf.DUMMYFUNCTION("IF(ISBLANK(A149),,FILTER('Leetcode List'!B:C,'Leetcode List'!A:A = A149))"),"3Sum")</f>
        <v>3Sum</v>
      </c>
      <c r="C149" s="61" t="str">
        <f ca="1">IFERROR(__xludf.DUMMYFUNCTION("""COMPUTED_VALUE"""),"Medium")</f>
        <v>Medium</v>
      </c>
      <c r="D149" s="61" t="s">
        <v>62</v>
      </c>
      <c r="E149" s="66" t="str">
        <f ca="1">IFERROR(__xludf.DUMMYFUNCTION("IF(ISBLANK(A149),,FILTER('Leetcode List'!E:G,'Leetcode List'!A:A = A149))"),"DoorDash,Postmates,Akuna Capital,Square,Qualtrics,Coursera,Citrix,Splunk,ByteDance,Salesforce,Groupon,Visa,VMware,Citadel,Quora,Walmart Labs,Snapchat,Works Applications,Paypal,Expedia,Zoho,Oracle,IBM,Cisco,Mathworks,Yandex,EBay,Baidu,Apple,Uber,Yahoo,Tenc"&amp;"ent,Bloomberg,Adobe,Facebook,Amazon,Microsoft,Alibaba,Goldman Sachs,Google")</f>
        <v>DoorDash,Postmates,Akuna Capital,Square,Qualtrics,Coursera,Citrix,Splunk,ByteDance,Salesforce,Groupon,Visa,VMware,Citadel,Quora,Walmart Labs,Snapchat,Works Applications,Paypal,Expedia,Zoho,Oracle,IBM,Cisco,Mathworks,Yandex,EBay,Baidu,Apple,Uber,Yahoo,Tencent,Bloomberg,Adobe,Facebook,Amazon,Microsoft,Alibaba,Goldman Sachs,Google</v>
      </c>
      <c r="F149" s="39">
        <f ca="1">IFERROR(__xludf.DUMMYFUNCTION("""COMPUTED_VALUE"""),26.31)</f>
        <v>26.31</v>
      </c>
      <c r="G149" s="39" t="str">
        <f ca="1">IFERROR(__xludf.DUMMYFUNCTION("""COMPUTED_VALUE"""),"算法")</f>
        <v>算法</v>
      </c>
      <c r="H149" s="39">
        <v>148</v>
      </c>
    </row>
    <row r="150" spans="1:8" ht="25.5" hidden="1">
      <c r="A150" s="70">
        <v>16</v>
      </c>
      <c r="B150" s="65" t="str">
        <f ca="1">IFERROR(__xludf.DUMMYFUNCTION("IF(ISBLANK(A150),,FILTER('Leetcode List'!B:C,'Leetcode List'!A:A = A150))"),"3Sum Closest")</f>
        <v>3Sum Closest</v>
      </c>
      <c r="C150" s="61" t="str">
        <f ca="1">IFERROR(__xludf.DUMMYFUNCTION("""COMPUTED_VALUE"""),"Medium")</f>
        <v>Medium</v>
      </c>
      <c r="D150" s="61" t="s">
        <v>62</v>
      </c>
      <c r="E150" s="66" t="str">
        <f ca="1">IFERROR(__xludf.DUMMYFUNCTION("IF(ISBLANK(A150),,FILTER('Leetcode List'!E:G,'Leetcode List'!A:A = A150))"),"VMware,Yandex,Apple,Uber,SAP,Bloomberg,Adobe,Facebook,Amazon,Microsoft,Goldman Sachs,Google")</f>
        <v>VMware,Yandex,Apple,Uber,SAP,Bloomberg,Adobe,Facebook,Amazon,Microsoft,Goldman Sachs,Google</v>
      </c>
      <c r="F150" s="39">
        <f ca="1">IFERROR(__xludf.DUMMYFUNCTION("""COMPUTED_VALUE"""),45.87)</f>
        <v>45.87</v>
      </c>
      <c r="G150" s="39" t="str">
        <f ca="1">IFERROR(__xludf.DUMMYFUNCTION("""COMPUTED_VALUE"""),"算法")</f>
        <v>算法</v>
      </c>
      <c r="H150" s="39">
        <v>149</v>
      </c>
    </row>
    <row r="151" spans="1:8" ht="12.75" hidden="1">
      <c r="A151" s="70">
        <v>259</v>
      </c>
      <c r="B151" s="65" t="str">
        <f ca="1">IFERROR(__xludf.DUMMYFUNCTION("IF(ISBLANK(A151),,FILTER('Leetcode List'!B:C,'Leetcode List'!A:A = A151))"),"3Sum Smaller")</f>
        <v>3Sum Smaller</v>
      </c>
      <c r="C151" s="61" t="str">
        <f ca="1">IFERROR(__xludf.DUMMYFUNCTION("""COMPUTED_VALUE"""),"Medium")</f>
        <v>Medium</v>
      </c>
      <c r="D151" s="61" t="s">
        <v>62</v>
      </c>
      <c r="E151" s="66" t="str">
        <f ca="1">IFERROR(__xludf.DUMMYFUNCTION("IF(ISBLANK(A151),,FILTER('Leetcode List'!E:G,'Leetcode List'!A:A = A151))"),"IBM,Mathworks,Google")</f>
        <v>IBM,Mathworks,Google</v>
      </c>
      <c r="F151" s="39">
        <f ca="1">IFERROR(__xludf.DUMMYFUNCTION("""COMPUTED_VALUE"""),47.26)</f>
        <v>47.26</v>
      </c>
      <c r="G151" s="39" t="str">
        <f ca="1">IFERROR(__xludf.DUMMYFUNCTION("""COMPUTED_VALUE"""),"算法")</f>
        <v>算法</v>
      </c>
      <c r="H151" s="39">
        <v>150</v>
      </c>
    </row>
    <row r="152" spans="1:8" ht="12.75" hidden="1">
      <c r="A152" s="70">
        <v>18</v>
      </c>
      <c r="B152" s="65" t="str">
        <f ca="1">IFERROR(__xludf.DUMMYFUNCTION("IF(ISBLANK(A152),,FILTER('Leetcode List'!B:C,'Leetcode List'!A:A = A152))"),"4Sum")</f>
        <v>4Sum</v>
      </c>
      <c r="C152" s="61" t="str">
        <f ca="1">IFERROR(__xludf.DUMMYFUNCTION("""COMPUTED_VALUE"""),"Medium")</f>
        <v>Medium</v>
      </c>
      <c r="D152" s="61" t="s">
        <v>62</v>
      </c>
      <c r="E152" s="66" t="str">
        <f ca="1">IFERROR(__xludf.DUMMYFUNCTION("IF(ISBLANK(A152),,FILTER('Leetcode List'!E:G,'Leetcode List'!A:A = A152))"),"Apple,Yahoo,Bloomberg,Adobe,Facebook,Amazon,Microsoft,Google")</f>
        <v>Apple,Yahoo,Bloomberg,Adobe,Facebook,Amazon,Microsoft,Google</v>
      </c>
      <c r="F152" s="39">
        <f ca="1">IFERROR(__xludf.DUMMYFUNCTION("""COMPUTED_VALUE"""),33.28)</f>
        <v>33.28</v>
      </c>
      <c r="G152" s="39" t="str">
        <f ca="1">IFERROR(__xludf.DUMMYFUNCTION("""COMPUTED_VALUE"""),"算法")</f>
        <v>算法</v>
      </c>
      <c r="H152" s="39">
        <v>151</v>
      </c>
    </row>
    <row r="153" spans="1:8" ht="12.75" hidden="1">
      <c r="A153" s="70">
        <v>231</v>
      </c>
      <c r="B153" s="65" t="str">
        <f ca="1">IFERROR(__xludf.DUMMYFUNCTION("IF(ISBLANK(A153),,FILTER('Leetcode List'!B:C,'Leetcode List'!A:A = A153))"),"Power of Two")</f>
        <v>Power of Two</v>
      </c>
      <c r="C153" s="61" t="str">
        <f ca="1">IFERROR(__xludf.DUMMYFUNCTION("""COMPUTED_VALUE"""),"Easy")</f>
        <v>Easy</v>
      </c>
      <c r="D153" s="61" t="s">
        <v>62</v>
      </c>
      <c r="E153" s="66" t="str">
        <f ca="1">IFERROR(__xludf.DUMMYFUNCTION("IF(ISBLANK(A153),,FILTER('Leetcode List'!E:G,'Leetcode List'!A:A = A153))"),"Nvidia,Apple,Amazon,Microsoft,Google")</f>
        <v>Nvidia,Apple,Amazon,Microsoft,Google</v>
      </c>
      <c r="F153" s="39">
        <f ca="1">IFERROR(__xludf.DUMMYFUNCTION("""COMPUTED_VALUE"""),43.62)</f>
        <v>43.62</v>
      </c>
      <c r="G153" s="39" t="str">
        <f ca="1">IFERROR(__xludf.DUMMYFUNCTION("""COMPUTED_VALUE"""),"算法")</f>
        <v>算法</v>
      </c>
      <c r="H153" s="39">
        <v>152</v>
      </c>
    </row>
    <row r="154" spans="1:8" ht="12.75" hidden="1">
      <c r="A154" s="70">
        <v>326</v>
      </c>
      <c r="B154" s="65" t="str">
        <f ca="1">IFERROR(__xludf.DUMMYFUNCTION("IF(ISBLANK(A154),,FILTER('Leetcode List'!B:C,'Leetcode List'!A:A = A154))"),"Power of Three")</f>
        <v>Power of Three</v>
      </c>
      <c r="C154" s="61" t="str">
        <f ca="1">IFERROR(__xludf.DUMMYFUNCTION("""COMPUTED_VALUE"""),"Easy")</f>
        <v>Easy</v>
      </c>
      <c r="D154" s="61" t="s">
        <v>62</v>
      </c>
      <c r="E154" s="66" t="str">
        <f ca="1">IFERROR(__xludf.DUMMYFUNCTION("IF(ISBLANK(A154),,FILTER('Leetcode List'!E:G,'Leetcode List'!A:A = A154))"),"Hulu,Apple,Goldman Sachs,Google")</f>
        <v>Hulu,Apple,Goldman Sachs,Google</v>
      </c>
      <c r="F154" s="39">
        <f ca="1">IFERROR(__xludf.DUMMYFUNCTION("""COMPUTED_VALUE"""),42.03)</f>
        <v>42.03</v>
      </c>
      <c r="G154" s="39" t="str">
        <f ca="1">IFERROR(__xludf.DUMMYFUNCTION("""COMPUTED_VALUE"""),"算法")</f>
        <v>算法</v>
      </c>
      <c r="H154" s="39">
        <v>153</v>
      </c>
    </row>
    <row r="155" spans="1:8" ht="12.75" hidden="1">
      <c r="A155" s="70">
        <v>342</v>
      </c>
      <c r="B155" s="65" t="str">
        <f ca="1">IFERROR(__xludf.DUMMYFUNCTION("IF(ISBLANK(A155),,FILTER('Leetcode List'!B:C,'Leetcode List'!A:A = A155))"),"Power of Four")</f>
        <v>Power of Four</v>
      </c>
      <c r="C155" s="61" t="str">
        <f ca="1">IFERROR(__xludf.DUMMYFUNCTION("""COMPUTED_VALUE"""),"Easy")</f>
        <v>Easy</v>
      </c>
      <c r="D155" s="61" t="s">
        <v>62</v>
      </c>
      <c r="E155" s="66" t="str">
        <f ca="1">IFERROR(__xludf.DUMMYFUNCTION("IF(ISBLANK(A155),,FILTER('Leetcode List'!E:G,'Leetcode List'!A:A = A155))"),"Two Sigma,Uber")</f>
        <v>Two Sigma,Uber</v>
      </c>
      <c r="F155" s="39">
        <f ca="1">IFERROR(__xludf.DUMMYFUNCTION("""COMPUTED_VALUE"""),41.47)</f>
        <v>41.47</v>
      </c>
      <c r="G155" s="39" t="str">
        <f ca="1">IFERROR(__xludf.DUMMYFUNCTION("""COMPUTED_VALUE"""),"算法")</f>
        <v>算法</v>
      </c>
      <c r="H155" s="39">
        <v>154</v>
      </c>
    </row>
    <row r="156" spans="1:8" ht="12.75" hidden="1">
      <c r="A156" s="70">
        <v>372</v>
      </c>
      <c r="B156" s="65" t="str">
        <f ca="1">IFERROR(__xludf.DUMMYFUNCTION("IF(ISBLANK(A156),,FILTER('Leetcode List'!B:C,'Leetcode List'!A:A = A156))"),"Super Pow")</f>
        <v>Super Pow</v>
      </c>
      <c r="C156" s="61" t="str">
        <f ca="1">IFERROR(__xludf.DUMMYFUNCTION("""COMPUTED_VALUE"""),"Medium")</f>
        <v>Medium</v>
      </c>
      <c r="D156" s="61" t="s">
        <v>62</v>
      </c>
      <c r="E156" s="66" t="str">
        <f ca="1">IFERROR(__xludf.DUMMYFUNCTION("IF(ISBLANK(A156),,FILTER('Leetcode List'!E:G,'Leetcode List'!A:A = A156))"),"")</f>
        <v/>
      </c>
      <c r="F156" s="39">
        <f ca="1">IFERROR(__xludf.DUMMYFUNCTION("""COMPUTED_VALUE"""),36.22)</f>
        <v>36.22</v>
      </c>
      <c r="G156" s="39" t="str">
        <f ca="1">IFERROR(__xludf.DUMMYFUNCTION("""COMPUTED_VALUE"""),"算法")</f>
        <v>算法</v>
      </c>
      <c r="H156" s="39">
        <v>155</v>
      </c>
    </row>
    <row r="157" spans="1:8" ht="12.75" hidden="1">
      <c r="A157" s="70">
        <v>233</v>
      </c>
      <c r="B157" s="65" t="str">
        <f ca="1">IFERROR(__xludf.DUMMYFUNCTION("IF(ISBLANK(A157),,FILTER('Leetcode List'!B:C,'Leetcode List'!A:A = A157))"),"Number of Digit One")</f>
        <v>Number of Digit One</v>
      </c>
      <c r="C157" s="61" t="str">
        <f ca="1">IFERROR(__xludf.DUMMYFUNCTION("""COMPUTED_VALUE"""),"Hard")</f>
        <v>Hard</v>
      </c>
      <c r="D157" s="61" t="s">
        <v>62</v>
      </c>
      <c r="E157" s="66" t="str">
        <f ca="1">IFERROR(__xludf.DUMMYFUNCTION("IF(ISBLANK(A157),,FILTER('Leetcode List'!E:G,'Leetcode List'!A:A = A157))"),"Apple,Amazon")</f>
        <v>Apple,Amazon</v>
      </c>
      <c r="F157" s="39">
        <f ca="1">IFERROR(__xludf.DUMMYFUNCTION("""COMPUTED_VALUE"""),31.19)</f>
        <v>31.19</v>
      </c>
      <c r="G157" s="39" t="str">
        <f ca="1">IFERROR(__xludf.DUMMYFUNCTION("""COMPUTED_VALUE"""),"算法")</f>
        <v>算法</v>
      </c>
      <c r="H157" s="39">
        <v>156</v>
      </c>
    </row>
    <row r="158" spans="1:8" ht="12.75" hidden="1">
      <c r="A158" s="70">
        <v>319</v>
      </c>
      <c r="B158" s="65" t="str">
        <f ca="1">IFERROR(__xludf.DUMMYFUNCTION("IF(ISBLANK(A158),,FILTER('Leetcode List'!B:C,'Leetcode List'!A:A = A158))"),"Bulb Switcher")</f>
        <v>Bulb Switcher</v>
      </c>
      <c r="C158" s="61" t="str">
        <f ca="1">IFERROR(__xludf.DUMMYFUNCTION("""COMPUTED_VALUE"""),"Medium")</f>
        <v>Medium</v>
      </c>
      <c r="D158" s="61" t="s">
        <v>62</v>
      </c>
      <c r="E158" s="66" t="str">
        <f ca="1">IFERROR(__xludf.DUMMYFUNCTION("IF(ISBLANK(A158),,FILTER('Leetcode List'!E:G,'Leetcode List'!A:A = A158))"),"Mathworks,Facebook,Amazon")</f>
        <v>Mathworks,Facebook,Amazon</v>
      </c>
      <c r="F158" s="39">
        <f ca="1">IFERROR(__xludf.DUMMYFUNCTION("""COMPUTED_VALUE"""),45.34)</f>
        <v>45.34</v>
      </c>
      <c r="G158" s="39" t="str">
        <f ca="1">IFERROR(__xludf.DUMMYFUNCTION("""COMPUTED_VALUE"""),"算法")</f>
        <v>算法</v>
      </c>
      <c r="H158" s="39">
        <v>157</v>
      </c>
    </row>
    <row r="159" spans="1:8" ht="12.75" hidden="1">
      <c r="A159" s="70">
        <v>292</v>
      </c>
      <c r="B159" s="65" t="str">
        <f ca="1">IFERROR(__xludf.DUMMYFUNCTION("IF(ISBLANK(A159),,FILTER('Leetcode List'!B:C,'Leetcode List'!A:A = A159))"),"Nim Game")</f>
        <v>Nim Game</v>
      </c>
      <c r="C159" s="61" t="str">
        <f ca="1">IFERROR(__xludf.DUMMYFUNCTION("""COMPUTED_VALUE"""),"Easy")</f>
        <v>Easy</v>
      </c>
      <c r="D159" s="61" t="s">
        <v>62</v>
      </c>
      <c r="E159" s="66" t="str">
        <f ca="1">IFERROR(__xludf.DUMMYFUNCTION("IF(ISBLANK(A159),,FILTER('Leetcode List'!E:G,'Leetcode List'!A:A = A159))"),"Bloomberg,Adobe")</f>
        <v>Bloomberg,Adobe</v>
      </c>
      <c r="F159" s="39">
        <f ca="1">IFERROR(__xludf.DUMMYFUNCTION("""COMPUTED_VALUE"""),55.46)</f>
        <v>55.46</v>
      </c>
      <c r="G159" s="39" t="str">
        <f ca="1">IFERROR(__xludf.DUMMYFUNCTION("""COMPUTED_VALUE"""),"算法")</f>
        <v>算法</v>
      </c>
      <c r="H159" s="39">
        <v>158</v>
      </c>
    </row>
    <row r="160" spans="1:8" ht="25.5" hidden="1">
      <c r="A160" s="70">
        <v>202</v>
      </c>
      <c r="B160" s="65" t="str">
        <f ca="1">IFERROR(__xludf.DUMMYFUNCTION("IF(ISBLANK(A160),,FILTER('Leetcode List'!B:C,'Leetcode List'!A:A = A160))"),"Happy Number")</f>
        <v>Happy Number</v>
      </c>
      <c r="C160" s="61" t="str">
        <f ca="1">IFERROR(__xludf.DUMMYFUNCTION("""COMPUTED_VALUE"""),"Easy")</f>
        <v>Easy</v>
      </c>
      <c r="D160" s="61" t="s">
        <v>62</v>
      </c>
      <c r="E160" s="66" t="str">
        <f ca="1">IFERROR(__xludf.DUMMYFUNCTION("IF(ISBLANK(A160),,FILTER('Leetcode List'!E:G,'Leetcode List'!A:A = A160))"),"Nutanix,Pinterest,Evernote,JPMorgan,Twitter,Apple,Airbnb,Uber,Bloomberg,Adobe,Facebook,Amazon,Microsoft,Google")</f>
        <v>Nutanix,Pinterest,Evernote,JPMorgan,Twitter,Apple,Airbnb,Uber,Bloomberg,Adobe,Facebook,Amazon,Microsoft,Google</v>
      </c>
      <c r="F160" s="39">
        <f ca="1">IFERROR(__xludf.DUMMYFUNCTION("""COMPUTED_VALUE"""),50.12)</f>
        <v>50.12</v>
      </c>
      <c r="G160" s="39" t="str">
        <f ca="1">IFERROR(__xludf.DUMMYFUNCTION("""COMPUTED_VALUE"""),"算法")</f>
        <v>算法</v>
      </c>
      <c r="H160" s="39">
        <v>159</v>
      </c>
    </row>
    <row r="161" spans="1:8" ht="12.75" hidden="1">
      <c r="A161" s="70">
        <v>400</v>
      </c>
      <c r="B161" s="65" t="str">
        <f ca="1">IFERROR(__xludf.DUMMYFUNCTION("IF(ISBLANK(A161),,FILTER('Leetcode List'!B:C,'Leetcode List'!A:A = A161))"),"Nth Digit")</f>
        <v>Nth Digit</v>
      </c>
      <c r="C161" s="61" t="str">
        <f ca="1">IFERROR(__xludf.DUMMYFUNCTION("""COMPUTED_VALUE"""),"Medium")</f>
        <v>Medium</v>
      </c>
      <c r="D161" s="61" t="s">
        <v>62</v>
      </c>
      <c r="E161" s="66" t="str">
        <f ca="1">IFERROR(__xludf.DUMMYFUNCTION("IF(ISBLANK(A161),,FILTER('Leetcode List'!E:G,'Leetcode List'!A:A = A161))"),"Facebook,Google")</f>
        <v>Facebook,Google</v>
      </c>
      <c r="F161" s="39">
        <f ca="1">IFERROR(__xludf.DUMMYFUNCTION("""COMPUTED_VALUE"""),31.43)</f>
        <v>31.43</v>
      </c>
      <c r="G161" s="39" t="str">
        <f ca="1">IFERROR(__xludf.DUMMYFUNCTION("""COMPUTED_VALUE"""),"算法")</f>
        <v>算法</v>
      </c>
      <c r="H161" s="39">
        <v>160</v>
      </c>
    </row>
    <row r="162" spans="1:8" ht="12.75" hidden="1">
      <c r="A162" s="70">
        <v>263</v>
      </c>
      <c r="B162" s="65" t="str">
        <f ca="1">IFERROR(__xludf.DUMMYFUNCTION("IF(ISBLANK(A162),,FILTER('Leetcode List'!B:C,'Leetcode List'!A:A = A162))"),"Ugly Number")</f>
        <v>Ugly Number</v>
      </c>
      <c r="C162" s="61" t="str">
        <f ca="1">IFERROR(__xludf.DUMMYFUNCTION("""COMPUTED_VALUE"""),"Easy")</f>
        <v>Easy</v>
      </c>
      <c r="D162" s="61" t="s">
        <v>62</v>
      </c>
      <c r="E162" s="66" t="str">
        <f ca="1">IFERROR(__xludf.DUMMYFUNCTION("IF(ISBLANK(A162),,FILTER('Leetcode List'!E:G,'Leetcode List'!A:A = A162))"),"")</f>
        <v/>
      </c>
      <c r="F162" s="39">
        <f ca="1">IFERROR(__xludf.DUMMYFUNCTION("""COMPUTED_VALUE"""),41.31)</f>
        <v>41.31</v>
      </c>
      <c r="G162" s="39" t="str">
        <f ca="1">IFERROR(__xludf.DUMMYFUNCTION("""COMPUTED_VALUE"""),"算法")</f>
        <v>算法</v>
      </c>
      <c r="H162" s="39">
        <v>161</v>
      </c>
    </row>
    <row r="163" spans="1:8" ht="12.75" hidden="1">
      <c r="A163" s="70">
        <v>264</v>
      </c>
      <c r="B163" s="65" t="str">
        <f ca="1">IFERROR(__xludf.DUMMYFUNCTION("IF(ISBLANK(A163),,FILTER('Leetcode List'!B:C,'Leetcode List'!A:A = A163))"),"Ugly Number II")</f>
        <v>Ugly Number II</v>
      </c>
      <c r="C163" s="61" t="str">
        <f ca="1">IFERROR(__xludf.DUMMYFUNCTION("""COMPUTED_VALUE"""),"Medium")</f>
        <v>Medium</v>
      </c>
      <c r="D163" s="61" t="s">
        <v>62</v>
      </c>
      <c r="E163" s="66" t="str">
        <f ca="1">IFERROR(__xludf.DUMMYFUNCTION("IF(ISBLANK(A163),,FILTER('Leetcode List'!E:G,'Leetcode List'!A:A = A163))"),"Oracle,Uber,Amazon,Google")</f>
        <v>Oracle,Uber,Amazon,Google</v>
      </c>
      <c r="F163" s="39">
        <f ca="1">IFERROR(__xludf.DUMMYFUNCTION("""COMPUTED_VALUE"""),39.63)</f>
        <v>39.630000000000003</v>
      </c>
      <c r="G163" s="39" t="str">
        <f ca="1">IFERROR(__xludf.DUMMYFUNCTION("""COMPUTED_VALUE"""),"算法")</f>
        <v>算法</v>
      </c>
      <c r="H163" s="39">
        <v>162</v>
      </c>
    </row>
    <row r="164" spans="1:8" ht="12.75" hidden="1">
      <c r="A164" s="70">
        <v>306</v>
      </c>
      <c r="B164" s="65" t="str">
        <f ca="1">IFERROR(__xludf.DUMMYFUNCTION("IF(ISBLANK(A164),,FILTER('Leetcode List'!B:C,'Leetcode List'!A:A = A164))"),"Additive Number")</f>
        <v>Additive Number</v>
      </c>
      <c r="C164" s="61" t="str">
        <f ca="1">IFERROR(__xludf.DUMMYFUNCTION("""COMPUTED_VALUE"""),"Medium")</f>
        <v>Medium</v>
      </c>
      <c r="D164" s="61" t="s">
        <v>62</v>
      </c>
      <c r="E164" s="66" t="str">
        <f ca="1">IFERROR(__xludf.DUMMYFUNCTION("IF(ISBLANK(A164),,FILTER('Leetcode List'!E:G,'Leetcode List'!A:A = A164))"),"Epic Systems")</f>
        <v>Epic Systems</v>
      </c>
      <c r="F164" s="39">
        <f ca="1">IFERROR(__xludf.DUMMYFUNCTION("""COMPUTED_VALUE"""),29.18)</f>
        <v>29.18</v>
      </c>
      <c r="G164" s="39" t="str">
        <f ca="1">IFERROR(__xludf.DUMMYFUNCTION("""COMPUTED_VALUE"""),"算法")</f>
        <v>算法</v>
      </c>
      <c r="H164" s="39">
        <v>163</v>
      </c>
    </row>
    <row r="165" spans="1:8" ht="12.75" hidden="1">
      <c r="A165" s="70">
        <v>172</v>
      </c>
      <c r="B165" s="65" t="str">
        <f ca="1">IFERROR(__xludf.DUMMYFUNCTION("IF(ISBLANK(A165),,FILTER('Leetcode List'!B:C,'Leetcode List'!A:A = A165))"),"Factorial Trailing Zeroes")</f>
        <v>Factorial Trailing Zeroes</v>
      </c>
      <c r="C165" s="61" t="str">
        <f ca="1">IFERROR(__xludf.DUMMYFUNCTION("""COMPUTED_VALUE"""),"Easy")</f>
        <v>Easy</v>
      </c>
      <c r="D165" s="61" t="s">
        <v>62</v>
      </c>
      <c r="E165" s="66" t="str">
        <f ca="1">IFERROR(__xludf.DUMMYFUNCTION("IF(ISBLANK(A165),,FILTER('Leetcode List'!E:G,'Leetcode List'!A:A = A165))"),"Bloomberg,Facebook,Amazon,Microsoft")</f>
        <v>Bloomberg,Facebook,Amazon,Microsoft</v>
      </c>
      <c r="F165" s="39">
        <f ca="1">IFERROR(__xludf.DUMMYFUNCTION("""COMPUTED_VALUE"""),37.72)</f>
        <v>37.72</v>
      </c>
      <c r="G165" s="39" t="str">
        <f ca="1">IFERROR(__xludf.DUMMYFUNCTION("""COMPUTED_VALUE"""),"算法")</f>
        <v>算法</v>
      </c>
      <c r="H165" s="39">
        <v>164</v>
      </c>
    </row>
    <row r="166" spans="1:8" ht="12.75" hidden="1">
      <c r="A166" s="70">
        <v>343</v>
      </c>
      <c r="B166" s="65" t="str">
        <f ca="1">IFERROR(__xludf.DUMMYFUNCTION("IF(ISBLANK(A166),,FILTER('Leetcode List'!B:C,'Leetcode List'!A:A = A166))"),"Integer Break")</f>
        <v>Integer Break</v>
      </c>
      <c r="C166" s="61" t="str">
        <f ca="1">IFERROR(__xludf.DUMMYFUNCTION("""COMPUTED_VALUE"""),"Medium")</f>
        <v>Medium</v>
      </c>
      <c r="D166" s="61" t="s">
        <v>62</v>
      </c>
      <c r="E166" s="66" t="str">
        <f ca="1">IFERROR(__xludf.DUMMYFUNCTION("IF(ISBLANK(A166),,FILTER('Leetcode List'!E:G,'Leetcode List'!A:A = A166))"),"Apple,Google")</f>
        <v>Apple,Google</v>
      </c>
      <c r="F166" s="39">
        <f ca="1">IFERROR(__xludf.DUMMYFUNCTION("""COMPUTED_VALUE"""),49.88)</f>
        <v>49.88</v>
      </c>
      <c r="G166" s="39" t="str">
        <f ca="1">IFERROR(__xludf.DUMMYFUNCTION("""COMPUTED_VALUE"""),"算法")</f>
        <v>算法</v>
      </c>
      <c r="H166" s="39">
        <v>165</v>
      </c>
    </row>
    <row r="167" spans="1:8" ht="12.75" hidden="1">
      <c r="A167" s="70">
        <v>396</v>
      </c>
      <c r="B167" s="65" t="str">
        <f ca="1">IFERROR(__xludf.DUMMYFUNCTION("IF(ISBLANK(A167),,FILTER('Leetcode List'!B:C,'Leetcode List'!A:A = A167))"),"Rotate Function")</f>
        <v>Rotate Function</v>
      </c>
      <c r="C167" s="61" t="str">
        <f ca="1">IFERROR(__xludf.DUMMYFUNCTION("""COMPUTED_VALUE"""),"Medium")</f>
        <v>Medium</v>
      </c>
      <c r="D167" s="61" t="s">
        <v>62</v>
      </c>
      <c r="E167" s="66" t="str">
        <f ca="1">IFERROR(__xludf.DUMMYFUNCTION("IF(ISBLANK(A167),,FILTER('Leetcode List'!E:G,'Leetcode List'!A:A = A167))"),"Amazon")</f>
        <v>Amazon</v>
      </c>
      <c r="F167" s="39">
        <f ca="1">IFERROR(__xludf.DUMMYFUNCTION("""COMPUTED_VALUE"""),36.12)</f>
        <v>36.119999999999997</v>
      </c>
      <c r="G167" s="39" t="str">
        <f ca="1">IFERROR(__xludf.DUMMYFUNCTION("""COMPUTED_VALUE"""),"算法")</f>
        <v>算法</v>
      </c>
      <c r="H167" s="39">
        <v>166</v>
      </c>
    </row>
    <row r="168" spans="1:8" ht="12.75" hidden="1">
      <c r="A168" s="70">
        <v>390</v>
      </c>
      <c r="B168" s="65" t="str">
        <f ca="1">IFERROR(__xludf.DUMMYFUNCTION("IF(ISBLANK(A168),,FILTER('Leetcode List'!B:C,'Leetcode List'!A:A = A168))"),"Elimination Game")</f>
        <v>Elimination Game</v>
      </c>
      <c r="C168" s="61" t="str">
        <f ca="1">IFERROR(__xludf.DUMMYFUNCTION("""COMPUTED_VALUE"""),"Medium")</f>
        <v>Medium</v>
      </c>
      <c r="D168" s="61" t="s">
        <v>62</v>
      </c>
      <c r="E168" s="66" t="str">
        <f ca="1">IFERROR(__xludf.DUMMYFUNCTION("IF(ISBLANK(A168),,FILTER('Leetcode List'!E:G,'Leetcode List'!A:A = A168))"),"Quora,Bloomberg,Amazon")</f>
        <v>Quora,Bloomberg,Amazon</v>
      </c>
      <c r="F168" s="39">
        <f ca="1">IFERROR(__xludf.DUMMYFUNCTION("""COMPUTED_VALUE"""),44.41)</f>
        <v>44.41</v>
      </c>
      <c r="G168" s="39" t="str">
        <f ca="1">IFERROR(__xludf.DUMMYFUNCTION("""COMPUTED_VALUE"""),"算法")</f>
        <v>算法</v>
      </c>
      <c r="H168" s="39">
        <v>167</v>
      </c>
    </row>
    <row r="169" spans="1:8" ht="12.75" hidden="1">
      <c r="A169" s="70">
        <v>386</v>
      </c>
      <c r="B169" s="65" t="str">
        <f ca="1">IFERROR(__xludf.DUMMYFUNCTION("IF(ISBLANK(A169),,FILTER('Leetcode List'!B:C,'Leetcode List'!A:A = A169))"),"Lexicographical Numbers")</f>
        <v>Lexicographical Numbers</v>
      </c>
      <c r="C169" s="61" t="str">
        <f ca="1">IFERROR(__xludf.DUMMYFUNCTION("""COMPUTED_VALUE"""),"Medium")</f>
        <v>Medium</v>
      </c>
      <c r="D169" s="61" t="s">
        <v>62</v>
      </c>
      <c r="E169" s="66" t="str">
        <f ca="1">IFERROR(__xludf.DUMMYFUNCTION("IF(ISBLANK(A169),,FILTER('Leetcode List'!E:G,'Leetcode List'!A:A = A169))"),"Bloomberg,Adobe,Google")</f>
        <v>Bloomberg,Adobe,Google</v>
      </c>
      <c r="F169" s="39">
        <f ca="1">IFERROR(__xludf.DUMMYFUNCTION("""COMPUTED_VALUE"""),50.77)</f>
        <v>50.77</v>
      </c>
      <c r="G169" s="39" t="str">
        <f ca="1">IFERROR(__xludf.DUMMYFUNCTION("""COMPUTED_VALUE"""),"算法")</f>
        <v>算法</v>
      </c>
      <c r="H169" s="39">
        <v>168</v>
      </c>
    </row>
    <row r="170" spans="1:8" ht="12.75" hidden="1">
      <c r="A170" s="70">
        <v>357</v>
      </c>
      <c r="B170" s="65" t="str">
        <f ca="1">IFERROR(__xludf.DUMMYFUNCTION("IF(ISBLANK(A170),,FILTER('Leetcode List'!B:C,'Leetcode List'!A:A = A170))"),"Count Numbers with Unique Digits")</f>
        <v>Count Numbers with Unique Digits</v>
      </c>
      <c r="C170" s="61" t="str">
        <f ca="1">IFERROR(__xludf.DUMMYFUNCTION("""COMPUTED_VALUE"""),"Medium")</f>
        <v>Medium</v>
      </c>
      <c r="D170" s="61" t="s">
        <v>62</v>
      </c>
      <c r="E170" s="66" t="str">
        <f ca="1">IFERROR(__xludf.DUMMYFUNCTION("IF(ISBLANK(A170),,FILTER('Leetcode List'!E:G,'Leetcode List'!A:A = A170))"),"Google")</f>
        <v>Google</v>
      </c>
      <c r="F170" s="39">
        <f ca="1">IFERROR(__xludf.DUMMYFUNCTION("""COMPUTED_VALUE"""),48.13)</f>
        <v>48.13</v>
      </c>
      <c r="G170" s="39" t="str">
        <f ca="1">IFERROR(__xludf.DUMMYFUNCTION("""COMPUTED_VALUE"""),"算法")</f>
        <v>算法</v>
      </c>
      <c r="H170" s="39">
        <v>169</v>
      </c>
    </row>
    <row r="171" spans="1:8" ht="12.75" hidden="1">
      <c r="A171" s="70">
        <v>360</v>
      </c>
      <c r="B171" s="65" t="str">
        <f ca="1">IFERROR(__xludf.DUMMYFUNCTION("IF(ISBLANK(A171),,FILTER('Leetcode List'!B:C,'Leetcode List'!A:A = A171))"),"Sort Transformed Array")</f>
        <v>Sort Transformed Array</v>
      </c>
      <c r="C171" s="61" t="str">
        <f ca="1">IFERROR(__xludf.DUMMYFUNCTION("""COMPUTED_VALUE"""),"Medium")</f>
        <v>Medium</v>
      </c>
      <c r="D171" s="61" t="s">
        <v>62</v>
      </c>
      <c r="E171" s="66" t="str">
        <f ca="1">IFERROR(__xludf.DUMMYFUNCTION("IF(ISBLANK(A171),,FILTER('Leetcode List'!E:G,'Leetcode List'!A:A = A171))"),"Facebook,Google")</f>
        <v>Facebook,Google</v>
      </c>
      <c r="F171" s="39">
        <f ca="1">IFERROR(__xludf.DUMMYFUNCTION("""COMPUTED_VALUE"""),48.53)</f>
        <v>48.53</v>
      </c>
      <c r="G171" s="39" t="str">
        <f ca="1">IFERROR(__xludf.DUMMYFUNCTION("""COMPUTED_VALUE"""),"算法")</f>
        <v>算法</v>
      </c>
      <c r="H171" s="39">
        <v>170</v>
      </c>
    </row>
    <row r="172" spans="1:8" ht="12.75" hidden="1">
      <c r="A172" s="70">
        <v>397</v>
      </c>
      <c r="B172" s="65" t="str">
        <f ca="1">IFERROR(__xludf.DUMMYFUNCTION("IF(ISBLANK(A172),,FILTER('Leetcode List'!B:C,'Leetcode List'!A:A = A172))"),"Integer Replacement")</f>
        <v>Integer Replacement</v>
      </c>
      <c r="C172" s="61" t="str">
        <f ca="1">IFERROR(__xludf.DUMMYFUNCTION("""COMPUTED_VALUE"""),"Medium")</f>
        <v>Medium</v>
      </c>
      <c r="D172" s="61" t="s">
        <v>62</v>
      </c>
      <c r="E172" s="66" t="str">
        <f ca="1">IFERROR(__xludf.DUMMYFUNCTION("IF(ISBLANK(A172),,FILTER('Leetcode List'!E:G,'Leetcode List'!A:A = A172))"),"Baidu,Bloomberg,Amazon,Microsoft,Google")</f>
        <v>Baidu,Bloomberg,Amazon,Microsoft,Google</v>
      </c>
      <c r="F172" s="39">
        <f ca="1">IFERROR(__xludf.DUMMYFUNCTION("""COMPUTED_VALUE"""),32.66)</f>
        <v>32.659999999999997</v>
      </c>
      <c r="G172" s="39" t="str">
        <f ca="1">IFERROR(__xludf.DUMMYFUNCTION("""COMPUTED_VALUE"""),"算法")</f>
        <v>算法</v>
      </c>
      <c r="H172" s="39">
        <v>171</v>
      </c>
    </row>
    <row r="173" spans="1:8" ht="12.75" hidden="1">
      <c r="A173" s="70">
        <v>368</v>
      </c>
      <c r="B173" s="65" t="str">
        <f ca="1">IFERROR(__xludf.DUMMYFUNCTION("IF(ISBLANK(A173),,FILTER('Leetcode List'!B:C,'Leetcode List'!A:A = A173))"),"Largest Divisible Subset")</f>
        <v>Largest Divisible Subset</v>
      </c>
      <c r="C173" s="61" t="str">
        <f ca="1">IFERROR(__xludf.DUMMYFUNCTION("""COMPUTED_VALUE"""),"Medium")</f>
        <v>Medium</v>
      </c>
      <c r="D173" s="61" t="s">
        <v>62</v>
      </c>
      <c r="E173" s="66" t="str">
        <f ca="1">IFERROR(__xludf.DUMMYFUNCTION("IF(ISBLANK(A173),,FILTER('Leetcode List'!E:G,'Leetcode List'!A:A = A173))"),"Adobe,Amazon,Google")</f>
        <v>Adobe,Amazon,Google</v>
      </c>
      <c r="F173" s="39">
        <f ca="1">IFERROR(__xludf.DUMMYFUNCTION("""COMPUTED_VALUE"""),37.96)</f>
        <v>37.96</v>
      </c>
      <c r="G173" s="39" t="str">
        <f ca="1">IFERROR(__xludf.DUMMYFUNCTION("""COMPUTED_VALUE"""),"算法")</f>
        <v>算法</v>
      </c>
      <c r="H173" s="39">
        <v>172</v>
      </c>
    </row>
    <row r="174" spans="1:8" ht="14.25" hidden="1">
      <c r="A174" s="70">
        <v>144</v>
      </c>
      <c r="B174" s="65" t="str">
        <f ca="1">IFERROR(__xludf.DUMMYFUNCTION("IF(ISBLANK(A174),,FILTER('Leetcode List'!B:C,'Leetcode List'!A:A = A174))"),"Binary Tree Preorder Traversal")</f>
        <v>Binary Tree Preorder Traversal</v>
      </c>
      <c r="C174" s="61" t="str">
        <f ca="1">IFERROR(__xludf.DUMMYFUNCTION("""COMPUTED_VALUE"""),"Medium")</f>
        <v>Medium</v>
      </c>
      <c r="D174" s="61" t="s">
        <v>414</v>
      </c>
      <c r="E174" s="66" t="str">
        <f ca="1">IFERROR(__xludf.DUMMYFUNCTION("IF(ISBLANK(A174),,FILTER('Leetcode List'!E:G,'Leetcode List'!A:A = A174))"),"Cisco,Bloomberg,Amazon,Microsoft,Google")</f>
        <v>Cisco,Bloomberg,Amazon,Microsoft,Google</v>
      </c>
      <c r="F174" s="39">
        <f ca="1">IFERROR(__xludf.DUMMYFUNCTION("""COMPUTED_VALUE"""),55.11)</f>
        <v>55.11</v>
      </c>
      <c r="G174" s="39" t="str">
        <f ca="1">IFERROR(__xludf.DUMMYFUNCTION("""COMPUTED_VALUE"""),"算法")</f>
        <v>算法</v>
      </c>
      <c r="H174" s="78">
        <v>173</v>
      </c>
    </row>
    <row r="175" spans="1:8" ht="25.5" hidden="1">
      <c r="A175" s="70">
        <v>94</v>
      </c>
      <c r="B175" s="65" t="str">
        <f ca="1">IFERROR(__xludf.DUMMYFUNCTION("IF(ISBLANK(A175),,FILTER('Leetcode List'!B:C,'Leetcode List'!A:A = A175))"),"Binary Tree Inorder Traversal")</f>
        <v>Binary Tree Inorder Traversal</v>
      </c>
      <c r="C175" s="61" t="str">
        <f ca="1">IFERROR(__xludf.DUMMYFUNCTION("""COMPUTED_VALUE"""),"Medium")</f>
        <v>Medium</v>
      </c>
      <c r="D175" s="61" t="s">
        <v>414</v>
      </c>
      <c r="E175" s="66" t="str">
        <f ca="1">IFERROR(__xludf.DUMMYFUNCTION("IF(ISBLANK(A175),,FILTER('Leetcode List'!E:G,'Leetcode List'!A:A = A175))"),"ByteDance,Oracle,EBay,Apple,Uber,SAP,Bloomberg,Facebook,Amazon,Microsoft,Alibaba,Google")</f>
        <v>ByteDance,Oracle,EBay,Apple,Uber,SAP,Bloomberg,Facebook,Amazon,Microsoft,Alibaba,Google</v>
      </c>
      <c r="F175" s="39">
        <f ca="1">IFERROR(__xludf.DUMMYFUNCTION("""COMPUTED_VALUE"""),62.53)</f>
        <v>62.53</v>
      </c>
      <c r="G175" s="39" t="str">
        <f ca="1">IFERROR(__xludf.DUMMYFUNCTION("""COMPUTED_VALUE"""),"算法")</f>
        <v>算法</v>
      </c>
      <c r="H175" s="78">
        <v>174</v>
      </c>
    </row>
    <row r="176" spans="1:8" ht="14.25" hidden="1">
      <c r="A176" s="70">
        <v>145</v>
      </c>
      <c r="B176" s="65" t="str">
        <f ca="1">IFERROR(__xludf.DUMMYFUNCTION("IF(ISBLANK(A176),,FILTER('Leetcode List'!B:C,'Leetcode List'!A:A = A176))"),"Binary Tree Postorder Traversal")</f>
        <v>Binary Tree Postorder Traversal</v>
      </c>
      <c r="C176" s="61" t="str">
        <f ca="1">IFERROR(__xludf.DUMMYFUNCTION("""COMPUTED_VALUE"""),"Hard")</f>
        <v>Hard</v>
      </c>
      <c r="D176" s="61" t="s">
        <v>414</v>
      </c>
      <c r="E176" s="66" t="str">
        <f ca="1">IFERROR(__xludf.DUMMYFUNCTION("IF(ISBLANK(A176),,FILTER('Leetcode List'!E:G,'Leetcode List'!A:A = A176))"),"Uber,Adobe,Facebook,Amazon,Google")</f>
        <v>Uber,Adobe,Facebook,Amazon,Google</v>
      </c>
      <c r="F176" s="39">
        <f ca="1">IFERROR(__xludf.DUMMYFUNCTION("""COMPUTED_VALUE"""),54.14)</f>
        <v>54.14</v>
      </c>
      <c r="G176" s="39" t="str">
        <f ca="1">IFERROR(__xludf.DUMMYFUNCTION("""COMPUTED_VALUE"""),"算法")</f>
        <v>算法</v>
      </c>
      <c r="H176" s="78">
        <v>175</v>
      </c>
    </row>
    <row r="177" spans="1:8" ht="51" hidden="1">
      <c r="A177" s="70">
        <v>102</v>
      </c>
      <c r="B177" s="65" t="str">
        <f ca="1">IFERROR(__xludf.DUMMYFUNCTION("IF(ISBLANK(A177),,FILTER('Leetcode List'!B:C,'Leetcode List'!A:A = A177))"),"Binary Tree Level Order Traversal")</f>
        <v>Binary Tree Level Order Traversal</v>
      </c>
      <c r="C177" s="61" t="str">
        <f ca="1">IFERROR(__xludf.DUMMYFUNCTION("""COMPUTED_VALUE"""),"Medium")</f>
        <v>Medium</v>
      </c>
      <c r="D177" s="61" t="s">
        <v>414</v>
      </c>
      <c r="E177" s="66" t="str">
        <f ca="1">IFERROR(__xludf.DUMMYFUNCTION("IF(ISBLANK(A177),,FILTER('Leetcode List'!E:G,'Leetcode List'!A:A = A177))"),"Atlassian,VMware,Citadel,Walmart Labs,Expedia,Oracle,Cisco,Mathworks,EBay,Apple,Uber,Yahoo,SAP,Bloomberg,Adobe,Facebook,Amazon,LinkedIn,Microsoft,Alibaba,Google")</f>
        <v>Atlassian,VMware,Citadel,Walmart Labs,Expedia,Oracle,Cisco,Mathworks,EBay,Apple,Uber,Yahoo,SAP,Bloomberg,Adobe,Facebook,Amazon,LinkedIn,Microsoft,Alibaba,Google</v>
      </c>
      <c r="F177" s="39">
        <f ca="1">IFERROR(__xludf.DUMMYFUNCTION("""COMPUTED_VALUE"""),53.8)</f>
        <v>53.8</v>
      </c>
      <c r="G177" s="39" t="str">
        <f ca="1">IFERROR(__xludf.DUMMYFUNCTION("""COMPUTED_VALUE"""),"算法")</f>
        <v>算法</v>
      </c>
      <c r="H177" s="78">
        <v>176</v>
      </c>
    </row>
    <row r="178" spans="1:8" ht="12.75" hidden="1">
      <c r="A178" s="70">
        <v>100</v>
      </c>
      <c r="B178" s="65" t="str">
        <f ca="1">IFERROR(__xludf.DUMMYFUNCTION("IF(ISBLANK(A178),,FILTER('Leetcode List'!B:C,'Leetcode List'!A:A = A178))"),"Same Tree")</f>
        <v>Same Tree</v>
      </c>
      <c r="C178" s="61" t="str">
        <f ca="1">IFERROR(__xludf.DUMMYFUNCTION("""COMPUTED_VALUE"""),"Easy")</f>
        <v>Easy</v>
      </c>
      <c r="D178" s="61" t="s">
        <v>414</v>
      </c>
      <c r="E178" s="66" t="str">
        <f ca="1">IFERROR(__xludf.DUMMYFUNCTION("IF(ISBLANK(A178),,FILTER('Leetcode List'!E:G,'Leetcode List'!A:A = A178))"),"Apple,Bloomberg,Facebook,Amazon,LinkedIn,Microsoft,Google")</f>
        <v>Apple,Bloomberg,Facebook,Amazon,LinkedIn,Microsoft,Google</v>
      </c>
      <c r="F178" s="39">
        <f ca="1">IFERROR(__xludf.DUMMYFUNCTION("""COMPUTED_VALUE"""),52.49)</f>
        <v>52.49</v>
      </c>
      <c r="G178" s="39" t="str">
        <f ca="1">IFERROR(__xludf.DUMMYFUNCTION("""COMPUTED_VALUE"""),"算法")</f>
        <v>算法</v>
      </c>
      <c r="H178" s="39">
        <v>177</v>
      </c>
    </row>
    <row r="179" spans="1:8" ht="38.25" hidden="1">
      <c r="A179" s="70">
        <v>101</v>
      </c>
      <c r="B179" s="65" t="str">
        <f ca="1">IFERROR(__xludf.DUMMYFUNCTION("IF(ISBLANK(A179),,FILTER('Leetcode List'!B:C,'Leetcode List'!A:A = A179))"),"Symmetric Tree")</f>
        <v>Symmetric Tree</v>
      </c>
      <c r="C179" s="61" t="str">
        <f ca="1">IFERROR(__xludf.DUMMYFUNCTION("""COMPUTED_VALUE"""),"Easy")</f>
        <v>Easy</v>
      </c>
      <c r="D179" s="61" t="s">
        <v>414</v>
      </c>
      <c r="E179" s="66" t="str">
        <f ca="1">IFERROR(__xludf.DUMMYFUNCTION("IF(ISBLANK(A179),,FILTER('Leetcode List'!E:G,'Leetcode List'!A:A = A179))"),"TripAdvisor,Atlassian,Audible,Salesforce,Visa,Twitter,Oracle,Yandex,Apple,Uber,SAP,Bloomberg,Adobe,Facebook,Amazon,LinkedIn,Microsoft,Alibaba,Google")</f>
        <v>TripAdvisor,Atlassian,Audible,Salesforce,Visa,Twitter,Oracle,Yandex,Apple,Uber,SAP,Bloomberg,Adobe,Facebook,Amazon,LinkedIn,Microsoft,Alibaba,Google</v>
      </c>
      <c r="F179" s="39">
        <f ca="1">IFERROR(__xludf.DUMMYFUNCTION("""COMPUTED_VALUE"""),46.45)</f>
        <v>46.45</v>
      </c>
      <c r="G179" s="39" t="str">
        <f ca="1">IFERROR(__xludf.DUMMYFUNCTION("""COMPUTED_VALUE"""),"算法")</f>
        <v>算法</v>
      </c>
      <c r="H179" s="39">
        <v>178</v>
      </c>
    </row>
    <row r="180" spans="1:8" ht="25.5" hidden="1">
      <c r="A180" s="70">
        <v>226</v>
      </c>
      <c r="B180" s="65" t="str">
        <f ca="1">IFERROR(__xludf.DUMMYFUNCTION("IF(ISBLANK(A180),,FILTER('Leetcode List'!B:C,'Leetcode List'!A:A = A180))"),"Invert Binary Tree")</f>
        <v>Invert Binary Tree</v>
      </c>
      <c r="C180" s="61" t="str">
        <f ca="1">IFERROR(__xludf.DUMMYFUNCTION("""COMPUTED_VALUE"""),"Easy")</f>
        <v>Easy</v>
      </c>
      <c r="D180" s="61" t="s">
        <v>414</v>
      </c>
      <c r="E180" s="66" t="str">
        <f ca="1">IFERROR(__xludf.DUMMYFUNCTION("IF(ISBLANK(A180),,FILTER('Leetcode List'!E:G,'Leetcode List'!A:A = A180))"),"Salesforce,VMware,Apple,Uber,Bloomberg,Facebook,Amazon,Microsoft,Google")</f>
        <v>Salesforce,VMware,Apple,Uber,Bloomberg,Facebook,Amazon,Microsoft,Google</v>
      </c>
      <c r="F180" s="39">
        <f ca="1">IFERROR(__xludf.DUMMYFUNCTION("""COMPUTED_VALUE"""),64.33)</f>
        <v>64.33</v>
      </c>
      <c r="G180" s="39" t="str">
        <f ca="1">IFERROR(__xludf.DUMMYFUNCTION("""COMPUTED_VALUE"""),"算法")</f>
        <v>算法</v>
      </c>
      <c r="H180" s="39">
        <v>179</v>
      </c>
    </row>
    <row r="181" spans="1:8" ht="12.75" hidden="1">
      <c r="A181" s="70">
        <v>257</v>
      </c>
      <c r="B181" s="65" t="str">
        <f ca="1">IFERROR(__xludf.DUMMYFUNCTION("IF(ISBLANK(A181),,FILTER('Leetcode List'!B:C,'Leetcode List'!A:A = A181))"),"Binary Tree Paths")</f>
        <v>Binary Tree Paths</v>
      </c>
      <c r="C181" s="61" t="str">
        <f ca="1">IFERROR(__xludf.DUMMYFUNCTION("""COMPUTED_VALUE"""),"Easy")</f>
        <v>Easy</v>
      </c>
      <c r="D181" s="61" t="s">
        <v>414</v>
      </c>
      <c r="E181" s="66" t="str">
        <f ca="1">IFERROR(__xludf.DUMMYFUNCTION("IF(ISBLANK(A181),,FILTER('Leetcode List'!E:G,'Leetcode List'!A:A = A181))"),"Apple,Adobe,Facebook,Amazon,Microsoft,Google")</f>
        <v>Apple,Adobe,Facebook,Amazon,Microsoft,Google</v>
      </c>
      <c r="F181" s="39">
        <f ca="1">IFERROR(__xludf.DUMMYFUNCTION("""COMPUTED_VALUE"""),50.72)</f>
        <v>50.72</v>
      </c>
      <c r="G181" s="39" t="str">
        <f ca="1">IFERROR(__xludf.DUMMYFUNCTION("""COMPUTED_VALUE"""),"算法")</f>
        <v>算法</v>
      </c>
      <c r="H181" s="39">
        <v>180</v>
      </c>
    </row>
    <row r="182" spans="1:8" ht="25.5" hidden="1">
      <c r="A182" s="70">
        <v>112</v>
      </c>
      <c r="B182" s="65" t="str">
        <f ca="1">IFERROR(__xludf.DUMMYFUNCTION("IF(ISBLANK(A182),,FILTER('Leetcode List'!B:C,'Leetcode List'!A:A = A182))"),"Path Sum")</f>
        <v>Path Sum</v>
      </c>
      <c r="C182" s="61" t="str">
        <f ca="1">IFERROR(__xludf.DUMMYFUNCTION("""COMPUTED_VALUE"""),"Easy")</f>
        <v>Easy</v>
      </c>
      <c r="D182" s="61" t="s">
        <v>414</v>
      </c>
      <c r="E182" s="66" t="str">
        <f ca="1">IFERROR(__xludf.DUMMYFUNCTION("IF(ISBLANK(A182),,FILTER('Leetcode List'!E:G,'Leetcode List'!A:A = A182))"),"Zillow,Oracle,Apple,Yahoo,Bloomberg,Adobe,Facebook,Amazon,Microsoft")</f>
        <v>Zillow,Oracle,Apple,Yahoo,Bloomberg,Adobe,Facebook,Amazon,Microsoft</v>
      </c>
      <c r="F182" s="39">
        <f ca="1">IFERROR(__xludf.DUMMYFUNCTION("""COMPUTED_VALUE"""),40.74)</f>
        <v>40.74</v>
      </c>
      <c r="G182" s="39" t="str">
        <f ca="1">IFERROR(__xludf.DUMMYFUNCTION("""COMPUTED_VALUE"""),"算法")</f>
        <v>算法</v>
      </c>
      <c r="H182" s="39">
        <v>181</v>
      </c>
    </row>
    <row r="183" spans="1:8" ht="25.5" hidden="1">
      <c r="A183" s="70">
        <v>113</v>
      </c>
      <c r="B183" s="65" t="str">
        <f ca="1">IFERROR(__xludf.DUMMYFUNCTION("IF(ISBLANK(A183),,FILTER('Leetcode List'!B:C,'Leetcode List'!A:A = A183))"),"Path Sum II")</f>
        <v>Path Sum II</v>
      </c>
      <c r="C183" s="61" t="str">
        <f ca="1">IFERROR(__xludf.DUMMYFUNCTION("""COMPUTED_VALUE"""),"Medium")</f>
        <v>Medium</v>
      </c>
      <c r="D183" s="61" t="s">
        <v>414</v>
      </c>
      <c r="E183" s="66" t="str">
        <f ca="1">IFERROR(__xludf.DUMMYFUNCTION("IF(ISBLANK(A183),,FILTER('Leetcode List'!E:G,'Leetcode List'!A:A = A183))"),"VMware,Quora,Zillow,Oracle,Baidu,Apple,Bloomberg,Adobe,Facebook,Amazon,LinkedIn,Microsoft,Google")</f>
        <v>VMware,Quora,Zillow,Oracle,Baidu,Apple,Bloomberg,Adobe,Facebook,Amazon,LinkedIn,Microsoft,Google</v>
      </c>
      <c r="F183" s="39">
        <f ca="1">IFERROR(__xludf.DUMMYFUNCTION("""COMPUTED_VALUE"""),45.86)</f>
        <v>45.86</v>
      </c>
      <c r="G183" s="39" t="str">
        <f ca="1">IFERROR(__xludf.DUMMYFUNCTION("""COMPUTED_VALUE"""),"算法")</f>
        <v>算法</v>
      </c>
      <c r="H183" s="39">
        <v>182</v>
      </c>
    </row>
    <row r="184" spans="1:8" ht="12.75" hidden="1">
      <c r="A184" s="70">
        <v>129</v>
      </c>
      <c r="B184" s="65" t="str">
        <f ca="1">IFERROR(__xludf.DUMMYFUNCTION("IF(ISBLANK(A184),,FILTER('Leetcode List'!B:C,'Leetcode List'!A:A = A184))"),"Sum Root to Leaf Numbers")</f>
        <v>Sum Root to Leaf Numbers</v>
      </c>
      <c r="C184" s="61" t="str">
        <f ca="1">IFERROR(__xludf.DUMMYFUNCTION("""COMPUTED_VALUE"""),"Medium")</f>
        <v>Medium</v>
      </c>
      <c r="D184" s="61" t="s">
        <v>414</v>
      </c>
      <c r="E184" s="66" t="str">
        <f ca="1">IFERROR(__xludf.DUMMYFUNCTION("IF(ISBLANK(A184),,FILTER('Leetcode List'!E:G,'Leetcode List'!A:A = A184))"),"EBay,Bloomberg,Facebook,Amazon,Microsoft,Google")</f>
        <v>EBay,Bloomberg,Facebook,Amazon,Microsoft,Google</v>
      </c>
      <c r="F184" s="39">
        <f ca="1">IFERROR(__xludf.DUMMYFUNCTION("""COMPUTED_VALUE"""),46.88)</f>
        <v>46.88</v>
      </c>
      <c r="G184" s="39" t="str">
        <f ca="1">IFERROR(__xludf.DUMMYFUNCTION("""COMPUTED_VALUE"""),"算法")</f>
        <v>算法</v>
      </c>
      <c r="H184" s="39">
        <v>183</v>
      </c>
    </row>
    <row r="185" spans="1:8" ht="12.75" hidden="1">
      <c r="A185" s="70">
        <v>298</v>
      </c>
      <c r="B185" s="65" t="str">
        <f ca="1">IFERROR(__xludf.DUMMYFUNCTION("IF(ISBLANK(A185),,FILTER('Leetcode List'!B:C,'Leetcode List'!A:A = A185))"),"Binary Tree Longest Consecutive Sequence")</f>
        <v>Binary Tree Longest Consecutive Sequence</v>
      </c>
      <c r="C185" s="61" t="str">
        <f ca="1">IFERROR(__xludf.DUMMYFUNCTION("""COMPUTED_VALUE"""),"Medium")</f>
        <v>Medium</v>
      </c>
      <c r="D185" s="61" t="s">
        <v>414</v>
      </c>
      <c r="E185" s="66" t="str">
        <f ca="1">IFERROR(__xludf.DUMMYFUNCTION("IF(ISBLANK(A185),,FILTER('Leetcode List'!E:G,'Leetcode List'!A:A = A185))"),"Uber,Facebook,Amazon,Google")</f>
        <v>Uber,Facebook,Amazon,Google</v>
      </c>
      <c r="F185" s="39">
        <f ca="1">IFERROR(__xludf.DUMMYFUNCTION("""COMPUTED_VALUE"""),46.81)</f>
        <v>46.81</v>
      </c>
      <c r="G185" s="39" t="str">
        <f ca="1">IFERROR(__xludf.DUMMYFUNCTION("""COMPUTED_VALUE"""),"算法")</f>
        <v>算法</v>
      </c>
      <c r="H185" s="39">
        <v>184</v>
      </c>
    </row>
    <row r="186" spans="1:8" ht="12.75" hidden="1">
      <c r="A186" s="70">
        <v>111</v>
      </c>
      <c r="B186" s="65" t="str">
        <f ca="1">IFERROR(__xludf.DUMMYFUNCTION("IF(ISBLANK(A186),,FILTER('Leetcode List'!B:C,'Leetcode List'!A:A = A186))"),"Minimum Depth of Binary Tree")</f>
        <v>Minimum Depth of Binary Tree</v>
      </c>
      <c r="C186" s="61" t="str">
        <f ca="1">IFERROR(__xludf.DUMMYFUNCTION("""COMPUTED_VALUE"""),"Easy")</f>
        <v>Easy</v>
      </c>
      <c r="D186" s="61" t="s">
        <v>414</v>
      </c>
      <c r="E186" s="66" t="str">
        <f ca="1">IFERROR(__xludf.DUMMYFUNCTION("IF(ISBLANK(A186),,FILTER('Leetcode List'!E:G,'Leetcode List'!A:A = A186))"),"Apple,Facebook,Amazon,Microsoft")</f>
        <v>Apple,Facebook,Amazon,Microsoft</v>
      </c>
      <c r="F186" s="39">
        <f ca="1">IFERROR(__xludf.DUMMYFUNCTION("""COMPUTED_VALUE"""),37.14)</f>
        <v>37.14</v>
      </c>
      <c r="G186" s="39" t="str">
        <f ca="1">IFERROR(__xludf.DUMMYFUNCTION("""COMPUTED_VALUE"""),"算法")</f>
        <v>算法</v>
      </c>
      <c r="H186" s="39">
        <v>185</v>
      </c>
    </row>
    <row r="187" spans="1:8" ht="25.5" hidden="1">
      <c r="A187" s="70">
        <v>104</v>
      </c>
      <c r="B187" s="65" t="str">
        <f ca="1">IFERROR(__xludf.DUMMYFUNCTION("IF(ISBLANK(A187),,FILTER('Leetcode List'!B:C,'Leetcode List'!A:A = A187))"),"Maximum Depth of Binary Tree")</f>
        <v>Maximum Depth of Binary Tree</v>
      </c>
      <c r="C187" s="61" t="str">
        <f ca="1">IFERROR(__xludf.DUMMYFUNCTION("""COMPUTED_VALUE"""),"Easy")</f>
        <v>Easy</v>
      </c>
      <c r="D187" s="61" t="s">
        <v>414</v>
      </c>
      <c r="E187" s="66" t="str">
        <f ca="1">IFERROR(__xludf.DUMMYFUNCTION("IF(ISBLANK(A187),,FILTER('Leetcode List'!E:G,'Leetcode List'!A:A = A187))"),"ByteDance,Paypal,Apple,Uber,Yahoo,SAP,Bloomberg,Adobe,Facebook,Amazon,LinkedIn,Microsoft,Goldman Sachs,Google")</f>
        <v>ByteDance,Paypal,Apple,Uber,Yahoo,SAP,Bloomberg,Adobe,Facebook,Amazon,LinkedIn,Microsoft,Goldman Sachs,Google</v>
      </c>
      <c r="F187" s="39">
        <f ca="1">IFERROR(__xludf.DUMMYFUNCTION("""COMPUTED_VALUE"""),65.41)</f>
        <v>65.41</v>
      </c>
      <c r="G187" s="39" t="str">
        <f ca="1">IFERROR(__xludf.DUMMYFUNCTION("""COMPUTED_VALUE"""),"算法")</f>
        <v>算法</v>
      </c>
      <c r="H187" s="39">
        <v>186</v>
      </c>
    </row>
    <row r="188" spans="1:8" ht="12.75" hidden="1">
      <c r="A188" s="70">
        <v>110</v>
      </c>
      <c r="B188" s="65" t="str">
        <f ca="1">IFERROR(__xludf.DUMMYFUNCTION("IF(ISBLANK(A188),,FILTER('Leetcode List'!B:C,'Leetcode List'!A:A = A188))"),"Balanced Binary Tree")</f>
        <v>Balanced Binary Tree</v>
      </c>
      <c r="C188" s="61" t="str">
        <f ca="1">IFERROR(__xludf.DUMMYFUNCTION("""COMPUTED_VALUE"""),"Easy")</f>
        <v>Easy</v>
      </c>
      <c r="D188" s="61" t="s">
        <v>414</v>
      </c>
      <c r="E188" s="66" t="str">
        <f ca="1">IFERROR(__xludf.DUMMYFUNCTION("IF(ISBLANK(A188),,FILTER('Leetcode List'!E:G,'Leetcode List'!A:A = A188))"),"Cisco,Apple,Bloomberg,Adobe,Facebook,Amazon,Microsoft,Google")</f>
        <v>Cisco,Apple,Bloomberg,Adobe,Facebook,Amazon,Microsoft,Google</v>
      </c>
      <c r="F188" s="39">
        <f ca="1">IFERROR(__xludf.DUMMYFUNCTION("""COMPUTED_VALUE"""),43.18)</f>
        <v>43.18</v>
      </c>
      <c r="G188" s="39" t="str">
        <f ca="1">IFERROR(__xludf.DUMMYFUNCTION("""COMPUTED_VALUE"""),"算法")</f>
        <v>算法</v>
      </c>
      <c r="H188" s="39">
        <v>187</v>
      </c>
    </row>
    <row r="189" spans="1:8" ht="38.25" hidden="1">
      <c r="A189" s="70">
        <v>124</v>
      </c>
      <c r="B189" s="65" t="str">
        <f ca="1">IFERROR(__xludf.DUMMYFUNCTION("IF(ISBLANK(A189),,FILTER('Leetcode List'!B:C,'Leetcode List'!A:A = A189))"),"Binary Tree Maximum Path Sum")</f>
        <v>Binary Tree Maximum Path Sum</v>
      </c>
      <c r="C189" s="61" t="str">
        <f ca="1">IFERROR(__xludf.DUMMYFUNCTION("""COMPUTED_VALUE"""),"Hard")</f>
        <v>Hard</v>
      </c>
      <c r="D189" s="61" t="s">
        <v>414</v>
      </c>
      <c r="E189" s="66" t="str">
        <f ca="1">IFERROR(__xludf.DUMMYFUNCTION("IF(ISBLANK(A189),,FILTER('Leetcode List'!E:G,'Leetcode List'!A:A = A189))"),"AppDynamics,ByteDance,VMware,Walmart Labs,Twitter,Intuit,Baidu,Apple,Uber,Bloomberg,Adobe,Facebook,Amazon,Microsoft,Google")</f>
        <v>AppDynamics,ByteDance,VMware,Walmart Labs,Twitter,Intuit,Baidu,Apple,Uber,Bloomberg,Adobe,Facebook,Amazon,Microsoft,Google</v>
      </c>
      <c r="F189" s="39">
        <f ca="1">IFERROR(__xludf.DUMMYFUNCTION("""COMPUTED_VALUE"""),33.93)</f>
        <v>33.93</v>
      </c>
      <c r="G189" s="39" t="str">
        <f ca="1">IFERROR(__xludf.DUMMYFUNCTION("""COMPUTED_VALUE"""),"算法")</f>
        <v>算法</v>
      </c>
      <c r="H189" s="39">
        <v>188</v>
      </c>
    </row>
    <row r="190" spans="1:8" ht="12.75" hidden="1">
      <c r="A190" s="70">
        <v>250</v>
      </c>
      <c r="B190" s="65" t="str">
        <f ca="1">IFERROR(__xludf.DUMMYFUNCTION("IF(ISBLANK(A190),,FILTER('Leetcode List'!B:C,'Leetcode List'!A:A = A190))"),"Count Univalue Subtrees")</f>
        <v>Count Univalue Subtrees</v>
      </c>
      <c r="C190" s="61" t="str">
        <f ca="1">IFERROR(__xludf.DUMMYFUNCTION("""COMPUTED_VALUE"""),"Medium")</f>
        <v>Medium</v>
      </c>
      <c r="D190" s="61" t="s">
        <v>414</v>
      </c>
      <c r="E190" s="66" t="str">
        <f ca="1">IFERROR(__xludf.DUMMYFUNCTION("IF(ISBLANK(A190),,FILTER('Leetcode List'!E:G,'Leetcode List'!A:A = A190))"),"Box,EBay,Bloomberg,Facebook,Amazon,Google")</f>
        <v>Box,EBay,Bloomberg,Facebook,Amazon,Google</v>
      </c>
      <c r="F190" s="39">
        <f ca="1">IFERROR(__xludf.DUMMYFUNCTION("""COMPUTED_VALUE"""),51.66)</f>
        <v>51.66</v>
      </c>
      <c r="G190" s="39" t="str">
        <f ca="1">IFERROR(__xludf.DUMMYFUNCTION("""COMPUTED_VALUE"""),"算法")</f>
        <v>算法</v>
      </c>
      <c r="H190" s="39">
        <v>189</v>
      </c>
    </row>
    <row r="191" spans="1:8" ht="12.75" hidden="1">
      <c r="A191" s="70">
        <v>366</v>
      </c>
      <c r="B191" s="65" t="str">
        <f ca="1">IFERROR(__xludf.DUMMYFUNCTION("IF(ISBLANK(A191),,FILTER('Leetcode List'!B:C,'Leetcode List'!A:A = A191))"),"Find Leaves of Binary Tree")</f>
        <v>Find Leaves of Binary Tree</v>
      </c>
      <c r="C191" s="61" t="str">
        <f ca="1">IFERROR(__xludf.DUMMYFUNCTION("""COMPUTED_VALUE"""),"Medium")</f>
        <v>Medium</v>
      </c>
      <c r="D191" s="61" t="s">
        <v>414</v>
      </c>
      <c r="E191" s="66" t="str">
        <f ca="1">IFERROR(__xludf.DUMMYFUNCTION("IF(ISBLANK(A191),,FILTER('Leetcode List'!E:G,'Leetcode List'!A:A = A191))"),"Pocket Gems,Atlassian,EBay,Amazon,LinkedIn,Google")</f>
        <v>Pocket Gems,Atlassian,EBay,Amazon,LinkedIn,Google</v>
      </c>
      <c r="F191" s="39">
        <f ca="1">IFERROR(__xludf.DUMMYFUNCTION("""COMPUTED_VALUE"""),70.17)</f>
        <v>70.17</v>
      </c>
      <c r="G191" s="39" t="str">
        <f ca="1">IFERROR(__xludf.DUMMYFUNCTION("""COMPUTED_VALUE"""),"算法")</f>
        <v>算法</v>
      </c>
      <c r="H191" s="39">
        <v>190</v>
      </c>
    </row>
    <row r="192" spans="1:8" ht="12.75" hidden="1">
      <c r="A192" s="70">
        <v>337</v>
      </c>
      <c r="B192" s="65" t="str">
        <f ca="1">IFERROR(__xludf.DUMMYFUNCTION("IF(ISBLANK(A192),,FILTER('Leetcode List'!B:C,'Leetcode List'!A:A = A192))"),"House Robber III")</f>
        <v>House Robber III</v>
      </c>
      <c r="C192" s="61" t="str">
        <f ca="1">IFERROR(__xludf.DUMMYFUNCTION("""COMPUTED_VALUE"""),"Medium")</f>
        <v>Medium</v>
      </c>
      <c r="D192" s="61" t="s">
        <v>414</v>
      </c>
      <c r="E192" s="66" t="str">
        <f ca="1">IFERROR(__xludf.DUMMYFUNCTION("IF(ISBLANK(A192),,FILTER('Leetcode List'!E:G,'Leetcode List'!A:A = A192))"),"Uber,Facebook,Amazon,Google")</f>
        <v>Uber,Facebook,Amazon,Google</v>
      </c>
      <c r="F192" s="39">
        <f ca="1">IFERROR(__xludf.DUMMYFUNCTION("""COMPUTED_VALUE"""),50.33)</f>
        <v>50.33</v>
      </c>
      <c r="G192" s="39" t="str">
        <f ca="1">IFERROR(__xludf.DUMMYFUNCTION("""COMPUTED_VALUE"""),"算法")</f>
        <v>算法</v>
      </c>
      <c r="H192" s="39">
        <v>191</v>
      </c>
    </row>
    <row r="193" spans="1:8" ht="12.75" hidden="1">
      <c r="A193" s="70">
        <v>107</v>
      </c>
      <c r="B193" s="65" t="str">
        <f ca="1">IFERROR(__xludf.DUMMYFUNCTION("IF(ISBLANK(A193),,FILTER('Leetcode List'!B:C,'Leetcode List'!A:A = A193))"),"Binary Tree Level Order Traversal II")</f>
        <v>Binary Tree Level Order Traversal II</v>
      </c>
      <c r="C193" s="61" t="str">
        <f ca="1">IFERROR(__xludf.DUMMYFUNCTION("""COMPUTED_VALUE"""),"Easy")</f>
        <v>Easy</v>
      </c>
      <c r="D193" s="61" t="s">
        <v>414</v>
      </c>
      <c r="E193" s="66" t="str">
        <f ca="1">IFERROR(__xludf.DUMMYFUNCTION("IF(ISBLANK(A193),,FILTER('Leetcode List'!E:G,'Leetcode List'!A:A = A193))"),"Oracle,Apple,Adobe,Amazon,Microsoft")</f>
        <v>Oracle,Apple,Adobe,Amazon,Microsoft</v>
      </c>
      <c r="F193" s="39">
        <f ca="1">IFERROR(__xludf.DUMMYFUNCTION("""COMPUTED_VALUE"""),51.45)</f>
        <v>51.45</v>
      </c>
      <c r="G193" s="39" t="str">
        <f ca="1">IFERROR(__xludf.DUMMYFUNCTION("""COMPUTED_VALUE"""),"算法")</f>
        <v>算法</v>
      </c>
      <c r="H193" s="39">
        <v>192</v>
      </c>
    </row>
    <row r="194" spans="1:8" ht="38.25" hidden="1">
      <c r="A194" s="70">
        <v>103</v>
      </c>
      <c r="B194" s="65" t="str">
        <f ca="1">IFERROR(__xludf.DUMMYFUNCTION("IF(ISBLANK(A194),,FILTER('Leetcode List'!B:C,'Leetcode List'!A:A = A194))"),"Binary Tree Zigzag Level Order Traversal")</f>
        <v>Binary Tree Zigzag Level Order Traversal</v>
      </c>
      <c r="C194" s="61" t="str">
        <f ca="1">IFERROR(__xludf.DUMMYFUNCTION("""COMPUTED_VALUE"""),"Medium")</f>
        <v>Medium</v>
      </c>
      <c r="D194" s="61" t="s">
        <v>414</v>
      </c>
      <c r="E194" s="66" t="str">
        <f ca="1">IFERROR(__xludf.DUMMYFUNCTION("IF(ISBLANK(A194),,FILTER('Leetcode List'!E:G,'Leetcode List'!A:A = A194))"),"Qualtrics,ByteDance,Walmart Labs,ServiceNow,Oracle,EBay,Apple,Uber,Yahoo,Samsung,Bloomberg,Facebook,Amazon,LinkedIn,Microsoft,Google")</f>
        <v>Qualtrics,ByteDance,Walmart Labs,ServiceNow,Oracle,EBay,Apple,Uber,Yahoo,Samsung,Bloomberg,Facebook,Amazon,LinkedIn,Microsoft,Google</v>
      </c>
      <c r="F194" s="39">
        <f ca="1">IFERROR(__xludf.DUMMYFUNCTION("""COMPUTED_VALUE"""),46.68)</f>
        <v>46.68</v>
      </c>
      <c r="G194" s="39" t="str">
        <f ca="1">IFERROR(__xludf.DUMMYFUNCTION("""COMPUTED_VALUE"""),"算法")</f>
        <v>算法</v>
      </c>
      <c r="H194" s="39">
        <v>193</v>
      </c>
    </row>
    <row r="195" spans="1:8" ht="38.25" hidden="1">
      <c r="A195" s="70">
        <v>199</v>
      </c>
      <c r="B195" s="65" t="str">
        <f ca="1">IFERROR(__xludf.DUMMYFUNCTION("IF(ISBLANK(A195),,FILTER('Leetcode List'!B:C,'Leetcode List'!A:A = A195))"),"Binary Tree Right Side View")</f>
        <v>Binary Tree Right Side View</v>
      </c>
      <c r="C195" s="61" t="str">
        <f ca="1">IFERROR(__xludf.DUMMYFUNCTION("""COMPUTED_VALUE"""),"Medium")</f>
        <v>Medium</v>
      </c>
      <c r="D195" s="61" t="s">
        <v>414</v>
      </c>
      <c r="E195" s="66" t="str">
        <f ca="1">IFERROR(__xludf.DUMMYFUNCTION("IF(ISBLANK(A195),,FILTER('Leetcode List'!E:G,'Leetcode List'!A:A = A195))"),"Atlassian,ByteDance,VMware,Citadel,Walmart Labs,Paypal,Oracle,Mathworks,EBay,Apple,Uber,Bloomberg,Adobe,Facebook,Amazon,Microsoft")</f>
        <v>Atlassian,ByteDance,VMware,Citadel,Walmart Labs,Paypal,Oracle,Mathworks,EBay,Apple,Uber,Bloomberg,Adobe,Facebook,Amazon,Microsoft</v>
      </c>
      <c r="F195" s="39">
        <f ca="1">IFERROR(__xludf.DUMMYFUNCTION("""COMPUTED_VALUE"""),53.35)</f>
        <v>53.35</v>
      </c>
      <c r="G195" s="39" t="str">
        <f ca="1">IFERROR(__xludf.DUMMYFUNCTION("""COMPUTED_VALUE"""),"算法")</f>
        <v>算法</v>
      </c>
      <c r="H195" s="39">
        <v>194</v>
      </c>
    </row>
    <row r="196" spans="1:8" ht="51" hidden="1">
      <c r="A196" s="70">
        <v>98</v>
      </c>
      <c r="B196" s="65" t="str">
        <f ca="1">IFERROR(__xludf.DUMMYFUNCTION("IF(ISBLANK(A196),,FILTER('Leetcode List'!B:C,'Leetcode List'!A:A = A196))"),"Validate Binary Search Tree")</f>
        <v>Validate Binary Search Tree</v>
      </c>
      <c r="C196" s="61" t="str">
        <f ca="1">IFERROR(__xludf.DUMMYFUNCTION("""COMPUTED_VALUE"""),"Medium")</f>
        <v>Medium</v>
      </c>
      <c r="D196" s="61" t="s">
        <v>414</v>
      </c>
      <c r="E196" s="66" t="str">
        <f ca="1">IFERROR(__xludf.DUMMYFUNCTION("IF(ISBLANK(A196),,FILTER('Leetcode List'!E:G,'Leetcode List'!A:A = A196))"),"Asana,TripAdvisor,Atlassian,Capital One,Salesforce,Visa,VMware,Walmart Labs,Oracle,Mathworks,Yandex,EBay,Apple,Uber,SAP,Bloomberg,Adobe,Facebook,Amazon,LinkedIn,Microsoft,Goldman Sachs,Google")</f>
        <v>Asana,TripAdvisor,Atlassian,Capital One,Salesforce,Visa,VMware,Walmart Labs,Oracle,Mathworks,Yandex,EBay,Apple,Uber,SAP,Bloomberg,Adobe,Facebook,Amazon,LinkedIn,Microsoft,Goldman Sachs,Google</v>
      </c>
      <c r="F196" s="39">
        <f ca="1">IFERROR(__xludf.DUMMYFUNCTION("""COMPUTED_VALUE"""),27.56)</f>
        <v>27.56</v>
      </c>
      <c r="G196" s="39" t="str">
        <f ca="1">IFERROR(__xludf.DUMMYFUNCTION("""COMPUTED_VALUE"""),"算法")</f>
        <v>算法</v>
      </c>
      <c r="H196" s="39">
        <v>195</v>
      </c>
    </row>
    <row r="197" spans="1:8" ht="25.5" hidden="1">
      <c r="A197" s="70">
        <v>235</v>
      </c>
      <c r="B197" s="65" t="str">
        <f ca="1">IFERROR(__xludf.DUMMYFUNCTION("IF(ISBLANK(A197),,FILTER('Leetcode List'!B:C,'Leetcode List'!A:A = A197))"),"Lowest Common Ancestor of a Binary Search Tree")</f>
        <v>Lowest Common Ancestor of a Binary Search Tree</v>
      </c>
      <c r="C197" s="61" t="str">
        <f ca="1">IFERROR(__xludf.DUMMYFUNCTION("""COMPUTED_VALUE"""),"Easy")</f>
        <v>Easy</v>
      </c>
      <c r="D197" s="61" t="s">
        <v>414</v>
      </c>
      <c r="E197" s="66" t="str">
        <f ca="1">IFERROR(__xludf.DUMMYFUNCTION("IF(ISBLANK(A197),,FILTER('Leetcode List'!E:G,'Leetcode List'!A:A = A197))"),"Twitter,Oracle,Cisco,Uber,Bloomberg,Adobe,Facebook,Amazon,LinkedIn,Microsoft,Google")</f>
        <v>Twitter,Oracle,Cisco,Uber,Bloomberg,Adobe,Facebook,Amazon,LinkedIn,Microsoft,Google</v>
      </c>
      <c r="F197" s="39">
        <f ca="1">IFERROR(__xludf.DUMMYFUNCTION("""COMPUTED_VALUE"""),49.28)</f>
        <v>49.28</v>
      </c>
      <c r="G197" s="39" t="str">
        <f ca="1">IFERROR(__xludf.DUMMYFUNCTION("""COMPUTED_VALUE"""),"算法")</f>
        <v>算法</v>
      </c>
      <c r="H197" s="39">
        <v>196</v>
      </c>
    </row>
    <row r="198" spans="1:8" ht="38.25" hidden="1">
      <c r="A198" s="70">
        <v>236</v>
      </c>
      <c r="B198" s="65" t="str">
        <f ca="1">IFERROR(__xludf.DUMMYFUNCTION("IF(ISBLANK(A198),,FILTER('Leetcode List'!B:C,'Leetcode List'!A:A = A198))"),"Lowest Common Ancestor of a Binary Tree")</f>
        <v>Lowest Common Ancestor of a Binary Tree</v>
      </c>
      <c r="C198" s="61" t="str">
        <f ca="1">IFERROR(__xludf.DUMMYFUNCTION("""COMPUTED_VALUE"""),"Medium")</f>
        <v>Medium</v>
      </c>
      <c r="D198" s="61" t="s">
        <v>414</v>
      </c>
      <c r="E198" s="66" t="str">
        <f ca="1">IFERROR(__xludf.DUMMYFUNCTION("IF(ISBLANK(A198),,FILTER('Leetcode List'!E:G,'Leetcode List'!A:A = A198))"),"Pinterest,Atlassian,Splunk,ByteDance,Salesforce,Visa,Walmart Labs,Zillow,Paypal,Oracle,Intuit,EBay,Apple,Airbnb,Uber,Yahoo,Bloomberg,Adobe,Facebook,Amazon,LinkedIn,Microsoft,Google")</f>
        <v>Pinterest,Atlassian,Splunk,ByteDance,Salesforce,Visa,Walmart Labs,Zillow,Paypal,Oracle,Intuit,EBay,Apple,Airbnb,Uber,Yahoo,Bloomberg,Adobe,Facebook,Amazon,LinkedIn,Microsoft,Google</v>
      </c>
      <c r="F198" s="39">
        <f ca="1">IFERROR(__xludf.DUMMYFUNCTION("""COMPUTED_VALUE"""),44.66)</f>
        <v>44.66</v>
      </c>
      <c r="G198" s="39" t="str">
        <f ca="1">IFERROR(__xludf.DUMMYFUNCTION("""COMPUTED_VALUE"""),"算法")</f>
        <v>算法</v>
      </c>
      <c r="H198" s="39">
        <v>197</v>
      </c>
    </row>
    <row r="199" spans="1:8" ht="25.5" hidden="1">
      <c r="A199" s="70">
        <v>108</v>
      </c>
      <c r="B199" s="65" t="str">
        <f ca="1">IFERROR(__xludf.DUMMYFUNCTION("IF(ISBLANK(A199),,FILTER('Leetcode List'!B:C,'Leetcode List'!A:A = A199))"),"Convert Sorted Array to Binary Search Tree")</f>
        <v>Convert Sorted Array to Binary Search Tree</v>
      </c>
      <c r="C199" s="61" t="str">
        <f ca="1">IFERROR(__xludf.DUMMYFUNCTION("""COMPUTED_VALUE"""),"Easy")</f>
        <v>Easy</v>
      </c>
      <c r="D199" s="61" t="s">
        <v>414</v>
      </c>
      <c r="E199" s="66" t="str">
        <f ca="1">IFERROR(__xludf.DUMMYFUNCTION("IF(ISBLANK(A199),,FILTER('Leetcode List'!E:G,'Leetcode List'!A:A = A199))"),"Oracle,Cisco,Apple,Airbnb,Yahoo,Bloomberg,Facebook,Amazon,Microsoft,Google")</f>
        <v>Oracle,Cisco,Apple,Airbnb,Yahoo,Bloomberg,Facebook,Amazon,Microsoft,Google</v>
      </c>
      <c r="F199" s="39">
        <f ca="1">IFERROR(__xludf.DUMMYFUNCTION("""COMPUTED_VALUE"""),57.08)</f>
        <v>57.08</v>
      </c>
      <c r="G199" s="39" t="str">
        <f ca="1">IFERROR(__xludf.DUMMYFUNCTION("""COMPUTED_VALUE"""),"算法")</f>
        <v>算法</v>
      </c>
      <c r="H199" s="39">
        <v>198</v>
      </c>
    </row>
    <row r="200" spans="1:8" ht="25.5" hidden="1">
      <c r="A200" s="70">
        <v>109</v>
      </c>
      <c r="B200" s="65" t="str">
        <f ca="1">IFERROR(__xludf.DUMMYFUNCTION("IF(ISBLANK(A200),,FILTER('Leetcode List'!B:C,'Leetcode List'!A:A = A200))"),"Convert Sorted List to Binary Search Tree")</f>
        <v>Convert Sorted List to Binary Search Tree</v>
      </c>
      <c r="C200" s="61" t="str">
        <f ca="1">IFERROR(__xludf.DUMMYFUNCTION("""COMPUTED_VALUE"""),"Medium")</f>
        <v>Medium</v>
      </c>
      <c r="D200" s="61" t="s">
        <v>414</v>
      </c>
      <c r="E200" s="66" t="str">
        <f ca="1">IFERROR(__xludf.DUMMYFUNCTION("IF(ISBLANK(A200),,FILTER('Leetcode List'!E:G,'Leetcode List'!A:A = A200))"),"Zenefits,VMware,Oracle,Lyft,Bloomberg,Facebook,Amazon,Microsoft,Google")</f>
        <v>Zenefits,VMware,Oracle,Lyft,Bloomberg,Facebook,Amazon,Microsoft,Google</v>
      </c>
      <c r="F200" s="39">
        <f ca="1">IFERROR(__xludf.DUMMYFUNCTION("""COMPUTED_VALUE"""),46.79)</f>
        <v>46.79</v>
      </c>
      <c r="G200" s="39" t="str">
        <f ca="1">IFERROR(__xludf.DUMMYFUNCTION("""COMPUTED_VALUE"""),"算法")</f>
        <v>算法</v>
      </c>
      <c r="H200" s="39">
        <v>199</v>
      </c>
    </row>
    <row r="201" spans="1:8" ht="38.25" hidden="1">
      <c r="A201" s="70">
        <v>173</v>
      </c>
      <c r="B201" s="65" t="str">
        <f ca="1">IFERROR(__xludf.DUMMYFUNCTION("IF(ISBLANK(A201),,FILTER('Leetcode List'!B:C,'Leetcode List'!A:A = A201))"),"Binary Search Tree Iterator")</f>
        <v>Binary Search Tree Iterator</v>
      </c>
      <c r="C201" s="61" t="str">
        <f ca="1">IFERROR(__xludf.DUMMYFUNCTION("""COMPUTED_VALUE"""),"Medium")</f>
        <v>Medium</v>
      </c>
      <c r="D201" s="61" t="s">
        <v>414</v>
      </c>
      <c r="E201" s="66" t="str">
        <f ca="1">IFERROR(__xludf.DUMMYFUNCTION("IF(ISBLANK(A201),,FILTER('Leetcode List'!E:G,'Leetcode List'!A:A = A201))"),"Cloudera,Qualtrics,Atlassian,Redfin,Splunk,ByteDance,Walmart Labs,Oracle,Cisco,EBay,Apple,Uber,Bloomberg,Facebook,Amazon,LinkedIn,Microsoft,Alibaba,Google")</f>
        <v>Cloudera,Qualtrics,Atlassian,Redfin,Splunk,ByteDance,Walmart Labs,Oracle,Cisco,EBay,Apple,Uber,Bloomberg,Facebook,Amazon,LinkedIn,Microsoft,Alibaba,Google</v>
      </c>
      <c r="F201" s="39">
        <f ca="1">IFERROR(__xludf.DUMMYFUNCTION("""COMPUTED_VALUE"""),55.53)</f>
        <v>55.53</v>
      </c>
      <c r="G201" s="39" t="str">
        <f ca="1">IFERROR(__xludf.DUMMYFUNCTION("""COMPUTED_VALUE"""),"算法")</f>
        <v>算法</v>
      </c>
      <c r="H201" s="39">
        <v>200</v>
      </c>
    </row>
    <row r="202" spans="1:8" ht="25.5" hidden="1">
      <c r="A202" s="70">
        <v>230</v>
      </c>
      <c r="B202" s="65" t="str">
        <f ca="1">IFERROR(__xludf.DUMMYFUNCTION("IF(ISBLANK(A202),,FILTER('Leetcode List'!B:C,'Leetcode List'!A:A = A202))"),"Kth Smallest Element in a BST")</f>
        <v>Kth Smallest Element in a BST</v>
      </c>
      <c r="C202" s="61" t="str">
        <f ca="1">IFERROR(__xludf.DUMMYFUNCTION("""COMPUTED_VALUE"""),"Medium")</f>
        <v>Medium</v>
      </c>
      <c r="D202" s="61" t="s">
        <v>414</v>
      </c>
      <c r="E202" s="66" t="str">
        <f ca="1">IFERROR(__xludf.DUMMYFUNCTION("IF(ISBLANK(A202),,FILTER('Leetcode List'!E:G,'Leetcode List'!A:A = A202))"),"TripleByte,Hulu,VMware,Affirm,Oracle,Apple,Uber,Bloomberg,Facebook,Amazon,Microsoft,Google")</f>
        <v>TripleByte,Hulu,VMware,Affirm,Oracle,Apple,Uber,Bloomberg,Facebook,Amazon,Microsoft,Google</v>
      </c>
      <c r="F202" s="39">
        <f ca="1">IFERROR(__xludf.DUMMYFUNCTION("""COMPUTED_VALUE"""),59.44)</f>
        <v>59.44</v>
      </c>
      <c r="G202" s="39" t="str">
        <f ca="1">IFERROR(__xludf.DUMMYFUNCTION("""COMPUTED_VALUE"""),"算法")</f>
        <v>算法</v>
      </c>
      <c r="H202" s="39">
        <v>201</v>
      </c>
    </row>
    <row r="203" spans="1:8" ht="38.25" hidden="1">
      <c r="A203" s="70">
        <v>297</v>
      </c>
      <c r="B203" s="65" t="str">
        <f ca="1">IFERROR(__xludf.DUMMYFUNCTION("IF(ISBLANK(A203),,FILTER('Leetcode List'!B:C,'Leetcode List'!A:A = A203))"),"Serialize and Deserialize Binary Tree")</f>
        <v>Serialize and Deserialize Binary Tree</v>
      </c>
      <c r="C203" s="61" t="str">
        <f ca="1">IFERROR(__xludf.DUMMYFUNCTION("""COMPUTED_VALUE"""),"Hard")</f>
        <v>Hard</v>
      </c>
      <c r="D203" s="61" t="s">
        <v>414</v>
      </c>
      <c r="E203" s="66" t="str">
        <f ca="1">IFERROR(__xludf.DUMMYFUNCTION("IF(ISBLANK(A203),,FILTER('Leetcode List'!E:G,'Leetcode List'!A:A = A203))"),"Qualtrics,Tableau,Salesforce,Groupon,VMware,Citadel,Quora,Snapchat,Indeed,Expedia,Oracle,EBay,Apple,Uber,Yahoo,Bloomberg,Facebook,Amazon,LinkedIn,Microsoft,Google")</f>
        <v>Qualtrics,Tableau,Salesforce,Groupon,VMware,Citadel,Quora,Snapchat,Indeed,Expedia,Oracle,EBay,Apple,Uber,Yahoo,Bloomberg,Facebook,Amazon,LinkedIn,Microsoft,Google</v>
      </c>
      <c r="F203" s="39">
        <f ca="1">IFERROR(__xludf.DUMMYFUNCTION("""COMPUTED_VALUE"""),46.76)</f>
        <v>46.76</v>
      </c>
      <c r="G203" s="39" t="str">
        <f ca="1">IFERROR(__xludf.DUMMYFUNCTION("""COMPUTED_VALUE"""),"算法")</f>
        <v>算法</v>
      </c>
      <c r="H203" s="39">
        <v>202</v>
      </c>
    </row>
    <row r="204" spans="1:8" ht="38.25" hidden="1">
      <c r="A204" s="70">
        <v>285</v>
      </c>
      <c r="B204" s="65" t="str">
        <f ca="1">IFERROR(__xludf.DUMMYFUNCTION("IF(ISBLANK(A204),,FILTER('Leetcode List'!B:C,'Leetcode List'!A:A = A204))"),"Inorder Successor in BST")</f>
        <v>Inorder Successor in BST</v>
      </c>
      <c r="C204" s="61" t="str">
        <f ca="1">IFERROR(__xludf.DUMMYFUNCTION("""COMPUTED_VALUE"""),"Medium")</f>
        <v>Medium</v>
      </c>
      <c r="D204" s="61" t="s">
        <v>414</v>
      </c>
      <c r="E204" s="66" t="str">
        <f ca="1">IFERROR(__xludf.DUMMYFUNCTION("IF(ISBLANK(A204),,FILTER('Leetcode List'!E:G,'Leetcode List'!A:A = A204))"),"Quip (Salesforce),Pocket Gems,Palantir Technologies,Citadel,Zillow,Bloomberg,Facebook,Amazon,Microsoft,Google")</f>
        <v>Quip (Salesforce),Pocket Gems,Palantir Technologies,Citadel,Zillow,Bloomberg,Facebook,Amazon,Microsoft,Google</v>
      </c>
      <c r="F204" s="39">
        <f ca="1">IFERROR(__xludf.DUMMYFUNCTION("""COMPUTED_VALUE"""),39.6)</f>
        <v>39.6</v>
      </c>
      <c r="G204" s="39" t="str">
        <f ca="1">IFERROR(__xludf.DUMMYFUNCTION("""COMPUTED_VALUE"""),"算法")</f>
        <v>算法</v>
      </c>
      <c r="H204" s="39">
        <v>203</v>
      </c>
    </row>
    <row r="205" spans="1:8" ht="12.75" hidden="1">
      <c r="A205" s="70">
        <v>270</v>
      </c>
      <c r="B205" s="65" t="str">
        <f ca="1">IFERROR(__xludf.DUMMYFUNCTION("IF(ISBLANK(A205),,FILTER('Leetcode List'!B:C,'Leetcode List'!A:A = A205))"),"Closest Binary Search Tree Value")</f>
        <v>Closest Binary Search Tree Value</v>
      </c>
      <c r="C205" s="61" t="str">
        <f ca="1">IFERROR(__xludf.DUMMYFUNCTION("""COMPUTED_VALUE"""),"Easy")</f>
        <v>Easy</v>
      </c>
      <c r="D205" s="61" t="s">
        <v>414</v>
      </c>
      <c r="E205" s="66" t="str">
        <f ca="1">IFERROR(__xludf.DUMMYFUNCTION("IF(ISBLANK(A205),,FILTER('Leetcode List'!E:G,'Leetcode List'!A:A = A205))"),"Snapchat,Bloomberg,Facebook,Amazon,LinkedIn,Microsoft,Google")</f>
        <v>Snapchat,Bloomberg,Facebook,Amazon,LinkedIn,Microsoft,Google</v>
      </c>
      <c r="F205" s="39">
        <f ca="1">IFERROR(__xludf.DUMMYFUNCTION("""COMPUTED_VALUE"""),47.53)</f>
        <v>47.53</v>
      </c>
      <c r="G205" s="39" t="str">
        <f ca="1">IFERROR(__xludf.DUMMYFUNCTION("""COMPUTED_VALUE"""),"算法")</f>
        <v>算法</v>
      </c>
      <c r="H205" s="39">
        <v>204</v>
      </c>
    </row>
    <row r="206" spans="1:8" ht="12.75" hidden="1">
      <c r="A206" s="70">
        <v>272</v>
      </c>
      <c r="B206" s="65" t="str">
        <f ca="1">IFERROR(__xludf.DUMMYFUNCTION("IF(ISBLANK(A206),,FILTER('Leetcode List'!B:C,'Leetcode List'!A:A = A206))"),"Closest Binary Search Tree Value II")</f>
        <v>Closest Binary Search Tree Value II</v>
      </c>
      <c r="C206" s="61" t="str">
        <f ca="1">IFERROR(__xludf.DUMMYFUNCTION("""COMPUTED_VALUE"""),"Hard")</f>
        <v>Hard</v>
      </c>
      <c r="D206" s="61" t="s">
        <v>414</v>
      </c>
      <c r="E206" s="66" t="str">
        <f ca="1">IFERROR(__xludf.DUMMYFUNCTION("IF(ISBLANK(A206),,FILTER('Leetcode List'!E:G,'Leetcode List'!A:A = A206))"),"ForUsAll,Facebook,Amazon,LinkedIn,Google")</f>
        <v>ForUsAll,Facebook,Amazon,LinkedIn,Google</v>
      </c>
      <c r="F206" s="39">
        <f ca="1">IFERROR(__xludf.DUMMYFUNCTION("""COMPUTED_VALUE"""),50.05)</f>
        <v>50.05</v>
      </c>
      <c r="G206" s="39" t="str">
        <f ca="1">IFERROR(__xludf.DUMMYFUNCTION("""COMPUTED_VALUE"""),"算法")</f>
        <v>算法</v>
      </c>
      <c r="H206" s="39">
        <v>205</v>
      </c>
    </row>
    <row r="207" spans="1:8" ht="12.75" hidden="1">
      <c r="A207" s="70">
        <v>99</v>
      </c>
      <c r="B207" s="65" t="str">
        <f ca="1">IFERROR(__xludf.DUMMYFUNCTION("IF(ISBLANK(A207),,FILTER('Leetcode List'!B:C,'Leetcode List'!A:A = A207))"),"Recover Binary Search Tree")</f>
        <v>Recover Binary Search Tree</v>
      </c>
      <c r="C207" s="61" t="str">
        <f ca="1">IFERROR(__xludf.DUMMYFUNCTION("""COMPUTED_VALUE"""),"Hard")</f>
        <v>Hard</v>
      </c>
      <c r="D207" s="61" t="s">
        <v>414</v>
      </c>
      <c r="E207" s="66" t="str">
        <f ca="1">IFERROR(__xludf.DUMMYFUNCTION("IF(ISBLANK(A207),,FILTER('Leetcode List'!E:G,'Leetcode List'!A:A = A207))"),"Uber,Bloomberg,Facebook,Amazon,Microsoft,Goldman Sachs,Google")</f>
        <v>Uber,Bloomberg,Facebook,Amazon,Microsoft,Goldman Sachs,Google</v>
      </c>
      <c r="F207" s="39">
        <f ca="1">IFERROR(__xludf.DUMMYFUNCTION("""COMPUTED_VALUE"""),39.02)</f>
        <v>39.020000000000003</v>
      </c>
      <c r="G207" s="39" t="str">
        <f ca="1">IFERROR(__xludf.DUMMYFUNCTION("""COMPUTED_VALUE"""),"算法")</f>
        <v>算法</v>
      </c>
      <c r="H207" s="39">
        <v>206</v>
      </c>
    </row>
    <row r="208" spans="1:8" ht="12.75" hidden="1">
      <c r="A208" s="70">
        <v>156</v>
      </c>
      <c r="B208" s="65" t="str">
        <f ca="1">IFERROR(__xludf.DUMMYFUNCTION("IF(ISBLANK(A208),,FILTER('Leetcode List'!B:C,'Leetcode List'!A:A = A208))"),"Binary Tree Upside Down")</f>
        <v>Binary Tree Upside Down</v>
      </c>
      <c r="C208" s="61" t="str">
        <f ca="1">IFERROR(__xludf.DUMMYFUNCTION("""COMPUTED_VALUE"""),"Medium")</f>
        <v>Medium</v>
      </c>
      <c r="D208" s="61" t="s">
        <v>414</v>
      </c>
      <c r="E208" s="66" t="str">
        <f ca="1">IFERROR(__xludf.DUMMYFUNCTION("IF(ISBLANK(A208),,FILTER('Leetcode List'!E:G,'Leetcode List'!A:A = A208))"),"LinkedIn,Google")</f>
        <v>LinkedIn,Google</v>
      </c>
      <c r="F208" s="39">
        <f ca="1">IFERROR(__xludf.DUMMYFUNCTION("""COMPUTED_VALUE"""),54.72)</f>
        <v>54.72</v>
      </c>
      <c r="G208" s="39" t="str">
        <f ca="1">IFERROR(__xludf.DUMMYFUNCTION("""COMPUTED_VALUE"""),"算法")</f>
        <v>算法</v>
      </c>
      <c r="H208" s="39">
        <v>207</v>
      </c>
    </row>
    <row r="209" spans="1:8" ht="25.5" hidden="1">
      <c r="A209" s="70">
        <v>114</v>
      </c>
      <c r="B209" s="65" t="str">
        <f ca="1">IFERROR(__xludf.DUMMYFUNCTION("IF(ISBLANK(A209),,FILTER('Leetcode List'!B:C,'Leetcode List'!A:A = A209))"),"Flatten Binary Tree to Linked List")</f>
        <v>Flatten Binary Tree to Linked List</v>
      </c>
      <c r="C209" s="61" t="str">
        <f ca="1">IFERROR(__xludf.DUMMYFUNCTION("""COMPUTED_VALUE"""),"Medium")</f>
        <v>Medium</v>
      </c>
      <c r="D209" s="61" t="s">
        <v>414</v>
      </c>
      <c r="E209" s="66" t="str">
        <f ca="1">IFERROR(__xludf.DUMMYFUNCTION("IF(ISBLANK(A209),,FILTER('Leetcode List'!E:G,'Leetcode List'!A:A = A209))"),"Databricks,Coupang,Nvidia,Oracle,Apple,Uber,Yahoo,Bloomberg,Adobe,Facebook,Amazon,Microsoft,Google")</f>
        <v>Databricks,Coupang,Nvidia,Oracle,Apple,Uber,Yahoo,Bloomberg,Adobe,Facebook,Amazon,Microsoft,Google</v>
      </c>
      <c r="F209" s="39">
        <f ca="1">IFERROR(__xludf.DUMMYFUNCTION("""COMPUTED_VALUE"""),48.28)</f>
        <v>48.28</v>
      </c>
      <c r="G209" s="39" t="str">
        <f ca="1">IFERROR(__xludf.DUMMYFUNCTION("""COMPUTED_VALUE"""),"算法")</f>
        <v>算法</v>
      </c>
      <c r="H209" s="39">
        <v>208</v>
      </c>
    </row>
    <row r="210" spans="1:8" ht="12.75" hidden="1">
      <c r="A210" s="70">
        <v>255</v>
      </c>
      <c r="B210" s="65" t="str">
        <f ca="1">IFERROR(__xludf.DUMMYFUNCTION("IF(ISBLANK(A210),,FILTER('Leetcode List'!B:C,'Leetcode List'!A:A = A210))"),"Verify Preorder Sequence in Binary Search Tree")</f>
        <v>Verify Preorder Sequence in Binary Search Tree</v>
      </c>
      <c r="C210" s="61" t="str">
        <f ca="1">IFERROR(__xludf.DUMMYFUNCTION("""COMPUTED_VALUE"""),"Medium")</f>
        <v>Medium</v>
      </c>
      <c r="D210" s="61" t="s">
        <v>414</v>
      </c>
      <c r="E210" s="66" t="str">
        <f ca="1">IFERROR(__xludf.DUMMYFUNCTION("IF(ISBLANK(A210),,FILTER('Leetcode List'!E:G,'Leetcode List'!A:A = A210))"),"Zenefits,Walmart Labs,Mathworks,Uber")</f>
        <v>Zenefits,Walmart Labs,Mathworks,Uber</v>
      </c>
      <c r="F210" s="39">
        <f ca="1">IFERROR(__xludf.DUMMYFUNCTION("""COMPUTED_VALUE"""),45.53)</f>
        <v>45.53</v>
      </c>
      <c r="G210" s="39" t="str">
        <f ca="1">IFERROR(__xludf.DUMMYFUNCTION("""COMPUTED_VALUE"""),"算法")</f>
        <v>算法</v>
      </c>
      <c r="H210" s="39">
        <v>209</v>
      </c>
    </row>
    <row r="211" spans="1:8" ht="12.75" hidden="1">
      <c r="A211" s="70">
        <v>333</v>
      </c>
      <c r="B211" s="65" t="str">
        <f ca="1">IFERROR(__xludf.DUMMYFUNCTION("IF(ISBLANK(A211),,FILTER('Leetcode List'!B:C,'Leetcode List'!A:A = A211))"),"Largest BST Subtree")</f>
        <v>Largest BST Subtree</v>
      </c>
      <c r="C211" s="61" t="str">
        <f ca="1">IFERROR(__xludf.DUMMYFUNCTION("""COMPUTED_VALUE"""),"Medium")</f>
        <v>Medium</v>
      </c>
      <c r="D211" s="61" t="s">
        <v>414</v>
      </c>
      <c r="E211" s="66" t="str">
        <f ca="1">IFERROR(__xludf.DUMMYFUNCTION("IF(ISBLANK(A211),,FILTER('Leetcode List'!E:G,'Leetcode List'!A:A = A211))"),"Lyft,Apple,Facebook,Amazon,Microsoft,Google")</f>
        <v>Lyft,Apple,Facebook,Amazon,Microsoft,Google</v>
      </c>
      <c r="F211" s="39">
        <f ca="1">IFERROR(__xludf.DUMMYFUNCTION("""COMPUTED_VALUE"""),35.42)</f>
        <v>35.42</v>
      </c>
      <c r="G211" s="39" t="str">
        <f ca="1">IFERROR(__xludf.DUMMYFUNCTION("""COMPUTED_VALUE"""),"算法")</f>
        <v>算法</v>
      </c>
      <c r="H211" s="39">
        <v>210</v>
      </c>
    </row>
    <row r="212" spans="1:8" ht="12.75" hidden="1">
      <c r="A212" s="70">
        <v>222</v>
      </c>
      <c r="B212" s="65" t="str">
        <f ca="1">IFERROR(__xludf.DUMMYFUNCTION("IF(ISBLANK(A212),,FILTER('Leetcode List'!B:C,'Leetcode List'!A:A = A212))"),"Count Complete Tree Nodes")</f>
        <v>Count Complete Tree Nodes</v>
      </c>
      <c r="C212" s="61" t="str">
        <f ca="1">IFERROR(__xludf.DUMMYFUNCTION("""COMPUTED_VALUE"""),"Medium")</f>
        <v>Medium</v>
      </c>
      <c r="D212" s="61" t="s">
        <v>414</v>
      </c>
      <c r="E212" s="66" t="str">
        <f ca="1">IFERROR(__xludf.DUMMYFUNCTION("IF(ISBLANK(A212),,FILTER('Leetcode List'!E:G,'Leetcode List'!A:A = A212))"),"ByteDance,Yahoo,Bloomberg,Facebook,Amazon,Microsoft,Google")</f>
        <v>ByteDance,Yahoo,Bloomberg,Facebook,Amazon,Microsoft,Google</v>
      </c>
      <c r="F212" s="39">
        <f ca="1">IFERROR(__xludf.DUMMYFUNCTION("""COMPUTED_VALUE"""),43.14)</f>
        <v>43.14</v>
      </c>
      <c r="G212" s="39" t="str">
        <f ca="1">IFERROR(__xludf.DUMMYFUNCTION("""COMPUTED_VALUE"""),"算法")</f>
        <v>算法</v>
      </c>
      <c r="H212" s="39">
        <v>211</v>
      </c>
    </row>
    <row r="213" spans="1:8" ht="25.5" hidden="1">
      <c r="A213" s="70">
        <v>105</v>
      </c>
      <c r="B213" s="65" t="str">
        <f ca="1">IFERROR(__xludf.DUMMYFUNCTION("IF(ISBLANK(A213),,FILTER('Leetcode List'!B:C,'Leetcode List'!A:A = A213))"),"Construct Binary Tree from Preorder and Inorder Traversal")</f>
        <v>Construct Binary Tree from Preorder and Inorder Traversal</v>
      </c>
      <c r="C213" s="61" t="str">
        <f ca="1">IFERROR(__xludf.DUMMYFUNCTION("""COMPUTED_VALUE"""),"Medium")</f>
        <v>Medium</v>
      </c>
      <c r="D213" s="61" t="s">
        <v>414</v>
      </c>
      <c r="E213" s="66" t="str">
        <f ca="1">IFERROR(__xludf.DUMMYFUNCTION("IF(ISBLANK(A213),,FILTER('Leetcode List'!E:G,'Leetcode List'!A:A = A213))"),"Square,ByteDance,Citadel,Twitter,Oracle,Apple,Yahoo,Bloomberg,Adobe,Facebook,Amazon,Microsoft,Google")</f>
        <v>Square,ByteDance,Citadel,Twitter,Oracle,Apple,Yahoo,Bloomberg,Adobe,Facebook,Amazon,Microsoft,Google</v>
      </c>
      <c r="F213" s="39">
        <f ca="1">IFERROR(__xludf.DUMMYFUNCTION("""COMPUTED_VALUE"""),47.79)</f>
        <v>47.79</v>
      </c>
      <c r="G213" s="39" t="str">
        <f ca="1">IFERROR(__xludf.DUMMYFUNCTION("""COMPUTED_VALUE"""),"算法")</f>
        <v>算法</v>
      </c>
      <c r="H213" s="39">
        <v>212</v>
      </c>
    </row>
    <row r="214" spans="1:8" ht="12.75" hidden="1">
      <c r="A214" s="70">
        <v>106</v>
      </c>
      <c r="B214" s="65" t="str">
        <f ca="1">IFERROR(__xludf.DUMMYFUNCTION("IF(ISBLANK(A214),,FILTER('Leetcode List'!B:C,'Leetcode List'!A:A = A214))"),"Construct Binary Tree from Inorder and Postorder Traversal")</f>
        <v>Construct Binary Tree from Inorder and Postorder Traversal</v>
      </c>
      <c r="C214" s="61" t="str">
        <f ca="1">IFERROR(__xludf.DUMMYFUNCTION("""COMPUTED_VALUE"""),"Medium")</f>
        <v>Medium</v>
      </c>
      <c r="D214" s="61" t="s">
        <v>414</v>
      </c>
      <c r="E214" s="66" t="str">
        <f ca="1">IFERROR(__xludf.DUMMYFUNCTION("IF(ISBLANK(A214),,FILTER('Leetcode List'!E:G,'Leetcode List'!A:A = A214))"),"Twitter,Mathworks,Bloomberg,Facebook,Amazon,Microsoft")</f>
        <v>Twitter,Mathworks,Bloomberg,Facebook,Amazon,Microsoft</v>
      </c>
      <c r="F214" s="39">
        <f ca="1">IFERROR(__xludf.DUMMYFUNCTION("""COMPUTED_VALUE"""),44.85)</f>
        <v>44.85</v>
      </c>
      <c r="G214" s="39" t="str">
        <f ca="1">IFERROR(__xludf.DUMMYFUNCTION("""COMPUTED_VALUE"""),"算法")</f>
        <v>算法</v>
      </c>
      <c r="H214" s="39">
        <v>213</v>
      </c>
    </row>
    <row r="215" spans="1:8" ht="25.5" hidden="1">
      <c r="A215" s="70">
        <v>116</v>
      </c>
      <c r="B215" s="65" t="str">
        <f ca="1">IFERROR(__xludf.DUMMYFUNCTION("IF(ISBLANK(A215),,FILTER('Leetcode List'!B:C,'Leetcode List'!A:A = A215))"),"Populating Next Right Pointers in Each Node")</f>
        <v>Populating Next Right Pointers in Each Node</v>
      </c>
      <c r="C215" s="61" t="str">
        <f ca="1">IFERROR(__xludf.DUMMYFUNCTION("""COMPUTED_VALUE"""),"Medium")</f>
        <v>Medium</v>
      </c>
      <c r="D215" s="61" t="s">
        <v>414</v>
      </c>
      <c r="E215" s="66" t="str">
        <f ca="1">IFERROR(__xludf.DUMMYFUNCTION("IF(ISBLANK(A215),,FILTER('Leetcode List'!E:G,'Leetcode List'!A:A = A215))"),"Nutanix,VMware,Oracle,DiDi,Apple,SAP,Bloomberg,Facebook,Amazon,Microsoft,Google")</f>
        <v>Nutanix,VMware,Oracle,DiDi,Apple,SAP,Bloomberg,Facebook,Amazon,Microsoft,Google</v>
      </c>
      <c r="F215" s="39">
        <f ca="1">IFERROR(__xludf.DUMMYFUNCTION("""COMPUTED_VALUE"""),44.13)</f>
        <v>44.13</v>
      </c>
      <c r="G215" s="39" t="str">
        <f ca="1">IFERROR(__xludf.DUMMYFUNCTION("""COMPUTED_VALUE"""),"算法")</f>
        <v>算法</v>
      </c>
      <c r="H215" s="39">
        <v>214</v>
      </c>
    </row>
    <row r="216" spans="1:8" ht="12.75" hidden="1">
      <c r="A216" s="70">
        <v>117</v>
      </c>
      <c r="B216" s="65" t="str">
        <f ca="1">IFERROR(__xludf.DUMMYFUNCTION("IF(ISBLANK(A216),,FILTER('Leetcode List'!B:C,'Leetcode List'!A:A = A216))"),"Populating Next Right Pointers in Each Node II")</f>
        <v>Populating Next Right Pointers in Each Node II</v>
      </c>
      <c r="C216" s="61" t="str">
        <f ca="1">IFERROR(__xludf.DUMMYFUNCTION("""COMPUTED_VALUE"""),"Medium")</f>
        <v>Medium</v>
      </c>
      <c r="D216" s="61" t="s">
        <v>414</v>
      </c>
      <c r="E216" s="66" t="str">
        <f ca="1">IFERROR(__xludf.DUMMYFUNCTION("IF(ISBLANK(A216),,FILTER('Leetcode List'!E:G,'Leetcode List'!A:A = A216))"),"Oracle,Apple,Bloomberg,Facebook,Amazon,Microsoft,Google")</f>
        <v>Oracle,Apple,Bloomberg,Facebook,Amazon,Microsoft,Google</v>
      </c>
      <c r="F216" s="39">
        <f ca="1">IFERROR(__xludf.DUMMYFUNCTION("""COMPUTED_VALUE"""),38.41)</f>
        <v>38.409999999999997</v>
      </c>
      <c r="G216" s="39" t="str">
        <f ca="1">IFERROR(__xludf.DUMMYFUNCTION("""COMPUTED_VALUE"""),"算法")</f>
        <v>算法</v>
      </c>
      <c r="H216" s="39">
        <v>215</v>
      </c>
    </row>
    <row r="217" spans="1:8" ht="25.5" hidden="1">
      <c r="A217" s="70">
        <v>314</v>
      </c>
      <c r="B217" s="65" t="str">
        <f ca="1">IFERROR(__xludf.DUMMYFUNCTION("IF(ISBLANK(A217),,FILTER('Leetcode List'!B:C,'Leetcode List'!A:A = A217))"),"Binary Tree Vertical Order Traversal")</f>
        <v>Binary Tree Vertical Order Traversal</v>
      </c>
      <c r="C217" s="61" t="str">
        <f ca="1">IFERROR(__xludf.DUMMYFUNCTION("""COMPUTED_VALUE"""),"Medium")</f>
        <v>Medium</v>
      </c>
      <c r="D217" s="61" t="s">
        <v>414</v>
      </c>
      <c r="E217" s="66" t="str">
        <f ca="1">IFERROR(__xludf.DUMMYFUNCTION("IF(ISBLANK(A217),,FILTER('Leetcode List'!E:G,'Leetcode List'!A:A = A217))"),"Reddit,Databricks,ByteDance,Salesforce,Snapchat,Expedia,Wish,Oracle,Mathworks,Bloomberg,Adobe,Facebook,Amazon,Microsoft,Google")</f>
        <v>Reddit,Databricks,ByteDance,Salesforce,Snapchat,Expedia,Wish,Oracle,Mathworks,Bloomberg,Adobe,Facebook,Amazon,Microsoft,Google</v>
      </c>
      <c r="F217" s="39">
        <f ca="1">IFERROR(__xludf.DUMMYFUNCTION("""COMPUTED_VALUE"""),44.6)</f>
        <v>44.6</v>
      </c>
      <c r="G217" s="39" t="str">
        <f ca="1">IFERROR(__xludf.DUMMYFUNCTION("""COMPUTED_VALUE"""),"算法")</f>
        <v>算法</v>
      </c>
      <c r="H217" s="39">
        <v>216</v>
      </c>
    </row>
    <row r="218" spans="1:8" ht="25.5" hidden="1">
      <c r="A218" s="70">
        <v>96</v>
      </c>
      <c r="B218" s="65" t="str">
        <f ca="1">IFERROR(__xludf.DUMMYFUNCTION("IF(ISBLANK(A218),,FILTER('Leetcode List'!B:C,'Leetcode List'!A:A = A218))"),"Unique Binary Search Trees")</f>
        <v>Unique Binary Search Trees</v>
      </c>
      <c r="C218" s="61" t="str">
        <f ca="1">IFERROR(__xludf.DUMMYFUNCTION("""COMPUTED_VALUE"""),"Medium")</f>
        <v>Medium</v>
      </c>
      <c r="D218" s="61" t="s">
        <v>414</v>
      </c>
      <c r="E218" s="66" t="str">
        <f ca="1">IFERROR(__xludf.DUMMYFUNCTION("IF(ISBLANK(A218),,FILTER('Leetcode List'!E:G,'Leetcode List'!A:A = A218))"),"Snapchat,Expedia,Wish,Apple,Bloomberg,Adobe,Facebook,Amazon,Microsoft,Google")</f>
        <v>Snapchat,Expedia,Wish,Apple,Bloomberg,Adobe,Facebook,Amazon,Microsoft,Google</v>
      </c>
      <c r="F218" s="39">
        <f ca="1">IFERROR(__xludf.DUMMYFUNCTION("""COMPUTED_VALUE"""),51.05)</f>
        <v>51.05</v>
      </c>
      <c r="G218" s="39" t="str">
        <f ca="1">IFERROR(__xludf.DUMMYFUNCTION("""COMPUTED_VALUE"""),"算法")</f>
        <v>算法</v>
      </c>
      <c r="H218" s="78">
        <v>217</v>
      </c>
    </row>
    <row r="219" spans="1:8" ht="12.75" hidden="1">
      <c r="A219" s="70">
        <v>95</v>
      </c>
      <c r="B219" s="65" t="str">
        <f ca="1">IFERROR(__xludf.DUMMYFUNCTION("IF(ISBLANK(A219),,FILTER('Leetcode List'!B:C,'Leetcode List'!A:A = A219))"),"Unique Binary Search Trees II")</f>
        <v>Unique Binary Search Trees II</v>
      </c>
      <c r="C219" s="61" t="str">
        <f ca="1">IFERROR(__xludf.DUMMYFUNCTION("""COMPUTED_VALUE"""),"Medium")</f>
        <v>Medium</v>
      </c>
      <c r="D219" s="61" t="s">
        <v>414</v>
      </c>
      <c r="E219" s="66" t="str">
        <f ca="1">IFERROR(__xludf.DUMMYFUNCTION("IF(ISBLANK(A219),,FILTER('Leetcode List'!E:G,'Leetcode List'!A:A = A219))"),"Apple,Yahoo,Adobe,Facebook,Amazon,Microsoft,Google")</f>
        <v>Apple,Yahoo,Adobe,Facebook,Amazon,Microsoft,Google</v>
      </c>
      <c r="F219" s="39">
        <f ca="1">IFERROR(__xludf.DUMMYFUNCTION("""COMPUTED_VALUE"""),39.89)</f>
        <v>39.89</v>
      </c>
      <c r="G219" s="39" t="str">
        <f ca="1">IFERROR(__xludf.DUMMYFUNCTION("""COMPUTED_VALUE"""),"算法")</f>
        <v>算法</v>
      </c>
      <c r="H219" s="39">
        <v>218</v>
      </c>
    </row>
    <row r="220" spans="1:8" ht="12.75" hidden="1">
      <c r="A220" s="70">
        <v>331</v>
      </c>
      <c r="B220" s="65" t="str">
        <f ca="1">IFERROR(__xludf.DUMMYFUNCTION("IF(ISBLANK(A220),,FILTER('Leetcode List'!B:C,'Leetcode List'!A:A = A220))"),"Verify Preorder Serialization of a Binary Tree")</f>
        <v>Verify Preorder Serialization of a Binary Tree</v>
      </c>
      <c r="C220" s="61" t="str">
        <f ca="1">IFERROR(__xludf.DUMMYFUNCTION("""COMPUTED_VALUE"""),"Medium")</f>
        <v>Medium</v>
      </c>
      <c r="D220" s="61" t="s">
        <v>414</v>
      </c>
      <c r="E220" s="66" t="str">
        <f ca="1">IFERROR(__xludf.DUMMYFUNCTION("IF(ISBLANK(A220),,FILTER('Leetcode List'!E:G,'Leetcode List'!A:A = A220))"),"Google")</f>
        <v>Google</v>
      </c>
      <c r="F220" s="39">
        <f ca="1">IFERROR(__xludf.DUMMYFUNCTION("""COMPUTED_VALUE"""),40.15)</f>
        <v>40.15</v>
      </c>
      <c r="G220" s="39" t="str">
        <f ca="1">IFERROR(__xludf.DUMMYFUNCTION("""COMPUTED_VALUE"""),"算法")</f>
        <v>算法</v>
      </c>
      <c r="H220" s="39">
        <v>219</v>
      </c>
    </row>
    <row r="221" spans="1:8" ht="38.25" hidden="1">
      <c r="A221" s="70">
        <v>78</v>
      </c>
      <c r="B221" s="65" t="str">
        <f ca="1">IFERROR(__xludf.DUMMYFUNCTION("IF(ISBLANK(A221),,FILTER('Leetcode List'!B:C,'Leetcode List'!A:A = A221))"),"Subsets")</f>
        <v>Subsets</v>
      </c>
      <c r="C221" s="63" t="str">
        <f ca="1">IFERROR(__xludf.DUMMYFUNCTION("""COMPUTED_VALUE"""),"Medium")</f>
        <v>Medium</v>
      </c>
      <c r="D221" s="63" t="s">
        <v>161</v>
      </c>
      <c r="E221" s="66" t="str">
        <f ca="1">IFERROR(__xludf.DUMMYFUNCTION("IF(ISBLANK(A221),,FILTER('Leetcode List'!E:G,'Leetcode List'!A:A = A221))"),"Coupang,Atlassian,ByteDance,Walmart Labs,Oracle,Lyft,EBay,Apple,Uber,Yahoo,Bloomberg,Adobe,Facebook,Amazon,Microsoft,Goldman Sachs,Google")</f>
        <v>Coupang,Atlassian,ByteDance,Walmart Labs,Oracle,Lyft,EBay,Apple,Uber,Yahoo,Bloomberg,Adobe,Facebook,Amazon,Microsoft,Goldman Sachs,Google</v>
      </c>
      <c r="F221" s="39">
        <f ca="1">IFERROR(__xludf.DUMMYFUNCTION("""COMPUTED_VALUE"""),60.11)</f>
        <v>60.11</v>
      </c>
      <c r="G221" s="39" t="str">
        <f ca="1">IFERROR(__xludf.DUMMYFUNCTION("""COMPUTED_VALUE"""),"算法")</f>
        <v>算法</v>
      </c>
      <c r="H221" s="39">
        <v>220</v>
      </c>
    </row>
    <row r="222" spans="1:8" ht="12.75" hidden="1">
      <c r="A222" s="70">
        <v>90</v>
      </c>
      <c r="B222" s="65" t="str">
        <f ca="1">IFERROR(__xludf.DUMMYFUNCTION("IF(ISBLANK(A222),,FILTER('Leetcode List'!B:C,'Leetcode List'!A:A = A222))"),"Subsets II")</f>
        <v>Subsets II</v>
      </c>
      <c r="C222" s="63" t="str">
        <f ca="1">IFERROR(__xludf.DUMMYFUNCTION("""COMPUTED_VALUE"""),"Medium")</f>
        <v>Medium</v>
      </c>
      <c r="D222" s="63" t="s">
        <v>161</v>
      </c>
      <c r="E222" s="66" t="str">
        <f ca="1">IFERROR(__xludf.DUMMYFUNCTION("IF(ISBLANK(A222),,FILTER('Leetcode List'!E:G,'Leetcode List'!A:A = A222))"),"Bloomberg,Facebook,Amazon,Microsoft")</f>
        <v>Bloomberg,Facebook,Amazon,Microsoft</v>
      </c>
      <c r="F222" s="39">
        <f ca="1">IFERROR(__xludf.DUMMYFUNCTION("""COMPUTED_VALUE"""),46.43)</f>
        <v>46.43</v>
      </c>
      <c r="G222" s="39" t="str">
        <f ca="1">IFERROR(__xludf.DUMMYFUNCTION("""COMPUTED_VALUE"""),"算法")</f>
        <v>算法</v>
      </c>
      <c r="H222" s="39">
        <v>221</v>
      </c>
    </row>
    <row r="223" spans="1:8" ht="12.75" hidden="1">
      <c r="A223" s="70">
        <v>77</v>
      </c>
      <c r="B223" s="65" t="str">
        <f ca="1">IFERROR(__xludf.DUMMYFUNCTION("IF(ISBLANK(A223),,FILTER('Leetcode List'!B:C,'Leetcode List'!A:A = A223))"),"Combinations")</f>
        <v>Combinations</v>
      </c>
      <c r="C223" s="63" t="str">
        <f ca="1">IFERROR(__xludf.DUMMYFUNCTION("""COMPUTED_VALUE"""),"Medium")</f>
        <v>Medium</v>
      </c>
      <c r="D223" s="63" t="s">
        <v>161</v>
      </c>
      <c r="E223" s="66" t="str">
        <f ca="1">IFERROR(__xludf.DUMMYFUNCTION("IF(ISBLANK(A223),,FILTER('Leetcode List'!E:G,'Leetcode List'!A:A = A223))"),"Apple,Adobe,Facebook,Amazon,Microsoft,Google")</f>
        <v>Apple,Adobe,Facebook,Amazon,Microsoft,Google</v>
      </c>
      <c r="F223" s="39">
        <f ca="1">IFERROR(__xludf.DUMMYFUNCTION("""COMPUTED_VALUE"""),53.84)</f>
        <v>53.84</v>
      </c>
      <c r="G223" s="39" t="str">
        <f ca="1">IFERROR(__xludf.DUMMYFUNCTION("""COMPUTED_VALUE"""),"算法")</f>
        <v>算法</v>
      </c>
      <c r="H223" s="39">
        <v>222</v>
      </c>
    </row>
    <row r="224" spans="1:8" ht="38.25" hidden="1">
      <c r="A224" s="70">
        <v>39</v>
      </c>
      <c r="B224" s="65" t="str">
        <f ca="1">IFERROR(__xludf.DUMMYFUNCTION("IF(ISBLANK(A224),,FILTER('Leetcode List'!B:C,'Leetcode List'!A:A = A224))"),"Combination Sum")</f>
        <v>Combination Sum</v>
      </c>
      <c r="C224" s="63" t="str">
        <f ca="1">IFERROR(__xludf.DUMMYFUNCTION("""COMPUTED_VALUE"""),"Medium")</f>
        <v>Medium</v>
      </c>
      <c r="D224" s="63" t="s">
        <v>161</v>
      </c>
      <c r="E224" s="66" t="str">
        <f ca="1">IFERROR(__xludf.DUMMYFUNCTION("IF(ISBLANK(A224),,FILTER('Leetcode List'!E:G,'Leetcode List'!A:A = A224))"),"Akuna Capital,Square,IXL,VMware,Quora,Walmart Labs,Snapchat,JPMorgan,Yelp,EBay,Apple,Airbnb,Uber,Bloomberg,Facebook,Amazon,LinkedIn,Microsoft,Goldman Sachs,Google")</f>
        <v>Akuna Capital,Square,IXL,VMware,Quora,Walmart Labs,Snapchat,JPMorgan,Yelp,EBay,Apple,Airbnb,Uber,Bloomberg,Facebook,Amazon,LinkedIn,Microsoft,Goldman Sachs,Google</v>
      </c>
      <c r="F224" s="39">
        <f ca="1">IFERROR(__xludf.DUMMYFUNCTION("""COMPUTED_VALUE"""),55.21)</f>
        <v>55.21</v>
      </c>
      <c r="G224" s="39" t="str">
        <f ca="1">IFERROR(__xludf.DUMMYFUNCTION("""COMPUTED_VALUE"""),"算法")</f>
        <v>算法</v>
      </c>
      <c r="H224" s="39">
        <v>223</v>
      </c>
    </row>
    <row r="225" spans="1:8" ht="38.25" hidden="1">
      <c r="A225" s="70">
        <v>40</v>
      </c>
      <c r="B225" s="65" t="str">
        <f ca="1">IFERROR(__xludf.DUMMYFUNCTION("IF(ISBLANK(A225),,FILTER('Leetcode List'!B:C,'Leetcode List'!A:A = A225))"),"Combination Sum II")</f>
        <v>Combination Sum II</v>
      </c>
      <c r="C225" s="63" t="str">
        <f ca="1">IFERROR(__xludf.DUMMYFUNCTION("""COMPUTED_VALUE"""),"Medium")</f>
        <v>Medium</v>
      </c>
      <c r="D225" s="63" t="s">
        <v>161</v>
      </c>
      <c r="E225" s="66" t="str">
        <f ca="1">IFERROR(__xludf.DUMMYFUNCTION("IF(ISBLANK(A225),,FILTER('Leetcode List'!E:G,'Leetcode List'!A:A = A225))"),"Nutanix,Walmart Labs,Snapchat,EBay,Apple,Uber,Adobe,Facebook,Amazon,LinkedIn,Microsoft,Google")</f>
        <v>Nutanix,Walmart Labs,Snapchat,EBay,Apple,Uber,Adobe,Facebook,Amazon,LinkedIn,Microsoft,Google</v>
      </c>
      <c r="F225" s="39">
        <f ca="1">IFERROR(__xludf.DUMMYFUNCTION("""COMPUTED_VALUE"""),47.31)</f>
        <v>47.31</v>
      </c>
      <c r="G225" s="39" t="str">
        <f ca="1">IFERROR(__xludf.DUMMYFUNCTION("""COMPUTED_VALUE"""),"算法")</f>
        <v>算法</v>
      </c>
      <c r="H225" s="39">
        <v>224</v>
      </c>
    </row>
    <row r="226" spans="1:8" ht="12.75" hidden="1">
      <c r="A226" s="70">
        <v>216</v>
      </c>
      <c r="B226" s="65" t="str">
        <f ca="1">IFERROR(__xludf.DUMMYFUNCTION("IF(ISBLANK(A226),,FILTER('Leetcode List'!B:C,'Leetcode List'!A:A = A226))"),"Combination Sum III")</f>
        <v>Combination Sum III</v>
      </c>
      <c r="C226" s="63" t="str">
        <f ca="1">IFERROR(__xludf.DUMMYFUNCTION("""COMPUTED_VALUE"""),"Medium")</f>
        <v>Medium</v>
      </c>
      <c r="D226" s="63" t="s">
        <v>161</v>
      </c>
      <c r="E226" s="66" t="str">
        <f ca="1">IFERROR(__xludf.DUMMYFUNCTION("IF(ISBLANK(A226),,FILTER('Leetcode List'!E:G,'Leetcode List'!A:A = A226))"),"Bloomberg,Amazon,Microsoft")</f>
        <v>Bloomberg,Amazon,Microsoft</v>
      </c>
      <c r="F226" s="39">
        <f ca="1">IFERROR(__xludf.DUMMYFUNCTION("""COMPUTED_VALUE"""),55.85)</f>
        <v>55.85</v>
      </c>
      <c r="G226" s="39" t="str">
        <f ca="1">IFERROR(__xludf.DUMMYFUNCTION("""COMPUTED_VALUE"""),"算法")</f>
        <v>算法</v>
      </c>
      <c r="H226" s="39">
        <v>225</v>
      </c>
    </row>
    <row r="227" spans="1:8" ht="12.75" hidden="1">
      <c r="A227" s="70">
        <v>377</v>
      </c>
      <c r="B227" s="65" t="str">
        <f ca="1">IFERROR(__xludf.DUMMYFUNCTION("IF(ISBLANK(A227),,FILTER('Leetcode List'!B:C,'Leetcode List'!A:A = A227))"),"Combination Sum IV")</f>
        <v>Combination Sum IV</v>
      </c>
      <c r="C227" s="63" t="str">
        <f ca="1">IFERROR(__xludf.DUMMYFUNCTION("""COMPUTED_VALUE"""),"Medium")</f>
        <v>Medium</v>
      </c>
      <c r="D227" s="63" t="s">
        <v>161</v>
      </c>
      <c r="E227" s="66" t="str">
        <f ca="1">IFERROR(__xludf.DUMMYFUNCTION("IF(ISBLANK(A227),,FILTER('Leetcode List'!E:G,'Leetcode List'!A:A = A227))"),"Visa,Snapchat,Facebook,Amazon,Google")</f>
        <v>Visa,Snapchat,Facebook,Amazon,Google</v>
      </c>
      <c r="F227" s="39">
        <f ca="1">IFERROR(__xludf.DUMMYFUNCTION("""COMPUTED_VALUE"""),45.02)</f>
        <v>45.02</v>
      </c>
      <c r="G227" s="39" t="str">
        <f ca="1">IFERROR(__xludf.DUMMYFUNCTION("""COMPUTED_VALUE"""),"算法")</f>
        <v>算法</v>
      </c>
      <c r="H227" s="39">
        <v>226</v>
      </c>
    </row>
    <row r="228" spans="1:8" ht="12.75" hidden="1">
      <c r="A228" s="70">
        <v>254</v>
      </c>
      <c r="B228" s="65" t="str">
        <f ca="1">IFERROR(__xludf.DUMMYFUNCTION("IF(ISBLANK(A228),,FILTER('Leetcode List'!B:C,'Leetcode List'!A:A = A228))"),"Factor Combinations")</f>
        <v>Factor Combinations</v>
      </c>
      <c r="C228" s="63" t="str">
        <f ca="1">IFERROR(__xludf.DUMMYFUNCTION("""COMPUTED_VALUE"""),"Medium")</f>
        <v>Medium</v>
      </c>
      <c r="D228" s="63" t="s">
        <v>161</v>
      </c>
      <c r="E228" s="66" t="str">
        <f ca="1">IFERROR(__xludf.DUMMYFUNCTION("IF(ISBLANK(A228),,FILTER('Leetcode List'!E:G,'Leetcode List'!A:A = A228))"),"Pinterest,Uber,LinkedIn,Google")</f>
        <v>Pinterest,Uber,LinkedIn,Google</v>
      </c>
      <c r="F228" s="39">
        <f ca="1">IFERROR(__xludf.DUMMYFUNCTION("""COMPUTED_VALUE"""),46.52)</f>
        <v>46.52</v>
      </c>
      <c r="G228" s="39" t="str">
        <f ca="1">IFERROR(__xludf.DUMMYFUNCTION("""COMPUTED_VALUE"""),"算法")</f>
        <v>算法</v>
      </c>
      <c r="H228" s="39">
        <v>227</v>
      </c>
    </row>
    <row r="229" spans="1:8" ht="51" hidden="1">
      <c r="A229" s="70">
        <v>46</v>
      </c>
      <c r="B229" s="65" t="str">
        <f ca="1">IFERROR(__xludf.DUMMYFUNCTION("IF(ISBLANK(A229),,FILTER('Leetcode List'!B:C,'Leetcode List'!A:A = A229))"),"Permutations")</f>
        <v>Permutations</v>
      </c>
      <c r="C229" s="63" t="str">
        <f ca="1">IFERROR(__xludf.DUMMYFUNCTION("""COMPUTED_VALUE"""),"Medium")</f>
        <v>Medium</v>
      </c>
      <c r="D229" s="63" t="s">
        <v>161</v>
      </c>
      <c r="E229" s="66" t="str">
        <f ca="1">IFERROR(__xludf.DUMMYFUNCTION("IF(ISBLANK(A229),,FILTER('Leetcode List'!E:G,'Leetcode List'!A:A = A229))"),"Garena,Atlassian,ByteDance,Salesforce,VMware,Walmart Labs,GoDaddy,Paypal,Oracle,NetEase,Cisco,EBay,Apple,Uber,Yahoo,Bloomberg,Adobe,Facebook,Amazon,LinkedIn,Microsoft,Goldman Sachs,Google")</f>
        <v>Garena,Atlassian,ByteDance,Salesforce,VMware,Walmart Labs,GoDaddy,Paypal,Oracle,NetEase,Cisco,EBay,Apple,Uber,Yahoo,Bloomberg,Adobe,Facebook,Amazon,LinkedIn,Microsoft,Goldman Sachs,Google</v>
      </c>
      <c r="F229" s="39">
        <f ca="1">IFERROR(__xludf.DUMMYFUNCTION("""COMPUTED_VALUE"""),62.52)</f>
        <v>62.52</v>
      </c>
      <c r="G229" s="39" t="str">
        <f ca="1">IFERROR(__xludf.DUMMYFUNCTION("""COMPUTED_VALUE"""),"算法")</f>
        <v>算法</v>
      </c>
      <c r="H229" s="39">
        <v>228</v>
      </c>
    </row>
    <row r="230" spans="1:8" ht="25.5" hidden="1">
      <c r="A230" s="70">
        <v>47</v>
      </c>
      <c r="B230" s="65" t="str">
        <f ca="1">IFERROR(__xludf.DUMMYFUNCTION("IF(ISBLANK(A230),,FILTER('Leetcode List'!B:C,'Leetcode List'!A:A = A230))"),"Permutations II")</f>
        <v>Permutations II</v>
      </c>
      <c r="C230" s="63" t="str">
        <f ca="1">IFERROR(__xludf.DUMMYFUNCTION("""COMPUTED_VALUE"""),"Medium")</f>
        <v>Medium</v>
      </c>
      <c r="D230" s="63" t="s">
        <v>161</v>
      </c>
      <c r="E230" s="66" t="str">
        <f ca="1">IFERROR(__xludf.DUMMYFUNCTION("IF(ISBLANK(A230),,FILTER('Leetcode List'!E:G,'Leetcode List'!A:A = A230))"),"VMware,Apple,Uber,Bloomberg,Adobe,Facebook,Amazon,LinkedIn,Microsoft")</f>
        <v>VMware,Apple,Uber,Bloomberg,Adobe,Facebook,Amazon,LinkedIn,Microsoft</v>
      </c>
      <c r="F230" s="39">
        <f ca="1">IFERROR(__xludf.DUMMYFUNCTION("""COMPUTED_VALUE"""),45.7)</f>
        <v>45.7</v>
      </c>
      <c r="G230" s="39" t="str">
        <f ca="1">IFERROR(__xludf.DUMMYFUNCTION("""COMPUTED_VALUE"""),"算法")</f>
        <v>算法</v>
      </c>
      <c r="H230" s="39">
        <v>229</v>
      </c>
    </row>
    <row r="231" spans="1:8" ht="38.25" hidden="1">
      <c r="A231" s="70">
        <v>31</v>
      </c>
      <c r="B231" s="65" t="str">
        <f ca="1">IFERROR(__xludf.DUMMYFUNCTION("IF(ISBLANK(A231),,FILTER('Leetcode List'!B:C,'Leetcode List'!A:A = A231))"),"Next Permutation")</f>
        <v>Next Permutation</v>
      </c>
      <c r="C231" s="63" t="str">
        <f ca="1">IFERROR(__xludf.DUMMYFUNCTION("""COMPUTED_VALUE"""),"Medium")</f>
        <v>Medium</v>
      </c>
      <c r="D231" s="63" t="s">
        <v>161</v>
      </c>
      <c r="E231" s="66" t="str">
        <f ca="1">IFERROR(__xludf.DUMMYFUNCTION("IF(ISBLANK(A231),,FILTER('Leetcode List'!E:G,'Leetcode List'!A:A = A231))"),"Sumologic,Rubrik,Houzz,Atlassian,ByteDance,Quora,JPMorgan,EBay,Apple,Uber,Samsung,Bloomberg,Adobe,Facebook,Amazon,Microsoft,Google")</f>
        <v>Sumologic,Rubrik,Houzz,Atlassian,ByteDance,Quora,JPMorgan,EBay,Apple,Uber,Samsung,Bloomberg,Adobe,Facebook,Amazon,Microsoft,Google</v>
      </c>
      <c r="F231" s="39">
        <f ca="1">IFERROR(__xludf.DUMMYFUNCTION("""COMPUTED_VALUE"""),32.3)</f>
        <v>32.299999999999997</v>
      </c>
      <c r="G231" s="39" t="str">
        <f ca="1">IFERROR(__xludf.DUMMYFUNCTION("""COMPUTED_VALUE"""),"算法")</f>
        <v>算法</v>
      </c>
      <c r="H231" s="39">
        <v>230</v>
      </c>
    </row>
    <row r="232" spans="1:8" ht="12.75" hidden="1">
      <c r="A232" s="70">
        <v>60</v>
      </c>
      <c r="B232" s="65" t="str">
        <f ca="1">IFERROR(__xludf.DUMMYFUNCTION("IF(ISBLANK(A232),,FILTER('Leetcode List'!B:C,'Leetcode List'!A:A = A232))"),"Permutation Sequence")</f>
        <v>Permutation Sequence</v>
      </c>
      <c r="C232" s="63" t="str">
        <f ca="1">IFERROR(__xludf.DUMMYFUNCTION("""COMPUTED_VALUE"""),"Medium")</f>
        <v>Medium</v>
      </c>
      <c r="D232" s="63" t="s">
        <v>161</v>
      </c>
      <c r="E232" s="66" t="str">
        <f ca="1">IFERROR(__xludf.DUMMYFUNCTION("IF(ISBLANK(A232),,FILTER('Leetcode List'!E:G,'Leetcode List'!A:A = A232))"),"Twitter,Facebook,Amazon,Microsoft,Google")</f>
        <v>Twitter,Facebook,Amazon,Microsoft,Google</v>
      </c>
      <c r="F232" s="39">
        <f ca="1">IFERROR(__xludf.DUMMYFUNCTION("""COMPUTED_VALUE"""),37.16)</f>
        <v>37.159999999999997</v>
      </c>
      <c r="G232" s="39" t="str">
        <f ca="1">IFERROR(__xludf.DUMMYFUNCTION("""COMPUTED_VALUE"""),"算法")</f>
        <v>算法</v>
      </c>
      <c r="H232" s="39">
        <v>231</v>
      </c>
    </row>
    <row r="233" spans="1:8" ht="12.75" hidden="1">
      <c r="A233" s="70">
        <v>291</v>
      </c>
      <c r="B233" s="65" t="str">
        <f ca="1">IFERROR(__xludf.DUMMYFUNCTION("IF(ISBLANK(A233),,FILTER('Leetcode List'!B:C,'Leetcode List'!A:A = A233))"),"Word Pattern II")</f>
        <v>Word Pattern II</v>
      </c>
      <c r="C233" s="63" t="str">
        <f ca="1">IFERROR(__xludf.DUMMYFUNCTION("""COMPUTED_VALUE"""),"Hard")</f>
        <v>Hard</v>
      </c>
      <c r="D233" s="63" t="s">
        <v>161</v>
      </c>
      <c r="E233" s="66" t="str">
        <f ca="1">IFERROR(__xludf.DUMMYFUNCTION("IF(ISBLANK(A233),,FILTER('Leetcode List'!E:G,'Leetcode List'!A:A = A233))"),"Pony.ai,Dropbox,Uber,Facebook")</f>
        <v>Pony.ai,Dropbox,Uber,Facebook</v>
      </c>
      <c r="F233" s="39">
        <f ca="1">IFERROR(__xludf.DUMMYFUNCTION("""COMPUTED_VALUE"""),43.09)</f>
        <v>43.09</v>
      </c>
      <c r="G233" s="39" t="str">
        <f ca="1">IFERROR(__xludf.DUMMYFUNCTION("""COMPUTED_VALUE"""),"算法")</f>
        <v>算法</v>
      </c>
      <c r="H233" s="39">
        <v>232</v>
      </c>
    </row>
    <row r="234" spans="1:8" ht="89.25" hidden="1">
      <c r="A234" s="70">
        <v>17</v>
      </c>
      <c r="B234" s="65" t="str">
        <f ca="1">IFERROR(__xludf.DUMMYFUNCTION("IF(ISBLANK(A234),,FILTER('Leetcode List'!B:C,'Leetcode List'!A:A = A234))"),"Letter Combinations of a Phone Number")</f>
        <v>Letter Combinations of a Phone Number</v>
      </c>
      <c r="C234" s="63" t="str">
        <f ca="1">IFERROR(__xludf.DUMMYFUNCTION("""COMPUTED_VALUE"""),"Medium")</f>
        <v>Medium</v>
      </c>
      <c r="D234" s="63" t="s">
        <v>161</v>
      </c>
      <c r="E234" s="66" t="str">
        <f ca="1">IFERROR(__xludf.DUMMYFUNCTION("IF(ISBLANK(A234),,FILTER('Leetcode List'!E:G,'Leetcode List'!A:A = A234))"),"Nutanix,Quip (Salesforce),Square,Pinterest,Atlassian,Roblox,Salesforce,VMware,Walmart Labs,Dropbox,JPMorgan,ServiceNow,Oracle,Lyft,Cisco,EBay,Apple,Airbnb,Uber,Yahoo,Morgan Stanley,Bloomberg,Facebook,Amazon,Microsoft,Goldman Sachs,Google")</f>
        <v>Nutanix,Quip (Salesforce),Square,Pinterest,Atlassian,Roblox,Salesforce,VMware,Walmart Labs,Dropbox,JPMorgan,ServiceNow,Oracle,Lyft,Cisco,EBay,Apple,Airbnb,Uber,Yahoo,Morgan Stanley,Bloomberg,Facebook,Amazon,Microsoft,Goldman Sachs,Google</v>
      </c>
      <c r="F234" s="39">
        <f ca="1">IFERROR(__xludf.DUMMYFUNCTION("""COMPUTED_VALUE"""),46.18)</f>
        <v>46.18</v>
      </c>
      <c r="G234" s="39" t="str">
        <f ca="1">IFERROR(__xludf.DUMMYFUNCTION("""COMPUTED_VALUE"""),"算法")</f>
        <v>算法</v>
      </c>
      <c r="H234" s="39">
        <v>233</v>
      </c>
    </row>
    <row r="235" spans="1:8" ht="12.75" hidden="1">
      <c r="A235" s="70">
        <v>320</v>
      </c>
      <c r="B235" s="65" t="str">
        <f ca="1">IFERROR(__xludf.DUMMYFUNCTION("IF(ISBLANK(A235),,FILTER('Leetcode List'!B:C,'Leetcode List'!A:A = A235))"),"Generalized Abbreviation")</f>
        <v>Generalized Abbreviation</v>
      </c>
      <c r="C235" s="63" t="str">
        <f ca="1">IFERROR(__xludf.DUMMYFUNCTION("""COMPUTED_VALUE"""),"Medium")</f>
        <v>Medium</v>
      </c>
      <c r="D235" s="63" t="s">
        <v>161</v>
      </c>
      <c r="E235" s="66" t="str">
        <f ca="1">IFERROR(__xludf.DUMMYFUNCTION("IF(ISBLANK(A235),,FILTER('Leetcode List'!E:G,'Leetcode List'!A:A = A235))"),"Google")</f>
        <v>Google</v>
      </c>
      <c r="F235" s="39">
        <f ca="1">IFERROR(__xludf.DUMMYFUNCTION("""COMPUTED_VALUE"""),51.54)</f>
        <v>51.54</v>
      </c>
      <c r="G235" s="39" t="str">
        <f ca="1">IFERROR(__xludf.DUMMYFUNCTION("""COMPUTED_VALUE"""),"算法")</f>
        <v>算法</v>
      </c>
      <c r="H235" s="39">
        <v>234</v>
      </c>
    </row>
    <row r="236" spans="1:8" ht="12.75" hidden="1">
      <c r="A236" s="70">
        <v>93</v>
      </c>
      <c r="B236" s="65" t="str">
        <f ca="1">IFERROR(__xludf.DUMMYFUNCTION("IF(ISBLANK(A236),,FILTER('Leetcode List'!B:C,'Leetcode List'!A:A = A236))"),"Restore IP Addresses")</f>
        <v>Restore IP Addresses</v>
      </c>
      <c r="C236" s="63" t="str">
        <f ca="1">IFERROR(__xludf.DUMMYFUNCTION("""COMPUTED_VALUE"""),"Medium")</f>
        <v>Medium</v>
      </c>
      <c r="D236" s="63" t="s">
        <v>161</v>
      </c>
      <c r="E236" s="66" t="str">
        <f ca="1">IFERROR(__xludf.DUMMYFUNCTION("IF(ISBLANK(A236),,FILTER('Leetcode List'!E:G,'Leetcode List'!A:A = A236))"),"VMware,Apple,Yahoo,Adobe,Facebook,Amazon,Microsoft")</f>
        <v>VMware,Apple,Yahoo,Adobe,Facebook,Amazon,Microsoft</v>
      </c>
      <c r="F236" s="39">
        <f ca="1">IFERROR(__xludf.DUMMYFUNCTION("""COMPUTED_VALUE"""),35.03)</f>
        <v>35.03</v>
      </c>
      <c r="G236" s="39" t="str">
        <f ca="1">IFERROR(__xludf.DUMMYFUNCTION("""COMPUTED_VALUE"""),"算法")</f>
        <v>算法</v>
      </c>
      <c r="H236" s="39">
        <v>235</v>
      </c>
    </row>
    <row r="237" spans="1:8" ht="12.75" hidden="1">
      <c r="A237" s="70">
        <v>282</v>
      </c>
      <c r="B237" s="65" t="str">
        <f ca="1">IFERROR(__xludf.DUMMYFUNCTION("IF(ISBLANK(A237),,FILTER('Leetcode List'!B:C,'Leetcode List'!A:A = A237))"),"Expression Add Operators")</f>
        <v>Expression Add Operators</v>
      </c>
      <c r="C237" s="63" t="str">
        <f ca="1">IFERROR(__xludf.DUMMYFUNCTION("""COMPUTED_VALUE"""),"Hard")</f>
        <v>Hard</v>
      </c>
      <c r="D237" s="63" t="s">
        <v>161</v>
      </c>
      <c r="E237" s="66" t="str">
        <f ca="1">IFERROR(__xludf.DUMMYFUNCTION("IF(ISBLANK(A237),,FILTER('Leetcode List'!E:G,'Leetcode List'!A:A = A237))"),"ByteDance,Snapchat,Apple,Uber,Facebook,LinkedIn,Microsoft,Google")</f>
        <v>ByteDance,Snapchat,Apple,Uber,Facebook,LinkedIn,Microsoft,Google</v>
      </c>
      <c r="F237" s="39">
        <f ca="1">IFERROR(__xludf.DUMMYFUNCTION("""COMPUTED_VALUE"""),35.31)</f>
        <v>35.31</v>
      </c>
      <c r="G237" s="39" t="str">
        <f ca="1">IFERROR(__xludf.DUMMYFUNCTION("""COMPUTED_VALUE"""),"算法")</f>
        <v>算法</v>
      </c>
      <c r="H237" s="39">
        <v>236</v>
      </c>
    </row>
    <row r="238" spans="1:8" ht="25.5" hidden="1">
      <c r="A238" s="70">
        <v>140</v>
      </c>
      <c r="B238" s="65" t="str">
        <f ca="1">IFERROR(__xludf.DUMMYFUNCTION("IF(ISBLANK(A238),,FILTER('Leetcode List'!B:C,'Leetcode List'!A:A = A238))"),"Word Break II")</f>
        <v>Word Break II</v>
      </c>
      <c r="C238" s="63" t="str">
        <f ca="1">IFERROR(__xludf.DUMMYFUNCTION("""COMPUTED_VALUE"""),"Hard")</f>
        <v>Hard</v>
      </c>
      <c r="D238" s="63" t="s">
        <v>161</v>
      </c>
      <c r="E238" s="66" t="str">
        <f ca="1">IFERROR(__xludf.DUMMYFUNCTION("IF(ISBLANK(A238),,FILTER('Leetcode List'!E:G,'Leetcode List'!A:A = A238))"),"Pinterest,Audible,Booking.com,Dropbox,Snapchat,Zillow,Twitter,Oracle,Apple,Uber,Bloomberg,Facebook,Amazon,Microsoft,Google")</f>
        <v>Pinterest,Audible,Booking.com,Dropbox,Snapchat,Zillow,Twitter,Oracle,Apple,Uber,Bloomberg,Facebook,Amazon,Microsoft,Google</v>
      </c>
      <c r="F238" s="39">
        <f ca="1">IFERROR(__xludf.DUMMYFUNCTION("""COMPUTED_VALUE"""),31.13)</f>
        <v>31.13</v>
      </c>
      <c r="G238" s="39" t="str">
        <f ca="1">IFERROR(__xludf.DUMMYFUNCTION("""COMPUTED_VALUE"""),"算法")</f>
        <v>算法</v>
      </c>
      <c r="H238" s="39">
        <v>237</v>
      </c>
    </row>
    <row r="239" spans="1:8" ht="12.75" hidden="1">
      <c r="A239" s="70">
        <v>351</v>
      </c>
      <c r="B239" s="65" t="str">
        <f ca="1">IFERROR(__xludf.DUMMYFUNCTION("IF(ISBLANK(A239),,FILTER('Leetcode List'!B:C,'Leetcode List'!A:A = A239))"),"Android Unlock Patterns")</f>
        <v>Android Unlock Patterns</v>
      </c>
      <c r="C239" s="63" t="str">
        <f ca="1">IFERROR(__xludf.DUMMYFUNCTION("""COMPUTED_VALUE"""),"Medium")</f>
        <v>Medium</v>
      </c>
      <c r="D239" s="63" t="s">
        <v>161</v>
      </c>
      <c r="E239" s="66" t="str">
        <f ca="1">IFERROR(__xludf.DUMMYFUNCTION("IF(ISBLANK(A239),,FILTER('Leetcode List'!E:G,'Leetcode List'!A:A = A239))"),"ByteDance,Apple,Amazon,Google")</f>
        <v>ByteDance,Apple,Amazon,Google</v>
      </c>
      <c r="F239" s="39">
        <f ca="1">IFERROR(__xludf.DUMMYFUNCTION("""COMPUTED_VALUE"""),48.03)</f>
        <v>48.03</v>
      </c>
      <c r="G239" s="39" t="str">
        <f ca="1">IFERROR(__xludf.DUMMYFUNCTION("""COMPUTED_VALUE"""),"算法")</f>
        <v>算法</v>
      </c>
      <c r="H239" s="39">
        <v>238</v>
      </c>
    </row>
    <row r="240" spans="1:8" ht="38.25" hidden="1">
      <c r="A240" s="70">
        <v>70</v>
      </c>
      <c r="B240" s="65" t="str">
        <f ca="1">IFERROR(__xludf.DUMMYFUNCTION("IF(ISBLANK(A240),,FILTER('Leetcode List'!B:C,'Leetcode List'!A:A = A240))"),"Climbing Stairs")</f>
        <v>Climbing Stairs</v>
      </c>
      <c r="C240" s="63" t="str">
        <f ca="1">IFERROR(__xludf.DUMMYFUNCTION("""COMPUTED_VALUE"""),"Easy")</f>
        <v>Easy</v>
      </c>
      <c r="D240" s="63" t="s">
        <v>214</v>
      </c>
      <c r="E240" s="66" t="str">
        <f ca="1">IFERROR(__xludf.DUMMYFUNCTION("IF(ISBLANK(A240),,FILTER('Leetcode List'!E:G,'Leetcode List'!A:A = A240))"),"TripAdvisor,Zulily,Citadel,Walmart Labs,Nvidia,Oracle,Huawei,Baidu,Apple,Uber,Bloomberg,Adobe,Facebook,Amazon,LinkedIn,Microsoft,Alibaba,Goldman Sachs,Google")</f>
        <v>TripAdvisor,Zulily,Citadel,Walmart Labs,Nvidia,Oracle,Huawei,Baidu,Apple,Uber,Bloomberg,Adobe,Facebook,Amazon,LinkedIn,Microsoft,Alibaba,Goldman Sachs,Google</v>
      </c>
      <c r="F240" s="39">
        <f ca="1">IFERROR(__xludf.DUMMYFUNCTION("""COMPUTED_VALUE"""),46.95)</f>
        <v>46.95</v>
      </c>
      <c r="G240" s="39" t="str">
        <f ca="1">IFERROR(__xludf.DUMMYFUNCTION("""COMPUTED_VALUE"""),"算法")</f>
        <v>算法</v>
      </c>
      <c r="H240" s="39">
        <v>239</v>
      </c>
    </row>
    <row r="241" spans="1:8" ht="38.25" hidden="1">
      <c r="A241" s="70">
        <v>62</v>
      </c>
      <c r="B241" s="65" t="str">
        <f ca="1">IFERROR(__xludf.DUMMYFUNCTION("IF(ISBLANK(A241),,FILTER('Leetcode List'!B:C,'Leetcode List'!A:A = A241))"),"Unique Paths")</f>
        <v>Unique Paths</v>
      </c>
      <c r="C241" s="63" t="str">
        <f ca="1">IFERROR(__xludf.DUMMYFUNCTION("""COMPUTED_VALUE"""),"Medium")</f>
        <v>Medium</v>
      </c>
      <c r="D241" s="63" t="s">
        <v>214</v>
      </c>
      <c r="E241" s="66" t="str">
        <f ca="1">IFERROR(__xludf.DUMMYFUNCTION("IF(ISBLANK(A241),,FILTER('Leetcode List'!E:G,'Leetcode List'!A:A = A241))"),"VMware,Walmart Labs,Snapchat,Oracle,Mathworks,Apple,Uber,Bloomberg,Adobe,Facebook,Amazon,Microsoft,Alibaba,Goldman Sachs,Google")</f>
        <v>VMware,Walmart Labs,Snapchat,Oracle,Mathworks,Apple,Uber,Bloomberg,Adobe,Facebook,Amazon,Microsoft,Alibaba,Goldman Sachs,Google</v>
      </c>
      <c r="F241" s="39">
        <f ca="1">IFERROR(__xludf.DUMMYFUNCTION("""COMPUTED_VALUE"""),52.76)</f>
        <v>52.76</v>
      </c>
      <c r="G241" s="39" t="str">
        <f ca="1">IFERROR(__xludf.DUMMYFUNCTION("""COMPUTED_VALUE"""),"算法")</f>
        <v>算法</v>
      </c>
      <c r="H241" s="39">
        <v>240</v>
      </c>
    </row>
    <row r="242" spans="1:8" ht="25.5" hidden="1">
      <c r="A242" s="70">
        <v>63</v>
      </c>
      <c r="B242" s="65" t="str">
        <f ca="1">IFERROR(__xludf.DUMMYFUNCTION("IF(ISBLANK(A242),,FILTER('Leetcode List'!B:C,'Leetcode List'!A:A = A242))"),"Unique Paths II")</f>
        <v>Unique Paths II</v>
      </c>
      <c r="C242" s="63" t="str">
        <f ca="1">IFERROR(__xludf.DUMMYFUNCTION("""COMPUTED_VALUE"""),"Medium")</f>
        <v>Medium</v>
      </c>
      <c r="D242" s="63" t="s">
        <v>214</v>
      </c>
      <c r="E242" s="66" t="str">
        <f ca="1">IFERROR(__xludf.DUMMYFUNCTION("IF(ISBLANK(A242),,FILTER('Leetcode List'!E:G,'Leetcode List'!A:A = A242))"),"GoDaddy,Snapchat,Mathworks,Apple,Bloomberg,Facebook,Amazon,Microsoft,Goldman Sachs,Google")</f>
        <v>GoDaddy,Snapchat,Mathworks,Apple,Bloomberg,Facebook,Amazon,Microsoft,Goldman Sachs,Google</v>
      </c>
      <c r="F242" s="39">
        <f ca="1">IFERROR(__xludf.DUMMYFUNCTION("""COMPUTED_VALUE"""),34.23)</f>
        <v>34.229999999999997</v>
      </c>
      <c r="G242" s="39" t="str">
        <f ca="1">IFERROR(__xludf.DUMMYFUNCTION("""COMPUTED_VALUE"""),"算法")</f>
        <v>算法</v>
      </c>
      <c r="H242" s="39">
        <v>241</v>
      </c>
    </row>
    <row r="243" spans="1:8" ht="12.75" hidden="1">
      <c r="A243" s="70">
        <v>120</v>
      </c>
      <c r="B243" s="65" t="str">
        <f ca="1">IFERROR(__xludf.DUMMYFUNCTION("IF(ISBLANK(A243),,FILTER('Leetcode List'!B:C,'Leetcode List'!A:A = A243))"),"Triangle")</f>
        <v>Triangle</v>
      </c>
      <c r="C243" s="63" t="str">
        <f ca="1">IFERROR(__xludf.DUMMYFUNCTION("""COMPUTED_VALUE"""),"Medium")</f>
        <v>Medium</v>
      </c>
      <c r="D243" s="63" t="s">
        <v>214</v>
      </c>
      <c r="E243" s="66" t="str">
        <f ca="1">IFERROR(__xludf.DUMMYFUNCTION("IF(ISBLANK(A243),,FILTER('Leetcode List'!E:G,'Leetcode List'!A:A = A243))"),"Houzz,Apple,Bloomberg,Amazon,Google")</f>
        <v>Houzz,Apple,Bloomberg,Amazon,Google</v>
      </c>
      <c r="F243" s="39">
        <f ca="1">IFERROR(__xludf.DUMMYFUNCTION("""COMPUTED_VALUE"""),43.54)</f>
        <v>43.54</v>
      </c>
      <c r="G243" s="39" t="str">
        <f ca="1">IFERROR(__xludf.DUMMYFUNCTION("""COMPUTED_VALUE"""),"算法")</f>
        <v>算法</v>
      </c>
      <c r="H243" s="39">
        <v>242</v>
      </c>
    </row>
    <row r="244" spans="1:8" ht="25.5" hidden="1">
      <c r="A244" s="70">
        <v>279</v>
      </c>
      <c r="B244" s="65" t="str">
        <f ca="1">IFERROR(__xludf.DUMMYFUNCTION("IF(ISBLANK(A244),,FILTER('Leetcode List'!B:C,'Leetcode List'!A:A = A244))"),"Perfect Squares")</f>
        <v>Perfect Squares</v>
      </c>
      <c r="C244" s="63" t="str">
        <f ca="1">IFERROR(__xludf.DUMMYFUNCTION("""COMPUTED_VALUE"""),"Medium")</f>
        <v>Medium</v>
      </c>
      <c r="D244" s="63" t="s">
        <v>214</v>
      </c>
      <c r="E244" s="66" t="str">
        <f ca="1">IFERROR(__xludf.DUMMYFUNCTION("IF(ISBLANK(A244),,FILTER('Leetcode List'!E:G,'Leetcode List'!A:A = A244))"),"GoDaddy,Lyft,Cisco,Yandex,EBay,Apple,Uber,Adobe,Facebook,Amazon,LinkedIn,Microsoft,Google")</f>
        <v>GoDaddy,Lyft,Cisco,Yandex,EBay,Apple,Uber,Adobe,Facebook,Amazon,LinkedIn,Microsoft,Google</v>
      </c>
      <c r="F244" s="39">
        <f ca="1">IFERROR(__xludf.DUMMYFUNCTION("""COMPUTED_VALUE"""),45.84)</f>
        <v>45.84</v>
      </c>
      <c r="G244" s="39" t="str">
        <f ca="1">IFERROR(__xludf.DUMMYFUNCTION("""COMPUTED_VALUE"""),"算法")</f>
        <v>算法</v>
      </c>
      <c r="H244" s="39">
        <v>243</v>
      </c>
    </row>
    <row r="245" spans="1:8" ht="63.75" hidden="1">
      <c r="A245" s="70">
        <v>139</v>
      </c>
      <c r="B245" s="65" t="str">
        <f ca="1">IFERROR(__xludf.DUMMYFUNCTION("IF(ISBLANK(A245),,FILTER('Leetcode List'!B:C,'Leetcode List'!A:A = A245))"),"Word Break")</f>
        <v>Word Break</v>
      </c>
      <c r="C245" s="63" t="str">
        <f ca="1">IFERROR(__xludf.DUMMYFUNCTION("""COMPUTED_VALUE"""),"Medium")</f>
        <v>Medium</v>
      </c>
      <c r="D245" s="63" t="s">
        <v>214</v>
      </c>
      <c r="E245" s="66" t="str">
        <f ca="1">IFERROR(__xludf.DUMMYFUNCTION("IF(ISBLANK(A245),,FILTER('Leetcode List'!E:G,'Leetcode List'!A:A = A245))"),"HBO,TripAdvisor,Hulu,Square,Qualtrics,Pocket Gems,Coupang,Audible,ByteDance,Twilio,Salesforce,VMware,Walmart Labs,GoDaddy,Snapchat,Zillow,Yelp,Oracle,EBay,Apple,Uber,Yahoo,Bloomberg,Adobe,Facebook,Amazon,Microsoft,Google")</f>
        <v>HBO,TripAdvisor,Hulu,Square,Qualtrics,Pocket Gems,Coupang,Audible,ByteDance,Twilio,Salesforce,VMware,Walmart Labs,GoDaddy,Snapchat,Zillow,Yelp,Oracle,EBay,Apple,Uber,Yahoo,Bloomberg,Adobe,Facebook,Amazon,Microsoft,Google</v>
      </c>
      <c r="F245" s="39">
        <f ca="1">IFERROR(__xludf.DUMMYFUNCTION("""COMPUTED_VALUE"""),39.48)</f>
        <v>39.479999999999997</v>
      </c>
      <c r="G245" s="39" t="str">
        <f ca="1">IFERROR(__xludf.DUMMYFUNCTION("""COMPUTED_VALUE"""),"算法")</f>
        <v>算法</v>
      </c>
      <c r="H245" s="39">
        <v>244</v>
      </c>
    </row>
    <row r="246" spans="1:8" ht="12.75" hidden="1">
      <c r="A246" s="70">
        <v>375</v>
      </c>
      <c r="B246" s="65" t="str">
        <f ca="1">IFERROR(__xludf.DUMMYFUNCTION("IF(ISBLANK(A246),,FILTER('Leetcode List'!B:C,'Leetcode List'!A:A = A246))"),"Guess Number Higher or Lower II")</f>
        <v>Guess Number Higher or Lower II</v>
      </c>
      <c r="C246" s="63" t="str">
        <f ca="1">IFERROR(__xludf.DUMMYFUNCTION("""COMPUTED_VALUE"""),"Medium")</f>
        <v>Medium</v>
      </c>
      <c r="D246" s="63" t="s">
        <v>214</v>
      </c>
      <c r="E246" s="66" t="str">
        <f ca="1">IFERROR(__xludf.DUMMYFUNCTION("IF(ISBLANK(A246),,FILTER('Leetcode List'!E:G,'Leetcode List'!A:A = A246))"),"Adobe,Google")</f>
        <v>Adobe,Google</v>
      </c>
      <c r="F246" s="39">
        <f ca="1">IFERROR(__xludf.DUMMYFUNCTION("""COMPUTED_VALUE"""),40.09)</f>
        <v>40.090000000000003</v>
      </c>
      <c r="G246" s="39" t="str">
        <f ca="1">IFERROR(__xludf.DUMMYFUNCTION("""COMPUTED_VALUE"""),"算法")</f>
        <v>算法</v>
      </c>
      <c r="H246" s="39">
        <v>245</v>
      </c>
    </row>
    <row r="247" spans="1:8" ht="12.75" hidden="1">
      <c r="A247" s="70">
        <v>312</v>
      </c>
      <c r="B247" s="65" t="str">
        <f ca="1">IFERROR(__xludf.DUMMYFUNCTION("IF(ISBLANK(A247),,FILTER('Leetcode List'!B:C,'Leetcode List'!A:A = A247))"),"Burst Balloons")</f>
        <v>Burst Balloons</v>
      </c>
      <c r="C247" s="63" t="str">
        <f ca="1">IFERROR(__xludf.DUMMYFUNCTION("""COMPUTED_VALUE"""),"Hard")</f>
        <v>Hard</v>
      </c>
      <c r="D247" s="63" t="s">
        <v>214</v>
      </c>
      <c r="E247" s="66" t="str">
        <f ca="1">IFERROR(__xludf.DUMMYFUNCTION("IF(ISBLANK(A247),,FILTER('Leetcode List'!E:G,'Leetcode List'!A:A = A247))"),"Snapchat,Samsung,Adobe,Facebook,Amazon,Google")</f>
        <v>Snapchat,Samsung,Adobe,Facebook,Amazon,Google</v>
      </c>
      <c r="F247" s="39">
        <f ca="1">IFERROR(__xludf.DUMMYFUNCTION("""COMPUTED_VALUE"""),51.11)</f>
        <v>51.11</v>
      </c>
      <c r="G247" s="39" t="str">
        <f ca="1">IFERROR(__xludf.DUMMYFUNCTION("""COMPUTED_VALUE"""),"算法")</f>
        <v>算法</v>
      </c>
      <c r="H247" s="39">
        <v>246</v>
      </c>
    </row>
    <row r="248" spans="1:8" ht="51" hidden="1">
      <c r="A248" s="70">
        <v>322</v>
      </c>
      <c r="B248" s="65" t="str">
        <f ca="1">IFERROR(__xludf.DUMMYFUNCTION("IF(ISBLANK(A248),,FILTER('Leetcode List'!B:C,'Leetcode List'!A:A = A248))"),"Coin Change")</f>
        <v>Coin Change</v>
      </c>
      <c r="C248" s="63" t="str">
        <f ca="1">IFERROR(__xludf.DUMMYFUNCTION("""COMPUTED_VALUE"""),"Medium")</f>
        <v>Medium</v>
      </c>
      <c r="D248" s="63" t="s">
        <v>214</v>
      </c>
      <c r="E248" s="66" t="str">
        <f ca="1">IFERROR(__xludf.DUMMYFUNCTION("IF(ISBLANK(A248),,FILTER('Leetcode List'!E:G,'Leetcode List'!A:A = A248))"),"Zappos,ByteDance,Capital One,Visa,VMware,Affirm,Walmart Labs,JPMorgan,Paypal,Oracle,Cisco,EBay,BlackRock,Apple,Airbnb,Uber,Yahoo,Bloomberg,Adobe,Facebook,Amazon,LinkedIn,Microsoft,Goldman Sachs,Google")</f>
        <v>Zappos,ByteDance,Capital One,Visa,VMware,Affirm,Walmart Labs,JPMorgan,Paypal,Oracle,Cisco,EBay,BlackRock,Apple,Airbnb,Uber,Yahoo,Bloomberg,Adobe,Facebook,Amazon,LinkedIn,Microsoft,Goldman Sachs,Google</v>
      </c>
      <c r="F248" s="39">
        <f ca="1">IFERROR(__xludf.DUMMYFUNCTION("""COMPUTED_VALUE"""),34.86)</f>
        <v>34.86</v>
      </c>
      <c r="G248" s="39" t="str">
        <f ca="1">IFERROR(__xludf.DUMMYFUNCTION("""COMPUTED_VALUE"""),"算法")</f>
        <v>算法</v>
      </c>
      <c r="H248" s="39">
        <v>247</v>
      </c>
    </row>
    <row r="249" spans="1:8" ht="12.75" hidden="1">
      <c r="A249" s="70">
        <v>256</v>
      </c>
      <c r="B249" s="65" t="str">
        <f ca="1">IFERROR(__xludf.DUMMYFUNCTION("IF(ISBLANK(A249),,FILTER('Leetcode List'!B:C,'Leetcode List'!A:A = A249))"),"Paint House")</f>
        <v>Paint House</v>
      </c>
      <c r="C249" s="63" t="str">
        <f ca="1">IFERROR(__xludf.DUMMYFUNCTION("""COMPUTED_VALUE"""),"Easy")</f>
        <v>Easy</v>
      </c>
      <c r="D249" s="63" t="s">
        <v>214</v>
      </c>
      <c r="E249" s="66" t="str">
        <f ca="1">IFERROR(__xludf.DUMMYFUNCTION("IF(ISBLANK(A249),,FILTER('Leetcode List'!E:G,'Leetcode List'!A:A = A249))"),"Twitter,Apple,Tencent,LinkedIn,Microsoft")</f>
        <v>Twitter,Apple,Tencent,LinkedIn,Microsoft</v>
      </c>
      <c r="F249" s="39">
        <f ca="1">IFERROR(__xludf.DUMMYFUNCTION("""COMPUTED_VALUE"""),51.84)</f>
        <v>51.84</v>
      </c>
      <c r="G249" s="39" t="str">
        <f ca="1">IFERROR(__xludf.DUMMYFUNCTION("""COMPUTED_VALUE"""),"算法")</f>
        <v>算法</v>
      </c>
      <c r="H249" s="39">
        <v>248</v>
      </c>
    </row>
    <row r="250" spans="1:8" ht="12.75" hidden="1">
      <c r="A250" s="70">
        <v>265</v>
      </c>
      <c r="B250" s="65" t="str">
        <f ca="1">IFERROR(__xludf.DUMMYFUNCTION("IF(ISBLANK(A250),,FILTER('Leetcode List'!B:C,'Leetcode List'!A:A = A250))"),"Paint House II")</f>
        <v>Paint House II</v>
      </c>
      <c r="C250" s="63" t="str">
        <f ca="1">IFERROR(__xludf.DUMMYFUNCTION("""COMPUTED_VALUE"""),"Hard")</f>
        <v>Hard</v>
      </c>
      <c r="D250" s="63" t="s">
        <v>214</v>
      </c>
      <c r="E250" s="66" t="str">
        <f ca="1">IFERROR(__xludf.DUMMYFUNCTION("IF(ISBLANK(A250),,FILTER('Leetcode List'!E:G,'Leetcode List'!A:A = A250))"),"Uber,Facebook,LinkedIn,Google")</f>
        <v>Uber,Facebook,LinkedIn,Google</v>
      </c>
      <c r="F250" s="39">
        <f ca="1">IFERROR(__xludf.DUMMYFUNCTION("""COMPUTED_VALUE"""),44.36)</f>
        <v>44.36</v>
      </c>
      <c r="G250" s="39" t="str">
        <f ca="1">IFERROR(__xludf.DUMMYFUNCTION("""COMPUTED_VALUE"""),"算法")</f>
        <v>算法</v>
      </c>
      <c r="H250" s="39">
        <v>249</v>
      </c>
    </row>
    <row r="251" spans="1:8" ht="25.5" hidden="1">
      <c r="A251" s="70">
        <v>64</v>
      </c>
      <c r="B251" s="65" t="str">
        <f ca="1">IFERROR(__xludf.DUMMYFUNCTION("IF(ISBLANK(A251),,FILTER('Leetcode List'!B:C,'Leetcode List'!A:A = A251))"),"Minimum Path Sum")</f>
        <v>Minimum Path Sum</v>
      </c>
      <c r="C251" s="63" t="str">
        <f ca="1">IFERROR(__xludf.DUMMYFUNCTION("""COMPUTED_VALUE"""),"Medium")</f>
        <v>Medium</v>
      </c>
      <c r="D251" s="63" t="s">
        <v>214</v>
      </c>
      <c r="E251" s="66" t="str">
        <f ca="1">IFERROR(__xludf.DUMMYFUNCTION("IF(ISBLANK(A251),,FILTER('Leetcode List'!E:G,'Leetcode List'!A:A = A251))"),"Rubrik,Dropbox,Wish,Nvidia,Apple,Uber,Bloomberg,Adobe,Facebook,Amazon,Microsoft,Goldman Sachs,Google")</f>
        <v>Rubrik,Dropbox,Wish,Nvidia,Apple,Uber,Bloomberg,Adobe,Facebook,Amazon,Microsoft,Goldman Sachs,Google</v>
      </c>
      <c r="F251" s="39">
        <f ca="1">IFERROR(__xludf.DUMMYFUNCTION("""COMPUTED_VALUE"""),53.77)</f>
        <v>53.77</v>
      </c>
      <c r="G251" s="39" t="str">
        <f ca="1">IFERROR(__xludf.DUMMYFUNCTION("""COMPUTED_VALUE"""),"算法")</f>
        <v>算法</v>
      </c>
      <c r="H251" s="39">
        <v>250</v>
      </c>
    </row>
    <row r="252" spans="1:8" ht="38.25" hidden="1">
      <c r="A252" s="70">
        <v>72</v>
      </c>
      <c r="B252" s="65" t="str">
        <f ca="1">IFERROR(__xludf.DUMMYFUNCTION("IF(ISBLANK(A252),,FILTER('Leetcode List'!B:C,'Leetcode List'!A:A = A252))"),"Edit Distance")</f>
        <v>Edit Distance</v>
      </c>
      <c r="C252" s="63" t="str">
        <f ca="1">IFERROR(__xludf.DUMMYFUNCTION("""COMPUTED_VALUE"""),"Hard")</f>
        <v>Hard</v>
      </c>
      <c r="D252" s="63" t="s">
        <v>214</v>
      </c>
      <c r="E252" s="66" t="str">
        <f ca="1">IFERROR(__xludf.DUMMYFUNCTION("IF(ISBLANK(A252),,FILTER('Leetcode List'!E:G,'Leetcode List'!A:A = A252))"),"Square,ByteDance,Qualcomm,VMware,Paypal,Intuit,Baidu,Apple,Uber,Yahoo,Bloomberg,Adobe,Facebook,Amazon,LinkedIn,Microsoft,Goldman Sachs,Google")</f>
        <v>Square,ByteDance,Qualcomm,VMware,Paypal,Intuit,Baidu,Apple,Uber,Yahoo,Bloomberg,Adobe,Facebook,Amazon,LinkedIn,Microsoft,Goldman Sachs,Google</v>
      </c>
      <c r="F252" s="39">
        <f ca="1">IFERROR(__xludf.DUMMYFUNCTION("""COMPUTED_VALUE"""),44.1)</f>
        <v>44.1</v>
      </c>
      <c r="G252" s="39" t="str">
        <f ca="1">IFERROR(__xludf.DUMMYFUNCTION("""COMPUTED_VALUE"""),"算法")</f>
        <v>算法</v>
      </c>
      <c r="H252" s="39">
        <v>251</v>
      </c>
    </row>
    <row r="253" spans="1:8" ht="12.75" hidden="1">
      <c r="A253" s="70">
        <v>97</v>
      </c>
      <c r="B253" s="65" t="str">
        <f ca="1">IFERROR(__xludf.DUMMYFUNCTION("IF(ISBLANK(A253),,FILTER('Leetcode List'!B:C,'Leetcode List'!A:A = A253))"),"Interleaving String")</f>
        <v>Interleaving String</v>
      </c>
      <c r="C253" s="63" t="str">
        <f ca="1">IFERROR(__xludf.DUMMYFUNCTION("""COMPUTED_VALUE"""),"Hard")</f>
        <v>Hard</v>
      </c>
      <c r="D253" s="63" t="s">
        <v>214</v>
      </c>
      <c r="E253" s="66" t="str">
        <f ca="1">IFERROR(__xludf.DUMMYFUNCTION("IF(ISBLANK(A253),,FILTER('Leetcode List'!E:G,'Leetcode List'!A:A = A253))"),"VMware,Nvidia,Apple,Uber,Bloomberg,Amazon,Microsoft,Google")</f>
        <v>VMware,Nvidia,Apple,Uber,Bloomberg,Amazon,Microsoft,Google</v>
      </c>
      <c r="F253" s="39">
        <f ca="1">IFERROR(__xludf.DUMMYFUNCTION("""COMPUTED_VALUE"""),31.04)</f>
        <v>31.04</v>
      </c>
      <c r="G253" s="39" t="str">
        <f ca="1">IFERROR(__xludf.DUMMYFUNCTION("""COMPUTED_VALUE"""),"算法")</f>
        <v>算法</v>
      </c>
      <c r="H253" s="39">
        <v>252</v>
      </c>
    </row>
    <row r="254" spans="1:8" ht="12.75" hidden="1">
      <c r="A254" s="70">
        <v>174</v>
      </c>
      <c r="B254" s="65" t="str">
        <f ca="1">IFERROR(__xludf.DUMMYFUNCTION("IF(ISBLANK(A254),,FILTER('Leetcode List'!B:C,'Leetcode List'!A:A = A254))"),"Dungeon Game")</f>
        <v>Dungeon Game</v>
      </c>
      <c r="C254" s="63" t="str">
        <f ca="1">IFERROR(__xludf.DUMMYFUNCTION("""COMPUTED_VALUE"""),"Hard")</f>
        <v>Hard</v>
      </c>
      <c r="D254" s="63" t="s">
        <v>214</v>
      </c>
      <c r="E254" s="66" t="str">
        <f ca="1">IFERROR(__xludf.DUMMYFUNCTION("IF(ISBLANK(A254),,FILTER('Leetcode List'!E:G,'Leetcode List'!A:A = A254))"),"Amazon,Microsoft,Google")</f>
        <v>Amazon,Microsoft,Google</v>
      </c>
      <c r="F254" s="39">
        <f ca="1">IFERROR(__xludf.DUMMYFUNCTION("""COMPUTED_VALUE"""),29.77)</f>
        <v>29.77</v>
      </c>
      <c r="G254" s="39" t="str">
        <f ca="1">IFERROR(__xludf.DUMMYFUNCTION("""COMPUTED_VALUE"""),"算法")</f>
        <v>算法</v>
      </c>
      <c r="H254" s="39">
        <v>253</v>
      </c>
    </row>
    <row r="255" spans="1:8" ht="38.25" hidden="1">
      <c r="A255" s="70">
        <v>221</v>
      </c>
      <c r="B255" s="65" t="str">
        <f ca="1">IFERROR(__xludf.DUMMYFUNCTION("IF(ISBLANK(A255),,FILTER('Leetcode List'!B:C,'Leetcode List'!A:A = A255))"),"Maximal Square")</f>
        <v>Maximal Square</v>
      </c>
      <c r="C255" s="63" t="str">
        <f ca="1">IFERROR(__xludf.DUMMYFUNCTION("""COMPUTED_VALUE"""),"Medium")</f>
        <v>Medium</v>
      </c>
      <c r="D255" s="63" t="s">
        <v>214</v>
      </c>
      <c r="E255" s="66" t="str">
        <f ca="1">IFERROR(__xludf.DUMMYFUNCTION("IF(ISBLANK(A255),,FILTER('Leetcode List'!E:G,'Leetcode List'!A:A = A255))"),"Two Sigma,VMware,Citadel,Oracle,Huawei,Apple,Airbnb,Uber,Bloomberg,Adobe,Facebook,Amazon,Microsoft,Google")</f>
        <v>Two Sigma,VMware,Citadel,Oracle,Huawei,Apple,Airbnb,Uber,Bloomberg,Adobe,Facebook,Amazon,Microsoft,Google</v>
      </c>
      <c r="F255" s="39">
        <f ca="1">IFERROR(__xludf.DUMMYFUNCTION("""COMPUTED_VALUE"""),37.37)</f>
        <v>37.369999999999997</v>
      </c>
      <c r="G255" s="39" t="str">
        <f ca="1">IFERROR(__xludf.DUMMYFUNCTION("""COMPUTED_VALUE"""),"算法")</f>
        <v>算法</v>
      </c>
      <c r="H255" s="39">
        <v>254</v>
      </c>
    </row>
    <row r="256" spans="1:8" ht="25.5" hidden="1">
      <c r="A256" s="70">
        <v>85</v>
      </c>
      <c r="B256" s="65" t="str">
        <f ca="1">IFERROR(__xludf.DUMMYFUNCTION("IF(ISBLANK(A256),,FILTER('Leetcode List'!B:C,'Leetcode List'!A:A = A256))"),"Maximal Rectangle")</f>
        <v>Maximal Rectangle</v>
      </c>
      <c r="C256" s="63" t="str">
        <f ca="1">IFERROR(__xludf.DUMMYFUNCTION("""COMPUTED_VALUE"""),"Hard")</f>
        <v>Hard</v>
      </c>
      <c r="D256" s="63" t="s">
        <v>214</v>
      </c>
      <c r="E256" s="66" t="str">
        <f ca="1">IFERROR(__xludf.DUMMYFUNCTION("IF(ISBLANK(A256),,FILTER('Leetcode List'!E:G,'Leetcode List'!A:A = A256))"),"Karat,Wayfair,VMware,Indeed,Uber,Samsung,Bloomberg,Adobe,Facebook,Amazon,Microsoft,Google")</f>
        <v>Karat,Wayfair,VMware,Indeed,Uber,Samsung,Bloomberg,Adobe,Facebook,Amazon,Microsoft,Google</v>
      </c>
      <c r="F256" s="39">
        <f ca="1">IFERROR(__xludf.DUMMYFUNCTION("""COMPUTED_VALUE"""),37.11)</f>
        <v>37.11</v>
      </c>
      <c r="G256" s="39" t="str">
        <f ca="1">IFERROR(__xludf.DUMMYFUNCTION("""COMPUTED_VALUE"""),"算法")</f>
        <v>算法</v>
      </c>
      <c r="H256" s="39">
        <v>255</v>
      </c>
    </row>
    <row r="257" spans="1:8" ht="12.75" hidden="1">
      <c r="A257" s="70">
        <v>363</v>
      </c>
      <c r="B257" s="65" t="str">
        <f ca="1">IFERROR(__xludf.DUMMYFUNCTION("IF(ISBLANK(A257),,FILTER('Leetcode List'!B:C,'Leetcode List'!A:A = A257))"),"Max Sum of Rectangle No Larger Than K")</f>
        <v>Max Sum of Rectangle No Larger Than K</v>
      </c>
      <c r="C257" s="63" t="str">
        <f ca="1">IFERROR(__xludf.DUMMYFUNCTION("""COMPUTED_VALUE"""),"Hard")</f>
        <v>Hard</v>
      </c>
      <c r="D257" s="63" t="s">
        <v>214</v>
      </c>
      <c r="E257" s="66" t="str">
        <f ca="1">IFERROR(__xludf.DUMMYFUNCTION("IF(ISBLANK(A257),,FILTER('Leetcode List'!E:G,'Leetcode List'!A:A = A257))"),"Facebook,Google")</f>
        <v>Facebook,Google</v>
      </c>
      <c r="F257" s="39">
        <f ca="1">IFERROR(__xludf.DUMMYFUNCTION("""COMPUTED_VALUE"""),37.13)</f>
        <v>37.130000000000003</v>
      </c>
      <c r="G257" s="39" t="str">
        <f ca="1">IFERROR(__xludf.DUMMYFUNCTION("""COMPUTED_VALUE"""),"算法")</f>
        <v>算法</v>
      </c>
      <c r="H257" s="39">
        <v>256</v>
      </c>
    </row>
    <row r="258" spans="1:8" ht="38.25" hidden="1">
      <c r="A258" s="70">
        <v>198</v>
      </c>
      <c r="B258" s="65" t="str">
        <f ca="1">IFERROR(__xludf.DUMMYFUNCTION("IF(ISBLANK(A258),,FILTER('Leetcode List'!B:C,'Leetcode List'!A:A = A258))"),"House Robber")</f>
        <v>House Robber</v>
      </c>
      <c r="C258" s="63" t="str">
        <f ca="1">IFERROR(__xludf.DUMMYFUNCTION("""COMPUTED_VALUE"""),"Easy")</f>
        <v>Easy</v>
      </c>
      <c r="D258" s="63" t="s">
        <v>214</v>
      </c>
      <c r="E258" s="66" t="str">
        <f ca="1">IFERROR(__xludf.DUMMYFUNCTION("IF(ISBLANK(A258),,FILTER('Leetcode List'!E:G,'Leetcode List'!A:A = A258))"),"HBO,ByteDance,Quora,Walmart Labs,Expedia,Cisco,EBay,Apple,Airbnb,Uber,Bloomberg,Adobe,Amazon,LinkedIn,Microsoft,Goldman Sachs,Google")</f>
        <v>HBO,ByteDance,Quora,Walmart Labs,Expedia,Cisco,EBay,Apple,Airbnb,Uber,Bloomberg,Adobe,Amazon,LinkedIn,Microsoft,Goldman Sachs,Google</v>
      </c>
      <c r="F258" s="39">
        <f ca="1">IFERROR(__xludf.DUMMYFUNCTION("""COMPUTED_VALUE"""),41.85)</f>
        <v>41.85</v>
      </c>
      <c r="G258" s="39" t="str">
        <f ca="1">IFERROR(__xludf.DUMMYFUNCTION("""COMPUTED_VALUE"""),"算法")</f>
        <v>算法</v>
      </c>
      <c r="H258" s="39">
        <v>257</v>
      </c>
    </row>
    <row r="259" spans="1:8" ht="12.75" hidden="1">
      <c r="A259" s="70">
        <v>213</v>
      </c>
      <c r="B259" s="65" t="str">
        <f ca="1">IFERROR(__xludf.DUMMYFUNCTION("IF(ISBLANK(A259),,FILTER('Leetcode List'!B:C,'Leetcode List'!A:A = A259))"),"House Robber II")</f>
        <v>House Robber II</v>
      </c>
      <c r="C259" s="63" t="str">
        <f ca="1">IFERROR(__xludf.DUMMYFUNCTION("""COMPUTED_VALUE"""),"Medium")</f>
        <v>Medium</v>
      </c>
      <c r="D259" s="63" t="s">
        <v>214</v>
      </c>
      <c r="E259" s="66" t="str">
        <f ca="1">IFERROR(__xludf.DUMMYFUNCTION("IF(ISBLANK(A259),,FILTER('Leetcode List'!E:G,'Leetcode List'!A:A = A259))"),"Salesforce,EBay,Microsoft,Google")</f>
        <v>Salesforce,EBay,Microsoft,Google</v>
      </c>
      <c r="F259" s="39">
        <f ca="1">IFERROR(__xludf.DUMMYFUNCTION("""COMPUTED_VALUE"""),36.24)</f>
        <v>36.24</v>
      </c>
      <c r="G259" s="39" t="str">
        <f ca="1">IFERROR(__xludf.DUMMYFUNCTION("""COMPUTED_VALUE"""),"算法")</f>
        <v>算法</v>
      </c>
      <c r="H259" s="39">
        <v>258</v>
      </c>
    </row>
    <row r="260" spans="1:8" ht="12.75" hidden="1">
      <c r="A260" s="70">
        <v>276</v>
      </c>
      <c r="B260" s="65" t="str">
        <f ca="1">IFERROR(__xludf.DUMMYFUNCTION("IF(ISBLANK(A260),,FILTER('Leetcode List'!B:C,'Leetcode List'!A:A = A260))"),"Paint Fence")</f>
        <v>Paint Fence</v>
      </c>
      <c r="C260" s="63" t="str">
        <f ca="1">IFERROR(__xludf.DUMMYFUNCTION("""COMPUTED_VALUE"""),"Easy")</f>
        <v>Easy</v>
      </c>
      <c r="D260" s="63" t="s">
        <v>214</v>
      </c>
      <c r="E260" s="66" t="str">
        <f ca="1">IFERROR(__xludf.DUMMYFUNCTION("IF(ISBLANK(A260),,FILTER('Leetcode List'!E:G,'Leetcode List'!A:A = A260))"),"Google")</f>
        <v>Google</v>
      </c>
      <c r="F260" s="39">
        <f ca="1">IFERROR(__xludf.DUMMYFUNCTION("""COMPUTED_VALUE"""),38.02)</f>
        <v>38.020000000000003</v>
      </c>
      <c r="G260" s="39" t="str">
        <f ca="1">IFERROR(__xludf.DUMMYFUNCTION("""COMPUTED_VALUE"""),"算法")</f>
        <v>算法</v>
      </c>
      <c r="H260" s="39">
        <v>259</v>
      </c>
    </row>
    <row r="261" spans="1:8" ht="38.25" hidden="1">
      <c r="A261" s="70">
        <v>91</v>
      </c>
      <c r="B261" s="65" t="str">
        <f ca="1">IFERROR(__xludf.DUMMYFUNCTION("IF(ISBLANK(A261),,FILTER('Leetcode List'!B:C,'Leetcode List'!A:A = A261))"),"Decode Ways")</f>
        <v>Decode Ways</v>
      </c>
      <c r="C261" s="63" t="str">
        <f ca="1">IFERROR(__xludf.DUMMYFUNCTION("""COMPUTED_VALUE"""),"Medium")</f>
        <v>Medium</v>
      </c>
      <c r="D261" s="63" t="s">
        <v>214</v>
      </c>
      <c r="E261" s="66" t="str">
        <f ca="1">IFERROR(__xludf.DUMMYFUNCTION("IF(ISBLANK(A261),,FILTER('Leetcode List'!E:G,'Leetcode List'!A:A = A261))"),"Square,Pinterest,Databricks,Barclays,Snapchat,Twitter,Expedia,Lyft,Cisco,Huawei,Baidu,Apple,Uber,Bloomberg,Adobe,Facebook,Amazon,Microsoft,Goldman Sachs,Google")</f>
        <v>Square,Pinterest,Databricks,Barclays,Snapchat,Twitter,Expedia,Lyft,Cisco,Huawei,Baidu,Apple,Uber,Bloomberg,Adobe,Facebook,Amazon,Microsoft,Goldman Sachs,Google</v>
      </c>
      <c r="F261" s="39">
        <f ca="1">IFERROR(__xludf.DUMMYFUNCTION("""COMPUTED_VALUE"""),24.3)</f>
        <v>24.3</v>
      </c>
      <c r="G261" s="39" t="str">
        <f ca="1">IFERROR(__xludf.DUMMYFUNCTION("""COMPUTED_VALUE"""),"算法")</f>
        <v>算法</v>
      </c>
      <c r="H261" s="39">
        <v>260</v>
      </c>
    </row>
    <row r="262" spans="1:8" ht="51" hidden="1">
      <c r="A262" s="70">
        <v>10</v>
      </c>
      <c r="B262" s="65" t="str">
        <f ca="1">IFERROR(__xludf.DUMMYFUNCTION("IF(ISBLANK(A262),,FILTER('Leetcode List'!B:C,'Leetcode List'!A:A = A262))"),"Regular Expression Matching")</f>
        <v>Regular Expression Matching</v>
      </c>
      <c r="C262" s="63" t="str">
        <f ca="1">IFERROR(__xludf.DUMMYFUNCTION("""COMPUTED_VALUE"""),"Hard")</f>
        <v>Hard</v>
      </c>
      <c r="D262" s="63" t="s">
        <v>214</v>
      </c>
      <c r="E262" s="66" t="str">
        <f ca="1">IFERROR(__xludf.DUMMYFUNCTION("IF(ISBLANK(A262),,FILTER('Leetcode List'!E:G,'Leetcode List'!A:A = A262))"),"Databricks,Pocket Gems,Palantir Technologies,Coursera,Cruise Automation,Zulily,Houzz,Flipkart,ByteDance,Twitter,Oracle,Lyft,EBay,Apple,Airbnb,Uber,Bloomberg,Adobe,Facebook,Amazon,Microsoft,Alibaba,Google")</f>
        <v>Databricks,Pocket Gems,Palantir Technologies,Coursera,Cruise Automation,Zulily,Houzz,Flipkart,ByteDance,Twitter,Oracle,Lyft,EBay,Apple,Airbnb,Uber,Bloomberg,Adobe,Facebook,Amazon,Microsoft,Alibaba,Google</v>
      </c>
      <c r="F262" s="39">
        <f ca="1">IFERROR(__xludf.DUMMYFUNCTION("""COMPUTED_VALUE"""),26.6)</f>
        <v>26.6</v>
      </c>
      <c r="G262" s="39" t="str">
        <f ca="1">IFERROR(__xludf.DUMMYFUNCTION("""COMPUTED_VALUE"""),"算法")</f>
        <v>算法</v>
      </c>
      <c r="H262" s="39">
        <v>261</v>
      </c>
    </row>
    <row r="263" spans="1:8" ht="38.25" hidden="1">
      <c r="A263" s="70">
        <v>44</v>
      </c>
      <c r="B263" s="65" t="str">
        <f ca="1">IFERROR(__xludf.DUMMYFUNCTION("IF(ISBLANK(A263),,FILTER('Leetcode List'!B:C,'Leetcode List'!A:A = A263))"),"Wildcard Matching")</f>
        <v>Wildcard Matching</v>
      </c>
      <c r="C263" s="63" t="str">
        <f ca="1">IFERROR(__xludf.DUMMYFUNCTION("""COMPUTED_VALUE"""),"Hard")</f>
        <v>Hard</v>
      </c>
      <c r="D263" s="63" t="s">
        <v>214</v>
      </c>
      <c r="E263" s="66" t="str">
        <f ca="1">IFERROR(__xludf.DUMMYFUNCTION("IF(ISBLANK(A263),,FILTER('Leetcode List'!E:G,'Leetcode List'!A:A = A263))"),"Coursera,Cruise Automation,Two Sigma,ByteDance,Snapchat,Twitter,Oracle,Bloomberg,Adobe,Facebook,Amazon,Microsoft,Goldman Sachs,Google")</f>
        <v>Coursera,Cruise Automation,Two Sigma,ByteDance,Snapchat,Twitter,Oracle,Bloomberg,Adobe,Facebook,Amazon,Microsoft,Goldman Sachs,Google</v>
      </c>
      <c r="F263" s="39">
        <f ca="1">IFERROR(__xludf.DUMMYFUNCTION("""COMPUTED_VALUE"""),24.45)</f>
        <v>24.45</v>
      </c>
      <c r="G263" s="39" t="str">
        <f ca="1">IFERROR(__xludf.DUMMYFUNCTION("""COMPUTED_VALUE"""),"算法")</f>
        <v>算法</v>
      </c>
      <c r="H263" s="39">
        <v>262</v>
      </c>
    </row>
    <row r="264" spans="1:8" ht="89.25" hidden="1">
      <c r="A264" s="70">
        <v>206</v>
      </c>
      <c r="B264" s="65" t="str">
        <f ca="1">IFERROR(__xludf.DUMMYFUNCTION("IF(ISBLANK(A264),,FILTER('Leetcode List'!B:C,'Leetcode List'!A:A = A264))"),"Reverse Linked List")</f>
        <v>Reverse Linked List</v>
      </c>
      <c r="C264" s="61" t="str">
        <f ca="1">IFERROR(__xludf.DUMMYFUNCTION("""COMPUTED_VALUE"""),"Easy")</f>
        <v>Easy</v>
      </c>
      <c r="D264" s="61" t="s">
        <v>2614</v>
      </c>
      <c r="E264" s="66" t="str">
        <f ca="1">IFERROR(__xludf.DUMMYFUNCTION("IF(ISBLANK(A264),,FILTER('Leetcode List'!E:G,'Leetcode List'!A:A = A264))"),"Docusign,Electronic Arts,TripAdvisor,Citrix,Zenefits,ByteDance,FactSet,Qualcomm,Intel,Visa,VMware,Walmart Labs,Snapchat,Paypal,Twitter,Expedia,Yelp,Nvidia,Oracle,Spotify,Cisco,Mathworks,Yandex,EBay,Baidu,Apple,Uber,Yahoo,Tencent,Bloomberg,Adobe,Facebook,A"&amp;"mazon,Microsoft,Alibaba,Goldman Sachs,Google")</f>
        <v>Docusign,Electronic Arts,TripAdvisor,Citrix,Zenefits,ByteDance,FactSet,Qualcomm,Intel,Visa,VMware,Walmart Labs,Snapchat,Paypal,Twitter,Expedia,Yelp,Nvidia,Oracle,Spotify,Cisco,Mathworks,Yandex,EBay,Baidu,Apple,Uber,Yahoo,Tencent,Bloomberg,Adobe,Facebook,Amazon,Microsoft,Alibaba,Goldman Sachs,Google</v>
      </c>
      <c r="F264" s="39">
        <f ca="1">IFERROR(__xludf.DUMMYFUNCTION("""COMPUTED_VALUE"""),61.65)</f>
        <v>61.65</v>
      </c>
      <c r="G264" s="39" t="str">
        <f ca="1">IFERROR(__xludf.DUMMYFUNCTION("""COMPUTED_VALUE"""),"算法")</f>
        <v>算法</v>
      </c>
      <c r="H264" s="39">
        <v>263</v>
      </c>
    </row>
    <row r="265" spans="1:8" ht="38.25" hidden="1">
      <c r="A265" s="70">
        <v>141</v>
      </c>
      <c r="B265" s="65" t="str">
        <f ca="1">IFERROR(__xludf.DUMMYFUNCTION("IF(ISBLANK(A265),,FILTER('Leetcode List'!B:C,'Leetcode List'!A:A = A265))"),"Linked List Cycle")</f>
        <v>Linked List Cycle</v>
      </c>
      <c r="C265" s="61" t="str">
        <f ca="1">IFERROR(__xludf.DUMMYFUNCTION("""COMPUTED_VALUE"""),"Easy")</f>
        <v>Easy</v>
      </c>
      <c r="D265" s="61" t="s">
        <v>2614</v>
      </c>
      <c r="E265" s="66" t="str">
        <f ca="1">IFERROR(__xludf.DUMMYFUNCTION("IF(ISBLANK(A265),,FILTER('Leetcode List'!E:G,'Leetcode List'!A:A = A265))"),"VMware,Walmart Labs,Oracle,Cisco,EBay,Apple,Uber,Yahoo,Bloomberg,Adobe,Facebook,Amazon,LinkedIn,Microsoft,Goldman Sachs,Google")</f>
        <v>VMware,Walmart Labs,Oracle,Cisco,EBay,Apple,Uber,Yahoo,Bloomberg,Adobe,Facebook,Amazon,LinkedIn,Microsoft,Goldman Sachs,Google</v>
      </c>
      <c r="F265" s="39">
        <f ca="1">IFERROR(__xludf.DUMMYFUNCTION("""COMPUTED_VALUE"""),40.67)</f>
        <v>40.67</v>
      </c>
      <c r="G265" s="39" t="str">
        <f ca="1">IFERROR(__xludf.DUMMYFUNCTION("""COMPUTED_VALUE"""),"算法")</f>
        <v>算法</v>
      </c>
      <c r="H265" s="39">
        <v>264</v>
      </c>
    </row>
    <row r="266" spans="1:8" ht="25.5" hidden="1">
      <c r="A266" s="70">
        <v>24</v>
      </c>
      <c r="B266" s="65" t="str">
        <f ca="1">IFERROR(__xludf.DUMMYFUNCTION("IF(ISBLANK(A266),,FILTER('Leetcode List'!B:C,'Leetcode List'!A:A = A266))"),"Swap Nodes in Pairs")</f>
        <v>Swap Nodes in Pairs</v>
      </c>
      <c r="C266" s="61" t="str">
        <f ca="1">IFERROR(__xludf.DUMMYFUNCTION("""COMPUTED_VALUE"""),"Medium")</f>
        <v>Medium</v>
      </c>
      <c r="D266" s="61" t="s">
        <v>2614</v>
      </c>
      <c r="E266" s="66" t="str">
        <f ca="1">IFERROR(__xludf.DUMMYFUNCTION("IF(ISBLANK(A266),,FILTER('Leetcode List'!E:G,'Leetcode List'!A:A = A266))"),"Oracle,Lyft,EBay,Apple,Uber,SAP,Bloomberg,Adobe,Facebook,Amazon,Microsoft,Google")</f>
        <v>Oracle,Lyft,EBay,Apple,Uber,SAP,Bloomberg,Adobe,Facebook,Amazon,Microsoft,Google</v>
      </c>
      <c r="F266" s="39">
        <f ca="1">IFERROR(__xludf.DUMMYFUNCTION("""COMPUTED_VALUE"""),49.74)</f>
        <v>49.74</v>
      </c>
      <c r="G266" s="39" t="str">
        <f ca="1">IFERROR(__xludf.DUMMYFUNCTION("""COMPUTED_VALUE"""),"算法")</f>
        <v>算法</v>
      </c>
      <c r="H266" s="39">
        <v>265</v>
      </c>
    </row>
    <row r="267" spans="1:8" ht="12.75" hidden="1">
      <c r="A267" s="70">
        <v>328</v>
      </c>
      <c r="B267" s="65" t="str">
        <f ca="1">IFERROR(__xludf.DUMMYFUNCTION("IF(ISBLANK(A267),,FILTER('Leetcode List'!B:C,'Leetcode List'!A:A = A267))"),"Odd Even Linked List")</f>
        <v>Odd Even Linked List</v>
      </c>
      <c r="C267" s="61" t="str">
        <f ca="1">IFERROR(__xludf.DUMMYFUNCTION("""COMPUTED_VALUE"""),"Medium")</f>
        <v>Medium</v>
      </c>
      <c r="D267" s="61" t="s">
        <v>2614</v>
      </c>
      <c r="E267" s="66" t="str">
        <f ca="1">IFERROR(__xludf.DUMMYFUNCTION("IF(ISBLANK(A267),,FILTER('Leetcode List'!E:G,'Leetcode List'!A:A = A267))"),"Capital One,EBay,Bloomberg,Facebook,Amazon,Microsoft,Google")</f>
        <v>Capital One,EBay,Bloomberg,Facebook,Amazon,Microsoft,Google</v>
      </c>
      <c r="F267" s="39">
        <f ca="1">IFERROR(__xludf.DUMMYFUNCTION("""COMPUTED_VALUE"""),55.22)</f>
        <v>55.22</v>
      </c>
      <c r="G267" s="39" t="str">
        <f ca="1">IFERROR(__xludf.DUMMYFUNCTION("""COMPUTED_VALUE"""),"算法")</f>
        <v>算法</v>
      </c>
      <c r="H267" s="39">
        <v>266</v>
      </c>
    </row>
    <row r="268" spans="1:8" ht="25.5" hidden="1">
      <c r="A268" s="70">
        <v>92</v>
      </c>
      <c r="B268" s="65" t="str">
        <f ca="1">IFERROR(__xludf.DUMMYFUNCTION("IF(ISBLANK(A268),,FILTER('Leetcode List'!B:C,'Leetcode List'!A:A = A268))"),"Reverse Linked List II")</f>
        <v>Reverse Linked List II</v>
      </c>
      <c r="C268" s="61" t="str">
        <f ca="1">IFERROR(__xludf.DUMMYFUNCTION("""COMPUTED_VALUE"""),"Medium")</f>
        <v>Medium</v>
      </c>
      <c r="D268" s="61" t="s">
        <v>2614</v>
      </c>
      <c r="E268" s="66" t="str">
        <f ca="1">IFERROR(__xludf.DUMMYFUNCTION("IF(ISBLANK(A268),,FILTER('Leetcode List'!E:G,'Leetcode List'!A:A = A268))"),"Docusign,Atlassian,Oracle,Apple,Bloomberg,Adobe,Facebook,Amazon,Microsoft,Google")</f>
        <v>Docusign,Atlassian,Oracle,Apple,Bloomberg,Adobe,Facebook,Amazon,Microsoft,Google</v>
      </c>
      <c r="F268" s="39">
        <f ca="1">IFERROR(__xludf.DUMMYFUNCTION("""COMPUTED_VALUE"""),38.31)</f>
        <v>38.31</v>
      </c>
      <c r="G268" s="39" t="str">
        <f ca="1">IFERROR(__xludf.DUMMYFUNCTION("""COMPUTED_VALUE"""),"算法")</f>
        <v>算法</v>
      </c>
      <c r="H268" s="39">
        <v>267</v>
      </c>
    </row>
    <row r="269" spans="1:8" ht="25.5" hidden="1">
      <c r="A269" s="70">
        <v>237</v>
      </c>
      <c r="B269" s="65" t="str">
        <f ca="1">IFERROR(__xludf.DUMMYFUNCTION("IF(ISBLANK(A269),,FILTER('Leetcode List'!B:C,'Leetcode List'!A:A = A269))"),"Delete Node in a Linked List")</f>
        <v>Delete Node in a Linked List</v>
      </c>
      <c r="C269" s="61" t="str">
        <f ca="1">IFERROR(__xludf.DUMMYFUNCTION("""COMPUTED_VALUE"""),"Easy")</f>
        <v>Easy</v>
      </c>
      <c r="D269" s="61" t="s">
        <v>2614</v>
      </c>
      <c r="E269" s="66" t="str">
        <f ca="1">IFERROR(__xludf.DUMMYFUNCTION("IF(ISBLANK(A269),,FILTER('Leetcode List'!E:G,'Leetcode List'!A:A = A269))"),"Qualcomm,Cisco,Apple,Yahoo,Bloomberg,Adobe,Facebook,Amazon,Microsoft,Goldman Sachs,Google")</f>
        <v>Qualcomm,Cisco,Apple,Yahoo,Bloomberg,Adobe,Facebook,Amazon,Microsoft,Goldman Sachs,Google</v>
      </c>
      <c r="F269" s="39">
        <f ca="1">IFERROR(__xludf.DUMMYFUNCTION("""COMPUTED_VALUE"""),62.76)</f>
        <v>62.76</v>
      </c>
      <c r="G269" s="39" t="str">
        <f ca="1">IFERROR(__xludf.DUMMYFUNCTION("""COMPUTED_VALUE"""),"算法")</f>
        <v>算法</v>
      </c>
      <c r="H269" s="39">
        <v>268</v>
      </c>
    </row>
    <row r="270" spans="1:8" ht="25.5" hidden="1">
      <c r="A270" s="70">
        <v>19</v>
      </c>
      <c r="B270" s="65" t="str">
        <f ca="1">IFERROR(__xludf.DUMMYFUNCTION("IF(ISBLANK(A270),,FILTER('Leetcode List'!B:C,'Leetcode List'!A:A = A270))"),"Remove Nth Node From End of List")</f>
        <v>Remove Nth Node From End of List</v>
      </c>
      <c r="C270" s="61" t="str">
        <f ca="1">IFERROR(__xludf.DUMMYFUNCTION("""COMPUTED_VALUE"""),"Medium")</f>
        <v>Medium</v>
      </c>
      <c r="D270" s="61" t="s">
        <v>2614</v>
      </c>
      <c r="E270" s="66" t="str">
        <f ca="1">IFERROR(__xludf.DUMMYFUNCTION("IF(ISBLANK(A270),,FILTER('Leetcode List'!E:G,'Leetcode List'!A:A = A270))"),"ByteDance,VMware,Oracle,Cisco,Yandex,Apple,Bloomberg,Adobe,Facebook,Amazon,Microsoft,Goldman Sachs,Google")</f>
        <v>ByteDance,VMware,Oracle,Cisco,Yandex,Apple,Bloomberg,Adobe,Facebook,Amazon,Microsoft,Goldman Sachs,Google</v>
      </c>
      <c r="F270" s="39">
        <f ca="1">IFERROR(__xludf.DUMMYFUNCTION("""COMPUTED_VALUE"""),35.06)</f>
        <v>35.06</v>
      </c>
      <c r="G270" s="39" t="str">
        <f ca="1">IFERROR(__xludf.DUMMYFUNCTION("""COMPUTED_VALUE"""),"算法")</f>
        <v>算法</v>
      </c>
      <c r="H270" s="39">
        <v>269</v>
      </c>
    </row>
    <row r="271" spans="1:8" ht="25.5" hidden="1">
      <c r="A271" s="70">
        <v>83</v>
      </c>
      <c r="B271" s="65" t="str">
        <f ca="1">IFERROR(__xludf.DUMMYFUNCTION("IF(ISBLANK(A271),,FILTER('Leetcode List'!B:C,'Leetcode List'!A:A = A271))"),"Remove Duplicates from Sorted List")</f>
        <v>Remove Duplicates from Sorted List</v>
      </c>
      <c r="C271" s="61" t="str">
        <f ca="1">IFERROR(__xludf.DUMMYFUNCTION("""COMPUTED_VALUE"""),"Easy")</f>
        <v>Easy</v>
      </c>
      <c r="D271" s="61" t="s">
        <v>2614</v>
      </c>
      <c r="E271" s="66" t="str">
        <f ca="1">IFERROR(__xludf.DUMMYFUNCTION("IF(ISBLANK(A271),,FILTER('Leetcode List'!E:G,'Leetcode List'!A:A = A271))"),"ByteDance,Salesforce,Apple,Uber,Adobe,Facebook,Amazon,Microsoft,Google")</f>
        <v>ByteDance,Salesforce,Apple,Uber,Adobe,Facebook,Amazon,Microsoft,Google</v>
      </c>
      <c r="F271" s="39">
        <f ca="1">IFERROR(__xludf.DUMMYFUNCTION("""COMPUTED_VALUE"""),45.01)</f>
        <v>45.01</v>
      </c>
      <c r="G271" s="39" t="str">
        <f ca="1">IFERROR(__xludf.DUMMYFUNCTION("""COMPUTED_VALUE"""),"算法")</f>
        <v>算法</v>
      </c>
      <c r="H271" s="39">
        <v>270</v>
      </c>
    </row>
    <row r="272" spans="1:8" ht="38.25" hidden="1">
      <c r="A272" s="70">
        <v>203</v>
      </c>
      <c r="B272" s="65" t="str">
        <f ca="1">IFERROR(__xludf.DUMMYFUNCTION("IF(ISBLANK(A272),,FILTER('Leetcode List'!B:C,'Leetcode List'!A:A = A272))"),"Remove Linked List Elements")</f>
        <v>Remove Linked List Elements</v>
      </c>
      <c r="C272" s="61" t="str">
        <f ca="1">IFERROR(__xludf.DUMMYFUNCTION("""COMPUTED_VALUE"""),"Easy")</f>
        <v>Easy</v>
      </c>
      <c r="D272" s="61" t="s">
        <v>2614</v>
      </c>
      <c r="E272" s="66" t="str">
        <f ca="1">IFERROR(__xludf.DUMMYFUNCTION("IF(ISBLANK(A272),,FILTER('Leetcode List'!E:G,'Leetcode List'!A:A = A272))"),"Pure Storage,Capital One,Paypal,Apple,Uber,Bloomberg,Adobe,Facebook,Amazon,Microsoft,Google")</f>
        <v>Pure Storage,Capital One,Paypal,Apple,Uber,Bloomberg,Adobe,Facebook,Amazon,Microsoft,Google</v>
      </c>
      <c r="F272" s="39">
        <f ca="1">IFERROR(__xludf.DUMMYFUNCTION("""COMPUTED_VALUE"""),37.59)</f>
        <v>37.590000000000003</v>
      </c>
      <c r="G272" s="39" t="str">
        <f ca="1">IFERROR(__xludf.DUMMYFUNCTION("""COMPUTED_VALUE"""),"算法")</f>
        <v>算法</v>
      </c>
      <c r="H272" s="39">
        <v>271</v>
      </c>
    </row>
    <row r="273" spans="1:8" ht="12.75" hidden="1">
      <c r="A273" s="70">
        <v>82</v>
      </c>
      <c r="B273" s="65" t="str">
        <f ca="1">IFERROR(__xludf.DUMMYFUNCTION("IF(ISBLANK(A273),,FILTER('Leetcode List'!B:C,'Leetcode List'!A:A = A273))"),"Remove Duplicates from Sorted List II")</f>
        <v>Remove Duplicates from Sorted List II</v>
      </c>
      <c r="C273" s="61" t="str">
        <f ca="1">IFERROR(__xludf.DUMMYFUNCTION("""COMPUTED_VALUE"""),"Medium")</f>
        <v>Medium</v>
      </c>
      <c r="D273" s="61" t="s">
        <v>2614</v>
      </c>
      <c r="E273" s="66" t="str">
        <f ca="1">IFERROR(__xludf.DUMMYFUNCTION("IF(ISBLANK(A273),,FILTER('Leetcode List'!E:G,'Leetcode List'!A:A = A273))"),"Salesforce,Paypal,Apple,Bloomberg,Adobe,Amazon,Microsoft,Google")</f>
        <v>Salesforce,Paypal,Apple,Bloomberg,Adobe,Amazon,Microsoft,Google</v>
      </c>
      <c r="F273" s="39">
        <f ca="1">IFERROR(__xludf.DUMMYFUNCTION("""COMPUTED_VALUE"""),36.29)</f>
        <v>36.29</v>
      </c>
      <c r="G273" s="39" t="str">
        <f ca="1">IFERROR(__xludf.DUMMYFUNCTION("""COMPUTED_VALUE"""),"算法")</f>
        <v>算法</v>
      </c>
      <c r="H273" s="39">
        <v>272</v>
      </c>
    </row>
    <row r="274" spans="1:8" ht="12.75" hidden="1">
      <c r="A274" s="70">
        <v>369</v>
      </c>
      <c r="B274" s="65" t="str">
        <f ca="1">IFERROR(__xludf.DUMMYFUNCTION("IF(ISBLANK(A274),,FILTER('Leetcode List'!B:C,'Leetcode List'!A:A = A274))"),"Plus One Linked List")</f>
        <v>Plus One Linked List</v>
      </c>
      <c r="C274" s="61" t="str">
        <f ca="1">IFERROR(__xludf.DUMMYFUNCTION("""COMPUTED_VALUE"""),"Medium")</f>
        <v>Medium</v>
      </c>
      <c r="D274" s="61" t="s">
        <v>2614</v>
      </c>
      <c r="E274" s="66" t="str">
        <f ca="1">IFERROR(__xludf.DUMMYFUNCTION("IF(ISBLANK(A274),,FILTER('Leetcode List'!E:G,'Leetcode List'!A:A = A274))"),"Apple,Amazon,Google")</f>
        <v>Apple,Amazon,Google</v>
      </c>
      <c r="F274" s="39">
        <f ca="1">IFERROR(__xludf.DUMMYFUNCTION("""COMPUTED_VALUE"""),58.03)</f>
        <v>58.03</v>
      </c>
      <c r="G274" s="39" t="str">
        <f ca="1">IFERROR(__xludf.DUMMYFUNCTION("""COMPUTED_VALUE"""),"算法")</f>
        <v>算法</v>
      </c>
      <c r="H274" s="39">
        <v>273</v>
      </c>
    </row>
    <row r="275" spans="1:8" ht="63.75" hidden="1">
      <c r="A275" s="70">
        <v>2</v>
      </c>
      <c r="B275" s="65" t="str">
        <f ca="1">IFERROR(__xludf.DUMMYFUNCTION("IF(ISBLANK(A275),,FILTER('Leetcode List'!B:C,'Leetcode List'!A:A = A275))"),"Add Two Numbers")</f>
        <v>Add Two Numbers</v>
      </c>
      <c r="C275" s="61" t="str">
        <f ca="1">IFERROR(__xludf.DUMMYFUNCTION("""COMPUTED_VALUE"""),"Medium")</f>
        <v>Medium</v>
      </c>
      <c r="D275" s="61" t="s">
        <v>2614</v>
      </c>
      <c r="E275" s="66" t="str">
        <f ca="1">IFERROR(__xludf.DUMMYFUNCTION("IF(ISBLANK(A275),,FILTER('Leetcode List'!E:G,'Leetcode List'!A:A = A275))"),"Dell,Redfin,Flipkart,Grab,ByteDance,Qualcomm,Capital One,Salesforce,Intel,VMware,GoDaddy,Paypal,ServiceNow,Wish,Nvidia,Zoho,Oracle,IBM,Lyft,Cisco,Mathworks,Yandex,Huawei,EBay,Baidu,Apple,Airbnb,Uber,Yahoo,SAP,Aetion,Bloomberg,Adobe,Facebook,Amazon,Microso"&amp;"ft,Alibaba,Google")</f>
        <v>Dell,Redfin,Flipkart,Grab,ByteDance,Qualcomm,Capital One,Salesforce,Intel,VMware,GoDaddy,Paypal,ServiceNow,Wish,Nvidia,Zoho,Oracle,IBM,Lyft,Cisco,Mathworks,Yandex,Huawei,EBay,Baidu,Apple,Airbnb,Uber,Yahoo,SAP,Aetion,Bloomberg,Adobe,Facebook,Amazon,Microsoft,Alibaba,Google</v>
      </c>
      <c r="F275" s="39">
        <f ca="1">IFERROR(__xludf.DUMMYFUNCTION("""COMPUTED_VALUE"""),33.51)</f>
        <v>33.51</v>
      </c>
      <c r="G275" s="39" t="str">
        <f ca="1">IFERROR(__xludf.DUMMYFUNCTION("""COMPUTED_VALUE"""),"算法")</f>
        <v>算法</v>
      </c>
      <c r="H275" s="39">
        <v>274</v>
      </c>
    </row>
    <row r="276" spans="1:8" ht="38.25" hidden="1">
      <c r="A276" s="70">
        <v>160</v>
      </c>
      <c r="B276" s="65" t="str">
        <f ca="1">IFERROR(__xludf.DUMMYFUNCTION("IF(ISBLANK(A276),,FILTER('Leetcode List'!B:C,'Leetcode List'!A:A = A276))"),"Intersection of Two Linked Lists")</f>
        <v>Intersection of Two Linked Lists</v>
      </c>
      <c r="C276" s="61" t="str">
        <f ca="1">IFERROR(__xludf.DUMMYFUNCTION("""COMPUTED_VALUE"""),"Easy")</f>
        <v>Easy</v>
      </c>
      <c r="D276" s="61" t="s">
        <v>2614</v>
      </c>
      <c r="E276" s="66" t="str">
        <f ca="1">IFERROR(__xludf.DUMMYFUNCTION("IF(ISBLANK(A276),,FILTER('Leetcode List'!E:G,'Leetcode List'!A:A = A276))"),"Redfin,ByteDance,Qualcomm,Expedia,Oracle,Cisco,Airbnb,Yahoo,Tencent,SAP,Bloomberg,Facebook,Amazon,LinkedIn,Microsoft,Alibaba,Goldman Sachs,Google")</f>
        <v>Redfin,ByteDance,Qualcomm,Expedia,Oracle,Cisco,Airbnb,Yahoo,Tencent,SAP,Bloomberg,Facebook,Amazon,LinkedIn,Microsoft,Alibaba,Goldman Sachs,Google</v>
      </c>
      <c r="F276" s="39">
        <f ca="1">IFERROR(__xludf.DUMMYFUNCTION("""COMPUTED_VALUE"""),39.7)</f>
        <v>39.700000000000003</v>
      </c>
      <c r="G276" s="39" t="str">
        <f ca="1">IFERROR(__xludf.DUMMYFUNCTION("""COMPUTED_VALUE"""),"算法")</f>
        <v>算法</v>
      </c>
      <c r="H276" s="39">
        <v>275</v>
      </c>
    </row>
    <row r="277" spans="1:8" ht="63.75" hidden="1">
      <c r="A277" s="70">
        <v>21</v>
      </c>
      <c r="B277" s="65" t="str">
        <f ca="1">IFERROR(__xludf.DUMMYFUNCTION("IF(ISBLANK(A277),,FILTER('Leetcode List'!B:C,'Leetcode List'!A:A = A277))"),"Merge Two Sorted Lists")</f>
        <v>Merge Two Sorted Lists</v>
      </c>
      <c r="C277" s="61" t="str">
        <f ca="1">IFERROR(__xludf.DUMMYFUNCTION("""COMPUTED_VALUE"""),"Easy")</f>
        <v>Easy</v>
      </c>
      <c r="D277" s="61" t="s">
        <v>2614</v>
      </c>
      <c r="E277" s="66" t="str">
        <f ca="1">IFERROR(__xludf.DUMMYFUNCTION("IF(ISBLANK(A277),,FILTER('Leetcode List'!E:G,'Leetcode List'!A:A = A277))"),"Arista Networks,Atlassian,ByteDance,Capital One,Intel,Visa,VMware,Walmart Labs,Indeed,Paypal,Oracle,Lyft,Cisco,Yandex,Huawei,EBay,Apple,Airbnb,Uber,Yahoo,Samsung,Tencent,Bloomberg,Adobe,Facebook,Amazon,LinkedIn,Microsoft,Alibaba,Google")</f>
        <v>Arista Networks,Atlassian,ByteDance,Capital One,Intel,Visa,VMware,Walmart Labs,Indeed,Paypal,Oracle,Lyft,Cisco,Yandex,Huawei,EBay,Apple,Airbnb,Uber,Yahoo,Samsung,Tencent,Bloomberg,Adobe,Facebook,Amazon,LinkedIn,Microsoft,Alibaba,Google</v>
      </c>
      <c r="F277" s="39">
        <f ca="1">IFERROR(__xludf.DUMMYFUNCTION("""COMPUTED_VALUE"""),52.85)</f>
        <v>52.85</v>
      </c>
      <c r="G277" s="39" t="str">
        <f ca="1">IFERROR(__xludf.DUMMYFUNCTION("""COMPUTED_VALUE"""),"算法")</f>
        <v>算法</v>
      </c>
      <c r="H277" s="39">
        <v>276</v>
      </c>
    </row>
    <row r="278" spans="1:8" ht="25.5" hidden="1">
      <c r="A278" s="70">
        <v>234</v>
      </c>
      <c r="B278" s="65" t="str">
        <f ca="1">IFERROR(__xludf.DUMMYFUNCTION("IF(ISBLANK(A278),,FILTER('Leetcode List'!B:C,'Leetcode List'!A:A = A278))"),"Palindrome Linked List")</f>
        <v>Palindrome Linked List</v>
      </c>
      <c r="C278" s="61" t="str">
        <f ca="1">IFERROR(__xludf.DUMMYFUNCTION("""COMPUTED_VALUE"""),"Easy")</f>
        <v>Easy</v>
      </c>
      <c r="D278" s="61" t="s">
        <v>2614</v>
      </c>
      <c r="E278" s="66" t="str">
        <f ca="1">IFERROR(__xludf.DUMMYFUNCTION("IF(ISBLANK(A278),,FILTER('Leetcode List'!E:G,'Leetcode List'!A:A = A278))"),"Nutanix,IXL,Grab,Intel,VMware,Snapchat,Apple,Bloomberg,Adobe,Facebook,Amazon,Microsoft,Google")</f>
        <v>Nutanix,IXL,Grab,Intel,VMware,Snapchat,Apple,Bloomberg,Adobe,Facebook,Amazon,Microsoft,Google</v>
      </c>
      <c r="F278" s="39">
        <f ca="1">IFERROR(__xludf.DUMMYFUNCTION("""COMPUTED_VALUE"""),38.87)</f>
        <v>38.869999999999997</v>
      </c>
      <c r="G278" s="39" t="str">
        <f ca="1">IFERROR(__xludf.DUMMYFUNCTION("""COMPUTED_VALUE"""),"算法")</f>
        <v>算法</v>
      </c>
      <c r="H278" s="39">
        <v>277</v>
      </c>
    </row>
    <row r="279" spans="1:8" ht="25.5" hidden="1">
      <c r="A279" s="70">
        <v>143</v>
      </c>
      <c r="B279" s="65" t="str">
        <f ca="1">IFERROR(__xludf.DUMMYFUNCTION("IF(ISBLANK(A279),,FILTER('Leetcode List'!B:C,'Leetcode List'!A:A = A279))"),"Reorder List")</f>
        <v>Reorder List</v>
      </c>
      <c r="C279" s="61" t="str">
        <f ca="1">IFERROR(__xludf.DUMMYFUNCTION("""COMPUTED_VALUE"""),"Medium")</f>
        <v>Medium</v>
      </c>
      <c r="D279" s="61" t="s">
        <v>2614</v>
      </c>
      <c r="E279" s="66" t="str">
        <f ca="1">IFERROR(__xludf.DUMMYFUNCTION("IF(ISBLANK(A279),,FILTER('Leetcode List'!E:G,'Leetcode List'!A:A = A279))"),"Splunk,ByteDance,Cisco,EBay,Tencent,Adobe,Facebook,Amazon,Microsoft,Google")</f>
        <v>Splunk,ByteDance,Cisco,EBay,Tencent,Adobe,Facebook,Amazon,Microsoft,Google</v>
      </c>
      <c r="F279" s="39">
        <f ca="1">IFERROR(__xludf.DUMMYFUNCTION("""COMPUTED_VALUE"""),36.25)</f>
        <v>36.25</v>
      </c>
      <c r="G279" s="39" t="str">
        <f ca="1">IFERROR(__xludf.DUMMYFUNCTION("""COMPUTED_VALUE"""),"算法")</f>
        <v>算法</v>
      </c>
      <c r="H279" s="39">
        <v>278</v>
      </c>
    </row>
    <row r="280" spans="1:8" ht="12.75" hidden="1">
      <c r="A280" s="70">
        <v>142</v>
      </c>
      <c r="B280" s="65" t="str">
        <f ca="1">IFERROR(__xludf.DUMMYFUNCTION("IF(ISBLANK(A280),,FILTER('Leetcode List'!B:C,'Leetcode List'!A:A = A280))"),"Linked List Cycle II")</f>
        <v>Linked List Cycle II</v>
      </c>
      <c r="C280" s="61" t="str">
        <f ca="1">IFERROR(__xludf.DUMMYFUNCTION("""COMPUTED_VALUE"""),"Medium")</f>
        <v>Medium</v>
      </c>
      <c r="D280" s="61" t="s">
        <v>2614</v>
      </c>
      <c r="E280" s="66" t="str">
        <f ca="1">IFERROR(__xludf.DUMMYFUNCTION("IF(ISBLANK(A280),,FILTER('Leetcode List'!E:G,'Leetcode List'!A:A = A280))"),"EBay,Apple,Adobe,Amazon,LinkedIn,Microsoft,Google")</f>
        <v>EBay,Apple,Adobe,Amazon,LinkedIn,Microsoft,Google</v>
      </c>
      <c r="F280" s="39">
        <f ca="1">IFERROR(__xludf.DUMMYFUNCTION("""COMPUTED_VALUE"""),36.62)</f>
        <v>36.619999999999997</v>
      </c>
      <c r="G280" s="39" t="str">
        <f ca="1">IFERROR(__xludf.DUMMYFUNCTION("""COMPUTED_VALUE"""),"算法")</f>
        <v>算法</v>
      </c>
      <c r="H280" s="39">
        <v>279</v>
      </c>
    </row>
    <row r="281" spans="1:8" ht="12.75" hidden="1">
      <c r="A281" s="70">
        <v>148</v>
      </c>
      <c r="B281" s="65" t="str">
        <f ca="1">IFERROR(__xludf.DUMMYFUNCTION("IF(ISBLANK(A281),,FILTER('Leetcode List'!B:C,'Leetcode List'!A:A = A281))"),"Sort List")</f>
        <v>Sort List</v>
      </c>
      <c r="C281" s="61" t="str">
        <f ca="1">IFERROR(__xludf.DUMMYFUNCTION("""COMPUTED_VALUE"""),"Medium")</f>
        <v>Medium</v>
      </c>
      <c r="D281" s="61" t="s">
        <v>2614</v>
      </c>
      <c r="E281" s="66" t="str">
        <f ca="1">IFERROR(__xludf.DUMMYFUNCTION("IF(ISBLANK(A281),,FILTER('Leetcode List'!E:G,'Leetcode List'!A:A = A281))"),"VMware,Baidu,Adobe,Facebook,Amazon,Microsoft,Google")</f>
        <v>VMware,Baidu,Adobe,Facebook,Amazon,Microsoft,Google</v>
      </c>
      <c r="F281" s="39">
        <f ca="1">IFERROR(__xludf.DUMMYFUNCTION("""COMPUTED_VALUE"""),41.39)</f>
        <v>41.39</v>
      </c>
      <c r="G281" s="39" t="str">
        <f ca="1">IFERROR(__xludf.DUMMYFUNCTION("""COMPUTED_VALUE"""),"算法")</f>
        <v>算法</v>
      </c>
      <c r="H281" s="39">
        <v>280</v>
      </c>
    </row>
    <row r="282" spans="1:8" ht="25.5" hidden="1">
      <c r="A282" s="70">
        <v>25</v>
      </c>
      <c r="B282" s="65" t="str">
        <f ca="1">IFERROR(__xludf.DUMMYFUNCTION("IF(ISBLANK(A282),,FILTER('Leetcode List'!B:C,'Leetcode List'!A:A = A282))"),"Reverse Nodes in k-Group")</f>
        <v>Reverse Nodes in k-Group</v>
      </c>
      <c r="C282" s="61" t="str">
        <f ca="1">IFERROR(__xludf.DUMMYFUNCTION("""COMPUTED_VALUE"""),"Hard")</f>
        <v>Hard</v>
      </c>
      <c r="D282" s="61" t="s">
        <v>2614</v>
      </c>
      <c r="E282" s="66" t="str">
        <f ca="1">IFERROR(__xludf.DUMMYFUNCTION("IF(ISBLANK(A282),,FILTER('Leetcode List'!E:G,'Leetcode List'!A:A = A282))"),"Goo,Cohesity,ByteDance,VMware,Paypal,Cisco,Mathworks,EBay,Apple,Adobe,Facebook,Amazon,Microsoft,Google")</f>
        <v>Goo,Cohesity,ByteDance,VMware,Paypal,Cisco,Mathworks,EBay,Apple,Adobe,Facebook,Amazon,Microsoft,Google</v>
      </c>
      <c r="F282" s="39">
        <f ca="1">IFERROR(__xludf.DUMMYFUNCTION("""COMPUTED_VALUE"""),41.25)</f>
        <v>41.25</v>
      </c>
      <c r="G282" s="39" t="str">
        <f ca="1">IFERROR(__xludf.DUMMYFUNCTION("""COMPUTED_VALUE"""),"算法")</f>
        <v>算法</v>
      </c>
      <c r="H282" s="39">
        <v>281</v>
      </c>
    </row>
    <row r="283" spans="1:8" ht="12.75" hidden="1">
      <c r="A283" s="70">
        <v>61</v>
      </c>
      <c r="B283" s="65" t="str">
        <f ca="1">IFERROR(__xludf.DUMMYFUNCTION("IF(ISBLANK(A283),,FILTER('Leetcode List'!B:C,'Leetcode List'!A:A = A283))"),"Rotate List")</f>
        <v>Rotate List</v>
      </c>
      <c r="C283" s="61" t="str">
        <f ca="1">IFERROR(__xludf.DUMMYFUNCTION("""COMPUTED_VALUE"""),"Medium")</f>
        <v>Medium</v>
      </c>
      <c r="D283" s="61" t="s">
        <v>2614</v>
      </c>
      <c r="E283" s="66" t="str">
        <f ca="1">IFERROR(__xludf.DUMMYFUNCTION("IF(ISBLANK(A283),,FILTER('Leetcode List'!E:G,'Leetcode List'!A:A = A283))"),"Hulu,Bloomberg,Adobe,Amazon,LinkedIn,Microsoft")</f>
        <v>Hulu,Bloomberg,Adobe,Amazon,LinkedIn,Microsoft</v>
      </c>
      <c r="F283" s="39">
        <f ca="1">IFERROR(__xludf.DUMMYFUNCTION("""COMPUTED_VALUE"""),29.63)</f>
        <v>29.63</v>
      </c>
      <c r="G283" s="39" t="str">
        <f ca="1">IFERROR(__xludf.DUMMYFUNCTION("""COMPUTED_VALUE"""),"算法")</f>
        <v>算法</v>
      </c>
      <c r="H283" s="39">
        <v>282</v>
      </c>
    </row>
    <row r="284" spans="1:8" ht="12.75" hidden="1">
      <c r="A284" s="70">
        <v>86</v>
      </c>
      <c r="B284" s="65" t="str">
        <f ca="1">IFERROR(__xludf.DUMMYFUNCTION("IF(ISBLANK(A284),,FILTER('Leetcode List'!B:C,'Leetcode List'!A:A = A284))"),"Partition List")</f>
        <v>Partition List</v>
      </c>
      <c r="C284" s="61" t="str">
        <f ca="1">IFERROR(__xludf.DUMMYFUNCTION("""COMPUTED_VALUE"""),"Medium")</f>
        <v>Medium</v>
      </c>
      <c r="D284" s="61" t="s">
        <v>2614</v>
      </c>
      <c r="E284" s="66" t="str">
        <f ca="1">IFERROR(__xludf.DUMMYFUNCTION("IF(ISBLANK(A284),,FILTER('Leetcode List'!E:G,'Leetcode List'!A:A = A284))"),"Apple,Amazon,Microsoft")</f>
        <v>Apple,Amazon,Microsoft</v>
      </c>
      <c r="F284" s="39">
        <f ca="1">IFERROR(__xludf.DUMMYFUNCTION("""COMPUTED_VALUE"""),40.86)</f>
        <v>40.86</v>
      </c>
      <c r="G284" s="39" t="str">
        <f ca="1">IFERROR(__xludf.DUMMYFUNCTION("""COMPUTED_VALUE"""),"算法")</f>
        <v>算法</v>
      </c>
      <c r="H284" s="39">
        <v>283</v>
      </c>
    </row>
    <row r="285" spans="1:8" ht="76.5" hidden="1">
      <c r="A285" s="70">
        <v>23</v>
      </c>
      <c r="B285" s="65" t="str">
        <f ca="1">IFERROR(__xludf.DUMMYFUNCTION("IF(ISBLANK(A285),,FILTER('Leetcode List'!B:C,'Leetcode List'!A:A = A285))"),"Merge k Sorted Lists")</f>
        <v>Merge k Sorted Lists</v>
      </c>
      <c r="C285" s="61" t="str">
        <f ca="1">IFERROR(__xludf.DUMMYFUNCTION("""COMPUTED_VALUE"""),"Hard")</f>
        <v>Hard</v>
      </c>
      <c r="D285" s="61" t="s">
        <v>2614</v>
      </c>
      <c r="E285" s="66" t="str">
        <f ca="1">IFERROR(__xludf.DUMMYFUNCTION("IF(ISBLANK(A285),,FILTER('Leetcode List'!E:G,'Leetcode List'!A:A = A285))"),"Cohesity,IXL,Cruise Automation,Atlassian,Audible,ByteDance,Tableau,Salesforce,VMware,Box,Walmart Labs,Indeed,Zillow,Twitter,Wish,Oracle,Lyft,Cisco,Mathworks,Yandex,EBay,Apple,Airbnb,Uber,Yahoo,Tencent,SAP,Bloomberg,Adobe,Facebook,Amazon,LinkedIn,Microsoft"&amp;",Alibaba,Google")</f>
        <v>Cohesity,IXL,Cruise Automation,Atlassian,Audible,ByteDance,Tableau,Salesforce,VMware,Box,Walmart Labs,Indeed,Zillow,Twitter,Wish,Oracle,Lyft,Cisco,Mathworks,Yandex,EBay,Apple,Airbnb,Uber,Yahoo,Tencent,SAP,Bloomberg,Adobe,Facebook,Amazon,LinkedIn,Microsoft,Alibaba,Google</v>
      </c>
      <c r="F285" s="39">
        <f ca="1">IFERROR(__xludf.DUMMYFUNCTION("""COMPUTED_VALUE"""),39.64)</f>
        <v>39.64</v>
      </c>
      <c r="G285" s="39" t="str">
        <f ca="1">IFERROR(__xludf.DUMMYFUNCTION("""COMPUTED_VALUE"""),"算法")</f>
        <v>算法</v>
      </c>
      <c r="H285" s="39">
        <v>284</v>
      </c>
    </row>
    <row r="286" spans="1:8" ht="12.75" hidden="1">
      <c r="A286" s="70">
        <v>147</v>
      </c>
      <c r="B286" s="65" t="str">
        <f ca="1">IFERROR(__xludf.DUMMYFUNCTION("IF(ISBLANK(A286),,FILTER('Leetcode List'!B:C,'Leetcode List'!A:A = A286))"),"Insertion Sort List")</f>
        <v>Insertion Sort List</v>
      </c>
      <c r="C286" s="61" t="str">
        <f ca="1">IFERROR(__xludf.DUMMYFUNCTION("""COMPUTED_VALUE"""),"Medium")</f>
        <v>Medium</v>
      </c>
      <c r="D286" s="61" t="s">
        <v>2614</v>
      </c>
      <c r="E286" s="66" t="str">
        <f ca="1">IFERROR(__xludf.DUMMYFUNCTION("IF(ISBLANK(A286),,FILTER('Leetcode List'!E:G,'Leetcode List'!A:A = A286))"),"Bloomberg,Microsoft")</f>
        <v>Bloomberg,Microsoft</v>
      </c>
      <c r="F286" s="39">
        <f ca="1">IFERROR(__xludf.DUMMYFUNCTION("""COMPUTED_VALUE"""),40.59)</f>
        <v>40.590000000000003</v>
      </c>
      <c r="G286" s="39" t="str">
        <f ca="1">IFERROR(__xludf.DUMMYFUNCTION("""COMPUTED_VALUE"""),"算法")</f>
        <v>算法</v>
      </c>
      <c r="H286" s="39">
        <v>285</v>
      </c>
    </row>
    <row r="287" spans="1:8" ht="12.75" hidden="1">
      <c r="A287" s="70">
        <v>278</v>
      </c>
      <c r="B287" s="65" t="str">
        <f ca="1">IFERROR(__xludf.DUMMYFUNCTION("IF(ISBLANK(A287),,FILTER('Leetcode List'!B:C,'Leetcode List'!A:A = A287))"),"First Bad Version")</f>
        <v>First Bad Version</v>
      </c>
      <c r="C287" s="61" t="str">
        <f ca="1">IFERROR(__xludf.DUMMYFUNCTION("""COMPUTED_VALUE"""),"Easy")</f>
        <v>Easy</v>
      </c>
      <c r="D287" s="61" t="s">
        <v>670</v>
      </c>
      <c r="E287" s="66" t="str">
        <f ca="1">IFERROR(__xludf.DUMMYFUNCTION("IF(ISBLANK(A287),,FILTER('Leetcode List'!E:G,'Leetcode List'!A:A = A287))"),"Uber,Bloomberg,Adobe,Facebook,Amazon,Microsoft,Google")</f>
        <v>Uber,Bloomberg,Adobe,Facebook,Amazon,Microsoft,Google</v>
      </c>
      <c r="F287" s="39">
        <f ca="1">IFERROR(__xludf.DUMMYFUNCTION("""COMPUTED_VALUE"""),35.16)</f>
        <v>35.159999999999997</v>
      </c>
      <c r="G287" s="39" t="str">
        <f ca="1">IFERROR(__xludf.DUMMYFUNCTION("""COMPUTED_VALUE"""),"算法")</f>
        <v>算法</v>
      </c>
      <c r="H287" s="39">
        <v>286</v>
      </c>
    </row>
    <row r="288" spans="1:8" ht="12.75" hidden="1">
      <c r="A288" s="70">
        <v>35</v>
      </c>
      <c r="B288" s="65" t="str">
        <f ca="1">IFERROR(__xludf.DUMMYFUNCTION("IF(ISBLANK(A288),,FILTER('Leetcode List'!B:C,'Leetcode List'!A:A = A288))"),"Search Insert Position")</f>
        <v>Search Insert Position</v>
      </c>
      <c r="C288" s="61" t="str">
        <f ca="1">IFERROR(__xludf.DUMMYFUNCTION("""COMPUTED_VALUE"""),"Easy")</f>
        <v>Easy</v>
      </c>
      <c r="D288" s="61" t="s">
        <v>670</v>
      </c>
      <c r="E288" s="66" t="str">
        <f ca="1">IFERROR(__xludf.DUMMYFUNCTION("IF(ISBLANK(A288),,FILTER('Leetcode List'!E:G,'Leetcode List'!A:A = A288))"),"Apple,SAP,Bloomberg,Adobe,Amazon,Microsoft,Google")</f>
        <v>Apple,SAP,Bloomberg,Adobe,Amazon,Microsoft,Google</v>
      </c>
      <c r="F288" s="39">
        <f ca="1">IFERROR(__xludf.DUMMYFUNCTION("""COMPUTED_VALUE"""),42.5)</f>
        <v>42.5</v>
      </c>
      <c r="G288" s="39" t="str">
        <f ca="1">IFERROR(__xludf.DUMMYFUNCTION("""COMPUTED_VALUE"""),"算法")</f>
        <v>算法</v>
      </c>
      <c r="H288" s="39">
        <v>287</v>
      </c>
    </row>
    <row r="289" spans="1:8" ht="76.5" hidden="1">
      <c r="A289" s="70">
        <v>33</v>
      </c>
      <c r="B289" s="65" t="str">
        <f ca="1">IFERROR(__xludf.DUMMYFUNCTION("IF(ISBLANK(A289),,FILTER('Leetcode List'!B:C,'Leetcode List'!A:A = A289))"),"Search in Rotated Sorted Array")</f>
        <v>Search in Rotated Sorted Array</v>
      </c>
      <c r="C289" s="61" t="str">
        <f ca="1">IFERROR(__xludf.DUMMYFUNCTION("""COMPUTED_VALUE"""),"Medium")</f>
        <v>Medium</v>
      </c>
      <c r="D289" s="61" t="s">
        <v>670</v>
      </c>
      <c r="E289" s="66" t="str">
        <f ca="1">IFERROR(__xludf.DUMMYFUNCTION("IF(ISBLANK(A289),,FILTER('Leetcode List'!E:G,'Leetcode List'!A:A = A289))"),"TripAdvisor,Tesla,Nutanix,Zulily,Twitch,ByteDance,Salesforce,Visa,VMware,Walmart Labs,Snapchat,JPMorgan,Zillow,Expedia,Nvidia,Oracle,NetEase,Cisco,Yandex,EBay,Baidu,Apple,Uber,Yahoo,Samsung,Tencent,Bloomberg,Adobe,Facebook,Amazon,LinkedIn,Microsoft,Alibab"&amp;"a,Goldman Sachs,Google")</f>
        <v>TripAdvisor,Tesla,Nutanix,Zulily,Twitch,ByteDance,Salesforce,Visa,VMware,Walmart Labs,Snapchat,JPMorgan,Zillow,Expedia,Nvidia,Oracle,NetEase,Cisco,Yandex,EBay,Baidu,Apple,Uber,Yahoo,Samsung,Tencent,Bloomberg,Adobe,Facebook,Amazon,LinkedIn,Microsoft,Alibaba,Goldman Sachs,Google</v>
      </c>
      <c r="F289" s="39">
        <f ca="1">IFERROR(__xludf.DUMMYFUNCTION("""COMPUTED_VALUE"""),34.35)</f>
        <v>34.35</v>
      </c>
      <c r="G289" s="39" t="str">
        <f ca="1">IFERROR(__xludf.DUMMYFUNCTION("""COMPUTED_VALUE"""),"算法")</f>
        <v>算法</v>
      </c>
      <c r="H289" s="39">
        <v>288</v>
      </c>
    </row>
    <row r="290" spans="1:8" ht="12.75" hidden="1">
      <c r="A290" s="70">
        <v>81</v>
      </c>
      <c r="B290" s="65" t="str">
        <f ca="1">IFERROR(__xludf.DUMMYFUNCTION("IF(ISBLANK(A290),,FILTER('Leetcode List'!B:C,'Leetcode List'!A:A = A290))"),"Search in Rotated Sorted Array II")</f>
        <v>Search in Rotated Sorted Array II</v>
      </c>
      <c r="C290" s="61" t="str">
        <f ca="1">IFERROR(__xludf.DUMMYFUNCTION("""COMPUTED_VALUE"""),"Medium")</f>
        <v>Medium</v>
      </c>
      <c r="D290" s="61" t="s">
        <v>670</v>
      </c>
      <c r="E290" s="66" t="str">
        <f ca="1">IFERROR(__xludf.DUMMYFUNCTION("IF(ISBLANK(A290),,FILTER('Leetcode List'!E:G,'Leetcode List'!A:A = A290))"),"Bloomberg,Adobe,Facebook,Amazon,Microsoft,Google")</f>
        <v>Bloomberg,Adobe,Facebook,Amazon,Microsoft,Google</v>
      </c>
      <c r="F290" s="39">
        <f ca="1">IFERROR(__xludf.DUMMYFUNCTION("""COMPUTED_VALUE"""),32.96)</f>
        <v>32.96</v>
      </c>
      <c r="G290" s="39" t="str">
        <f ca="1">IFERROR(__xludf.DUMMYFUNCTION("""COMPUTED_VALUE"""),"算法")</f>
        <v>算法</v>
      </c>
      <c r="H290" s="39">
        <v>289</v>
      </c>
    </row>
    <row r="291" spans="1:8" ht="38.25" hidden="1">
      <c r="A291" s="70">
        <v>153</v>
      </c>
      <c r="B291" s="65" t="str">
        <f ca="1">IFERROR(__xludf.DUMMYFUNCTION("IF(ISBLANK(A291),,FILTER('Leetcode List'!B:C,'Leetcode List'!A:A = A291))"),"Find Minimum in Rotated Sorted Array")</f>
        <v>Find Minimum in Rotated Sorted Array</v>
      </c>
      <c r="C291" s="61" t="str">
        <f ca="1">IFERROR(__xludf.DUMMYFUNCTION("""COMPUTED_VALUE"""),"Medium")</f>
        <v>Medium</v>
      </c>
      <c r="D291" s="61" t="s">
        <v>670</v>
      </c>
      <c r="E291" s="66" t="str">
        <f ca="1">IFERROR(__xludf.DUMMYFUNCTION("IF(ISBLANK(A291),,FILTER('Leetcode List'!E:G,'Leetcode List'!A:A = A291))"),"Salesforce,VMware,Walmart Labs,Oracle,EBay,Apple,Uber,Bloomberg,Facebook,Amazon,Microsoft,Goldman Sachs,Google")</f>
        <v>Salesforce,VMware,Walmart Labs,Oracle,EBay,Apple,Uber,Bloomberg,Facebook,Amazon,Microsoft,Goldman Sachs,Google</v>
      </c>
      <c r="F291" s="39">
        <f ca="1">IFERROR(__xludf.DUMMYFUNCTION("""COMPUTED_VALUE"""),44.71)</f>
        <v>44.71</v>
      </c>
      <c r="G291" s="39" t="str">
        <f ca="1">IFERROR(__xludf.DUMMYFUNCTION("""COMPUTED_VALUE"""),"算法")</f>
        <v>算法</v>
      </c>
      <c r="H291" s="39">
        <v>290</v>
      </c>
    </row>
    <row r="292" spans="1:8" ht="12.75" hidden="1">
      <c r="A292" s="70">
        <v>154</v>
      </c>
      <c r="B292" s="65" t="str">
        <f ca="1">IFERROR(__xludf.DUMMYFUNCTION("IF(ISBLANK(A292),,FILTER('Leetcode List'!B:C,'Leetcode List'!A:A = A292))"),"Find Minimum in Rotated Sorted Array II")</f>
        <v>Find Minimum in Rotated Sorted Array II</v>
      </c>
      <c r="C292" s="61" t="str">
        <f ca="1">IFERROR(__xludf.DUMMYFUNCTION("""COMPUTED_VALUE"""),"Hard")</f>
        <v>Hard</v>
      </c>
      <c r="D292" s="61" t="s">
        <v>670</v>
      </c>
      <c r="E292" s="66" t="str">
        <f ca="1">IFERROR(__xludf.DUMMYFUNCTION("IF(ISBLANK(A292),,FILTER('Leetcode List'!E:G,'Leetcode List'!A:A = A292))"),"Uber,Adobe,Facebook,Amazon,Google")</f>
        <v>Uber,Adobe,Facebook,Amazon,Google</v>
      </c>
      <c r="F292" s="39">
        <f ca="1">IFERROR(__xludf.DUMMYFUNCTION("""COMPUTED_VALUE"""),40.48)</f>
        <v>40.479999999999997</v>
      </c>
      <c r="G292" s="39" t="str">
        <f ca="1">IFERROR(__xludf.DUMMYFUNCTION("""COMPUTED_VALUE"""),"算法")</f>
        <v>算法</v>
      </c>
      <c r="H292" s="39">
        <v>291</v>
      </c>
    </row>
    <row r="293" spans="1:8" ht="38.25" hidden="1">
      <c r="A293" s="70">
        <v>162</v>
      </c>
      <c r="B293" s="65" t="str">
        <f ca="1">IFERROR(__xludf.DUMMYFUNCTION("IF(ISBLANK(A293),,FILTER('Leetcode List'!B:C,'Leetcode List'!A:A = A293))"),"Find Peak Element")</f>
        <v>Find Peak Element</v>
      </c>
      <c r="C293" s="61" t="str">
        <f ca="1">IFERROR(__xludf.DUMMYFUNCTION("""COMPUTED_VALUE"""),"Medium")</f>
        <v>Medium</v>
      </c>
      <c r="D293" s="61" t="s">
        <v>670</v>
      </c>
      <c r="E293" s="66" t="str">
        <f ca="1">IFERROR(__xludf.DUMMYFUNCTION("IF(ISBLANK(A293),,FILTER('Leetcode List'!E:G,'Leetcode List'!A:A = A293))"),"IXL,VMware,Quora,Walmart Labs,Lyft,Apple,Uber,Yahoo,Bloomberg,Facebook,Amazon,Microsoft,Google")</f>
        <v>IXL,VMware,Quora,Walmart Labs,Lyft,Apple,Uber,Yahoo,Bloomberg,Facebook,Amazon,Microsoft,Google</v>
      </c>
      <c r="F293" s="39">
        <f ca="1">IFERROR(__xludf.DUMMYFUNCTION("""COMPUTED_VALUE"""),43.08)</f>
        <v>43.08</v>
      </c>
      <c r="G293" s="39" t="str">
        <f ca="1">IFERROR(__xludf.DUMMYFUNCTION("""COMPUTED_VALUE"""),"算法")</f>
        <v>算法</v>
      </c>
      <c r="H293" s="39">
        <v>292</v>
      </c>
    </row>
    <row r="294" spans="1:8" ht="12.75" hidden="1">
      <c r="A294" s="70">
        <v>374</v>
      </c>
      <c r="B294" s="65" t="str">
        <f ca="1">IFERROR(__xludf.DUMMYFUNCTION("IF(ISBLANK(A294),,FILTER('Leetcode List'!B:C,'Leetcode List'!A:A = A294))"),"Guess Number Higher or Lower")</f>
        <v>Guess Number Higher or Lower</v>
      </c>
      <c r="C294" s="61" t="str">
        <f ca="1">IFERROR(__xludf.DUMMYFUNCTION("""COMPUTED_VALUE"""),"Easy")</f>
        <v>Easy</v>
      </c>
      <c r="D294" s="61" t="s">
        <v>670</v>
      </c>
      <c r="E294" s="66" t="str">
        <f ca="1">IFERROR(__xludf.DUMMYFUNCTION("IF(ISBLANK(A294),,FILTER('Leetcode List'!E:G,'Leetcode List'!A:A = A294))"),"Apple,Google")</f>
        <v>Apple,Google</v>
      </c>
      <c r="F294" s="39">
        <f ca="1">IFERROR(__xludf.DUMMYFUNCTION("""COMPUTED_VALUE"""),42.55)</f>
        <v>42.55</v>
      </c>
      <c r="G294" s="39" t="str">
        <f ca="1">IFERROR(__xludf.DUMMYFUNCTION("""COMPUTED_VALUE"""),"算法")</f>
        <v>算法</v>
      </c>
      <c r="H294" s="39">
        <v>293</v>
      </c>
    </row>
    <row r="295" spans="1:8" ht="38.25" hidden="1">
      <c r="A295" s="70">
        <v>34</v>
      </c>
      <c r="B295" s="65" t="str">
        <f ca="1">IFERROR(__xludf.DUMMYFUNCTION("IF(ISBLANK(A295),,FILTER('Leetcode List'!B:C,'Leetcode List'!A:A = A295))"),"Find First and Last Position of Element in Sorted Array")</f>
        <v>Find First and Last Position of Element in Sorted Array</v>
      </c>
      <c r="C295" s="61" t="str">
        <f ca="1">IFERROR(__xludf.DUMMYFUNCTION("""COMPUTED_VALUE"""),"Medium")</f>
        <v>Medium</v>
      </c>
      <c r="D295" s="61" t="s">
        <v>670</v>
      </c>
      <c r="E295" s="66" t="str">
        <f ca="1">IFERROR(__xludf.DUMMYFUNCTION("IF(ISBLANK(A295),,FILTER('Leetcode List'!E:G,'Leetcode List'!A:A = A295))"),"Netflix,Quip (Salesforce),Qualtrics,ByteDance,Visa,Oracle,Yandex,Apple,Airbnb,Uber,Yahoo,Bloomberg,Facebook,Amazon,LinkedIn,Microsoft,Google")</f>
        <v>Netflix,Quip (Salesforce),Qualtrics,ByteDance,Visa,Oracle,Yandex,Apple,Airbnb,Uber,Yahoo,Bloomberg,Facebook,Amazon,LinkedIn,Microsoft,Google</v>
      </c>
      <c r="F295" s="39">
        <f ca="1">IFERROR(__xludf.DUMMYFUNCTION("""COMPUTED_VALUE"""),35.81)</f>
        <v>35.81</v>
      </c>
      <c r="G295" s="39" t="str">
        <f ca="1">IFERROR(__xludf.DUMMYFUNCTION("""COMPUTED_VALUE"""),"算法")</f>
        <v>算法</v>
      </c>
      <c r="H295" s="39">
        <v>294</v>
      </c>
    </row>
    <row r="296" spans="1:8" ht="38.25" hidden="1">
      <c r="A296" s="70">
        <v>349</v>
      </c>
      <c r="B296" s="65" t="str">
        <f ca="1">IFERROR(__xludf.DUMMYFUNCTION("IF(ISBLANK(A296),,FILTER('Leetcode List'!B:C,'Leetcode List'!A:A = A296))"),"Intersection of Two Arrays")</f>
        <v>Intersection of Two Arrays</v>
      </c>
      <c r="C296" s="61" t="str">
        <f ca="1">IFERROR(__xludf.DUMMYFUNCTION("""COMPUTED_VALUE"""),"Easy")</f>
        <v>Easy</v>
      </c>
      <c r="D296" s="61" t="s">
        <v>670</v>
      </c>
      <c r="E296" s="66" t="str">
        <f ca="1">IFERROR(__xludf.DUMMYFUNCTION("IF(ISBLANK(A296),,FILTER('Leetcode List'!E:G,'Leetcode List'!A:A = A296))"),"Two Sigma,ByteDance,Indeed,JPMorgan,Yelp,Oracle,Lyft,Apple,Uber,Facebook,Amazon,LinkedIn,Microsoft,Google")</f>
        <v>Two Sigma,ByteDance,Indeed,JPMorgan,Yelp,Oracle,Lyft,Apple,Uber,Facebook,Amazon,LinkedIn,Microsoft,Google</v>
      </c>
      <c r="F296" s="39">
        <f ca="1">IFERROR(__xludf.DUMMYFUNCTION("""COMPUTED_VALUE"""),61.66)</f>
        <v>61.66</v>
      </c>
      <c r="G296" s="39" t="str">
        <f ca="1">IFERROR(__xludf.DUMMYFUNCTION("""COMPUTED_VALUE"""),"算法")</f>
        <v>算法</v>
      </c>
      <c r="H296" s="39">
        <v>295</v>
      </c>
    </row>
    <row r="297" spans="1:8" ht="25.5" hidden="1">
      <c r="A297" s="70">
        <v>350</v>
      </c>
      <c r="B297" s="65" t="str">
        <f ca="1">IFERROR(__xludf.DUMMYFUNCTION("IF(ISBLANK(A297),,FILTER('Leetcode List'!B:C,'Leetcode List'!A:A = A297))"),"Intersection of Two Arrays II")</f>
        <v>Intersection of Two Arrays II</v>
      </c>
      <c r="C297" s="61" t="str">
        <f ca="1">IFERROR(__xludf.DUMMYFUNCTION("""COMPUTED_VALUE"""),"Easy")</f>
        <v>Easy</v>
      </c>
      <c r="D297" s="61" t="s">
        <v>670</v>
      </c>
      <c r="E297" s="66" t="str">
        <f ca="1">IFERROR(__xludf.DUMMYFUNCTION("IF(ISBLANK(A297),,FILTER('Leetcode List'!E:G,'Leetcode List'!A:A = A297))"),"Databricks,ByteDance,Salesforce,Oracle,Yandex,Apple,Uber,Bloomberg,Facebook,Amazon,LinkedIn,Microsoft,Google")</f>
        <v>Databricks,ByteDance,Salesforce,Oracle,Yandex,Apple,Uber,Bloomberg,Facebook,Amazon,LinkedIn,Microsoft,Google</v>
      </c>
      <c r="F297" s="39">
        <f ca="1">IFERROR(__xludf.DUMMYFUNCTION("""COMPUTED_VALUE"""),51.09)</f>
        <v>51.09</v>
      </c>
      <c r="G297" s="39" t="str">
        <f ca="1">IFERROR(__xludf.DUMMYFUNCTION("""COMPUTED_VALUE"""),"算法")</f>
        <v>算法</v>
      </c>
      <c r="H297" s="39">
        <v>296</v>
      </c>
    </row>
    <row r="298" spans="1:8" ht="12.75" hidden="1">
      <c r="A298" s="70">
        <v>315</v>
      </c>
      <c r="B298" s="65" t="str">
        <f ca="1">IFERROR(__xludf.DUMMYFUNCTION("IF(ISBLANK(A298),,FILTER('Leetcode List'!B:C,'Leetcode List'!A:A = A298))"),"Count of Smaller Numbers After Self")</f>
        <v>Count of Smaller Numbers After Self</v>
      </c>
      <c r="C298" s="61" t="str">
        <f ca="1">IFERROR(__xludf.DUMMYFUNCTION("""COMPUTED_VALUE"""),"Hard")</f>
        <v>Hard</v>
      </c>
      <c r="D298" s="61" t="s">
        <v>670</v>
      </c>
      <c r="E298" s="66" t="str">
        <f ca="1">IFERROR(__xludf.DUMMYFUNCTION("IF(ISBLANK(A298),,FILTER('Leetcode List'!E:G,'Leetcode List'!A:A = A298))"),"Oracle,Apple,Uber,Bloomberg,Facebook,Amazon,Microsoft,Google")</f>
        <v>Oracle,Apple,Uber,Bloomberg,Facebook,Amazon,Microsoft,Google</v>
      </c>
      <c r="F298" s="39">
        <f ca="1">IFERROR(__xludf.DUMMYFUNCTION("""COMPUTED_VALUE"""),41.17)</f>
        <v>41.17</v>
      </c>
      <c r="G298" s="39" t="str">
        <f ca="1">IFERROR(__xludf.DUMMYFUNCTION("""COMPUTED_VALUE"""),"算法")</f>
        <v>算法</v>
      </c>
      <c r="H298" s="39">
        <v>297</v>
      </c>
    </row>
    <row r="299" spans="1:8" ht="25.5" hidden="1">
      <c r="A299" s="70">
        <v>300</v>
      </c>
      <c r="B299" s="65" t="str">
        <f ca="1">IFERROR(__xludf.DUMMYFUNCTION("IF(ISBLANK(A299),,FILTER('Leetcode List'!B:C,'Leetcode List'!A:A = A299))"),"Longest Increasing Subsequence")</f>
        <v>Longest Increasing Subsequence</v>
      </c>
      <c r="C299" s="61" t="str">
        <f ca="1">IFERROR(__xludf.DUMMYFUNCTION("""COMPUTED_VALUE"""),"Medium")</f>
        <v>Medium</v>
      </c>
      <c r="D299" s="61" t="s">
        <v>670</v>
      </c>
      <c r="E299" s="66" t="str">
        <f ca="1">IFERROR(__xludf.DUMMYFUNCTION("IF(ISBLANK(A299),,FILTER('Leetcode List'!E:G,'Leetcode List'!A:A = A299))"),"Atlassian,Salesforce,VMware,Oracle,EBay,Apple,Uber,Adobe,Facebook,Amazon,Microsoft,Google")</f>
        <v>Atlassian,Salesforce,VMware,Oracle,EBay,Apple,Uber,Adobe,Facebook,Amazon,Microsoft,Google</v>
      </c>
      <c r="F299" s="39">
        <f ca="1">IFERROR(__xludf.DUMMYFUNCTION("""COMPUTED_VALUE"""),42.35)</f>
        <v>42.35</v>
      </c>
      <c r="G299" s="39" t="str">
        <f ca="1">IFERROR(__xludf.DUMMYFUNCTION("""COMPUTED_VALUE"""),"算法")</f>
        <v>算法</v>
      </c>
      <c r="H299" s="39">
        <v>298</v>
      </c>
    </row>
    <row r="300" spans="1:8" ht="12.75" hidden="1">
      <c r="A300" s="70">
        <v>354</v>
      </c>
      <c r="B300" s="65" t="str">
        <f ca="1">IFERROR(__xludf.DUMMYFUNCTION("IF(ISBLANK(A300),,FILTER('Leetcode List'!B:C,'Leetcode List'!A:A = A300))"),"Russian Doll Envelopes")</f>
        <v>Russian Doll Envelopes</v>
      </c>
      <c r="C300" s="61" t="str">
        <f ca="1">IFERROR(__xludf.DUMMYFUNCTION("""COMPUTED_VALUE"""),"Hard")</f>
        <v>Hard</v>
      </c>
      <c r="D300" s="61" t="s">
        <v>670</v>
      </c>
      <c r="E300" s="66" t="str">
        <f ca="1">IFERROR(__xludf.DUMMYFUNCTION("IF(ISBLANK(A300),,FILTER('Leetcode List'!E:G,'Leetcode List'!A:A = A300))"),"Uber,Amazon,Microsoft,Google")</f>
        <v>Uber,Amazon,Microsoft,Google</v>
      </c>
      <c r="F300" s="39">
        <f ca="1">IFERROR(__xludf.DUMMYFUNCTION("""COMPUTED_VALUE"""),35.37)</f>
        <v>35.369999999999997</v>
      </c>
      <c r="G300" s="39" t="str">
        <f ca="1">IFERROR(__xludf.DUMMYFUNCTION("""COMPUTED_VALUE"""),"算法")</f>
        <v>算法</v>
      </c>
      <c r="H300" s="39">
        <v>299</v>
      </c>
    </row>
    <row r="301" spans="1:8" ht="51" hidden="1">
      <c r="A301" s="70">
        <v>48</v>
      </c>
      <c r="B301" s="65" t="str">
        <f ca="1">IFERROR(__xludf.DUMMYFUNCTION("IF(ISBLANK(A301),,FILTER('Leetcode List'!B:C,'Leetcode List'!A:A = A301))"),"Rotate Image")</f>
        <v>Rotate Image</v>
      </c>
      <c r="C301" s="63" t="str">
        <f ca="1">IFERROR(__xludf.DUMMYFUNCTION("""COMPUTED_VALUE"""),"Medium")</f>
        <v>Medium</v>
      </c>
      <c r="D301" s="63" t="s">
        <v>2615</v>
      </c>
      <c r="E301" s="66" t="str">
        <f ca="1">IFERROR(__xludf.DUMMYFUNCTION("IF(ISBLANK(A301),,FILTER('Leetcode List'!E:G,'Leetcode List'!A:A = A301))"),"Akuna Capital,Palantir Technologies,Houzz,Salesforce,Groupon,Quora,Wish,Nvidia,Lyft,Cisco,Yandex,Apple,Samsung,Bloomberg,Adobe,Facebook,Amazon,Microsoft,Google")</f>
        <v>Akuna Capital,Palantir Technologies,Houzz,Salesforce,Groupon,Quora,Wish,Nvidia,Lyft,Cisco,Yandex,Apple,Samsung,Bloomberg,Adobe,Facebook,Amazon,Microsoft,Google</v>
      </c>
      <c r="F301" s="39">
        <f ca="1">IFERROR(__xludf.DUMMYFUNCTION("""COMPUTED_VALUE"""),55.66)</f>
        <v>55.66</v>
      </c>
      <c r="G301" s="39" t="str">
        <f ca="1">IFERROR(__xludf.DUMMYFUNCTION("""COMPUTED_VALUE"""),"算法")</f>
        <v>算法</v>
      </c>
      <c r="H301" s="39">
        <v>300</v>
      </c>
    </row>
    <row r="302" spans="1:8" ht="51" hidden="1">
      <c r="A302" s="70">
        <v>54</v>
      </c>
      <c r="B302" s="65" t="str">
        <f ca="1">IFERROR(__xludf.DUMMYFUNCTION("IF(ISBLANK(A302),,FILTER('Leetcode List'!B:C,'Leetcode List'!A:A = A302))"),"Spiral Matrix")</f>
        <v>Spiral Matrix</v>
      </c>
      <c r="C302" s="63" t="str">
        <f ca="1">IFERROR(__xludf.DUMMYFUNCTION("""COMPUTED_VALUE"""),"Medium")</f>
        <v>Medium</v>
      </c>
      <c r="D302" s="63" t="s">
        <v>2615</v>
      </c>
      <c r="E302" s="66" t="str">
        <f ca="1">IFERROR(__xludf.DUMMYFUNCTION("IF(ISBLANK(A302),,FILTER('Leetcode List'!E:G,'Leetcode List'!A:A = A302))"),"Robinhood,Hulu,Epic Systems,Quip (Salesforce),Twitch,ByteDance,Drawbridge,Visa,Walmart Labs,Snapchat,Paypal,Oracle,Cisco,EBay,Apple,Uber,Bloomberg,Adobe,Facebook,Amazon,LinkedIn,Microsoft,Goldman Sachs,Google")</f>
        <v>Robinhood,Hulu,Epic Systems,Quip (Salesforce),Twitch,ByteDance,Drawbridge,Visa,Walmart Labs,Snapchat,Paypal,Oracle,Cisco,EBay,Apple,Uber,Bloomberg,Adobe,Facebook,Amazon,LinkedIn,Microsoft,Goldman Sachs,Google</v>
      </c>
      <c r="F302" s="39">
        <f ca="1">IFERROR(__xludf.DUMMYFUNCTION("""COMPUTED_VALUE"""),33.64)</f>
        <v>33.64</v>
      </c>
      <c r="G302" s="39" t="str">
        <f ca="1">IFERROR(__xludf.DUMMYFUNCTION("""COMPUTED_VALUE"""),"算法")</f>
        <v>算法</v>
      </c>
      <c r="H302" s="39">
        <v>301</v>
      </c>
    </row>
    <row r="303" spans="1:8" ht="25.5" hidden="1">
      <c r="A303" s="70">
        <v>59</v>
      </c>
      <c r="B303" s="65" t="str">
        <f ca="1">IFERROR(__xludf.DUMMYFUNCTION("IF(ISBLANK(A303),,FILTER('Leetcode List'!B:C,'Leetcode List'!A:A = A303))"),"Spiral Matrix II")</f>
        <v>Spiral Matrix II</v>
      </c>
      <c r="C303" s="63" t="str">
        <f ca="1">IFERROR(__xludf.DUMMYFUNCTION("""COMPUTED_VALUE"""),"Medium")</f>
        <v>Medium</v>
      </c>
      <c r="D303" s="63" t="s">
        <v>2615</v>
      </c>
      <c r="E303" s="66" t="str">
        <f ca="1">IFERROR(__xludf.DUMMYFUNCTION("IF(ISBLANK(A303),,FILTER('Leetcode List'!E:G,'Leetcode List'!A:A = A303))"),"Robinhood,Snapchat,Oracle,Yandex,Apple,Uber,Adobe,Facebook,Amazon,Microsoft,Google")</f>
        <v>Robinhood,Snapchat,Oracle,Yandex,Apple,Uber,Adobe,Facebook,Amazon,Microsoft,Google</v>
      </c>
      <c r="F303" s="39">
        <f ca="1">IFERROR(__xludf.DUMMYFUNCTION("""COMPUTED_VALUE"""),53.01)</f>
        <v>53.01</v>
      </c>
      <c r="G303" s="39" t="str">
        <f ca="1">IFERROR(__xludf.DUMMYFUNCTION("""COMPUTED_VALUE"""),"算法")</f>
        <v>算法</v>
      </c>
      <c r="H303" s="39">
        <v>302</v>
      </c>
    </row>
    <row r="304" spans="1:8" ht="25.5" hidden="1">
      <c r="A304" s="70">
        <v>73</v>
      </c>
      <c r="B304" s="65" t="str">
        <f ca="1">IFERROR(__xludf.DUMMYFUNCTION("IF(ISBLANK(A304),,FILTER('Leetcode List'!B:C,'Leetcode List'!A:A = A304))"),"Set Matrix Zeroes")</f>
        <v>Set Matrix Zeroes</v>
      </c>
      <c r="C304" s="63" t="str">
        <f ca="1">IFERROR(__xludf.DUMMYFUNCTION("""COMPUTED_VALUE"""),"Medium")</f>
        <v>Medium</v>
      </c>
      <c r="D304" s="63" t="s">
        <v>2615</v>
      </c>
      <c r="E304" s="66" t="str">
        <f ca="1">IFERROR(__xludf.DUMMYFUNCTION("IF(ISBLANK(A304),,FILTER('Leetcode List'!E:G,'Leetcode List'!A:A = A304))"),"Docusign,TripAdvisor,Audible,Salesforce,Paypal,Expedia,Oracle,Apple,Facebook,Amazon,Microsoft")</f>
        <v>Docusign,TripAdvisor,Audible,Salesforce,Paypal,Expedia,Oracle,Apple,Facebook,Amazon,Microsoft</v>
      </c>
      <c r="F304" s="39">
        <f ca="1">IFERROR(__xludf.DUMMYFUNCTION("""COMPUTED_VALUE"""),42.77)</f>
        <v>42.77</v>
      </c>
      <c r="G304" s="39" t="str">
        <f ca="1">IFERROR(__xludf.DUMMYFUNCTION("""COMPUTED_VALUE"""),"算法")</f>
        <v>算法</v>
      </c>
      <c r="H304" s="39">
        <v>303</v>
      </c>
    </row>
    <row r="305" spans="1:8" ht="25.5" hidden="1">
      <c r="A305" s="70">
        <v>311</v>
      </c>
      <c r="B305" s="65" t="str">
        <f ca="1">IFERROR(__xludf.DUMMYFUNCTION("IF(ISBLANK(A305),,FILTER('Leetcode List'!B:C,'Leetcode List'!A:A = A305))"),"Sparse Matrix Multiplication")</f>
        <v>Sparse Matrix Multiplication</v>
      </c>
      <c r="C305" s="63" t="str">
        <f ca="1">IFERROR(__xludf.DUMMYFUNCTION("""COMPUTED_VALUE"""),"Medium")</f>
        <v>Medium</v>
      </c>
      <c r="D305" s="63" t="s">
        <v>2615</v>
      </c>
      <c r="E305" s="66" t="str">
        <f ca="1">IFERROR(__xludf.DUMMYFUNCTION("IF(ISBLANK(A305),,FILTER('Leetcode List'!E:G,'Leetcode List'!A:A = A305))"),"Snapchat,Apple,Uber,Bloomberg,Facebook,Amazon,LinkedIn,Microsoft,Google")</f>
        <v>Snapchat,Apple,Uber,Bloomberg,Facebook,Amazon,LinkedIn,Microsoft,Google</v>
      </c>
      <c r="F305" s="39">
        <f ca="1">IFERROR(__xludf.DUMMYFUNCTION("""COMPUTED_VALUE"""),61.13)</f>
        <v>61.13</v>
      </c>
      <c r="G305" s="39" t="str">
        <f ca="1">IFERROR(__xludf.DUMMYFUNCTION("""COMPUTED_VALUE"""),"算法")</f>
        <v>算法</v>
      </c>
      <c r="H305" s="39">
        <v>304</v>
      </c>
    </row>
    <row r="306" spans="1:8" ht="25.5" hidden="1">
      <c r="A306" s="70">
        <v>329</v>
      </c>
      <c r="B306" s="65" t="str">
        <f ca="1">IFERROR(__xludf.DUMMYFUNCTION("IF(ISBLANK(A306),,FILTER('Leetcode List'!B:C,'Leetcode List'!A:A = A306))"),"Longest Increasing Path in a Matrix")</f>
        <v>Longest Increasing Path in a Matrix</v>
      </c>
      <c r="C306" s="63" t="str">
        <f ca="1">IFERROR(__xludf.DUMMYFUNCTION("""COMPUTED_VALUE"""),"Hard")</f>
        <v>Hard</v>
      </c>
      <c r="D306" s="63" t="s">
        <v>2615</v>
      </c>
      <c r="E306" s="66" t="str">
        <f ca="1">IFERROR(__xludf.DUMMYFUNCTION("IF(ISBLANK(A306),,FILTER('Leetcode List'!E:G,'Leetcode List'!A:A = A306))"),"ByteDance,Snapchat,Apple,Uber,Bloomberg,Adobe,Facebook,Amazon,Microsoft,Google")</f>
        <v>ByteDance,Snapchat,Apple,Uber,Bloomberg,Adobe,Facebook,Amazon,Microsoft,Google</v>
      </c>
      <c r="F306" s="39">
        <f ca="1">IFERROR(__xludf.DUMMYFUNCTION("""COMPUTED_VALUE"""),42.97)</f>
        <v>42.97</v>
      </c>
      <c r="G306" s="39" t="str">
        <f ca="1">IFERROR(__xludf.DUMMYFUNCTION("""COMPUTED_VALUE"""),"算法")</f>
        <v>算法</v>
      </c>
      <c r="H306" s="39">
        <v>305</v>
      </c>
    </row>
    <row r="307" spans="1:8" ht="38.25" hidden="1">
      <c r="A307" s="70">
        <v>378</v>
      </c>
      <c r="B307" s="65" t="str">
        <f ca="1">IFERROR(__xludf.DUMMYFUNCTION("IF(ISBLANK(A307),,FILTER('Leetcode List'!B:C,'Leetcode List'!A:A = A307))"),"Kth Smallest Element in a Sorted Matrix")</f>
        <v>Kth Smallest Element in a Sorted Matrix</v>
      </c>
      <c r="C307" s="63" t="str">
        <f ca="1">IFERROR(__xludf.DUMMYFUNCTION("""COMPUTED_VALUE"""),"Medium")</f>
        <v>Medium</v>
      </c>
      <c r="D307" s="63" t="s">
        <v>2615</v>
      </c>
      <c r="E307" s="66" t="str">
        <f ca="1">IFERROR(__xludf.DUMMYFUNCTION("IF(ISBLANK(A307),,FILTER('Leetcode List'!E:G,'Leetcode List'!A:A = A307))"),"Walmart Labs,Twitter,Apple,Uber,Yahoo,Bloomberg,Adobe,Facebook,Amazon,Microsoft,Google")</f>
        <v>Walmart Labs,Twitter,Apple,Uber,Yahoo,Bloomberg,Adobe,Facebook,Amazon,Microsoft,Google</v>
      </c>
      <c r="F307" s="39">
        <f ca="1">IFERROR(__xludf.DUMMYFUNCTION("""COMPUTED_VALUE"""),53.65)</f>
        <v>53.65</v>
      </c>
      <c r="G307" s="39" t="str">
        <f ca="1">IFERROR(__xludf.DUMMYFUNCTION("""COMPUTED_VALUE"""),"算法")</f>
        <v>算法</v>
      </c>
      <c r="H307" s="39">
        <v>306</v>
      </c>
    </row>
    <row r="308" spans="1:8" ht="25.5" hidden="1">
      <c r="A308" s="70">
        <v>74</v>
      </c>
      <c r="B308" s="65" t="str">
        <f ca="1">IFERROR(__xludf.DUMMYFUNCTION("IF(ISBLANK(A308),,FILTER('Leetcode List'!B:C,'Leetcode List'!A:A = A308))"),"Search a 2D Matrix")</f>
        <v>Search a 2D Matrix</v>
      </c>
      <c r="C308" s="63" t="str">
        <f ca="1">IFERROR(__xludf.DUMMYFUNCTION("""COMPUTED_VALUE"""),"Medium")</f>
        <v>Medium</v>
      </c>
      <c r="D308" s="63" t="s">
        <v>2615</v>
      </c>
      <c r="E308" s="66" t="str">
        <f ca="1">IFERROR(__xludf.DUMMYFUNCTION("IF(ISBLANK(A308),,FILTER('Leetcode List'!E:G,'Leetcode List'!A:A = A308))"),"Apple,Uber,Bloomberg,Adobe,Facebook,Amazon,Microsoft,Goldman Sachs,Google")</f>
        <v>Apple,Uber,Bloomberg,Adobe,Facebook,Amazon,Microsoft,Goldman Sachs,Google</v>
      </c>
      <c r="F308" s="39">
        <f ca="1">IFERROR(__xludf.DUMMYFUNCTION("""COMPUTED_VALUE"""),36.32)</f>
        <v>36.32</v>
      </c>
      <c r="G308" s="39" t="str">
        <f ca="1">IFERROR(__xludf.DUMMYFUNCTION("""COMPUTED_VALUE"""),"算法")</f>
        <v>算法</v>
      </c>
      <c r="H308" s="39">
        <v>307</v>
      </c>
    </row>
    <row r="309" spans="1:8" ht="51" hidden="1">
      <c r="A309" s="70">
        <v>240</v>
      </c>
      <c r="B309" s="65" t="str">
        <f ca="1">IFERROR(__xludf.DUMMYFUNCTION("IF(ISBLANK(A309),,FILTER('Leetcode List'!B:C,'Leetcode List'!A:A = A309))"),"Search a 2D Matrix II")</f>
        <v>Search a 2D Matrix II</v>
      </c>
      <c r="C309" s="63" t="str">
        <f ca="1">IFERROR(__xludf.DUMMYFUNCTION("""COMPUTED_VALUE"""),"Medium")</f>
        <v>Medium</v>
      </c>
      <c r="D309" s="63" t="s">
        <v>2615</v>
      </c>
      <c r="E309" s="66" t="str">
        <f ca="1">IFERROR(__xludf.DUMMYFUNCTION("IF(ISBLANK(A309),,FILTER('Leetcode List'!E:G,'Leetcode List'!A:A = A309))"),"ByteDance,Salesforce,Citadel,Walmart Labs,Paypal,Expedia,EBay,Baidu,Apple,Yahoo,Tencent,SAP,Bloomberg,Adobe,Facebook,Amazon,LinkedIn,Microsoft,Goldman Sachs,Google")</f>
        <v>ByteDance,Salesforce,Citadel,Walmart Labs,Paypal,Expedia,EBay,Baidu,Apple,Yahoo,Tencent,SAP,Bloomberg,Adobe,Facebook,Amazon,LinkedIn,Microsoft,Goldman Sachs,Google</v>
      </c>
      <c r="F309" s="39">
        <f ca="1">IFERROR(__xludf.DUMMYFUNCTION("""COMPUTED_VALUE"""),42.89)</f>
        <v>42.89</v>
      </c>
      <c r="G309" s="39" t="str">
        <f ca="1">IFERROR(__xludf.DUMMYFUNCTION("""COMPUTED_VALUE"""),"算法")</f>
        <v>算法</v>
      </c>
      <c r="H309" s="39">
        <v>308</v>
      </c>
    </row>
    <row r="310" spans="1:8" ht="12.75" hidden="1">
      <c r="A310" s="70">
        <v>370</v>
      </c>
      <c r="B310" s="65" t="str">
        <f ca="1">IFERROR(__xludf.DUMMYFUNCTION("IF(ISBLANK(A310),,FILTER('Leetcode List'!B:C,'Leetcode List'!A:A = A310))"),"Range Addition")</f>
        <v>Range Addition</v>
      </c>
      <c r="C310" s="63" t="str">
        <f ca="1">IFERROR(__xludf.DUMMYFUNCTION("""COMPUTED_VALUE"""),"Medium")</f>
        <v>Medium</v>
      </c>
      <c r="D310" s="63" t="s">
        <v>2615</v>
      </c>
      <c r="E310" s="66" t="str">
        <f ca="1">IFERROR(__xludf.DUMMYFUNCTION("IF(ISBLANK(A310),,FILTER('Leetcode List'!E:G,'Leetcode List'!A:A = A310))"),"Google")</f>
        <v>Google</v>
      </c>
      <c r="F310" s="39">
        <f ca="1">IFERROR(__xludf.DUMMYFUNCTION("""COMPUTED_VALUE"""),62.54)</f>
        <v>62.54</v>
      </c>
      <c r="G310" s="39" t="str">
        <f ca="1">IFERROR(__xludf.DUMMYFUNCTION("""COMPUTED_VALUE"""),"算法")</f>
        <v>算法</v>
      </c>
      <c r="H310" s="39">
        <v>309</v>
      </c>
    </row>
    <row r="311" spans="1:8" ht="51" hidden="1">
      <c r="A311" s="70">
        <v>79</v>
      </c>
      <c r="B311" s="65" t="str">
        <f ca="1">IFERROR(__xludf.DUMMYFUNCTION("IF(ISBLANK(A311),,FILTER('Leetcode List'!B:C,'Leetcode List'!A:A = A311))"),"Word Search")</f>
        <v>Word Search</v>
      </c>
      <c r="C311" s="63" t="str">
        <f ca="1">IFERROR(__xludf.DUMMYFUNCTION("""COMPUTED_VALUE"""),"Medium")</f>
        <v>Medium</v>
      </c>
      <c r="D311" s="63" t="s">
        <v>2615</v>
      </c>
      <c r="E311" s="66" t="str">
        <f ca="1">IFERROR(__xludf.DUMMYFUNCTION("IF(ISBLANK(A311),,FILTER('Leetcode List'!E:G,'Leetcode List'!A:A = A311))"),"Quantcast,Docusign,Pinterest,Cruise Automation,Coupang,ByteDance,VMware,Snapchat,JPMorgan,Zillow,Oracle,Intuit,Lyft,Apple,Uber,Yahoo,Aetion,Bloomberg,Adobe,Facebook,Amazon,LinkedIn,Microsoft,Google")</f>
        <v>Quantcast,Docusign,Pinterest,Cruise Automation,Coupang,ByteDance,VMware,Snapchat,JPMorgan,Zillow,Oracle,Intuit,Lyft,Apple,Uber,Yahoo,Aetion,Bloomberg,Adobe,Facebook,Amazon,LinkedIn,Microsoft,Google</v>
      </c>
      <c r="F311" s="39">
        <f ca="1">IFERROR(__xludf.DUMMYFUNCTION("""COMPUTED_VALUE"""),34.6)</f>
        <v>34.6</v>
      </c>
      <c r="G311" s="39" t="str">
        <f ca="1">IFERROR(__xludf.DUMMYFUNCTION("""COMPUTED_VALUE"""),"算法")</f>
        <v>算法</v>
      </c>
      <c r="H311" s="39">
        <v>310</v>
      </c>
    </row>
    <row r="312" spans="1:8" ht="12.75" hidden="1">
      <c r="A312" s="70">
        <v>296</v>
      </c>
      <c r="B312" s="65" t="str">
        <f ca="1">IFERROR(__xludf.DUMMYFUNCTION("IF(ISBLANK(A312),,FILTER('Leetcode List'!B:C,'Leetcode List'!A:A = A312))"),"Best Meeting Point")</f>
        <v>Best Meeting Point</v>
      </c>
      <c r="C312" s="63" t="str">
        <f ca="1">IFERROR(__xludf.DUMMYFUNCTION("""COMPUTED_VALUE"""),"Hard")</f>
        <v>Hard</v>
      </c>
      <c r="D312" s="63" t="s">
        <v>2615</v>
      </c>
      <c r="E312" s="66" t="str">
        <f ca="1">IFERROR(__xludf.DUMMYFUNCTION("IF(ISBLANK(A312),,FILTER('Leetcode List'!E:G,'Leetcode List'!A:A = A312))"),"Snapchat,Twitter,Facebook,Amazon,LinkedIn,Google")</f>
        <v>Snapchat,Twitter,Facebook,Amazon,LinkedIn,Google</v>
      </c>
      <c r="F312" s="39">
        <f ca="1">IFERROR(__xludf.DUMMYFUNCTION("""COMPUTED_VALUE"""),57.24)</f>
        <v>57.24</v>
      </c>
      <c r="G312" s="39" t="str">
        <f ca="1">IFERROR(__xludf.DUMMYFUNCTION("""COMPUTED_VALUE"""),"算法")</f>
        <v>算法</v>
      </c>
      <c r="H312" s="39">
        <v>311</v>
      </c>
    </row>
    <row r="313" spans="1:8" ht="12.75" hidden="1">
      <c r="A313" s="70">
        <v>361</v>
      </c>
      <c r="B313" s="65" t="str">
        <f ca="1">IFERROR(__xludf.DUMMYFUNCTION("IF(ISBLANK(A313),,FILTER('Leetcode List'!B:C,'Leetcode List'!A:A = A313))"),"Bomb Enemy")</f>
        <v>Bomb Enemy</v>
      </c>
      <c r="C313" s="63" t="str">
        <f ca="1">IFERROR(__xludf.DUMMYFUNCTION("""COMPUTED_VALUE"""),"Medium")</f>
        <v>Medium</v>
      </c>
      <c r="D313" s="63" t="s">
        <v>2615</v>
      </c>
      <c r="E313" s="66" t="str">
        <f ca="1">IFERROR(__xludf.DUMMYFUNCTION("IF(ISBLANK(A313),,FILTER('Leetcode List'!E:G,'Leetcode List'!A:A = A313))"),"Uber,Amazon,Google")</f>
        <v>Uber,Amazon,Google</v>
      </c>
      <c r="F313" s="39">
        <f ca="1">IFERROR(__xludf.DUMMYFUNCTION("""COMPUTED_VALUE"""),45.76)</f>
        <v>45.76</v>
      </c>
      <c r="G313" s="39" t="str">
        <f ca="1">IFERROR(__xludf.DUMMYFUNCTION("""COMPUTED_VALUE"""),"算法")</f>
        <v>算法</v>
      </c>
      <c r="H313" s="39">
        <v>312</v>
      </c>
    </row>
    <row r="314" spans="1:8" ht="25.5" hidden="1">
      <c r="A314" s="70">
        <v>317</v>
      </c>
      <c r="B314" s="65" t="str">
        <f ca="1">IFERROR(__xludf.DUMMYFUNCTION("IF(ISBLANK(A314),,FILTER('Leetcode List'!B:C,'Leetcode List'!A:A = A314))"),"Shortest Distance from All Buildings")</f>
        <v>Shortest Distance from All Buildings</v>
      </c>
      <c r="C314" s="63" t="str">
        <f ca="1">IFERROR(__xludf.DUMMYFUNCTION("""COMPUTED_VALUE"""),"Hard")</f>
        <v>Hard</v>
      </c>
      <c r="D314" s="63" t="s">
        <v>2615</v>
      </c>
      <c r="E314" s="66" t="str">
        <f ca="1">IFERROR(__xludf.DUMMYFUNCTION("IF(ISBLANK(A314),,FILTER('Leetcode List'!E:G,'Leetcode List'!A:A = A314))"),"Zenefits,Splunk,ByteDance,Snapchat,Mathworks,Uber,Facebook,Amazon,Microsoft,Goldman Sachs,Google")</f>
        <v>Zenefits,Splunk,ByteDance,Snapchat,Mathworks,Uber,Facebook,Amazon,Microsoft,Goldman Sachs,Google</v>
      </c>
      <c r="F314" s="39">
        <f ca="1">IFERROR(__xludf.DUMMYFUNCTION("""COMPUTED_VALUE"""),41.1)</f>
        <v>41.1</v>
      </c>
      <c r="G314" s="39" t="str">
        <f ca="1">IFERROR(__xludf.DUMMYFUNCTION("""COMPUTED_VALUE"""),"算法")</f>
        <v>算法</v>
      </c>
      <c r="H314" s="39">
        <v>313</v>
      </c>
    </row>
    <row r="315" spans="1:8" ht="12.75" hidden="1">
      <c r="A315" s="70">
        <v>302</v>
      </c>
      <c r="B315" s="65" t="str">
        <f ca="1">IFERROR(__xludf.DUMMYFUNCTION("IF(ISBLANK(A315),,FILTER('Leetcode List'!B:C,'Leetcode List'!A:A = A315))"),"Smallest Rectangle Enclosing Black Pixels")</f>
        <v>Smallest Rectangle Enclosing Black Pixels</v>
      </c>
      <c r="C315" s="63" t="str">
        <f ca="1">IFERROR(__xludf.DUMMYFUNCTION("""COMPUTED_VALUE"""),"Hard")</f>
        <v>Hard</v>
      </c>
      <c r="D315" s="63" t="s">
        <v>2615</v>
      </c>
      <c r="E315" s="66" t="str">
        <f ca="1">IFERROR(__xludf.DUMMYFUNCTION("IF(ISBLANK(A315),,FILTER('Leetcode List'!E:G,'Leetcode List'!A:A = A315))"),"Google")</f>
        <v>Google</v>
      </c>
      <c r="F315" s="39">
        <f ca="1">IFERROR(__xludf.DUMMYFUNCTION("""COMPUTED_VALUE"""),51.33)</f>
        <v>51.33</v>
      </c>
      <c r="G315" s="39" t="str">
        <f ca="1">IFERROR(__xludf.DUMMYFUNCTION("""COMPUTED_VALUE"""),"算法")</f>
        <v>算法</v>
      </c>
      <c r="H315" s="39">
        <v>314</v>
      </c>
    </row>
    <row r="316" spans="1:8" ht="38.25" hidden="1">
      <c r="A316" s="70">
        <v>36</v>
      </c>
      <c r="B316" s="65" t="str">
        <f ca="1">IFERROR(__xludf.DUMMYFUNCTION("IF(ISBLANK(A316),,FILTER('Leetcode List'!B:C,'Leetcode List'!A:A = A316))"),"Valid Sudoku")</f>
        <v>Valid Sudoku</v>
      </c>
      <c r="C316" s="63" t="str">
        <f ca="1">IFERROR(__xludf.DUMMYFUNCTION("""COMPUTED_VALUE"""),"Medium")</f>
        <v>Medium</v>
      </c>
      <c r="D316" s="63" t="s">
        <v>2615</v>
      </c>
      <c r="E316" s="66" t="str">
        <f ca="1">IFERROR(__xludf.DUMMYFUNCTION("IF(ISBLANK(A316),,FILTER('Leetcode List'!E:G,'Leetcode List'!A:A = A316))"),"DoorDash,Pinterest,Cruise Automation,Roblox,Salesforce,VMware,Snapchat,Twitter,Oracle,Apple,Uber,Bloomberg,Adobe,Facebook,Amazon,Microsoft,Google")</f>
        <v>DoorDash,Pinterest,Cruise Automation,Roblox,Salesforce,VMware,Snapchat,Twitter,Oracle,Apple,Uber,Bloomberg,Adobe,Facebook,Amazon,Microsoft,Google</v>
      </c>
      <c r="F316" s="39">
        <f ca="1">IFERROR(__xludf.DUMMYFUNCTION("""COMPUTED_VALUE"""),48.17)</f>
        <v>48.17</v>
      </c>
      <c r="G316" s="39" t="str">
        <f ca="1">IFERROR(__xludf.DUMMYFUNCTION("""COMPUTED_VALUE"""),"算法")</f>
        <v>算法</v>
      </c>
      <c r="H316" s="39">
        <v>315</v>
      </c>
    </row>
    <row r="317" spans="1:8" ht="38.25" hidden="1">
      <c r="A317" s="70">
        <v>37</v>
      </c>
      <c r="B317" s="65" t="str">
        <f ca="1">IFERROR(__xludf.DUMMYFUNCTION("IF(ISBLANK(A317),,FILTER('Leetcode List'!B:C,'Leetcode List'!A:A = A317))"),"Sudoku Solver")</f>
        <v>Sudoku Solver</v>
      </c>
      <c r="C317" s="63" t="str">
        <f ca="1">IFERROR(__xludf.DUMMYFUNCTION("""COMPUTED_VALUE"""),"Hard")</f>
        <v>Hard</v>
      </c>
      <c r="D317" s="63" t="s">
        <v>2615</v>
      </c>
      <c r="E317" s="66" t="str">
        <f ca="1">IFERROR(__xludf.DUMMYFUNCTION("IF(ISBLANK(A317),,FILTER('Leetcode List'!E:G,'Leetcode List'!A:A = A317))"),"Arista Networks,Riot Games,DoorDash,Roblox,VMware,Snapchat,Expedia,Wish,Oracle,Apple,Uber,Facebook,Amazon,Microsoft,Google")</f>
        <v>Arista Networks,Riot Games,DoorDash,Roblox,VMware,Snapchat,Expedia,Wish,Oracle,Apple,Uber,Facebook,Amazon,Microsoft,Google</v>
      </c>
      <c r="F317" s="39">
        <f ca="1">IFERROR(__xludf.DUMMYFUNCTION("""COMPUTED_VALUE"""),42.68)</f>
        <v>42.68</v>
      </c>
      <c r="G317" s="39" t="str">
        <f ca="1">IFERROR(__xludf.DUMMYFUNCTION("""COMPUTED_VALUE"""),"算法")</f>
        <v>算法</v>
      </c>
      <c r="H317" s="39">
        <v>316</v>
      </c>
    </row>
    <row r="318" spans="1:8" ht="114.75" hidden="1">
      <c r="A318" s="70">
        <v>200</v>
      </c>
      <c r="B318" s="65" t="str">
        <f ca="1">IFERROR(__xludf.DUMMYFUNCTION("IF(ISBLANK(A318),,FILTER('Leetcode List'!B:C,'Leetcode List'!A:A = A318))"),"Number of Islands")</f>
        <v>Number of Islands</v>
      </c>
      <c r="C318" s="61" t="str">
        <f ca="1">IFERROR(__xludf.DUMMYFUNCTION("""COMPUTED_VALUE"""),"Medium")</f>
        <v>Medium</v>
      </c>
      <c r="D318" s="61" t="s">
        <v>2616</v>
      </c>
      <c r="E318" s="66" t="str">
        <f ca="1">IFERROR(__xludf.DUMMYFUNCTION("IF(ISBLANK(A318),,FILTER('Leetcode List'!E:G,'Leetcode List'!A:A = A318))"),"AppDynamics,Electronic Arts,Sumologic,Hulu,Cohesity,Arista Networks,LiveRamp,Nutanix,DoorDash,Square,Qualtrics,Evernote,Palantir Technologies,Cruise Automation,Citrix,Zulily,Houzz,Zenefits,Atlassian,Twitch,Roblox,Audible,Splunk,Tableau,Salesforce,Visa,VMw"&amp;"are,Citadel,Affirm,Walmart Labs,Snapchat,JPMorgan,Paypal,Twitter,Expedia,Wish,Nvidia,Oracle,Spotify,Lyft,Cisco,Mathworks,EBay,BlackRock,Apple,Uber,Yahoo,SAP,Bloomberg,Adobe,Facebook,Amazon,LinkedIn,Microsoft,Alibaba,Goldman Sachs,Google")</f>
        <v>AppDynamics,Electronic Arts,Sumologic,Hulu,Cohesity,Arista Networks,LiveRamp,Nutanix,DoorDash,Square,Qualtrics,Evernote,Palantir Technologies,Cruise Automation,Citrix,Zulily,Houzz,Zenefits,Atlassian,Twitch,Roblox,Audible,Splunk,Tableau,Salesforce,Visa,VMware,Citadel,Affirm,Walmart Labs,Snapchat,JPMorgan,Paypal,Twitter,Expedia,Wish,Nvidia,Oracle,Spotify,Lyft,Cisco,Mathworks,EBay,BlackRock,Apple,Uber,Yahoo,SAP,Bloomberg,Adobe,Facebook,Amazon,LinkedIn,Microsoft,Alibaba,Goldman Sachs,Google</v>
      </c>
      <c r="F318" s="39">
        <f ca="1">IFERROR(__xludf.DUMMYFUNCTION("""COMPUTED_VALUE"""),46.28)</f>
        <v>46.28</v>
      </c>
      <c r="G318" s="39" t="str">
        <f ca="1">IFERROR(__xludf.DUMMYFUNCTION("""COMPUTED_VALUE"""),"算法")</f>
        <v>算法</v>
      </c>
      <c r="H318" s="79">
        <v>317</v>
      </c>
    </row>
    <row r="319" spans="1:8" ht="25.5" hidden="1">
      <c r="A319" s="70">
        <v>286</v>
      </c>
      <c r="B319" s="65" t="str">
        <f ca="1">IFERROR(__xludf.DUMMYFUNCTION("IF(ISBLANK(A319),,FILTER('Leetcode List'!B:C,'Leetcode List'!A:A = A319))"),"Walls and Gates")</f>
        <v>Walls and Gates</v>
      </c>
      <c r="C319" s="61" t="str">
        <f ca="1">IFERROR(__xludf.DUMMYFUNCTION("""COMPUTED_VALUE"""),"Medium")</f>
        <v>Medium</v>
      </c>
      <c r="D319" s="61" t="s">
        <v>2616</v>
      </c>
      <c r="E319" s="66" t="str">
        <f ca="1">IFERROR(__xludf.DUMMYFUNCTION("IF(ISBLANK(A319),,FILTER('Leetcode List'!E:G,'Leetcode List'!A:A = A319))"),"ByteDance,Spotify,Uber,Bloomberg,Facebook,Amazon,Microsoft,Google")</f>
        <v>ByteDance,Spotify,Uber,Bloomberg,Facebook,Amazon,Microsoft,Google</v>
      </c>
      <c r="F319" s="39">
        <f ca="1">IFERROR(__xludf.DUMMYFUNCTION("""COMPUTED_VALUE"""),53.87)</f>
        <v>53.87</v>
      </c>
      <c r="G319" s="39" t="str">
        <f ca="1">IFERROR(__xludf.DUMMYFUNCTION("""COMPUTED_VALUE"""),"算法")</f>
        <v>算法</v>
      </c>
      <c r="H319" s="79">
        <v>318</v>
      </c>
    </row>
    <row r="320" spans="1:8" ht="14.25" hidden="1">
      <c r="A320" s="70">
        <v>130</v>
      </c>
      <c r="B320" s="65" t="str">
        <f ca="1">IFERROR(__xludf.DUMMYFUNCTION("IF(ISBLANK(A320),,FILTER('Leetcode List'!B:C,'Leetcode List'!A:A = A320))"),"Surrounded Regions")</f>
        <v>Surrounded Regions</v>
      </c>
      <c r="C320" s="61" t="str">
        <f ca="1">IFERROR(__xludf.DUMMYFUNCTION("""COMPUTED_VALUE"""),"Medium")</f>
        <v>Medium</v>
      </c>
      <c r="D320" s="61" t="s">
        <v>2616</v>
      </c>
      <c r="E320" s="66" t="str">
        <f ca="1">IFERROR(__xludf.DUMMYFUNCTION("IF(ISBLANK(A320),,FILTER('Leetcode List'!E:G,'Leetcode List'!A:A = A320))"),"Splunk,EBay,Uber,Facebook,Amazon,Google")</f>
        <v>Splunk,EBay,Uber,Facebook,Amazon,Google</v>
      </c>
      <c r="F320" s="39">
        <f ca="1">IFERROR(__xludf.DUMMYFUNCTION("""COMPUTED_VALUE"""),27.56)</f>
        <v>27.56</v>
      </c>
      <c r="G320" s="39" t="str">
        <f ca="1">IFERROR(__xludf.DUMMYFUNCTION("""COMPUTED_VALUE"""),"算法")</f>
        <v>算法</v>
      </c>
      <c r="H320" s="78">
        <v>319</v>
      </c>
    </row>
    <row r="321" spans="1:8" ht="12.75" hidden="1">
      <c r="A321" s="70">
        <v>339</v>
      </c>
      <c r="B321" s="65" t="str">
        <f ca="1">IFERROR(__xludf.DUMMYFUNCTION("IF(ISBLANK(A321),,FILTER('Leetcode List'!B:C,'Leetcode List'!A:A = A321))"),"Nested List Weight Sum")</f>
        <v>Nested List Weight Sum</v>
      </c>
      <c r="C321" s="61" t="str">
        <f ca="1">IFERROR(__xludf.DUMMYFUNCTION("""COMPUTED_VALUE"""),"Easy")</f>
        <v>Easy</v>
      </c>
      <c r="D321" s="61" t="s">
        <v>2616</v>
      </c>
      <c r="E321" s="66" t="str">
        <f ca="1">IFERROR(__xludf.DUMMYFUNCTION("IF(ISBLANK(A321),,FILTER('Leetcode List'!E:G,'Leetcode List'!A:A = A321))"),"Cloudera,Uber,Facebook,Amazon,LinkedIn")</f>
        <v>Cloudera,Uber,Facebook,Amazon,LinkedIn</v>
      </c>
      <c r="F321" s="39">
        <f ca="1">IFERROR(__xludf.DUMMYFUNCTION("""COMPUTED_VALUE"""),73.23)</f>
        <v>73.23</v>
      </c>
      <c r="G321" s="39" t="str">
        <f ca="1">IFERROR(__xludf.DUMMYFUNCTION("""COMPUTED_VALUE"""),"算法")</f>
        <v>算法</v>
      </c>
      <c r="H321" s="39">
        <v>320</v>
      </c>
    </row>
    <row r="322" spans="1:8" ht="12.75" hidden="1">
      <c r="A322" s="70">
        <v>364</v>
      </c>
      <c r="B322" s="65" t="str">
        <f ca="1">IFERROR(__xludf.DUMMYFUNCTION("IF(ISBLANK(A322),,FILTER('Leetcode List'!B:C,'Leetcode List'!A:A = A322))"),"Nested List Weight Sum II")</f>
        <v>Nested List Weight Sum II</v>
      </c>
      <c r="C322" s="61" t="str">
        <f ca="1">IFERROR(__xludf.DUMMYFUNCTION("""COMPUTED_VALUE"""),"Medium")</f>
        <v>Medium</v>
      </c>
      <c r="D322" s="61" t="s">
        <v>2616</v>
      </c>
      <c r="E322" s="66" t="str">
        <f ca="1">IFERROR(__xludf.DUMMYFUNCTION("IF(ISBLANK(A322),,FILTER('Leetcode List'!E:G,'Leetcode List'!A:A = A322))"),"DiDi,Facebook,LinkedIn")</f>
        <v>DiDi,Facebook,LinkedIn</v>
      </c>
      <c r="F322" s="39">
        <f ca="1">IFERROR(__xludf.DUMMYFUNCTION("""COMPUTED_VALUE"""),62.41)</f>
        <v>62.41</v>
      </c>
      <c r="G322" s="39" t="str">
        <f ca="1">IFERROR(__xludf.DUMMYFUNCTION("""COMPUTED_VALUE"""),"算法")</f>
        <v>算法</v>
      </c>
      <c r="H322" s="39">
        <v>321</v>
      </c>
    </row>
    <row r="323" spans="1:8" ht="63.75" hidden="1">
      <c r="A323" s="70">
        <v>127</v>
      </c>
      <c r="B323" s="65" t="str">
        <f ca="1">IFERROR(__xludf.DUMMYFUNCTION("IF(ISBLANK(A323),,FILTER('Leetcode List'!B:C,'Leetcode List'!A:A = A323))"),"Word Ladder")</f>
        <v>Word Ladder</v>
      </c>
      <c r="C323" s="61" t="str">
        <f ca="1">IFERROR(__xludf.DUMMYFUNCTION("""COMPUTED_VALUE"""),"Medium")</f>
        <v>Medium</v>
      </c>
      <c r="D323" s="61" t="s">
        <v>2616</v>
      </c>
      <c r="E323" s="66" t="str">
        <f ca="1">IFERROR(__xludf.DUMMYFUNCTION("IF(ISBLANK(A323),,FILTER('Leetcode List'!E:G,'Leetcode List'!A:A = A323))"),"Cohesity,Tesla,Square,Pinterest,Qualtrics,Audible,Salesforce,VMware,Affirm,Walmart Labs,Snapchat,Zillow,ServiceNow,Expedia,Yelp,Oracle,Spotify,Lyft,Apple,Airbnb,Uber,Samsung,Bloomberg,Facebook,Amazon,LinkedIn,Microsoft,Google")</f>
        <v>Cohesity,Tesla,Square,Pinterest,Qualtrics,Audible,Salesforce,VMware,Affirm,Walmart Labs,Snapchat,Zillow,ServiceNow,Expedia,Yelp,Oracle,Spotify,Lyft,Apple,Airbnb,Uber,Samsung,Bloomberg,Facebook,Amazon,LinkedIn,Microsoft,Google</v>
      </c>
      <c r="F323" s="39">
        <f ca="1">IFERROR(__xludf.DUMMYFUNCTION("""COMPUTED_VALUE"""),28.93)</f>
        <v>28.93</v>
      </c>
      <c r="G323" s="39" t="str">
        <f ca="1">IFERROR(__xludf.DUMMYFUNCTION("""COMPUTED_VALUE"""),"算法")</f>
        <v>算法</v>
      </c>
      <c r="H323" s="78">
        <v>322</v>
      </c>
    </row>
    <row r="324" spans="1:8" ht="25.5" hidden="1">
      <c r="A324" s="70">
        <v>51</v>
      </c>
      <c r="B324" s="65" t="str">
        <f ca="1">IFERROR(__xludf.DUMMYFUNCTION("IF(ISBLANK(A324),,FILTER('Leetcode List'!B:C,'Leetcode List'!A:A = A324))"),"N-Queens")</f>
        <v>N-Queens</v>
      </c>
      <c r="C324" s="61" t="str">
        <f ca="1">IFERROR(__xludf.DUMMYFUNCTION("""COMPUTED_VALUE"""),"Hard")</f>
        <v>Hard</v>
      </c>
      <c r="D324" s="61" t="s">
        <v>2616</v>
      </c>
      <c r="E324" s="66" t="str">
        <f ca="1">IFERROR(__xludf.DUMMYFUNCTION("IF(ISBLANK(A324),,FILTER('Leetcode List'!E:G,'Leetcode List'!A:A = A324))"),"Rubrik,ByteDance,Tableau,Oracle,EBay,Apple,Uber,Adobe,Facebook,Amazon,Microsoft,Google")</f>
        <v>Rubrik,ByteDance,Tableau,Oracle,EBay,Apple,Uber,Adobe,Facebook,Amazon,Microsoft,Google</v>
      </c>
      <c r="F324" s="39">
        <f ca="1">IFERROR(__xludf.DUMMYFUNCTION("""COMPUTED_VALUE"""),45.65)</f>
        <v>45.65</v>
      </c>
      <c r="G324" s="39" t="str">
        <f ca="1">IFERROR(__xludf.DUMMYFUNCTION("""COMPUTED_VALUE"""),"算法")</f>
        <v>算法</v>
      </c>
      <c r="H324" s="39">
        <v>323</v>
      </c>
    </row>
    <row r="325" spans="1:8" ht="12.75" hidden="1">
      <c r="A325" s="70">
        <v>52</v>
      </c>
      <c r="B325" s="65" t="str">
        <f ca="1">IFERROR(__xludf.DUMMYFUNCTION("IF(ISBLANK(A325),,FILTER('Leetcode List'!B:C,'Leetcode List'!A:A = A325))"),"N-Queens II")</f>
        <v>N-Queens II</v>
      </c>
      <c r="C325" s="61" t="str">
        <f ca="1">IFERROR(__xludf.DUMMYFUNCTION("""COMPUTED_VALUE"""),"Hard")</f>
        <v>Hard</v>
      </c>
      <c r="D325" s="61" t="s">
        <v>2616</v>
      </c>
      <c r="E325" s="66" t="str">
        <f ca="1">IFERROR(__xludf.DUMMYFUNCTION("IF(ISBLANK(A325),,FILTER('Leetcode List'!E:G,'Leetcode List'!A:A = A325))"),"Zenefits,Amazon")</f>
        <v>Zenefits,Amazon</v>
      </c>
      <c r="F325" s="39">
        <f ca="1">IFERROR(__xludf.DUMMYFUNCTION("""COMPUTED_VALUE"""),57.1)</f>
        <v>57.1</v>
      </c>
      <c r="G325" s="39" t="str">
        <f ca="1">IFERROR(__xludf.DUMMYFUNCTION("""COMPUTED_VALUE"""),"算法")</f>
        <v>算法</v>
      </c>
      <c r="H325" s="39">
        <v>324</v>
      </c>
    </row>
    <row r="326" spans="1:8" ht="25.5" hidden="1">
      <c r="A326" s="70">
        <v>126</v>
      </c>
      <c r="B326" s="65" t="str">
        <f ca="1">IFERROR(__xludf.DUMMYFUNCTION("IF(ISBLANK(A326),,FILTER('Leetcode List'!B:C,'Leetcode List'!A:A = A326))"),"Word Ladder II")</f>
        <v>Word Ladder II</v>
      </c>
      <c r="C326" s="61" t="str">
        <f ca="1">IFERROR(__xludf.DUMMYFUNCTION("""COMPUTED_VALUE"""),"Hard")</f>
        <v>Hard</v>
      </c>
      <c r="D326" s="61" t="s">
        <v>2616</v>
      </c>
      <c r="E326" s="66" t="str">
        <f ca="1">IFERROR(__xludf.DUMMYFUNCTION("IF(ISBLANK(A326),,FILTER('Leetcode List'!E:G,'Leetcode List'!A:A = A326))"),"Pinterest,Box,Yelp,Oracle,Lyft,Apple,Uber,Yahoo,Facebook,Amazon,LinkedIn,Microsoft,Google")</f>
        <v>Pinterest,Box,Yelp,Oracle,Lyft,Apple,Uber,Yahoo,Facebook,Amazon,LinkedIn,Microsoft,Google</v>
      </c>
      <c r="F326" s="39">
        <f ca="1">IFERROR(__xludf.DUMMYFUNCTION("""COMPUTED_VALUE"""),21.67)</f>
        <v>21.67</v>
      </c>
      <c r="G326" s="39" t="str">
        <f ca="1">IFERROR(__xludf.DUMMYFUNCTION("""COMPUTED_VALUE"""),"算法")</f>
        <v>算法</v>
      </c>
      <c r="H326" s="39">
        <v>325</v>
      </c>
    </row>
    <row r="327" spans="1:8" ht="51" hidden="1">
      <c r="A327" s="70">
        <v>155</v>
      </c>
      <c r="B327" s="65" t="str">
        <f ca="1">IFERROR(__xludf.DUMMYFUNCTION("IF(ISBLANK(A327),,FILTER('Leetcode List'!B:C,'Leetcode List'!A:A = A327))"),"Min Stack")</f>
        <v>Min Stack</v>
      </c>
      <c r="C327" s="61" t="str">
        <f ca="1">IFERROR(__xludf.DUMMYFUNCTION("""COMPUTED_VALUE"""),"Easy")</f>
        <v>Easy</v>
      </c>
      <c r="D327" s="61" t="s">
        <v>401</v>
      </c>
      <c r="E327" s="66" t="str">
        <f ca="1">IFERROR(__xludf.DUMMYFUNCTION("IF(ISBLANK(A327),,FILTER('Leetcode List'!E:G,'Leetcode List'!A:A = A327))"),"Netflix,Pure Storage,Zenefits,Flipkart,Visa,Walmart Labs,Snapchat,ServiceNow,Wish,Oracle,Intuit,Lyft,EBay,Apple,Uber,Bloomberg,Adobe,Facebook,Amazon,LinkedIn,Microsoft,Goldman Sachs,Google")</f>
        <v>Netflix,Pure Storage,Zenefits,Flipkart,Visa,Walmart Labs,Snapchat,ServiceNow,Wish,Oracle,Intuit,Lyft,EBay,Apple,Uber,Bloomberg,Adobe,Facebook,Amazon,LinkedIn,Microsoft,Goldman Sachs,Google</v>
      </c>
      <c r="F327" s="39">
        <f ca="1">IFERROR(__xludf.DUMMYFUNCTION("""COMPUTED_VALUE"""),43.9)</f>
        <v>43.9</v>
      </c>
      <c r="G327" s="39" t="str">
        <f ca="1">IFERROR(__xludf.DUMMYFUNCTION("""COMPUTED_VALUE"""),"算法")</f>
        <v>算法</v>
      </c>
      <c r="H327" s="39">
        <v>326</v>
      </c>
    </row>
    <row r="328" spans="1:8" ht="25.5" hidden="1">
      <c r="A328" s="70">
        <v>232</v>
      </c>
      <c r="B328" s="65" t="str">
        <f ca="1">IFERROR(__xludf.DUMMYFUNCTION("IF(ISBLANK(A328),,FILTER('Leetcode List'!B:C,'Leetcode List'!A:A = A328))"),"Implement Queue using Stacks")</f>
        <v>Implement Queue using Stacks</v>
      </c>
      <c r="C328" s="61" t="str">
        <f ca="1">IFERROR(__xludf.DUMMYFUNCTION("""COMPUTED_VALUE"""),"Easy")</f>
        <v>Easy</v>
      </c>
      <c r="D328" s="61" t="s">
        <v>401</v>
      </c>
      <c r="E328" s="66" t="str">
        <f ca="1">IFERROR(__xludf.DUMMYFUNCTION("IF(ISBLANK(A328),,FILTER('Leetcode List'!E:G,'Leetcode List'!A:A = A328))"),"Salesforce,Citadel,Oracle,Mathworks,Yandex,EBay,Apple,Uber,Yahoo,Bloomberg,Amazon,Microsoft,Google")</f>
        <v>Salesforce,Citadel,Oracle,Mathworks,Yandex,EBay,Apple,Uber,Yahoo,Bloomberg,Amazon,Microsoft,Google</v>
      </c>
      <c r="F328" s="39">
        <f ca="1">IFERROR(__xludf.DUMMYFUNCTION("""COMPUTED_VALUE"""),48.75)</f>
        <v>48.75</v>
      </c>
      <c r="G328" s="39" t="str">
        <f ca="1">IFERROR(__xludf.DUMMYFUNCTION("""COMPUTED_VALUE"""),"算法")</f>
        <v>算法</v>
      </c>
      <c r="H328" s="39">
        <v>327</v>
      </c>
    </row>
    <row r="329" spans="1:8" ht="12.75" hidden="1">
      <c r="A329" s="70">
        <v>225</v>
      </c>
      <c r="B329" s="65" t="str">
        <f ca="1">IFERROR(__xludf.DUMMYFUNCTION("IF(ISBLANK(A329),,FILTER('Leetcode List'!B:C,'Leetcode List'!A:A = A329))"),"Implement Stack using Queues")</f>
        <v>Implement Stack using Queues</v>
      </c>
      <c r="C329" s="61" t="str">
        <f ca="1">IFERROR(__xludf.DUMMYFUNCTION("""COMPUTED_VALUE"""),"Easy")</f>
        <v>Easy</v>
      </c>
      <c r="D329" s="61" t="s">
        <v>401</v>
      </c>
      <c r="E329" s="66" t="str">
        <f ca="1">IFERROR(__xludf.DUMMYFUNCTION("IF(ISBLANK(A329),,FILTER('Leetcode List'!E:G,'Leetcode List'!A:A = A329))"),"Twilio,Citadel,Mathworks,Yahoo,Bloomberg,Amazon,Microsoft")</f>
        <v>Twilio,Citadel,Mathworks,Yahoo,Bloomberg,Amazon,Microsoft</v>
      </c>
      <c r="F329" s="39">
        <f ca="1">IFERROR(__xludf.DUMMYFUNCTION("""COMPUTED_VALUE"""),44.35)</f>
        <v>44.35</v>
      </c>
      <c r="G329" s="39" t="str">
        <f ca="1">IFERROR(__xludf.DUMMYFUNCTION("""COMPUTED_VALUE"""),"算法")</f>
        <v>算法</v>
      </c>
      <c r="H329" s="39">
        <v>328</v>
      </c>
    </row>
    <row r="330" spans="1:8" ht="25.5" hidden="1">
      <c r="A330" s="70">
        <v>150</v>
      </c>
      <c r="B330" s="65" t="str">
        <f ca="1">IFERROR(__xludf.DUMMYFUNCTION("IF(ISBLANK(A330),,FILTER('Leetcode List'!B:C,'Leetcode List'!A:A = A330))"),"Evaluate Reverse Polish Notation")</f>
        <v>Evaluate Reverse Polish Notation</v>
      </c>
      <c r="C330" s="61" t="str">
        <f ca="1">IFERROR(__xludf.DUMMYFUNCTION("""COMPUTED_VALUE"""),"Medium")</f>
        <v>Medium</v>
      </c>
      <c r="D330" s="61" t="s">
        <v>401</v>
      </c>
      <c r="E330" s="66" t="str">
        <f ca="1">IFERROR(__xludf.DUMMYFUNCTION("IF(ISBLANK(A330),,FILTER('Leetcode List'!E:G,'Leetcode List'!A:A = A330))"),"Opendoor,Atlassian,VMware,Zillow,Yandex,Uber,Facebook,Amazon,LinkedIn,Microsoft,Google")</f>
        <v>Opendoor,Atlassian,VMware,Zillow,Yandex,Uber,Facebook,Amazon,LinkedIn,Microsoft,Google</v>
      </c>
      <c r="F330" s="39">
        <f ca="1">IFERROR(__xludf.DUMMYFUNCTION("""COMPUTED_VALUE"""),35.79)</f>
        <v>35.79</v>
      </c>
      <c r="G330" s="39" t="str">
        <f ca="1">IFERROR(__xludf.DUMMYFUNCTION("""COMPUTED_VALUE"""),"算法")</f>
        <v>算法</v>
      </c>
      <c r="H330" s="39">
        <v>329</v>
      </c>
    </row>
    <row r="331" spans="1:8" ht="25.5" hidden="1">
      <c r="A331" s="70">
        <v>71</v>
      </c>
      <c r="B331" s="65" t="str">
        <f ca="1">IFERROR(__xludf.DUMMYFUNCTION("IF(ISBLANK(A331),,FILTER('Leetcode List'!B:C,'Leetcode List'!A:A = A331))"),"Simplify Path")</f>
        <v>Simplify Path</v>
      </c>
      <c r="C331" s="61" t="str">
        <f ca="1">IFERROR(__xludf.DUMMYFUNCTION("""COMPUTED_VALUE"""),"Medium")</f>
        <v>Medium</v>
      </c>
      <c r="D331" s="61" t="s">
        <v>401</v>
      </c>
      <c r="E331" s="66" t="str">
        <f ca="1">IFERROR(__xludf.DUMMYFUNCTION("IF(ISBLANK(A331),,FILTER('Leetcode List'!E:G,'Leetcode List'!A:A = A331))"),"Docusign,ByteDance,Salesforce,Oracle,Yandex,Bloomberg,Facebook,Amazon,Microsoft")</f>
        <v>Docusign,ByteDance,Salesforce,Oracle,Yandex,Bloomberg,Facebook,Amazon,Microsoft</v>
      </c>
      <c r="F331" s="39">
        <f ca="1">IFERROR(__xludf.DUMMYFUNCTION("""COMPUTED_VALUE"""),32.18)</f>
        <v>32.18</v>
      </c>
      <c r="G331" s="39" t="str">
        <f ca="1">IFERROR(__xludf.DUMMYFUNCTION("""COMPUTED_VALUE"""),"算法")</f>
        <v>算法</v>
      </c>
      <c r="H331" s="39">
        <v>330</v>
      </c>
    </row>
    <row r="332" spans="1:8" ht="12.75" hidden="1">
      <c r="A332" s="70">
        <v>388</v>
      </c>
      <c r="B332" s="65" t="str">
        <f ca="1">IFERROR(__xludf.DUMMYFUNCTION("IF(ISBLANK(A332),,FILTER('Leetcode List'!B:C,'Leetcode List'!A:A = A332))"),"Longest Absolute File Path")</f>
        <v>Longest Absolute File Path</v>
      </c>
      <c r="C332" s="61" t="str">
        <f ca="1">IFERROR(__xludf.DUMMYFUNCTION("""COMPUTED_VALUE"""),"Medium")</f>
        <v>Medium</v>
      </c>
      <c r="D332" s="61" t="s">
        <v>401</v>
      </c>
      <c r="E332" s="66" t="str">
        <f ca="1">IFERROR(__xludf.DUMMYFUNCTION("IF(ISBLANK(A332),,FILTER('Leetcode List'!E:G,'Leetcode List'!A:A = A332))"),"Wish,Apple,Uber,Facebook,Amazon,Google")</f>
        <v>Wish,Apple,Uber,Facebook,Amazon,Google</v>
      </c>
      <c r="F332" s="39">
        <f ca="1">IFERROR(__xludf.DUMMYFUNCTION("""COMPUTED_VALUE"""),41.51)</f>
        <v>41.51</v>
      </c>
      <c r="G332" s="39" t="str">
        <f ca="1">IFERROR(__xludf.DUMMYFUNCTION("""COMPUTED_VALUE"""),"算法")</f>
        <v>算法</v>
      </c>
      <c r="H332" s="39">
        <v>331</v>
      </c>
    </row>
    <row r="333" spans="1:8" ht="51" hidden="1">
      <c r="A333" s="70">
        <v>394</v>
      </c>
      <c r="B333" s="65" t="str">
        <f ca="1">IFERROR(__xludf.DUMMYFUNCTION("IF(ISBLANK(A333),,FILTER('Leetcode List'!B:C,'Leetcode List'!A:A = A333))"),"Decode String")</f>
        <v>Decode String</v>
      </c>
      <c r="C333" s="61" t="str">
        <f ca="1">IFERROR(__xludf.DUMMYFUNCTION("""COMPUTED_VALUE"""),"Medium")</f>
        <v>Medium</v>
      </c>
      <c r="D333" s="61" t="s">
        <v>401</v>
      </c>
      <c r="E333" s="66" t="str">
        <f ca="1">IFERROR(__xludf.DUMMYFUNCTION("IF(ISBLANK(A333),,FILTER('Leetcode List'!E:G,'Leetcode List'!A:A = A333))"),"AppDynamics,Hulu,Cruise Automation,Coupang,Atlassian,ByteDance,Salesforce,VMware,Snapchat,Yelp,Oracle,Cisco,Huawei,EBay,Apple,Yahoo,Tencent,Bloomberg,Facebook,Amazon,Microsoft,Google")</f>
        <v>AppDynamics,Hulu,Cruise Automation,Coupang,Atlassian,ByteDance,Salesforce,VMware,Snapchat,Yelp,Oracle,Cisco,Huawei,EBay,Apple,Yahoo,Tencent,Bloomberg,Facebook,Amazon,Microsoft,Google</v>
      </c>
      <c r="F333" s="39">
        <f ca="1">IFERROR(__xludf.DUMMYFUNCTION("""COMPUTED_VALUE"""),49.25)</f>
        <v>49.25</v>
      </c>
      <c r="G333" s="39" t="str">
        <f ca="1">IFERROR(__xludf.DUMMYFUNCTION("""COMPUTED_VALUE"""),"算法")</f>
        <v>算法</v>
      </c>
      <c r="H333" s="39">
        <v>332</v>
      </c>
    </row>
    <row r="334" spans="1:8" ht="38.25" hidden="1">
      <c r="A334" s="70">
        <v>224</v>
      </c>
      <c r="B334" s="65" t="str">
        <f ca="1">IFERROR(__xludf.DUMMYFUNCTION("IF(ISBLANK(A334),,FILTER('Leetcode List'!B:C,'Leetcode List'!A:A = A334))"),"Basic Calculator")</f>
        <v>Basic Calculator</v>
      </c>
      <c r="C334" s="61" t="str">
        <f ca="1">IFERROR(__xludf.DUMMYFUNCTION("""COMPUTED_VALUE"""),"Hard")</f>
        <v>Hard</v>
      </c>
      <c r="D334" s="61" t="s">
        <v>401</v>
      </c>
      <c r="E334" s="66" t="str">
        <f ca="1">IFERROR(__xludf.DUMMYFUNCTION("IF(ISBLANK(A334),,FILTER('Leetcode List'!E:G,'Leetcode List'!A:A = A334))"),"Jump Trading,Karat,Robinhood,Pinterest,Roblox,Snapchat,Indeed,Paypal,Intuit,Uber,Bloomberg,Adobe,Facebook,Amazon,Microsoft,Google")</f>
        <v>Jump Trading,Karat,Robinhood,Pinterest,Roblox,Snapchat,Indeed,Paypal,Intuit,Uber,Bloomberg,Adobe,Facebook,Amazon,Microsoft,Google</v>
      </c>
      <c r="F334" s="39">
        <f ca="1">IFERROR(__xludf.DUMMYFUNCTION("""COMPUTED_VALUE"""),36.38)</f>
        <v>36.380000000000003</v>
      </c>
      <c r="G334" s="39" t="str">
        <f ca="1">IFERROR(__xludf.DUMMYFUNCTION("""COMPUTED_VALUE"""),"算法")</f>
        <v>算法</v>
      </c>
      <c r="H334" s="39">
        <v>333</v>
      </c>
    </row>
    <row r="335" spans="1:8" ht="38.25" hidden="1">
      <c r="A335" s="70">
        <v>227</v>
      </c>
      <c r="B335" s="65" t="str">
        <f ca="1">IFERROR(__xludf.DUMMYFUNCTION("IF(ISBLANK(A335),,FILTER('Leetcode List'!B:C,'Leetcode List'!A:A = A335))"),"Basic Calculator II")</f>
        <v>Basic Calculator II</v>
      </c>
      <c r="C335" s="61" t="str">
        <f ca="1">IFERROR(__xludf.DUMMYFUNCTION("""COMPUTED_VALUE"""),"Medium")</f>
        <v>Medium</v>
      </c>
      <c r="D335" s="61" t="s">
        <v>401</v>
      </c>
      <c r="E335" s="66" t="str">
        <f ca="1">IFERROR(__xludf.DUMMYFUNCTION("IF(ISBLANK(A335),,FILTER('Leetcode List'!E:G,'Leetcode List'!A:A = A335))"),"Reddit,DoorDash,IXL,Houzz,Atlassian,Tableau,Walmart Labs,Snapchat,Indeed,Paypal,Yelp,Oracle,Intuit,EBay,Apple,Airbnb,Uber,Tencent,Facebook,Amazon,Microsoft,Google")</f>
        <v>Reddit,DoorDash,IXL,Houzz,Atlassian,Tableau,Walmart Labs,Snapchat,Indeed,Paypal,Yelp,Oracle,Intuit,EBay,Apple,Airbnb,Uber,Tencent,Facebook,Amazon,Microsoft,Google</v>
      </c>
      <c r="F335" s="39">
        <f ca="1">IFERROR(__xludf.DUMMYFUNCTION("""COMPUTED_VALUE"""),36.53)</f>
        <v>36.53</v>
      </c>
      <c r="G335" s="39" t="str">
        <f ca="1">IFERROR(__xludf.DUMMYFUNCTION("""COMPUTED_VALUE"""),"算法")</f>
        <v>算法</v>
      </c>
      <c r="H335" s="39">
        <v>334</v>
      </c>
    </row>
    <row r="336" spans="1:8" ht="12.75" hidden="1">
      <c r="A336" s="70">
        <v>385</v>
      </c>
      <c r="B336" s="65" t="str">
        <f ca="1">IFERROR(__xludf.DUMMYFUNCTION("IF(ISBLANK(A336),,FILTER('Leetcode List'!B:C,'Leetcode List'!A:A = A336))"),"Mini Parser")</f>
        <v>Mini Parser</v>
      </c>
      <c r="C336" s="61" t="str">
        <f ca="1">IFERROR(__xludf.DUMMYFUNCTION("""COMPUTED_VALUE"""),"Medium")</f>
        <v>Medium</v>
      </c>
      <c r="D336" s="61" t="s">
        <v>401</v>
      </c>
      <c r="E336" s="66" t="str">
        <f ca="1">IFERROR(__xludf.DUMMYFUNCTION("IF(ISBLANK(A336),,FILTER('Leetcode List'!E:G,'Leetcode List'!A:A = A336))"),"Airbnb,Google")</f>
        <v>Airbnb,Google</v>
      </c>
      <c r="F336" s="39">
        <f ca="1">IFERROR(__xludf.DUMMYFUNCTION("""COMPUTED_VALUE"""),33.43)</f>
        <v>33.43</v>
      </c>
      <c r="G336" s="39" t="str">
        <f ca="1">IFERROR(__xludf.DUMMYFUNCTION("""COMPUTED_VALUE"""),"算法")</f>
        <v>算法</v>
      </c>
      <c r="H336" s="39">
        <v>335</v>
      </c>
    </row>
    <row r="337" spans="1:8" ht="25.5" hidden="1">
      <c r="A337" s="70">
        <v>84</v>
      </c>
      <c r="B337" s="65" t="str">
        <f ca="1">IFERROR(__xludf.DUMMYFUNCTION("IF(ISBLANK(A337),,FILTER('Leetcode List'!B:C,'Leetcode List'!A:A = A337))"),"Largest Rectangle in Histogram")</f>
        <v>Largest Rectangle in Histogram</v>
      </c>
      <c r="C337" s="61" t="str">
        <f ca="1">IFERROR(__xludf.DUMMYFUNCTION("""COMPUTED_VALUE"""),"Hard")</f>
        <v>Hard</v>
      </c>
      <c r="D337" s="61" t="s">
        <v>401</v>
      </c>
      <c r="E337" s="66" t="str">
        <f ca="1">IFERROR(__xludf.DUMMYFUNCTION("IF(ISBLANK(A337),,FILTER('Leetcode List'!E:G,'Leetcode List'!A:A = A337))"),"Flipkart,Walmart Labs,Twitter,Bloomberg,Adobe,Facebook,Amazon,Microsoft,Google")</f>
        <v>Flipkart,Walmart Labs,Twitter,Bloomberg,Adobe,Facebook,Amazon,Microsoft,Google</v>
      </c>
      <c r="F337" s="39">
        <f ca="1">IFERROR(__xludf.DUMMYFUNCTION("""COMPUTED_VALUE"""),34.53)</f>
        <v>34.53</v>
      </c>
      <c r="G337" s="39" t="str">
        <f ca="1">IFERROR(__xludf.DUMMYFUNCTION("""COMPUTED_VALUE"""),"算法")</f>
        <v>算法</v>
      </c>
      <c r="H337" s="39">
        <v>336</v>
      </c>
    </row>
    <row r="338" spans="1:8" ht="51" hidden="1">
      <c r="A338" s="70">
        <v>215</v>
      </c>
      <c r="B338" s="65" t="str">
        <f ca="1">IFERROR(__xludf.DUMMYFUNCTION("IF(ISBLANK(A338),,FILTER('Leetcode List'!B:C,'Leetcode List'!A:A = A338))"),"Kth Largest Element in an Array")</f>
        <v>Kth Largest Element in an Array</v>
      </c>
      <c r="C338" s="61" t="str">
        <f ca="1">IFERROR(__xludf.DUMMYFUNCTION("""COMPUTED_VALUE"""),"Medium")</f>
        <v>Medium</v>
      </c>
      <c r="D338" s="61" t="s">
        <v>2617</v>
      </c>
      <c r="E338" s="66" t="str">
        <f ca="1">IFERROR(__xludf.DUMMYFUNCTION("IF(ISBLANK(A338),,FILTER('Leetcode List'!E:G,'Leetcode List'!A:A = A338))"),"Pocket Gems,Atlassian,Grab,ByteDance,Salesforce,VMware,Walmart Labs,Snapchat,JPMorgan,Expedia,Oracle,Spotify,EBay,Baidu,Apple,Airbnb,Uber,Yahoo,Tencent,Bloomberg,Adobe,Facebook,Amazon,LinkedIn,Microsoft,Alibaba,Goldman Sachs,Google")</f>
        <v>Pocket Gems,Atlassian,Grab,ByteDance,Salesforce,VMware,Walmart Labs,Snapchat,JPMorgan,Expedia,Oracle,Spotify,EBay,Baidu,Apple,Airbnb,Uber,Yahoo,Tencent,Bloomberg,Adobe,Facebook,Amazon,LinkedIn,Microsoft,Alibaba,Goldman Sachs,Google</v>
      </c>
      <c r="F338" s="39">
        <f ca="1">IFERROR(__xludf.DUMMYFUNCTION("""COMPUTED_VALUE"""),54.43)</f>
        <v>54.43</v>
      </c>
      <c r="G338" s="39" t="str">
        <f ca="1">IFERROR(__xludf.DUMMYFUNCTION("""COMPUTED_VALUE"""),"算法")</f>
        <v>算法</v>
      </c>
      <c r="H338" s="39">
        <v>337</v>
      </c>
    </row>
    <row r="339" spans="1:8" ht="38.25" hidden="1">
      <c r="A339" s="70">
        <v>347</v>
      </c>
      <c r="B339" s="65" t="str">
        <f ca="1">IFERROR(__xludf.DUMMYFUNCTION("IF(ISBLANK(A339),,FILTER('Leetcode List'!B:C,'Leetcode List'!A:A = A339))"),"Top K Frequent Elements")</f>
        <v>Top K Frequent Elements</v>
      </c>
      <c r="C339" s="61" t="str">
        <f ca="1">IFERROR(__xludf.DUMMYFUNCTION("""COMPUTED_VALUE"""),"Medium")</f>
        <v>Medium</v>
      </c>
      <c r="D339" s="61" t="s">
        <v>2617</v>
      </c>
      <c r="E339" s="66" t="str">
        <f ca="1">IFERROR(__xludf.DUMMYFUNCTION("IF(ISBLANK(A339),,FILTER('Leetcode List'!E:G,'Leetcode List'!A:A = A339))"),"Hulu,Pocket Gems,ByteDance,Salesforce,VMware,Walmart Labs,Snapchat,Yelp,Oracle,Spotify,EBay,Apple,Uber,Yahoo,Bloomberg,Facebook,Amazon,LinkedIn,Microsoft,Goldman Sachs,Google")</f>
        <v>Hulu,Pocket Gems,ByteDance,Salesforce,VMware,Walmart Labs,Snapchat,Yelp,Oracle,Spotify,EBay,Apple,Uber,Yahoo,Bloomberg,Facebook,Amazon,LinkedIn,Microsoft,Goldman Sachs,Google</v>
      </c>
      <c r="F339" s="39">
        <f ca="1">IFERROR(__xludf.DUMMYFUNCTION("""COMPUTED_VALUE"""),60.21)</f>
        <v>60.21</v>
      </c>
      <c r="G339" s="39" t="str">
        <f ca="1">IFERROR(__xludf.DUMMYFUNCTION("""COMPUTED_VALUE"""),"算法")</f>
        <v>算法</v>
      </c>
      <c r="H339" s="39">
        <v>338</v>
      </c>
    </row>
    <row r="340" spans="1:8" ht="12.75" hidden="1">
      <c r="A340" s="70">
        <v>313</v>
      </c>
      <c r="B340" s="65" t="str">
        <f ca="1">IFERROR(__xludf.DUMMYFUNCTION("IF(ISBLANK(A340),,FILTER('Leetcode List'!B:C,'Leetcode List'!A:A = A340))"),"Super Ugly Number")</f>
        <v>Super Ugly Number</v>
      </c>
      <c r="C340" s="61" t="str">
        <f ca="1">IFERROR(__xludf.DUMMYFUNCTION("""COMPUTED_VALUE"""),"Medium")</f>
        <v>Medium</v>
      </c>
      <c r="D340" s="61" t="s">
        <v>2617</v>
      </c>
      <c r="E340" s="66" t="str">
        <f ca="1">IFERROR(__xludf.DUMMYFUNCTION("IF(ISBLANK(A340),,FILTER('Leetcode List'!E:G,'Leetcode List'!A:A = A340))"),"Google")</f>
        <v>Google</v>
      </c>
      <c r="F340" s="39">
        <f ca="1">IFERROR(__xludf.DUMMYFUNCTION("""COMPUTED_VALUE"""),44.55)</f>
        <v>44.55</v>
      </c>
      <c r="G340" s="39" t="str">
        <f ca="1">IFERROR(__xludf.DUMMYFUNCTION("""COMPUTED_VALUE"""),"算法")</f>
        <v>算法</v>
      </c>
      <c r="H340" s="39">
        <v>339</v>
      </c>
    </row>
    <row r="341" spans="1:8" ht="12.75" hidden="1">
      <c r="A341" s="70">
        <v>373</v>
      </c>
      <c r="B341" s="65" t="str">
        <f ca="1">IFERROR(__xludf.DUMMYFUNCTION("IF(ISBLANK(A341),,FILTER('Leetcode List'!B:C,'Leetcode List'!A:A = A341))"),"Find K Pairs with Smallest Sums")</f>
        <v>Find K Pairs with Smallest Sums</v>
      </c>
      <c r="C341" s="61" t="str">
        <f ca="1">IFERROR(__xludf.DUMMYFUNCTION("""COMPUTED_VALUE"""),"Medium")</f>
        <v>Medium</v>
      </c>
      <c r="D341" s="61" t="s">
        <v>2617</v>
      </c>
      <c r="E341" s="66" t="str">
        <f ca="1">IFERROR(__xludf.DUMMYFUNCTION("IF(ISBLANK(A341),,FILTER('Leetcode List'!E:G,'Leetcode List'!A:A = A341))"),"Apple,Uber,Facebook,Amazon,LinkedIn,Microsoft,Google")</f>
        <v>Apple,Uber,Facebook,Amazon,LinkedIn,Microsoft,Google</v>
      </c>
      <c r="F341" s="39">
        <f ca="1">IFERROR(__xludf.DUMMYFUNCTION("""COMPUTED_VALUE"""),36.27)</f>
        <v>36.270000000000003</v>
      </c>
      <c r="G341" s="39" t="str">
        <f ca="1">IFERROR(__xludf.DUMMYFUNCTION("""COMPUTED_VALUE"""),"算法")</f>
        <v>算法</v>
      </c>
      <c r="H341" s="39">
        <v>340</v>
      </c>
    </row>
    <row r="342" spans="1:8" ht="25.5" hidden="1">
      <c r="A342" s="70">
        <v>218</v>
      </c>
      <c r="B342" s="65" t="str">
        <f ca="1">IFERROR(__xludf.DUMMYFUNCTION("IF(ISBLANK(A342),,FILTER('Leetcode List'!B:C,'Leetcode List'!A:A = A342))"),"The Skyline Problem")</f>
        <v>The Skyline Problem</v>
      </c>
      <c r="C342" s="61" t="str">
        <f ca="1">IFERROR(__xludf.DUMMYFUNCTION("""COMPUTED_VALUE"""),"Hard")</f>
        <v>Hard</v>
      </c>
      <c r="D342" s="61" t="s">
        <v>2617</v>
      </c>
      <c r="E342" s="66" t="str">
        <f ca="1">IFERROR(__xludf.DUMMYFUNCTION("IF(ISBLANK(A342),,FILTER('Leetcode List'!E:G,'Leetcode List'!A:A = A342))"),"Databricks,Houzz,Tableau,Salesforce,Twitter,Yelp,Apple,Uber,Adobe,Facebook,Amazon,Microsoft,Goldman Sachs,Google")</f>
        <v>Databricks,Houzz,Tableau,Salesforce,Twitter,Yelp,Apple,Uber,Adobe,Facebook,Amazon,Microsoft,Goldman Sachs,Google</v>
      </c>
      <c r="F342" s="39">
        <f ca="1">IFERROR(__xludf.DUMMYFUNCTION("""COMPUTED_VALUE"""),34.11)</f>
        <v>34.11</v>
      </c>
      <c r="G342" s="39" t="str">
        <f ca="1">IFERROR(__xludf.DUMMYFUNCTION("""COMPUTED_VALUE"""),"算法")</f>
        <v>算法</v>
      </c>
      <c r="H342" s="39">
        <v>341</v>
      </c>
    </row>
    <row r="343" spans="1:8" ht="25.5" hidden="1">
      <c r="A343" s="70">
        <v>332</v>
      </c>
      <c r="B343" s="65" t="str">
        <f ca="1">IFERROR(__xludf.DUMMYFUNCTION("IF(ISBLANK(A343),,FILTER('Leetcode List'!B:C,'Leetcode List'!A:A = A343))"),"Reconstruct Itinerary")</f>
        <v>Reconstruct Itinerary</v>
      </c>
      <c r="C343" s="61" t="str">
        <f ca="1">IFERROR(__xludf.DUMMYFUNCTION("""COMPUTED_VALUE"""),"Medium")</f>
        <v>Medium</v>
      </c>
      <c r="D343" s="61" t="s">
        <v>2617</v>
      </c>
      <c r="E343" s="66" t="str">
        <f ca="1">IFERROR(__xludf.DUMMYFUNCTION("IF(ISBLANK(A343),,FILTER('Leetcode List'!E:G,'Leetcode List'!A:A = A343))"),"Qualtrics,Twilio,Citadel,Snapchat,Yelp,Yandex,Apple,Uber,Bloomberg,Facebook,Amazon,Microsoft,Goldman Sachs,Google")</f>
        <v>Qualtrics,Twilio,Citadel,Snapchat,Yelp,Yandex,Apple,Uber,Bloomberg,Facebook,Amazon,Microsoft,Goldman Sachs,Google</v>
      </c>
      <c r="F343" s="39">
        <f ca="1">IFERROR(__xludf.DUMMYFUNCTION("""COMPUTED_VALUE"""),35)</f>
        <v>35</v>
      </c>
      <c r="G343" s="39" t="str">
        <f ca="1">IFERROR(__xludf.DUMMYFUNCTION("""COMPUTED_VALUE"""),"算法")</f>
        <v>算法</v>
      </c>
      <c r="H343" s="39">
        <v>342</v>
      </c>
    </row>
    <row r="344" spans="1:8" ht="38.25" hidden="1">
      <c r="A344" s="70">
        <v>341</v>
      </c>
      <c r="B344" s="65" t="str">
        <f ca="1">IFERROR(__xludf.DUMMYFUNCTION("IF(ISBLANK(A344),,FILTER('Leetcode List'!B:C,'Leetcode List'!A:A = A344))"),"Flatten Nested List Iterator")</f>
        <v>Flatten Nested List Iterator</v>
      </c>
      <c r="C344" s="61" t="str">
        <f ca="1">IFERROR(__xludf.DUMMYFUNCTION("""COMPUTED_VALUE"""),"Medium")</f>
        <v>Medium</v>
      </c>
      <c r="D344" s="61" t="s">
        <v>2617</v>
      </c>
      <c r="E344" s="66" t="str">
        <f ca="1">IFERROR(__xludf.DUMMYFUNCTION("IF(ISBLANK(A344),,FILTER('Leetcode List'!E:G,'Leetcode List'!A:A = A344))"),"Pinterest,Atlassian,Splunk,VMware,Snapchat,Twitter,Oracle,Lyft,Apple,Airbnb,Uber,Bloomberg,Facebook,Amazon,LinkedIn,Microsoft,Google")</f>
        <v>Pinterest,Atlassian,Splunk,VMware,Snapchat,Twitter,Oracle,Lyft,Apple,Airbnb,Uber,Bloomberg,Facebook,Amazon,LinkedIn,Microsoft,Google</v>
      </c>
      <c r="F344" s="39">
        <f ca="1">IFERROR(__xludf.DUMMYFUNCTION("""COMPUTED_VALUE"""),52.38)</f>
        <v>52.38</v>
      </c>
      <c r="G344" s="39" t="str">
        <f ca="1">IFERROR(__xludf.DUMMYFUNCTION("""COMPUTED_VALUE"""),"算法")</f>
        <v>算法</v>
      </c>
      <c r="H344" s="39">
        <v>343</v>
      </c>
    </row>
    <row r="345" spans="1:8" ht="12.75" hidden="1">
      <c r="A345" s="70">
        <v>389</v>
      </c>
      <c r="B345" s="65" t="str">
        <f ca="1">IFERROR(__xludf.DUMMYFUNCTION("IF(ISBLANK(A345),,FILTER('Leetcode List'!B:C,'Leetcode List'!A:A = A345))"),"Find the Difference")</f>
        <v>Find the Difference</v>
      </c>
      <c r="C345" s="61" t="str">
        <f ca="1">IFERROR(__xludf.DUMMYFUNCTION("""COMPUTED_VALUE"""),"Easy")</f>
        <v>Easy</v>
      </c>
      <c r="D345" s="61" t="s">
        <v>368</v>
      </c>
      <c r="E345" s="66" t="str">
        <f ca="1">IFERROR(__xludf.DUMMYFUNCTION("IF(ISBLANK(A345),,FILTER('Leetcode List'!E:G,'Leetcode List'!A:A = A345))"),"Adobe,Google")</f>
        <v>Adobe,Google</v>
      </c>
      <c r="F345" s="39">
        <f ca="1">IFERROR(__xludf.DUMMYFUNCTION("""COMPUTED_VALUE"""),54.93)</f>
        <v>54.93</v>
      </c>
      <c r="G345" s="39" t="str">
        <f ca="1">IFERROR(__xludf.DUMMYFUNCTION("""COMPUTED_VALUE"""),"算法")</f>
        <v>算法</v>
      </c>
      <c r="H345" s="39">
        <v>344</v>
      </c>
    </row>
    <row r="346" spans="1:8" ht="38.25" hidden="1">
      <c r="A346" s="70">
        <v>136</v>
      </c>
      <c r="B346" s="65" t="str">
        <f ca="1">IFERROR(__xludf.DUMMYFUNCTION("IF(ISBLANK(A346),,FILTER('Leetcode List'!B:C,'Leetcode List'!A:A = A346))"),"Single Number")</f>
        <v>Single Number</v>
      </c>
      <c r="C346" s="61" t="str">
        <f ca="1">IFERROR(__xludf.DUMMYFUNCTION("""COMPUTED_VALUE"""),"Easy")</f>
        <v>Easy</v>
      </c>
      <c r="D346" s="61" t="s">
        <v>368</v>
      </c>
      <c r="E346" s="66" t="str">
        <f ca="1">IFERROR(__xludf.DUMMYFUNCTION("IF(ISBLANK(A346),,FILTER('Leetcode List'!E:G,'Leetcode List'!A:A = A346))"),"Palantir Technologies,Atlassian,Oracle,Apple,Airbnb,Tencent,SAP,Bloomberg,Adobe,Facebook,Amazon,Microsoft,Google")</f>
        <v>Palantir Technologies,Atlassian,Oracle,Apple,Airbnb,Tencent,SAP,Bloomberg,Adobe,Facebook,Amazon,Microsoft,Google</v>
      </c>
      <c r="F346" s="39">
        <f ca="1">IFERROR(__xludf.DUMMYFUNCTION("""COMPUTED_VALUE"""),65.15)</f>
        <v>65.150000000000006</v>
      </c>
      <c r="G346" s="39" t="str">
        <f ca="1">IFERROR(__xludf.DUMMYFUNCTION("""COMPUTED_VALUE"""),"算法")</f>
        <v>算法</v>
      </c>
      <c r="H346" s="39">
        <v>345</v>
      </c>
    </row>
    <row r="347" spans="1:8" ht="12.75" hidden="1">
      <c r="A347" s="70">
        <v>318</v>
      </c>
      <c r="B347" s="65" t="str">
        <f ca="1">IFERROR(__xludf.DUMMYFUNCTION("IF(ISBLANK(A347),,FILTER('Leetcode List'!B:C,'Leetcode List'!A:A = A347))"),"Maximum Product of Word Lengths")</f>
        <v>Maximum Product of Word Lengths</v>
      </c>
      <c r="C347" s="61" t="str">
        <f ca="1">IFERROR(__xludf.DUMMYFUNCTION("""COMPUTED_VALUE"""),"Medium")</f>
        <v>Medium</v>
      </c>
      <c r="D347" s="61" t="s">
        <v>368</v>
      </c>
      <c r="E347" s="66" t="str">
        <f ca="1">IFERROR(__xludf.DUMMYFUNCTION("IF(ISBLANK(A347),,FILTER('Leetcode List'!E:G,'Leetcode List'!A:A = A347))"),"Google")</f>
        <v>Google</v>
      </c>
      <c r="F347" s="39">
        <f ca="1">IFERROR(__xludf.DUMMYFUNCTION("""COMPUTED_VALUE"""),50.91)</f>
        <v>50.91</v>
      </c>
      <c r="G347" s="39" t="str">
        <f ca="1">IFERROR(__xludf.DUMMYFUNCTION("""COMPUTED_VALUE"""),"算法")</f>
        <v>算法</v>
      </c>
      <c r="H347" s="39">
        <v>346</v>
      </c>
    </row>
    <row r="348" spans="1:8" ht="12.75" hidden="1">
      <c r="A348" s="70">
        <v>393</v>
      </c>
      <c r="B348" s="65" t="str">
        <f ca="1">IFERROR(__xludf.DUMMYFUNCTION("IF(ISBLANK(A348),,FILTER('Leetcode List'!B:C,'Leetcode List'!A:A = A348))"),"UTF-8 Validation")</f>
        <v>UTF-8 Validation</v>
      </c>
      <c r="C348" s="61" t="str">
        <f ca="1">IFERROR(__xludf.DUMMYFUNCTION("""COMPUTED_VALUE"""),"Medium")</f>
        <v>Medium</v>
      </c>
      <c r="D348" s="61" t="s">
        <v>368</v>
      </c>
      <c r="E348" s="66" t="str">
        <f ca="1">IFERROR(__xludf.DUMMYFUNCTION("IF(ISBLANK(A348),,FILTER('Leetcode List'!E:G,'Leetcode List'!A:A = A348))"),"Palantir Technologies,Apple,Facebook,Amazon,Google")</f>
        <v>Palantir Technologies,Apple,Facebook,Amazon,Google</v>
      </c>
      <c r="F348" s="39">
        <f ca="1">IFERROR(__xludf.DUMMYFUNCTION("""COMPUTED_VALUE"""),37.33)</f>
        <v>37.33</v>
      </c>
      <c r="G348" s="39" t="str">
        <f ca="1">IFERROR(__xludf.DUMMYFUNCTION("""COMPUTED_VALUE"""),"算法")</f>
        <v>算法</v>
      </c>
      <c r="H348" s="39">
        <v>347</v>
      </c>
    </row>
    <row r="349" spans="1:8" ht="12.75" hidden="1">
      <c r="A349" s="70">
        <v>201</v>
      </c>
      <c r="B349" s="65" t="str">
        <f ca="1">IFERROR(__xludf.DUMMYFUNCTION("IF(ISBLANK(A349),,FILTER('Leetcode List'!B:C,'Leetcode List'!A:A = A349))"),"Bitwise AND of Numbers Range")</f>
        <v>Bitwise AND of Numbers Range</v>
      </c>
      <c r="C349" s="61" t="str">
        <f ca="1">IFERROR(__xludf.DUMMYFUNCTION("""COMPUTED_VALUE"""),"Medium")</f>
        <v>Medium</v>
      </c>
      <c r="D349" s="61" t="s">
        <v>368</v>
      </c>
      <c r="E349" s="66" t="str">
        <f ca="1">IFERROR(__xludf.DUMMYFUNCTION("IF(ISBLANK(A349),,FILTER('Leetcode List'!E:G,'Leetcode List'!A:A = A349))"),"Adobe")</f>
        <v>Adobe</v>
      </c>
      <c r="F349" s="39">
        <f ca="1">IFERROR(__xludf.DUMMYFUNCTION("""COMPUTED_VALUE"""),39.2)</f>
        <v>39.200000000000003</v>
      </c>
      <c r="G349" s="39" t="str">
        <f ca="1">IFERROR(__xludf.DUMMYFUNCTION("""COMPUTED_VALUE"""),"算法")</f>
        <v>算法</v>
      </c>
      <c r="H349" s="39">
        <v>348</v>
      </c>
    </row>
    <row r="350" spans="1:8" ht="12.75" hidden="1">
      <c r="A350" s="70">
        <v>371</v>
      </c>
      <c r="B350" s="65" t="str">
        <f ca="1">IFERROR(__xludf.DUMMYFUNCTION("IF(ISBLANK(A350),,FILTER('Leetcode List'!B:C,'Leetcode List'!A:A = A350))"),"Sum of Two Integers")</f>
        <v>Sum of Two Integers</v>
      </c>
      <c r="C350" s="61" t="str">
        <f ca="1">IFERROR(__xludf.DUMMYFUNCTION("""COMPUTED_VALUE"""),"Easy")</f>
        <v>Easy</v>
      </c>
      <c r="D350" s="61" t="s">
        <v>368</v>
      </c>
      <c r="E350" s="66" t="str">
        <f ca="1">IFERROR(__xludf.DUMMYFUNCTION("IF(ISBLANK(A350),,FILTER('Leetcode List'!E:G,'Leetcode List'!A:A = A350))"),"Hulu,Facebook,Amazon")</f>
        <v>Hulu,Facebook,Amazon</v>
      </c>
      <c r="F350" s="39">
        <f ca="1">IFERROR(__xludf.DUMMYFUNCTION("""COMPUTED_VALUE"""),50.67)</f>
        <v>50.67</v>
      </c>
      <c r="G350" s="39" t="str">
        <f ca="1">IFERROR(__xludf.DUMMYFUNCTION("""COMPUTED_VALUE"""),"算法")</f>
        <v>算法</v>
      </c>
      <c r="H350" s="39">
        <v>349</v>
      </c>
    </row>
    <row r="351" spans="1:8" ht="12.75" hidden="1">
      <c r="A351" s="70">
        <v>338</v>
      </c>
      <c r="B351" s="65" t="str">
        <f ca="1">IFERROR(__xludf.DUMMYFUNCTION("IF(ISBLANK(A351),,FILTER('Leetcode List'!B:C,'Leetcode List'!A:A = A351))"),"Counting Bits")</f>
        <v>Counting Bits</v>
      </c>
      <c r="C351" s="61" t="str">
        <f ca="1">IFERROR(__xludf.DUMMYFUNCTION("""COMPUTED_VALUE"""),"Medium")</f>
        <v>Medium</v>
      </c>
      <c r="D351" s="61" t="s">
        <v>368</v>
      </c>
      <c r="E351" s="66" t="str">
        <f ca="1">IFERROR(__xludf.DUMMYFUNCTION("IF(ISBLANK(A351),,FILTER('Leetcode List'!E:G,'Leetcode List'!A:A = A351))"),"Mathworks,Apple,Uber,Bloomberg,Facebook,Amazon,Microsoft")</f>
        <v>Mathworks,Apple,Uber,Bloomberg,Facebook,Amazon,Microsoft</v>
      </c>
      <c r="F351" s="39">
        <f ca="1">IFERROR(__xludf.DUMMYFUNCTION("""COMPUTED_VALUE"""),69.14)</f>
        <v>69.14</v>
      </c>
      <c r="G351" s="39" t="str">
        <f ca="1">IFERROR(__xludf.DUMMYFUNCTION("""COMPUTED_VALUE"""),"算法")</f>
        <v>算法</v>
      </c>
      <c r="H351" s="39">
        <v>350</v>
      </c>
    </row>
    <row r="352" spans="1:8" ht="12.75" hidden="1">
      <c r="A352" s="70">
        <v>89</v>
      </c>
      <c r="B352" s="65" t="str">
        <f ca="1">IFERROR(__xludf.DUMMYFUNCTION("IF(ISBLANK(A352),,FILTER('Leetcode List'!B:C,'Leetcode List'!A:A = A352))"),"Gray Code")</f>
        <v>Gray Code</v>
      </c>
      <c r="C352" s="61" t="str">
        <f ca="1">IFERROR(__xludf.DUMMYFUNCTION("""COMPUTED_VALUE"""),"Medium")</f>
        <v>Medium</v>
      </c>
      <c r="D352" s="61" t="s">
        <v>368</v>
      </c>
      <c r="E352" s="66" t="str">
        <f ca="1">IFERROR(__xludf.DUMMYFUNCTION("IF(ISBLANK(A352),,FILTER('Leetcode List'!E:G,'Leetcode List'!A:A = A352))"),"Amazon,Microsoft")</f>
        <v>Amazon,Microsoft</v>
      </c>
      <c r="F352" s="39">
        <f ca="1">IFERROR(__xludf.DUMMYFUNCTION("""COMPUTED_VALUE"""),48.71)</f>
        <v>48.71</v>
      </c>
      <c r="G352" s="39" t="str">
        <f ca="1">IFERROR(__xludf.DUMMYFUNCTION("""COMPUTED_VALUE"""),"算法")</f>
        <v>算法</v>
      </c>
      <c r="H352" s="39">
        <v>351</v>
      </c>
    </row>
    <row r="353" spans="1:8" ht="38.25" hidden="1">
      <c r="A353" s="70">
        <v>268</v>
      </c>
      <c r="B353" s="65" t="str">
        <f ca="1">IFERROR(__xludf.DUMMYFUNCTION("IF(ISBLANK(A353),,FILTER('Leetcode List'!B:C,'Leetcode List'!A:A = A353))"),"Missing Number")</f>
        <v>Missing Number</v>
      </c>
      <c r="C353" s="61" t="str">
        <f ca="1">IFERROR(__xludf.DUMMYFUNCTION("""COMPUTED_VALUE"""),"Easy")</f>
        <v>Easy</v>
      </c>
      <c r="D353" s="61" t="s">
        <v>368</v>
      </c>
      <c r="E353" s="66" t="str">
        <f ca="1">IFERROR(__xludf.DUMMYFUNCTION("IF(ISBLANK(A353),,FILTER('Leetcode List'!E:G,'Leetcode List'!A:A = A353))"),"Arista Networks,VMware,Zillow,ServiceNow,Oracle,IBM,Apple,Bloomberg,Adobe,Facebook,Amazon,Microsoft,Google")</f>
        <v>Arista Networks,VMware,Zillow,ServiceNow,Oracle,IBM,Apple,Bloomberg,Adobe,Facebook,Amazon,Microsoft,Google</v>
      </c>
      <c r="F353" s="39">
        <f ca="1">IFERROR(__xludf.DUMMYFUNCTION("""COMPUTED_VALUE"""),51.28)</f>
        <v>51.28</v>
      </c>
      <c r="G353" s="39" t="str">
        <f ca="1">IFERROR(__xludf.DUMMYFUNCTION("""COMPUTED_VALUE"""),"算法")</f>
        <v>算法</v>
      </c>
      <c r="H353" s="39">
        <v>352</v>
      </c>
    </row>
    <row r="354" spans="1:8" ht="12.75" hidden="1">
      <c r="A354" s="70">
        <v>191</v>
      </c>
      <c r="B354" s="65" t="str">
        <f ca="1">IFERROR(__xludf.DUMMYFUNCTION("IF(ISBLANK(A354),,FILTER('Leetcode List'!B:C,'Leetcode List'!A:A = A354))"),"Number of 1 Bits")</f>
        <v>Number of 1 Bits</v>
      </c>
      <c r="C354" s="61" t="str">
        <f ca="1">IFERROR(__xludf.DUMMYFUNCTION("""COMPUTED_VALUE"""),"Easy")</f>
        <v>Easy</v>
      </c>
      <c r="D354" s="61" t="s">
        <v>368</v>
      </c>
      <c r="E354" s="66" t="str">
        <f ca="1">IFERROR(__xludf.DUMMYFUNCTION("IF(ISBLANK(A354),,FILTER('Leetcode List'!E:G,'Leetcode List'!A:A = A354))"),"Box,Apple,Adobe,Facebook,Amazon,Microsoft,Google")</f>
        <v>Box,Apple,Adobe,Facebook,Amazon,Microsoft,Google</v>
      </c>
      <c r="F354" s="39">
        <f ca="1">IFERROR(__xludf.DUMMYFUNCTION("""COMPUTED_VALUE"""),48.89)</f>
        <v>48.89</v>
      </c>
      <c r="G354" s="39" t="str">
        <f ca="1">IFERROR(__xludf.DUMMYFUNCTION("""COMPUTED_VALUE"""),"算法")</f>
        <v>算法</v>
      </c>
      <c r="H354" s="39">
        <v>353</v>
      </c>
    </row>
    <row r="355" spans="1:8" ht="12.75" hidden="1">
      <c r="A355" s="70">
        <v>190</v>
      </c>
      <c r="B355" s="65" t="str">
        <f ca="1">IFERROR(__xludf.DUMMYFUNCTION("IF(ISBLANK(A355),,FILTER('Leetcode List'!B:C,'Leetcode List'!A:A = A355))"),"Reverse Bits")</f>
        <v>Reverse Bits</v>
      </c>
      <c r="C355" s="61" t="str">
        <f ca="1">IFERROR(__xludf.DUMMYFUNCTION("""COMPUTED_VALUE"""),"Easy")</f>
        <v>Easy</v>
      </c>
      <c r="D355" s="61" t="s">
        <v>368</v>
      </c>
      <c r="E355" s="66" t="str">
        <f ca="1">IFERROR(__xludf.DUMMYFUNCTION("IF(ISBLANK(A355),,FILTER('Leetcode List'!E:G,'Leetcode List'!A:A = A355))"),"Apple,Airbnb,Samsung,Tencent,Amazon,Google")</f>
        <v>Apple,Airbnb,Samsung,Tencent,Amazon,Google</v>
      </c>
      <c r="F355" s="39">
        <f ca="1">IFERROR(__xludf.DUMMYFUNCTION("""COMPUTED_VALUE"""),36.97)</f>
        <v>36.97</v>
      </c>
      <c r="G355" s="39" t="str">
        <f ca="1">IFERROR(__xludf.DUMMYFUNCTION("""COMPUTED_VALUE"""),"算法")</f>
        <v>算法</v>
      </c>
      <c r="H355" s="39">
        <v>354</v>
      </c>
    </row>
    <row r="356" spans="1:8" ht="12.75" hidden="1">
      <c r="A356" s="70">
        <v>137</v>
      </c>
      <c r="B356" s="65" t="str">
        <f ca="1">IFERROR(__xludf.DUMMYFUNCTION("IF(ISBLANK(A356),,FILTER('Leetcode List'!B:C,'Leetcode List'!A:A = A356))"),"Single Number II")</f>
        <v>Single Number II</v>
      </c>
      <c r="C356" s="61" t="str">
        <f ca="1">IFERROR(__xludf.DUMMYFUNCTION("""COMPUTED_VALUE"""),"Medium")</f>
        <v>Medium</v>
      </c>
      <c r="D356" s="61" t="s">
        <v>368</v>
      </c>
      <c r="E356" s="66" t="str">
        <f ca="1">IFERROR(__xludf.DUMMYFUNCTION("IF(ISBLANK(A356),,FILTER('Leetcode List'!E:G,'Leetcode List'!A:A = A356))"),"Adobe,Facebook,Amazon,Google")</f>
        <v>Adobe,Facebook,Amazon,Google</v>
      </c>
      <c r="F356" s="39">
        <f ca="1">IFERROR(__xludf.DUMMYFUNCTION("""COMPUTED_VALUE"""),49.79)</f>
        <v>49.79</v>
      </c>
      <c r="G356" s="39" t="str">
        <f ca="1">IFERROR(__xludf.DUMMYFUNCTION("""COMPUTED_VALUE"""),"算法")</f>
        <v>算法</v>
      </c>
      <c r="H356" s="39">
        <v>355</v>
      </c>
    </row>
    <row r="357" spans="1:8" ht="12.75" hidden="1">
      <c r="A357" s="70">
        <v>260</v>
      </c>
      <c r="B357" s="65" t="str">
        <f ca="1">IFERROR(__xludf.DUMMYFUNCTION("IF(ISBLANK(A357),,FILTER('Leetcode List'!B:C,'Leetcode List'!A:A = A357))"),"Single Number III")</f>
        <v>Single Number III</v>
      </c>
      <c r="C357" s="61" t="str">
        <f ca="1">IFERROR(__xludf.DUMMYFUNCTION("""COMPUTED_VALUE"""),"Medium")</f>
        <v>Medium</v>
      </c>
      <c r="D357" s="61" t="s">
        <v>368</v>
      </c>
      <c r="E357" s="66" t="str">
        <f ca="1">IFERROR(__xludf.DUMMYFUNCTION("IF(ISBLANK(A357),,FILTER('Leetcode List'!E:G,'Leetcode List'!A:A = A357))"),"Apple,Yahoo,Facebook,Amazon")</f>
        <v>Apple,Yahoo,Facebook,Amazon</v>
      </c>
      <c r="F357" s="39">
        <f ca="1">IFERROR(__xludf.DUMMYFUNCTION("""COMPUTED_VALUE"""),60.71)</f>
        <v>60.71</v>
      </c>
      <c r="G357" s="39" t="str">
        <f ca="1">IFERROR(__xludf.DUMMYFUNCTION("""COMPUTED_VALUE"""),"算法")</f>
        <v>算法</v>
      </c>
      <c r="H357" s="39">
        <v>356</v>
      </c>
    </row>
    <row r="358" spans="1:8" ht="38.25" hidden="1">
      <c r="A358" s="70">
        <v>207</v>
      </c>
      <c r="B358" s="65" t="str">
        <f ca="1">IFERROR(__xludf.DUMMYFUNCTION("IF(ISBLANK(A358),,FILTER('Leetcode List'!B:C,'Leetcode List'!A:A = A358))"),"Course Schedule")</f>
        <v>Course Schedule</v>
      </c>
      <c r="C358" s="61" t="str">
        <f ca="1">IFERROR(__xludf.DUMMYFUNCTION("""COMPUTED_VALUE"""),"Medium")</f>
        <v>Medium</v>
      </c>
      <c r="D358" s="61" t="s">
        <v>2618</v>
      </c>
      <c r="E358" s="66" t="str">
        <f ca="1">IFERROR(__xludf.DUMMYFUNCTION("IF(ISBLANK(A358),,FILTER('Leetcode List'!E:G,'Leetcode List'!A:A = A358))"),"Cohesity,Nutanix,Zenefits,ByteDance,Salesforce,Paypal,Yelp,Oracle,Intuit,EBay,Apple,Uber,Yahoo,Bloomberg,Facebook,Amazon,LinkedIn,Microsoft,Goldman Sachs,Google")</f>
        <v>Cohesity,Nutanix,Zenefits,ByteDance,Salesforce,Paypal,Yelp,Oracle,Intuit,EBay,Apple,Uber,Yahoo,Bloomberg,Facebook,Amazon,LinkedIn,Microsoft,Goldman Sachs,Google</v>
      </c>
      <c r="F358" s="39">
        <f ca="1">IFERROR(__xludf.DUMMYFUNCTION("""COMPUTED_VALUE"""),42.57)</f>
        <v>42.57</v>
      </c>
      <c r="G358" s="39" t="str">
        <f ca="1">IFERROR(__xludf.DUMMYFUNCTION("""COMPUTED_VALUE"""),"算法")</f>
        <v>算法</v>
      </c>
      <c r="H358" s="39">
        <v>357</v>
      </c>
    </row>
    <row r="359" spans="1:8" ht="51" hidden="1">
      <c r="A359" s="70">
        <v>210</v>
      </c>
      <c r="B359" s="65" t="str">
        <f ca="1">IFERROR(__xludf.DUMMYFUNCTION("IF(ISBLANK(A359),,FILTER('Leetcode List'!B:C,'Leetcode List'!A:A = A359))"),"Course Schedule II")</f>
        <v>Course Schedule II</v>
      </c>
      <c r="C359" s="61" t="str">
        <f ca="1">IFERROR(__xludf.DUMMYFUNCTION("""COMPUTED_VALUE"""),"Medium")</f>
        <v>Medium</v>
      </c>
      <c r="D359" s="61" t="s">
        <v>2618</v>
      </c>
      <c r="E359" s="66" t="str">
        <f ca="1">IFERROR(__xludf.DUMMYFUNCTION("IF(ISBLANK(A359),,FILTER('Leetcode List'!E:G,'Leetcode List'!A:A = A359))"),"Nutanix,DoorDash,Pinterest,Palantir Technologies,Wayfair,Zenefits,Walmart Labs,Twitter,Oracle,Intuit,Apple,Uber,Bloomberg,Facebook,Amazon,Microsoft,Google")</f>
        <v>Nutanix,DoorDash,Pinterest,Palantir Technologies,Wayfair,Zenefits,Walmart Labs,Twitter,Oracle,Intuit,Apple,Uber,Bloomberg,Facebook,Amazon,Microsoft,Google</v>
      </c>
      <c r="F359" s="39">
        <f ca="1">IFERROR(__xludf.DUMMYFUNCTION("""COMPUTED_VALUE"""),39.37)</f>
        <v>39.369999999999997</v>
      </c>
      <c r="G359" s="39" t="str">
        <f ca="1">IFERROR(__xludf.DUMMYFUNCTION("""COMPUTED_VALUE"""),"算法")</f>
        <v>算法</v>
      </c>
      <c r="H359" s="39">
        <v>358</v>
      </c>
    </row>
    <row r="360" spans="1:8" ht="51" hidden="1">
      <c r="A360" s="70">
        <v>269</v>
      </c>
      <c r="B360" s="65" t="str">
        <f ca="1">IFERROR(__xludf.DUMMYFUNCTION("IF(ISBLANK(A360),,FILTER('Leetcode List'!B:C,'Leetcode List'!A:A = A360))"),"Alien Dictionary")</f>
        <v>Alien Dictionary</v>
      </c>
      <c r="C360" s="61" t="str">
        <f ca="1">IFERROR(__xludf.DUMMYFUNCTION("""COMPUTED_VALUE"""),"Hard")</f>
        <v>Hard</v>
      </c>
      <c r="D360" s="61" t="s">
        <v>2618</v>
      </c>
      <c r="E360" s="66" t="str">
        <f ca="1">IFERROR(__xludf.DUMMYFUNCTION("IF(ISBLANK(A360),,FILTER('Leetcode List'!E:G,'Leetcode List'!A:A = A360))"),"Cohesity,DoorDash,Square,Pinterest,Pocket Gems,Flipkart,VMware,Walmart Labs,Snapchat,Twitter,Apple,Airbnb,Uber,Bloomberg,Facebook,Amazon,Microsoft,Google")</f>
        <v>Cohesity,DoorDash,Square,Pinterest,Pocket Gems,Flipkart,VMware,Walmart Labs,Snapchat,Twitter,Apple,Airbnb,Uber,Bloomberg,Facebook,Amazon,Microsoft,Google</v>
      </c>
      <c r="F360" s="39">
        <f ca="1">IFERROR(__xludf.DUMMYFUNCTION("""COMPUTED_VALUE"""),33.26)</f>
        <v>33.26</v>
      </c>
      <c r="G360" s="39" t="str">
        <f ca="1">IFERROR(__xludf.DUMMYFUNCTION("""COMPUTED_VALUE"""),"算法")</f>
        <v>算法</v>
      </c>
      <c r="H360" s="39">
        <v>359</v>
      </c>
    </row>
    <row r="361" spans="1:8" ht="38.25" hidden="1">
      <c r="A361" s="70">
        <v>384</v>
      </c>
      <c r="B361" s="65" t="str">
        <f ca="1">IFERROR(__xludf.DUMMYFUNCTION("IF(ISBLANK(A361),,FILTER('Leetcode List'!B:C,'Leetcode List'!A:A = A361))"),"Shuffle an Array")</f>
        <v>Shuffle an Array</v>
      </c>
      <c r="C361" s="63" t="str">
        <f ca="1">IFERROR(__xludf.DUMMYFUNCTION("""COMPUTED_VALUE"""),"Medium")</f>
        <v>Medium</v>
      </c>
      <c r="D361" s="63" t="s">
        <v>1142</v>
      </c>
      <c r="E361" s="66" t="str">
        <f ca="1">IFERROR(__xludf.DUMMYFUNCTION("IF(ISBLANK(A361),,FILTER('Leetcode List'!E:G,'Leetcode List'!A:A = A361))"),"TripAdvisor,Two Sigma,Salesforce,Cisco,Apple,Yahoo,Bloomberg,Facebook,Amazon,LinkedIn,Microsoft,Google")</f>
        <v>TripAdvisor,Two Sigma,Salesforce,Cisco,Apple,Yahoo,Bloomberg,Facebook,Amazon,LinkedIn,Microsoft,Google</v>
      </c>
      <c r="F361" s="39">
        <f ca="1">IFERROR(__xludf.DUMMYFUNCTION("""COMPUTED_VALUE"""),52.42)</f>
        <v>52.42</v>
      </c>
      <c r="G361" s="39" t="str">
        <f ca="1">IFERROR(__xludf.DUMMYFUNCTION("""COMPUTED_VALUE"""),"算法")</f>
        <v>算法</v>
      </c>
      <c r="H361" s="39">
        <v>360</v>
      </c>
    </row>
    <row r="362" spans="1:8" ht="12.75" hidden="1">
      <c r="A362" s="70">
        <v>398</v>
      </c>
      <c r="B362" s="65" t="str">
        <f ca="1">IFERROR(__xludf.DUMMYFUNCTION("IF(ISBLANK(A362),,FILTER('Leetcode List'!B:C,'Leetcode List'!A:A = A362))"),"Random Pick Index")</f>
        <v>Random Pick Index</v>
      </c>
      <c r="C362" s="63" t="str">
        <f ca="1">IFERROR(__xludf.DUMMYFUNCTION("""COMPUTED_VALUE"""),"Medium")</f>
        <v>Medium</v>
      </c>
      <c r="D362" s="63" t="s">
        <v>1142</v>
      </c>
      <c r="E362" s="66" t="str">
        <f ca="1">IFERROR(__xludf.DUMMYFUNCTION("IF(ISBLANK(A362),,FILTER('Leetcode List'!E:G,'Leetcode List'!A:A = A362))"),"Uber,Facebook,Google")</f>
        <v>Uber,Facebook,Google</v>
      </c>
      <c r="F362" s="39">
        <f ca="1">IFERROR(__xludf.DUMMYFUNCTION("""COMPUTED_VALUE"""),55.06)</f>
        <v>55.06</v>
      </c>
      <c r="G362" s="39" t="str">
        <f ca="1">IFERROR(__xludf.DUMMYFUNCTION("""COMPUTED_VALUE"""),"算法")</f>
        <v>算法</v>
      </c>
      <c r="H362" s="39">
        <v>361</v>
      </c>
    </row>
    <row r="363" spans="1:8" ht="12.75" hidden="1">
      <c r="A363" s="70">
        <v>382</v>
      </c>
      <c r="B363" s="65" t="str">
        <f ca="1">IFERROR(__xludf.DUMMYFUNCTION("IF(ISBLANK(A363),,FILTER('Leetcode List'!B:C,'Leetcode List'!A:A = A363))"),"Linked List Random Node")</f>
        <v>Linked List Random Node</v>
      </c>
      <c r="C363" s="63" t="str">
        <f ca="1">IFERROR(__xludf.DUMMYFUNCTION("""COMPUTED_VALUE"""),"Medium")</f>
        <v>Medium</v>
      </c>
      <c r="D363" s="63" t="s">
        <v>1142</v>
      </c>
      <c r="E363" s="66" t="str">
        <f ca="1">IFERROR(__xludf.DUMMYFUNCTION("IF(ISBLANK(A363),,FILTER('Leetcode List'!E:G,'Leetcode List'!A:A = A363))"),"Apple,Facebook,Google")</f>
        <v>Apple,Facebook,Google</v>
      </c>
      <c r="F363" s="39">
        <f ca="1">IFERROR(__xludf.DUMMYFUNCTION("""COMPUTED_VALUE"""),51.75)</f>
        <v>51.75</v>
      </c>
      <c r="G363" s="39" t="str">
        <f ca="1">IFERROR(__xludf.DUMMYFUNCTION("""COMPUTED_VALUE"""),"算法")</f>
        <v>算法</v>
      </c>
      <c r="H363" s="39">
        <v>362</v>
      </c>
    </row>
    <row r="364" spans="1:8" ht="51" hidden="1">
      <c r="A364" s="70">
        <v>380</v>
      </c>
      <c r="B364" s="65" t="str">
        <f ca="1">IFERROR(__xludf.DUMMYFUNCTION("IF(ISBLANK(A364),,FILTER('Leetcode List'!B:C,'Leetcode List'!A:A = A364))"),"Insert Delete GetRandom O(1)")</f>
        <v>Insert Delete GetRandom O(1)</v>
      </c>
      <c r="C364" s="63" t="str">
        <f ca="1">IFERROR(__xludf.DUMMYFUNCTION("""COMPUTED_VALUE"""),"Medium")</f>
        <v>Medium</v>
      </c>
      <c r="D364" s="63" t="s">
        <v>1142</v>
      </c>
      <c r="E364" s="66" t="str">
        <f ca="1">IFERROR(__xludf.DUMMYFUNCTION("IF(ISBLANK(A364),,FILTER('Leetcode List'!E:G,'Leetcode List'!A:A = A364))"),"Pinterest,Databricks,Pocket Gems,Pure Storage,Two Sigma,Flipkart,Twilio,Salesforce,VMware,Quora,Affirm,Walmart Labs,Indeed,Twitter,Yelp,Oracle,Yandex,Apple,Uber,Bloomberg,Adobe,Facebook,Amazon,LinkedIn,Microsoft,Goldman Sachs,Google")</f>
        <v>Pinterest,Databricks,Pocket Gems,Pure Storage,Two Sigma,Flipkart,Twilio,Salesforce,VMware,Quora,Affirm,Walmart Labs,Indeed,Twitter,Yelp,Oracle,Yandex,Apple,Uber,Bloomberg,Adobe,Facebook,Amazon,LinkedIn,Microsoft,Goldman Sachs,Google</v>
      </c>
      <c r="F364" s="39">
        <f ca="1">IFERROR(__xludf.DUMMYFUNCTION("""COMPUTED_VALUE"""),47.15)</f>
        <v>47.15</v>
      </c>
      <c r="G364" s="39" t="str">
        <f ca="1">IFERROR(__xludf.DUMMYFUNCTION("""COMPUTED_VALUE"""),"算法")</f>
        <v>算法</v>
      </c>
      <c r="H364" s="39">
        <v>363</v>
      </c>
    </row>
    <row r="365" spans="1:8" ht="25.5" hidden="1">
      <c r="A365" s="70">
        <v>381</v>
      </c>
      <c r="B365" s="65" t="str">
        <f ca="1">IFERROR(__xludf.DUMMYFUNCTION("IF(ISBLANK(A365),,FILTER('Leetcode List'!B:C,'Leetcode List'!A:A = A365))"),"Insert Delete GetRandom O(1) - Duplicates allowed")</f>
        <v>Insert Delete GetRandom O(1) - Duplicates allowed</v>
      </c>
      <c r="C365" s="63" t="str">
        <f ca="1">IFERROR(__xludf.DUMMYFUNCTION("""COMPUTED_VALUE"""),"Hard")</f>
        <v>Hard</v>
      </c>
      <c r="D365" s="63" t="s">
        <v>1142</v>
      </c>
      <c r="E365" s="66" t="str">
        <f ca="1">IFERROR(__xludf.DUMMYFUNCTION("IF(ISBLANK(A365),,FILTER('Leetcode List'!E:G,'Leetcode List'!A:A = A365))"),"Databricks,Affirm,Walmart Labs,Yelp,Apple,Uber,Facebook,Amazon,LinkedIn,Microsoft,Google")</f>
        <v>Databricks,Affirm,Walmart Labs,Yelp,Apple,Uber,Facebook,Amazon,LinkedIn,Microsoft,Google</v>
      </c>
      <c r="F365" s="39">
        <f ca="1">IFERROR(__xludf.DUMMYFUNCTION("""COMPUTED_VALUE"""),33.82)</f>
        <v>33.82</v>
      </c>
      <c r="G365" s="39" t="str">
        <f ca="1">IFERROR(__xludf.DUMMYFUNCTION("""COMPUTED_VALUE"""),"算法")</f>
        <v>算法</v>
      </c>
      <c r="H365" s="39">
        <v>364</v>
      </c>
    </row>
    <row r="366" spans="1:8" ht="38.25" hidden="1">
      <c r="A366" s="70">
        <v>138</v>
      </c>
      <c r="B366" s="65" t="str">
        <f ca="1">IFERROR(__xludf.DUMMYFUNCTION("IF(ISBLANK(A366),,FILTER('Leetcode List'!B:C,'Leetcode List'!A:A = A366))"),"Copy List with Random Pointer")</f>
        <v>Copy List with Random Pointer</v>
      </c>
      <c r="C366" s="63" t="str">
        <f ca="1">IFERROR(__xludf.DUMMYFUNCTION("""COMPUTED_VALUE"""),"Medium")</f>
        <v>Medium</v>
      </c>
      <c r="D366" s="63" t="s">
        <v>1142</v>
      </c>
      <c r="E366" s="66" t="str">
        <f ca="1">IFERROR(__xludf.DUMMYFUNCTION("IF(ISBLANK(A366),,FILTER('Leetcode List'!E:G,'Leetcode List'!A:A = A366))"),"Nutanix,Qualtrics,Capital One,Visa,Expedia,Oracle,EBay,Apple,Uber,Yahoo,Bloomberg,Adobe,Facebook,Amazon,Microsoft,Google")</f>
        <v>Nutanix,Qualtrics,Capital One,Visa,Expedia,Oracle,EBay,Apple,Uber,Yahoo,Bloomberg,Adobe,Facebook,Amazon,Microsoft,Google</v>
      </c>
      <c r="F366" s="39">
        <f ca="1">IFERROR(__xludf.DUMMYFUNCTION("""COMPUTED_VALUE"""),35.25)</f>
        <v>35.25</v>
      </c>
      <c r="G366" s="39" t="str">
        <f ca="1">IFERROR(__xludf.DUMMYFUNCTION("""COMPUTED_VALUE"""),"算法")</f>
        <v>算法</v>
      </c>
      <c r="H366" s="39">
        <v>365</v>
      </c>
    </row>
    <row r="367" spans="1:8" ht="38.25">
      <c r="A367" s="70">
        <v>133</v>
      </c>
      <c r="B367" s="65" t="str">
        <f ca="1">IFERROR(__xludf.DUMMYFUNCTION("IF(ISBLANK(A367),,FILTER('Leetcode List'!B:C,'Leetcode List'!A:A = A367))"),"Clone Graph")</f>
        <v>Clone Graph</v>
      </c>
      <c r="C367" s="63" t="str">
        <f ca="1">IFERROR(__xludf.DUMMYFUNCTION("""COMPUTED_VALUE"""),"Medium")</f>
        <v>Medium</v>
      </c>
      <c r="D367" s="63" t="s">
        <v>1941</v>
      </c>
      <c r="E367" s="66" t="str">
        <f ca="1">IFERROR(__xludf.DUMMYFUNCTION("IF(ISBLANK(A367),,FILTER('Leetcode List'!E:G,'Leetcode List'!A:A = A367))"),"Pocket Gems,Splunk,Walmart Labs,Twitter,Mathworks,Apple,Uber,Bloomberg,Facebook,Amazon,LinkedIn,Microsoft,Google")</f>
        <v>Pocket Gems,Splunk,Walmart Labs,Twitter,Mathworks,Apple,Uber,Bloomberg,Facebook,Amazon,LinkedIn,Microsoft,Google</v>
      </c>
      <c r="F367" s="39">
        <f ca="1">IFERROR(__xludf.DUMMYFUNCTION("""COMPUTED_VALUE"""),33.75)</f>
        <v>33.75</v>
      </c>
      <c r="G367" s="39" t="str">
        <f ca="1">IFERROR(__xludf.DUMMYFUNCTION("""COMPUTED_VALUE"""),"算法")</f>
        <v>算法</v>
      </c>
      <c r="H367" s="39">
        <v>366</v>
      </c>
    </row>
    <row r="368" spans="1:8" ht="12.75">
      <c r="A368" s="72">
        <v>399</v>
      </c>
      <c r="B368" s="65" t="str">
        <f ca="1">IFERROR(__xludf.DUMMYFUNCTION("IF(ISBLANK(A368),,FILTER('Leetcode List'!B:C,'Leetcode List'!A:A = A368))"),"Evaluate Division")</f>
        <v>Evaluate Division</v>
      </c>
      <c r="C368" s="63" t="str">
        <f ca="1">IFERROR(__xludf.DUMMYFUNCTION("""COMPUTED_VALUE"""),"Medium")</f>
        <v>Medium</v>
      </c>
      <c r="D368" s="63" t="s">
        <v>1941</v>
      </c>
      <c r="E368" s="66" t="str">
        <f ca="1">IFERROR(__xludf.DUMMYFUNCTION("IF(ISBLANK(A368),,FILTER('Leetcode List'!E:G,'Leetcode List'!A:A = A368))"),"Uber,Bloomberg,Adobe,Facebook,Amazon,Google")</f>
        <v>Uber,Bloomberg,Adobe,Facebook,Amazon,Google</v>
      </c>
      <c r="F368" s="39">
        <f ca="1">IFERROR(__xludf.DUMMYFUNCTION("""COMPUTED_VALUE"""),50.95)</f>
        <v>50.95</v>
      </c>
      <c r="G368" s="39" t="str">
        <f ca="1">IFERROR(__xludf.DUMMYFUNCTION("""COMPUTED_VALUE"""),"算法")</f>
        <v>算法</v>
      </c>
      <c r="H368" s="39">
        <v>367</v>
      </c>
    </row>
    <row r="369" spans="1:8" ht="12.75">
      <c r="A369" s="72">
        <v>310</v>
      </c>
      <c r="B369" s="65" t="str">
        <f ca="1">IFERROR(__xludf.DUMMYFUNCTION("IF(ISBLANK(A369),,FILTER('Leetcode List'!B:C,'Leetcode List'!A:A = A369))"),"Minimum Height Trees")</f>
        <v>Minimum Height Trees</v>
      </c>
      <c r="C369" s="63" t="str">
        <f ca="1">IFERROR(__xludf.DUMMYFUNCTION("""COMPUTED_VALUE"""),"Medium")</f>
        <v>Medium</v>
      </c>
      <c r="D369" s="63" t="s">
        <v>1941</v>
      </c>
      <c r="E369" s="66" t="str">
        <f ca="1">IFERROR(__xludf.DUMMYFUNCTION("IF(ISBLANK(A369),,FILTER('Leetcode List'!E:G,'Leetcode List'!A:A = A369))"),"Snapchat,Bloomberg,Facebook,Amazon,Google")</f>
        <v>Snapchat,Bloomberg,Facebook,Amazon,Google</v>
      </c>
      <c r="F369" s="39">
        <f ca="1">IFERROR(__xludf.DUMMYFUNCTION("""COMPUTED_VALUE"""),31.89)</f>
        <v>31.89</v>
      </c>
      <c r="G369" s="39" t="str">
        <f ca="1">IFERROR(__xludf.DUMMYFUNCTION("""COMPUTED_VALUE"""),"算法")</f>
        <v>算法</v>
      </c>
      <c r="H369" s="39">
        <v>368</v>
      </c>
    </row>
    <row r="370" spans="1:8" ht="25.5">
      <c r="A370" s="72">
        <v>149</v>
      </c>
      <c r="B370" s="65" t="str">
        <f ca="1">IFERROR(__xludf.DUMMYFUNCTION("IF(ISBLANK(A370),,FILTER('Leetcode List'!B:C,'Leetcode List'!A:A = A370))"),"Max Points on a Line")</f>
        <v>Max Points on a Line</v>
      </c>
      <c r="C370" s="63" t="str">
        <f ca="1">IFERROR(__xludf.DUMMYFUNCTION("""COMPUTED_VALUE"""),"Hard")</f>
        <v>Hard</v>
      </c>
      <c r="D370" s="63" t="s">
        <v>1941</v>
      </c>
      <c r="E370" s="66" t="str">
        <f ca="1">IFERROR(__xludf.DUMMYFUNCTION("IF(ISBLANK(A370),,FILTER('Leetcode List'!E:G,'Leetcode List'!A:A = A370))"),"TripAdvisor,Twitter,Apple,Uber,Bloomberg,Amazon,LinkedIn,Microsoft,Alibaba,Google")</f>
        <v>TripAdvisor,Twitter,Apple,Uber,Bloomberg,Amazon,LinkedIn,Microsoft,Alibaba,Google</v>
      </c>
      <c r="F370" s="39">
        <f ca="1">IFERROR(__xludf.DUMMYFUNCTION("""COMPUTED_VALUE"""),16.85)</f>
        <v>16.850000000000001</v>
      </c>
      <c r="G370" s="39" t="str">
        <f ca="1">IFERROR(__xludf.DUMMYFUNCTION("""COMPUTED_VALUE"""),"算法")</f>
        <v>算法</v>
      </c>
      <c r="H370" s="39">
        <v>369</v>
      </c>
    </row>
    <row r="371" spans="1:8" ht="12.75">
      <c r="A371" s="72">
        <v>335</v>
      </c>
      <c r="B371" s="65" t="str">
        <f ca="1">IFERROR(__xludf.DUMMYFUNCTION("IF(ISBLANK(A371),,FILTER('Leetcode List'!B:C,'Leetcode List'!A:A = A371))"),"Self Crossing")</f>
        <v>Self Crossing</v>
      </c>
      <c r="C371" s="63" t="str">
        <f ca="1">IFERROR(__xludf.DUMMYFUNCTION("""COMPUTED_VALUE"""),"Hard")</f>
        <v>Hard</v>
      </c>
      <c r="D371" s="63" t="s">
        <v>1941</v>
      </c>
      <c r="E371" s="66" t="str">
        <f ca="1">IFERROR(__xludf.DUMMYFUNCTION("IF(ISBLANK(A371),,FILTER('Leetcode List'!E:G,'Leetcode List'!A:A = A371))"),"")</f>
        <v/>
      </c>
      <c r="F371" s="39">
        <f ca="1">IFERROR(__xludf.DUMMYFUNCTION("""COMPUTED_VALUE"""),27.72)</f>
        <v>27.72</v>
      </c>
      <c r="G371" s="39" t="str">
        <f ca="1">IFERROR(__xludf.DUMMYFUNCTION("""COMPUTED_VALUE"""),"算法")</f>
        <v>算法</v>
      </c>
      <c r="H371" s="39">
        <v>370</v>
      </c>
    </row>
    <row r="372" spans="1:8" ht="12.75">
      <c r="A372" s="72">
        <v>356</v>
      </c>
      <c r="B372" s="65" t="str">
        <f ca="1">IFERROR(__xludf.DUMMYFUNCTION("IF(ISBLANK(A372),,FILTER('Leetcode List'!B:C,'Leetcode List'!A:A = A372))"),"Line Reflection")</f>
        <v>Line Reflection</v>
      </c>
      <c r="C372" s="63" t="str">
        <f ca="1">IFERROR(__xludf.DUMMYFUNCTION("""COMPUTED_VALUE"""),"Medium")</f>
        <v>Medium</v>
      </c>
      <c r="D372" s="63" t="s">
        <v>1941</v>
      </c>
      <c r="E372" s="66" t="str">
        <f ca="1">IFERROR(__xludf.DUMMYFUNCTION("IF(ISBLANK(A372),,FILTER('Leetcode List'!E:G,'Leetcode List'!A:A = A372))"),"Google")</f>
        <v>Google</v>
      </c>
      <c r="F372" s="39">
        <f ca="1">IFERROR(__xludf.DUMMYFUNCTION("""COMPUTED_VALUE"""),31.59)</f>
        <v>31.59</v>
      </c>
      <c r="G372" s="39" t="str">
        <f ca="1">IFERROR(__xludf.DUMMYFUNCTION("""COMPUTED_VALUE"""),"算法")</f>
        <v>算法</v>
      </c>
      <c r="H372" s="39">
        <v>371</v>
      </c>
    </row>
    <row r="373" spans="1:8" ht="12.75">
      <c r="A373" s="72">
        <v>391</v>
      </c>
      <c r="B373" s="65" t="str">
        <f ca="1">IFERROR(__xludf.DUMMYFUNCTION("IF(ISBLANK(A373),,FILTER('Leetcode List'!B:C,'Leetcode List'!A:A = A373))"),"Perfect Rectangle")</f>
        <v>Perfect Rectangle</v>
      </c>
      <c r="C373" s="63" t="str">
        <f ca="1">IFERROR(__xludf.DUMMYFUNCTION("""COMPUTED_VALUE"""),"Hard")</f>
        <v>Hard</v>
      </c>
      <c r="D373" s="63" t="s">
        <v>1941</v>
      </c>
      <c r="E373" s="66" t="str">
        <f ca="1">IFERROR(__xludf.DUMMYFUNCTION("IF(ISBLANK(A373),,FILTER('Leetcode List'!E:G,'Leetcode List'!A:A = A373))"),"Apple,Uber,Google")</f>
        <v>Apple,Uber,Google</v>
      </c>
      <c r="F373" s="39">
        <f ca="1">IFERROR(__xludf.DUMMYFUNCTION("""COMPUTED_VALUE"""),30.13)</f>
        <v>30.13</v>
      </c>
      <c r="G373" s="39" t="str">
        <f ca="1">IFERROR(__xludf.DUMMYFUNCTION("""COMPUTED_VALUE"""),"算法")</f>
        <v>算法</v>
      </c>
      <c r="H373" s="39">
        <v>372</v>
      </c>
    </row>
    <row r="374" spans="1:8" ht="12.75">
      <c r="A374" s="72">
        <v>223</v>
      </c>
      <c r="B374" s="65" t="str">
        <f ca="1">IFERROR(__xludf.DUMMYFUNCTION("IF(ISBLANK(A374),,FILTER('Leetcode List'!B:C,'Leetcode List'!A:A = A374))"),"Rectangle Area")</f>
        <v>Rectangle Area</v>
      </c>
      <c r="C374" s="63" t="str">
        <f ca="1">IFERROR(__xludf.DUMMYFUNCTION("""COMPUTED_VALUE"""),"Medium")</f>
        <v>Medium</v>
      </c>
      <c r="D374" s="63" t="s">
        <v>1941</v>
      </c>
      <c r="E374" s="66" t="str">
        <f ca="1">IFERROR(__xludf.DUMMYFUNCTION("IF(ISBLANK(A374),,FILTER('Leetcode List'!E:G,'Leetcode List'!A:A = A374))"),"Nvidia,Apple,Facebook,Microsoft")</f>
        <v>Nvidia,Apple,Facebook,Microsoft</v>
      </c>
      <c r="F374" s="39">
        <f ca="1">IFERROR(__xludf.DUMMYFUNCTION("""COMPUTED_VALUE"""),37.56)</f>
        <v>37.56</v>
      </c>
      <c r="G374" s="39" t="str">
        <f ca="1">IFERROR(__xludf.DUMMYFUNCTION("""COMPUTED_VALUE"""),"算法")</f>
        <v>算法</v>
      </c>
      <c r="H374" s="39">
        <v>373</v>
      </c>
    </row>
    <row r="375" spans="1:8" ht="25.5" hidden="1">
      <c r="A375" s="70">
        <v>261</v>
      </c>
      <c r="B375" s="65" t="str">
        <f ca="1">IFERROR(__xludf.DUMMYFUNCTION("IF(ISBLANK(A375),,FILTER('Leetcode List'!B:C,'Leetcode List'!A:A = A375))"),"Graph Valid Tree")</f>
        <v>Graph Valid Tree</v>
      </c>
      <c r="C375" s="63" t="str">
        <f ca="1">IFERROR(__xludf.DUMMYFUNCTION("""COMPUTED_VALUE"""),"Medium")</f>
        <v>Medium</v>
      </c>
      <c r="D375" s="63" t="s">
        <v>732</v>
      </c>
      <c r="E375" s="66" t="str">
        <f ca="1">IFERROR(__xludf.DUMMYFUNCTION("IF(ISBLANK(A375),,FILTER('Leetcode List'!E:G,'Leetcode List'!A:A = A375))"),"Pinterest,Zenefits,Salesforce,Adobe,Facebook,Amazon,LinkedIn,Google")</f>
        <v>Pinterest,Zenefits,Salesforce,Adobe,Facebook,Amazon,LinkedIn,Google</v>
      </c>
      <c r="F375" s="39">
        <f ca="1">IFERROR(__xludf.DUMMYFUNCTION("""COMPUTED_VALUE"""),41.84)</f>
        <v>41.84</v>
      </c>
      <c r="G375" s="39" t="str">
        <f ca="1">IFERROR(__xludf.DUMMYFUNCTION("""COMPUTED_VALUE"""),"算法")</f>
        <v>算法</v>
      </c>
      <c r="H375" s="39">
        <v>374</v>
      </c>
    </row>
    <row r="376" spans="1:8" ht="12.75" hidden="1">
      <c r="A376" s="70">
        <v>323</v>
      </c>
      <c r="B376" s="65" t="str">
        <f ca="1">IFERROR(__xludf.DUMMYFUNCTION("IF(ISBLANK(A376),,FILTER('Leetcode List'!B:C,'Leetcode List'!A:A = A376))"),"Number of Connected Components in an Undirected Graph")</f>
        <v>Number of Connected Components in an Undirected Graph</v>
      </c>
      <c r="C376" s="63" t="str">
        <f ca="1">IFERROR(__xludf.DUMMYFUNCTION("""COMPUTED_VALUE"""),"Medium")</f>
        <v>Medium</v>
      </c>
      <c r="D376" s="63" t="s">
        <v>732</v>
      </c>
      <c r="E376" s="66" t="str">
        <f ca="1">IFERROR(__xludf.DUMMYFUNCTION("IF(ISBLANK(A376),,FILTER('Leetcode List'!E:G,'Leetcode List'!A:A = A376))"),"Twitter,Facebook,Amazon,LinkedIn,Microsoft,Google")</f>
        <v>Twitter,Facebook,Amazon,LinkedIn,Microsoft,Google</v>
      </c>
      <c r="F376" s="39">
        <f ca="1">IFERROR(__xludf.DUMMYFUNCTION("""COMPUTED_VALUE"""),55.48)</f>
        <v>55.48</v>
      </c>
      <c r="G376" s="39" t="str">
        <f ca="1">IFERROR(__xludf.DUMMYFUNCTION("""COMPUTED_VALUE"""),"算法")</f>
        <v>算法</v>
      </c>
      <c r="H376" s="39">
        <v>375</v>
      </c>
    </row>
    <row r="377" spans="1:8" ht="12.75" hidden="1">
      <c r="A377" s="70">
        <v>305</v>
      </c>
      <c r="B377" s="65" t="str">
        <f ca="1">IFERROR(__xludf.DUMMYFUNCTION("IF(ISBLANK(A377),,FILTER('Leetcode List'!B:C,'Leetcode List'!A:A = A377))"),"Number of Islands II")</f>
        <v>Number of Islands II</v>
      </c>
      <c r="C377" s="63" t="str">
        <f ca="1">IFERROR(__xludf.DUMMYFUNCTION("""COMPUTED_VALUE"""),"Hard")</f>
        <v>Hard</v>
      </c>
      <c r="D377" s="63" t="s">
        <v>732</v>
      </c>
      <c r="E377" s="66" t="str">
        <f ca="1">IFERROR(__xludf.DUMMYFUNCTION("IF(ISBLANK(A377),,FILTER('Leetcode List'!E:G,'Leetcode List'!A:A = A377))"),"Snapchat,Oracle,Uber,Facebook,Amazon,Microsoft,Google")</f>
        <v>Snapchat,Oracle,Uber,Facebook,Amazon,Microsoft,Google</v>
      </c>
      <c r="F377" s="39">
        <f ca="1">IFERROR(__xludf.DUMMYFUNCTION("""COMPUTED_VALUE"""),40.2)</f>
        <v>40.200000000000003</v>
      </c>
      <c r="G377" s="39" t="str">
        <f ca="1">IFERROR(__xludf.DUMMYFUNCTION("""COMPUTED_VALUE"""),"算法")</f>
        <v>算法</v>
      </c>
      <c r="H377" s="39">
        <v>376</v>
      </c>
    </row>
    <row r="378" spans="1:8" ht="25.5" hidden="1">
      <c r="A378" s="70">
        <v>211</v>
      </c>
      <c r="B378" s="65" t="str">
        <f ca="1">IFERROR(__xludf.DUMMYFUNCTION("IF(ISBLANK(A378),,FILTER('Leetcode List'!B:C,'Leetcode List'!A:A = A378))"),"Add and Search Word - Data structure design")</f>
        <v>Add and Search Word - Data structure design</v>
      </c>
      <c r="C378" s="61" t="str">
        <f ca="1">IFERROR(__xludf.DUMMYFUNCTION("""COMPUTED_VALUE"""),"Medium")</f>
        <v>Medium</v>
      </c>
      <c r="D378" s="61" t="s">
        <v>1400</v>
      </c>
      <c r="E378" s="66" t="str">
        <f ca="1">IFERROR(__xludf.DUMMYFUNCTION("IF(ISBLANK(A378),,FILTER('Leetcode List'!E:G,'Leetcode List'!A:A = A378))"),"Salesforce,EBay,Apple,Airbnb,Uber,Facebook,Amazon,Microsoft,Google")</f>
        <v>Salesforce,EBay,Apple,Airbnb,Uber,Facebook,Amazon,Microsoft,Google</v>
      </c>
      <c r="F378" s="39">
        <f ca="1">IFERROR(__xludf.DUMMYFUNCTION("""COMPUTED_VALUE"""),36.19)</f>
        <v>36.19</v>
      </c>
      <c r="G378" s="39" t="str">
        <f ca="1">IFERROR(__xludf.DUMMYFUNCTION("""COMPUTED_VALUE"""),"算法")</f>
        <v>算法</v>
      </c>
      <c r="H378" s="39">
        <v>377</v>
      </c>
    </row>
    <row r="379" spans="1:8" ht="38.25" hidden="1">
      <c r="A379" s="70">
        <v>208</v>
      </c>
      <c r="B379" s="65" t="str">
        <f ca="1">IFERROR(__xludf.DUMMYFUNCTION("IF(ISBLANK(A379),,FILTER('Leetcode List'!B:C,'Leetcode List'!A:A = A379))"),"Implement Trie (Prefix Tree)")</f>
        <v>Implement Trie (Prefix Tree)</v>
      </c>
      <c r="C379" s="61" t="str">
        <f ca="1">IFERROR(__xludf.DUMMYFUNCTION("""COMPUTED_VALUE"""),"Medium")</f>
        <v>Medium</v>
      </c>
      <c r="D379" s="61" t="s">
        <v>1400</v>
      </c>
      <c r="E379" s="66" t="str">
        <f ca="1">IFERROR(__xludf.DUMMYFUNCTION("IF(ISBLANK(A379),,FILTER('Leetcode List'!E:G,'Leetcode List'!A:A = A379))"),"Nutanix,Quip (Salesforce),Square,Pinterest,Qualtrics,Walmart Labs,Twitter,Oracle,EBay,Apple,Uber,Bloomberg,Facebook,Amazon,Microsoft,Google")</f>
        <v>Nutanix,Quip (Salesforce),Square,Pinterest,Qualtrics,Walmart Labs,Twitter,Oracle,EBay,Apple,Uber,Bloomberg,Facebook,Amazon,Microsoft,Google</v>
      </c>
      <c r="F379" s="39">
        <f ca="1">IFERROR(__xludf.DUMMYFUNCTION("""COMPUTED_VALUE"""),48.18)</f>
        <v>48.18</v>
      </c>
      <c r="G379" s="39" t="str">
        <f ca="1">IFERROR(__xludf.DUMMYFUNCTION("""COMPUTED_VALUE"""),"算法")</f>
        <v>算法</v>
      </c>
      <c r="H379" s="39">
        <v>378</v>
      </c>
    </row>
    <row r="380" spans="1:8" ht="25.5" hidden="1">
      <c r="A380" s="70">
        <v>212</v>
      </c>
      <c r="B380" s="65" t="str">
        <f ca="1">IFERROR(__xludf.DUMMYFUNCTION("IF(ISBLANK(A380),,FILTER('Leetcode List'!B:C,'Leetcode List'!A:A = A380))"),"Word Search II")</f>
        <v>Word Search II</v>
      </c>
      <c r="C380" s="61" t="str">
        <f ca="1">IFERROR(__xludf.DUMMYFUNCTION("""COMPUTED_VALUE"""),"Hard")</f>
        <v>Hard</v>
      </c>
      <c r="D380" s="61" t="s">
        <v>1400</v>
      </c>
      <c r="E380" s="66" t="str">
        <f ca="1">IFERROR(__xludf.DUMMYFUNCTION("IF(ISBLANK(A380),,FILTER('Leetcode List'!E:G,'Leetcode List'!A:A = A380))"),"Houzz,Roblox,Salesforce,Citadel,Snapchat,Zillow,Oracle,Apple,Airbnb,Uber,Yahoo,Bloomberg,Facebook,Amazon,Microsoft,Google")</f>
        <v>Houzz,Roblox,Salesforce,Citadel,Snapchat,Zillow,Oracle,Apple,Airbnb,Uber,Yahoo,Bloomberg,Facebook,Amazon,Microsoft,Google</v>
      </c>
      <c r="F380" s="39">
        <f ca="1">IFERROR(__xludf.DUMMYFUNCTION("""COMPUTED_VALUE"""),33.34)</f>
        <v>33.340000000000003</v>
      </c>
      <c r="G380" s="39" t="str">
        <f ca="1">IFERROR(__xludf.DUMMYFUNCTION("""COMPUTED_VALUE"""),"算法")</f>
        <v>算法</v>
      </c>
      <c r="H380" s="39">
        <v>379</v>
      </c>
    </row>
    <row r="381" spans="1:8" ht="12.75" hidden="1">
      <c r="A381" s="70">
        <v>359</v>
      </c>
      <c r="B381" s="65" t="str">
        <f ca="1">IFERROR(__xludf.DUMMYFUNCTION("IF(ISBLANK(A381),,FILTER('Leetcode List'!B:C,'Leetcode List'!A:A = A381))"),"Logger Rate Limiter")</f>
        <v>Logger Rate Limiter</v>
      </c>
      <c r="C381" s="61" t="str">
        <f ca="1">IFERROR(__xludf.DUMMYFUNCTION("""COMPUTED_VALUE"""),"Easy")</f>
        <v>Easy</v>
      </c>
      <c r="D381" s="61" t="s">
        <v>390</v>
      </c>
      <c r="E381" s="66" t="str">
        <f ca="1">IFERROR(__xludf.DUMMYFUNCTION("IF(ISBLANK(A381),,FILTER('Leetcode List'!E:G,'Leetcode List'!A:A = A381))"),"Atlassian,Apple,Uber,Bloomberg,Amazon,LinkedIn,Google")</f>
        <v>Atlassian,Apple,Uber,Bloomberg,Amazon,LinkedIn,Google</v>
      </c>
      <c r="F381" s="39">
        <f ca="1">IFERROR(__xludf.DUMMYFUNCTION("""COMPUTED_VALUE"""),69.95)</f>
        <v>69.95</v>
      </c>
      <c r="G381" s="39" t="str">
        <f ca="1">IFERROR(__xludf.DUMMYFUNCTION("""COMPUTED_VALUE"""),"算法")</f>
        <v>算法</v>
      </c>
      <c r="H381" s="39">
        <v>380</v>
      </c>
    </row>
    <row r="382" spans="1:8" ht="25.5" hidden="1">
      <c r="A382" s="70">
        <v>346</v>
      </c>
      <c r="B382" s="65" t="str">
        <f ca="1">IFERROR(__xludf.DUMMYFUNCTION("IF(ISBLANK(A382),,FILTER('Leetcode List'!B:C,'Leetcode List'!A:A = A382))"),"Moving Average from Data Stream")</f>
        <v>Moving Average from Data Stream</v>
      </c>
      <c r="C382" s="61" t="str">
        <f ca="1">IFERROR(__xludf.DUMMYFUNCTION("""COMPUTED_VALUE"""),"Easy")</f>
        <v>Easy</v>
      </c>
      <c r="D382" s="61" t="s">
        <v>390</v>
      </c>
      <c r="E382" s="66" t="str">
        <f ca="1">IFERROR(__xludf.DUMMYFUNCTION("IF(ISBLANK(A382),,FILTER('Leetcode List'!E:G,'Leetcode List'!A:A = A382))"),"AppDynamics,Indeed,Twitter,Uber,Bloomberg,Facebook,Amazon,Microsoft,Google")</f>
        <v>AppDynamics,Indeed,Twitter,Uber,Bloomberg,Facebook,Amazon,Microsoft,Google</v>
      </c>
      <c r="F382" s="39">
        <f ca="1">IFERROR(__xludf.DUMMYFUNCTION("""COMPUTED_VALUE"""),70.33)</f>
        <v>70.33</v>
      </c>
      <c r="G382" s="39" t="str">
        <f ca="1">IFERROR(__xludf.DUMMYFUNCTION("""COMPUTED_VALUE"""),"算法")</f>
        <v>算法</v>
      </c>
      <c r="H382" s="39">
        <v>381</v>
      </c>
    </row>
    <row r="383" spans="1:8" ht="51" hidden="1">
      <c r="A383" s="70">
        <v>362</v>
      </c>
      <c r="B383" s="65" t="str">
        <f ca="1">IFERROR(__xludf.DUMMYFUNCTION("IF(ISBLANK(A383),,FILTER('Leetcode List'!B:C,'Leetcode List'!A:A = A383))"),"Design Hit Counter")</f>
        <v>Design Hit Counter</v>
      </c>
      <c r="C383" s="61" t="str">
        <f ca="1">IFERROR(__xludf.DUMMYFUNCTION("""COMPUTED_VALUE"""),"Medium")</f>
        <v>Medium</v>
      </c>
      <c r="D383" s="61" t="s">
        <v>390</v>
      </c>
      <c r="E383" s="66" t="str">
        <f ca="1">IFERROR(__xludf.DUMMYFUNCTION("IF(ISBLANK(A383),,FILTER('Leetcode List'!E:G,'Leetcode List'!A:A = A383))"),"Netflix,Quip (Salesforce),Pinterest,Atlassian,Booking.com,Visa,Affirm,Dropbox,Snapchat,Indeed,Zillow,Oracle,Apple,Uber,Yahoo,Bloomberg,Amazon,LinkedIn,Microsoft,Google")</f>
        <v>Netflix,Quip (Salesforce),Pinterest,Atlassian,Booking.com,Visa,Affirm,Dropbox,Snapchat,Indeed,Zillow,Oracle,Apple,Uber,Yahoo,Bloomberg,Amazon,LinkedIn,Microsoft,Google</v>
      </c>
      <c r="F383" s="39">
        <f ca="1">IFERROR(__xludf.DUMMYFUNCTION("""COMPUTED_VALUE"""),63.15)</f>
        <v>63.15</v>
      </c>
      <c r="G383" s="39" t="str">
        <f ca="1">IFERROR(__xludf.DUMMYFUNCTION("""COMPUTED_VALUE"""),"算法")</f>
        <v>算法</v>
      </c>
      <c r="H383" s="39">
        <v>382</v>
      </c>
    </row>
    <row r="384" spans="1:8" ht="12.75" hidden="1">
      <c r="A384" s="70">
        <v>281</v>
      </c>
      <c r="B384" s="65" t="str">
        <f ca="1">IFERROR(__xludf.DUMMYFUNCTION("IF(ISBLANK(A384),,FILTER('Leetcode List'!B:C,'Leetcode List'!A:A = A384))"),"Zigzag Iterator")</f>
        <v>Zigzag Iterator</v>
      </c>
      <c r="C384" s="61" t="str">
        <f ca="1">IFERROR(__xludf.DUMMYFUNCTION("""COMPUTED_VALUE"""),"Medium")</f>
        <v>Medium</v>
      </c>
      <c r="D384" s="61" t="s">
        <v>390</v>
      </c>
      <c r="E384" s="66" t="str">
        <f ca="1">IFERROR(__xludf.DUMMYFUNCTION("IF(ISBLANK(A384),,FILTER('Leetcode List'!E:G,'Leetcode List'!A:A = A384))"),"Cruise Automation,Yandex,Apple,Facebook,Amazon,Microsoft,Google")</f>
        <v>Cruise Automation,Yandex,Apple,Facebook,Amazon,Microsoft,Google</v>
      </c>
      <c r="F384" s="39">
        <f ca="1">IFERROR(__xludf.DUMMYFUNCTION("""COMPUTED_VALUE"""),58.11)</f>
        <v>58.11</v>
      </c>
      <c r="G384" s="39" t="str">
        <f ca="1">IFERROR(__xludf.DUMMYFUNCTION("""COMPUTED_VALUE"""),"算法")</f>
        <v>算法</v>
      </c>
      <c r="H384" s="39">
        <v>383</v>
      </c>
    </row>
    <row r="385" spans="1:8" ht="25.5" hidden="1">
      <c r="A385" s="70">
        <v>284</v>
      </c>
      <c r="B385" s="65" t="str">
        <f ca="1">IFERROR(__xludf.DUMMYFUNCTION("IF(ISBLANK(A385),,FILTER('Leetcode List'!B:C,'Leetcode List'!A:A = A385))"),"Peeking Iterator")</f>
        <v>Peeking Iterator</v>
      </c>
      <c r="C385" s="61" t="str">
        <f ca="1">IFERROR(__xludf.DUMMYFUNCTION("""COMPUTED_VALUE"""),"Medium")</f>
        <v>Medium</v>
      </c>
      <c r="D385" s="61" t="s">
        <v>390</v>
      </c>
      <c r="E385" s="66" t="str">
        <f ca="1">IFERROR(__xludf.DUMMYFUNCTION("IF(ISBLANK(A385),,FILTER('Leetcode List'!E:G,'Leetcode List'!A:A = A385))"),"Atlassian,Walmart Labs,Oracle,EBay,Apple,Yahoo,Facebook,Amazon,Microsoft,Google")</f>
        <v>Atlassian,Walmart Labs,Oracle,EBay,Apple,Yahoo,Facebook,Amazon,Microsoft,Google</v>
      </c>
      <c r="F385" s="39">
        <f ca="1">IFERROR(__xludf.DUMMYFUNCTION("""COMPUTED_VALUE"""),44.83)</f>
        <v>44.83</v>
      </c>
      <c r="G385" s="39" t="str">
        <f ca="1">IFERROR(__xludf.DUMMYFUNCTION("""COMPUTED_VALUE"""),"算法")</f>
        <v>算法</v>
      </c>
      <c r="H385" s="39">
        <v>384</v>
      </c>
    </row>
    <row r="386" spans="1:8" ht="12.75" hidden="1">
      <c r="A386" s="70">
        <v>251</v>
      </c>
      <c r="B386" s="65" t="str">
        <f ca="1">IFERROR(__xludf.DUMMYFUNCTION("IF(ISBLANK(A386),,FILTER('Leetcode List'!B:C,'Leetcode List'!A:A = A386))"),"Flatten 2D Vector")</f>
        <v>Flatten 2D Vector</v>
      </c>
      <c r="C386" s="61" t="str">
        <f ca="1">IFERROR(__xludf.DUMMYFUNCTION("""COMPUTED_VALUE"""),"Medium")</f>
        <v>Medium</v>
      </c>
      <c r="D386" s="61" t="s">
        <v>390</v>
      </c>
      <c r="E386" s="66" t="str">
        <f ca="1">IFERROR(__xludf.DUMMYFUNCTION("IF(ISBLANK(A386),,FILTER('Leetcode List'!E:G,'Leetcode List'!A:A = A386))"),"Zenefits,Salesforce,Twitter,Lyft,Apple,Airbnb,Uber,Facebook,Google")</f>
        <v>Zenefits,Salesforce,Twitter,Lyft,Apple,Airbnb,Uber,Facebook,Google</v>
      </c>
      <c r="F386" s="39">
        <f ca="1">IFERROR(__xludf.DUMMYFUNCTION("""COMPUTED_VALUE"""),45.47)</f>
        <v>45.47</v>
      </c>
      <c r="G386" s="39" t="str">
        <f ca="1">IFERROR(__xludf.DUMMYFUNCTION("""COMPUTED_VALUE"""),"算法")</f>
        <v>算法</v>
      </c>
      <c r="H386" s="39">
        <v>385</v>
      </c>
    </row>
    <row r="387" spans="1:8" ht="12.75" hidden="1">
      <c r="A387" s="70">
        <v>288</v>
      </c>
      <c r="B387" s="65" t="str">
        <f ca="1">IFERROR(__xludf.DUMMYFUNCTION("IF(ISBLANK(A387),,FILTER('Leetcode List'!B:C,'Leetcode List'!A:A = A387))"),"Unique Word Abbreviation")</f>
        <v>Unique Word Abbreviation</v>
      </c>
      <c r="C387" s="61" t="str">
        <f ca="1">IFERROR(__xludf.DUMMYFUNCTION("""COMPUTED_VALUE"""),"Medium")</f>
        <v>Medium</v>
      </c>
      <c r="D387" s="61" t="s">
        <v>390</v>
      </c>
      <c r="E387" s="66" t="str">
        <f ca="1">IFERROR(__xludf.DUMMYFUNCTION("IF(ISBLANK(A387),,FILTER('Leetcode List'!E:G,'Leetcode List'!A:A = A387))"),"Google")</f>
        <v>Google</v>
      </c>
      <c r="F387" s="39">
        <f ca="1">IFERROR(__xludf.DUMMYFUNCTION("""COMPUTED_VALUE"""),21.64)</f>
        <v>21.64</v>
      </c>
      <c r="G387" s="39" t="str">
        <f ca="1">IFERROR(__xludf.DUMMYFUNCTION("""COMPUTED_VALUE"""),"算法")</f>
        <v>算法</v>
      </c>
      <c r="H387" s="39">
        <v>386</v>
      </c>
    </row>
    <row r="388" spans="1:8" ht="12.75" hidden="1">
      <c r="A388" s="70">
        <v>170</v>
      </c>
      <c r="B388" s="65" t="str">
        <f ca="1">IFERROR(__xludf.DUMMYFUNCTION("IF(ISBLANK(A388),,FILTER('Leetcode List'!B:C,'Leetcode List'!A:A = A388))"),"Two Sum III - Data structure design")</f>
        <v>Two Sum III - Data structure design</v>
      </c>
      <c r="C388" s="61" t="str">
        <f ca="1">IFERROR(__xludf.DUMMYFUNCTION("""COMPUTED_VALUE"""),"Easy")</f>
        <v>Easy</v>
      </c>
      <c r="D388" s="61" t="s">
        <v>390</v>
      </c>
      <c r="E388" s="66" t="str">
        <f ca="1">IFERROR(__xludf.DUMMYFUNCTION("IF(ISBLANK(A388),,FILTER('Leetcode List'!E:G,'Leetcode List'!A:A = A388))"),"Facebook,LinkedIn")</f>
        <v>Facebook,LinkedIn</v>
      </c>
      <c r="F388" s="39">
        <f ca="1">IFERROR(__xludf.DUMMYFUNCTION("""COMPUTED_VALUE"""),33.3)</f>
        <v>33.299999999999997</v>
      </c>
      <c r="G388" s="39" t="str">
        <f ca="1">IFERROR(__xludf.DUMMYFUNCTION("""COMPUTED_VALUE"""),"算法")</f>
        <v>算法</v>
      </c>
      <c r="H388" s="39">
        <v>387</v>
      </c>
    </row>
    <row r="389" spans="1:8" ht="25.5" hidden="1">
      <c r="A389" s="70">
        <v>348</v>
      </c>
      <c r="B389" s="65" t="str">
        <f ca="1">IFERROR(__xludf.DUMMYFUNCTION("IF(ISBLANK(A389),,FILTER('Leetcode List'!B:C,'Leetcode List'!A:A = A389))"),"Design Tic-Tac-Toe")</f>
        <v>Design Tic-Tac-Toe</v>
      </c>
      <c r="C389" s="61" t="str">
        <f ca="1">IFERROR(__xludf.DUMMYFUNCTION("""COMPUTED_VALUE"""),"Medium")</f>
        <v>Medium</v>
      </c>
      <c r="D389" s="61" t="s">
        <v>390</v>
      </c>
      <c r="E389" s="66" t="str">
        <f ca="1">IFERROR(__xludf.DUMMYFUNCTION("IF(ISBLANK(A389),,FILTER('Leetcode List'!E:G,'Leetcode List'!A:A = A389))"),"TripleByte,DoorDash,Salesforce,Apple,Uber,Bloomberg,Facebook,Amazon,Microsoft,Google")</f>
        <v>TripleByte,DoorDash,Salesforce,Apple,Uber,Bloomberg,Facebook,Amazon,Microsoft,Google</v>
      </c>
      <c r="F389" s="39">
        <f ca="1">IFERROR(__xludf.DUMMYFUNCTION("""COMPUTED_VALUE"""),53.76)</f>
        <v>53.76</v>
      </c>
      <c r="G389" s="39" t="str">
        <f ca="1">IFERROR(__xludf.DUMMYFUNCTION("""COMPUTED_VALUE"""),"算法")</f>
        <v>算法</v>
      </c>
      <c r="H389" s="39">
        <v>388</v>
      </c>
    </row>
    <row r="390" spans="1:8" ht="12.75" hidden="1">
      <c r="A390" s="70">
        <v>379</v>
      </c>
      <c r="B390" s="65" t="str">
        <f ca="1">IFERROR(__xludf.DUMMYFUNCTION("IF(ISBLANK(A390),,FILTER('Leetcode List'!B:C,'Leetcode List'!A:A = A390))"),"Design Phone Directory")</f>
        <v>Design Phone Directory</v>
      </c>
      <c r="C390" s="61" t="str">
        <f ca="1">IFERROR(__xludf.DUMMYFUNCTION("""COMPUTED_VALUE"""),"Medium")</f>
        <v>Medium</v>
      </c>
      <c r="D390" s="61" t="s">
        <v>390</v>
      </c>
      <c r="E390" s="66" t="str">
        <f ca="1">IFERROR(__xludf.DUMMYFUNCTION("IF(ISBLANK(A390),,FILTER('Leetcode List'!E:G,'Leetcode List'!A:A = A390))"),"Dropbox,Microsoft,Google")</f>
        <v>Dropbox,Microsoft,Google</v>
      </c>
      <c r="F390" s="39">
        <f ca="1">IFERROR(__xludf.DUMMYFUNCTION("""COMPUTED_VALUE"""),46.47)</f>
        <v>46.47</v>
      </c>
      <c r="G390" s="39" t="str">
        <f ca="1">IFERROR(__xludf.DUMMYFUNCTION("""COMPUTED_VALUE"""),"算法")</f>
        <v>算法</v>
      </c>
      <c r="H390" s="39">
        <v>389</v>
      </c>
    </row>
    <row r="391" spans="1:8" ht="12.75" hidden="1">
      <c r="A391" s="70">
        <v>353</v>
      </c>
      <c r="B391" s="65" t="str">
        <f ca="1">IFERROR(__xludf.DUMMYFUNCTION("IF(ISBLANK(A391),,FILTER('Leetcode List'!B:C,'Leetcode List'!A:A = A391))"),"Design Snake Game")</f>
        <v>Design Snake Game</v>
      </c>
      <c r="C391" s="61" t="str">
        <f ca="1">IFERROR(__xludf.DUMMYFUNCTION("""COMPUTED_VALUE"""),"Medium")</f>
        <v>Medium</v>
      </c>
      <c r="D391" s="61" t="s">
        <v>390</v>
      </c>
      <c r="E391" s="66" t="str">
        <f ca="1">IFERROR(__xludf.DUMMYFUNCTION("IF(ISBLANK(A391),,FILTER('Leetcode List'!E:G,'Leetcode List'!A:A = A391))"),"Salesforce,Zillow,Uber,Facebook,Amazon,Google")</f>
        <v>Salesforce,Zillow,Uber,Facebook,Amazon,Google</v>
      </c>
      <c r="F391" s="39">
        <f ca="1">IFERROR(__xludf.DUMMYFUNCTION("""COMPUTED_VALUE"""),33.61)</f>
        <v>33.61</v>
      </c>
      <c r="G391" s="39" t="str">
        <f ca="1">IFERROR(__xludf.DUMMYFUNCTION("""COMPUTED_VALUE"""),"算法")</f>
        <v>算法</v>
      </c>
      <c r="H391" s="39">
        <v>390</v>
      </c>
    </row>
    <row r="392" spans="1:8" ht="114.75" hidden="1">
      <c r="A392" s="70">
        <v>146</v>
      </c>
      <c r="B392" s="65" t="str">
        <f ca="1">IFERROR(__xludf.DUMMYFUNCTION("IF(ISBLANK(A392),,FILTER('Leetcode List'!B:C,'Leetcode List'!A:A = A392))"),"LRU Cache")</f>
        <v>LRU Cache</v>
      </c>
      <c r="C392" s="61" t="str">
        <f ca="1">IFERROR(__xludf.DUMMYFUNCTION("""COMPUTED_VALUE"""),"Medium")</f>
        <v>Medium</v>
      </c>
      <c r="D392" s="61" t="s">
        <v>390</v>
      </c>
      <c r="E392" s="66" t="str">
        <f ca="1">IFERROR(__xludf.DUMMYFUNCTION("IF(ISBLANK(A392),,FILTER('Leetcode List'!E:G,'Leetcode List'!A:A = A392))"),"Cloudera,HBO,Asana,Docusign,TripAdvisor,Tesla,Nutanix,DoorDash,Pinterest,Palantir Technologies,Cruise Automation,Two Sigma,Zenefits,Twitch,Roblox,Splunk,ByteDance,Twilio,Salesforce,Groupon,Zynga,Visa,VMware,Citadel,Walmart Labs,Dropbox,GoDaddy,Snapchat,JP"&amp;"Morgan,Zillow,Paypal,Twitter,Expedia,Wish,Nvidia,Oracle,Spotify,Intuit,Lyft,Cisco,Yandex,EBay,Baidu,Apple,Uber,Yahoo,SAP,Morgan Stanley,Bloomberg,Adobe,Facebook,Amazon,LinkedIn,Microsoft,Alibaba,Goldman Sachs,Google")</f>
        <v>Cloudera,HBO,Asana,Docusign,TripAdvisor,Tesla,Nutanix,DoorDash,Pinterest,Palantir Technologies,Cruise Automation,Two Sigma,Zenefits,Twitch,Roblox,Splunk,ByteDance,Twilio,Salesforce,Groupon,Zynga,Visa,VMware,Citadel,Walmart Labs,Dropbox,GoDaddy,Snapchat,JPMorgan,Zillow,Paypal,Twitter,Expedia,Wish,Nvidia,Oracle,Spotify,Intuit,Lyft,Cisco,Yandex,EBay,Baidu,Apple,Uber,Yahoo,SAP,Morgan Stanley,Bloomberg,Adobe,Facebook,Amazon,LinkedIn,Microsoft,Alibaba,Goldman Sachs,Google</v>
      </c>
      <c r="F392" s="39">
        <f ca="1">IFERROR(__xludf.DUMMYFUNCTION("""COMPUTED_VALUE"""),32.44)</f>
        <v>32.44</v>
      </c>
      <c r="G392" s="39" t="str">
        <f ca="1">IFERROR(__xludf.DUMMYFUNCTION("""COMPUTED_VALUE"""),"算法")</f>
        <v>算法</v>
      </c>
      <c r="H392" s="39">
        <v>391</v>
      </c>
    </row>
    <row r="393" spans="1:8" ht="12.75" hidden="1">
      <c r="A393" s="70">
        <v>355</v>
      </c>
      <c r="B393" s="65" t="str">
        <f ca="1">IFERROR(__xludf.DUMMYFUNCTION("IF(ISBLANK(A393),,FILTER('Leetcode List'!B:C,'Leetcode List'!A:A = A393))"),"Design Twitter")</f>
        <v>Design Twitter</v>
      </c>
      <c r="C393" s="61" t="str">
        <f ca="1">IFERROR(__xludf.DUMMYFUNCTION("""COMPUTED_VALUE"""),"Medium")</f>
        <v>Medium</v>
      </c>
      <c r="D393" s="61" t="s">
        <v>390</v>
      </c>
      <c r="E393" s="66" t="str">
        <f ca="1">IFERROR(__xludf.DUMMYFUNCTION("IF(ISBLANK(A393),,FILTER('Leetcode List'!E:G,'Leetcode List'!A:A = A393))"),"DoorDash,Twitter,Yelp,Amazon")</f>
        <v>DoorDash,Twitter,Yelp,Amazon</v>
      </c>
      <c r="F393" s="39">
        <f ca="1">IFERROR(__xludf.DUMMYFUNCTION("""COMPUTED_VALUE"""),29.97)</f>
        <v>29.97</v>
      </c>
      <c r="G393" s="39" t="str">
        <f ca="1">IFERROR(__xludf.DUMMYFUNCTION("""COMPUTED_VALUE"""),"算法")</f>
        <v>算法</v>
      </c>
      <c r="H393" s="39">
        <v>392</v>
      </c>
    </row>
    <row r="394" spans="1:8" ht="12.75" hidden="1">
      <c r="A394" s="70">
        <v>303</v>
      </c>
      <c r="B394" s="65" t="str">
        <f ca="1">IFERROR(__xludf.DUMMYFUNCTION("IF(ISBLANK(A394),,FILTER('Leetcode List'!B:C,'Leetcode List'!A:A = A394))"),"Range Sum Query - Immutable")</f>
        <v>Range Sum Query - Immutable</v>
      </c>
      <c r="C394" s="61" t="str">
        <f ca="1">IFERROR(__xludf.DUMMYFUNCTION("""COMPUTED_VALUE"""),"Easy")</f>
        <v>Easy</v>
      </c>
      <c r="D394" s="61" t="s">
        <v>390</v>
      </c>
      <c r="E394" s="66" t="str">
        <f ca="1">IFERROR(__xludf.DUMMYFUNCTION("IF(ISBLANK(A394),,FILTER('Leetcode List'!E:G,'Leetcode List'!A:A = A394))"),"Palantir Technologies,Bloomberg,Facebook,Microsoft,Google")</f>
        <v>Palantir Technologies,Bloomberg,Facebook,Microsoft,Google</v>
      </c>
      <c r="F394" s="39">
        <f ca="1">IFERROR(__xludf.DUMMYFUNCTION("""COMPUTED_VALUE"""),43.83)</f>
        <v>43.83</v>
      </c>
      <c r="G394" s="39" t="str">
        <f ca="1">IFERROR(__xludf.DUMMYFUNCTION("""COMPUTED_VALUE"""),"算法")</f>
        <v>算法</v>
      </c>
      <c r="H394" s="39">
        <v>393</v>
      </c>
    </row>
    <row r="395" spans="1:8" ht="12.75" hidden="1">
      <c r="A395" s="70">
        <v>304</v>
      </c>
      <c r="B395" s="65" t="str">
        <f ca="1">IFERROR(__xludf.DUMMYFUNCTION("IF(ISBLANK(A395),,FILTER('Leetcode List'!B:C,'Leetcode List'!A:A = A395))"),"Range Sum Query 2D - Immutable")</f>
        <v>Range Sum Query 2D - Immutable</v>
      </c>
      <c r="C395" s="61" t="str">
        <f ca="1">IFERROR(__xludf.DUMMYFUNCTION("""COMPUTED_VALUE"""),"Medium")</f>
        <v>Medium</v>
      </c>
      <c r="D395" s="61" t="s">
        <v>390</v>
      </c>
      <c r="E395" s="66" t="str">
        <f ca="1">IFERROR(__xludf.DUMMYFUNCTION("IF(ISBLANK(A395),,FILTER('Leetcode List'!E:G,'Leetcode List'!A:A = A395))"),"Houzz,VMware,Lyft,Apple,Facebook,Amazon,Microsoft,Google")</f>
        <v>Houzz,VMware,Lyft,Apple,Facebook,Amazon,Microsoft,Google</v>
      </c>
      <c r="F395" s="39">
        <f ca="1">IFERROR(__xludf.DUMMYFUNCTION("""COMPUTED_VALUE"""),37.78)</f>
        <v>37.78</v>
      </c>
      <c r="G395" s="39" t="str">
        <f ca="1">IFERROR(__xludf.DUMMYFUNCTION("""COMPUTED_VALUE"""),"算法")</f>
        <v>算法</v>
      </c>
      <c r="H395" s="39">
        <v>394</v>
      </c>
    </row>
    <row r="396" spans="1:8" ht="12.75" hidden="1">
      <c r="A396" s="70">
        <v>307</v>
      </c>
      <c r="B396" s="65" t="str">
        <f ca="1">IFERROR(__xludf.DUMMYFUNCTION("IF(ISBLANK(A396),,FILTER('Leetcode List'!B:C,'Leetcode List'!A:A = A396))"),"Range Sum Query - Mutable")</f>
        <v>Range Sum Query - Mutable</v>
      </c>
      <c r="C396" s="61" t="str">
        <f ca="1">IFERROR(__xludf.DUMMYFUNCTION("""COMPUTED_VALUE"""),"Medium")</f>
        <v>Medium</v>
      </c>
      <c r="D396" s="61" t="s">
        <v>390</v>
      </c>
      <c r="E396" s="66" t="str">
        <f ca="1">IFERROR(__xludf.DUMMYFUNCTION("IF(ISBLANK(A396),,FILTER('Leetcode List'!E:G,'Leetcode List'!A:A = A396))"),"Twitter,Facebook,Amazon,Google")</f>
        <v>Twitter,Facebook,Amazon,Google</v>
      </c>
      <c r="F396" s="39">
        <f ca="1">IFERROR(__xludf.DUMMYFUNCTION("""COMPUTED_VALUE"""),33.77)</f>
        <v>33.770000000000003</v>
      </c>
      <c r="G396" s="39" t="str">
        <f ca="1">IFERROR(__xludf.DUMMYFUNCTION("""COMPUTED_VALUE"""),"算法")</f>
        <v>算法</v>
      </c>
      <c r="H396" s="39">
        <v>395</v>
      </c>
    </row>
    <row r="397" spans="1:8" ht="12.75" hidden="1">
      <c r="A397" s="70">
        <v>308</v>
      </c>
      <c r="B397" s="65" t="str">
        <f ca="1">IFERROR(__xludf.DUMMYFUNCTION("IF(ISBLANK(A397),,FILTER('Leetcode List'!B:C,'Leetcode List'!A:A = A397))"),"Range Sum Query 2D - Mutable")</f>
        <v>Range Sum Query 2D - Mutable</v>
      </c>
      <c r="C397" s="61" t="str">
        <f ca="1">IFERROR(__xludf.DUMMYFUNCTION("""COMPUTED_VALUE"""),"Hard")</f>
        <v>Hard</v>
      </c>
      <c r="D397" s="61" t="s">
        <v>390</v>
      </c>
      <c r="E397" s="66" t="str">
        <f ca="1">IFERROR(__xludf.DUMMYFUNCTION("IF(ISBLANK(A397),,FILTER('Leetcode List'!E:G,'Leetcode List'!A:A = A397))"),"Facebook,Microsoft,Google")</f>
        <v>Facebook,Microsoft,Google</v>
      </c>
      <c r="F397" s="39">
        <f ca="1">IFERROR(__xludf.DUMMYFUNCTION("""COMPUTED_VALUE"""),35.13)</f>
        <v>35.130000000000003</v>
      </c>
      <c r="G397" s="39" t="str">
        <f ca="1">IFERROR(__xludf.DUMMYFUNCTION("""COMPUTED_VALUE"""),"算法")</f>
        <v>算法</v>
      </c>
      <c r="H397" s="39">
        <v>396</v>
      </c>
    </row>
    <row r="398" spans="1:8" ht="12.75" hidden="1">
      <c r="A398" s="72"/>
      <c r="B398" s="63"/>
      <c r="C398" s="63"/>
      <c r="D398" s="63"/>
      <c r="E398" s="64"/>
      <c r="F398" s="50"/>
      <c r="G398" s="50"/>
      <c r="H398" s="50"/>
    </row>
    <row r="399" spans="1:8" ht="12.75" hidden="1">
      <c r="A399" s="72"/>
      <c r="B399" s="63"/>
      <c r="C399" s="63"/>
      <c r="D399" s="63"/>
      <c r="E399" s="64"/>
      <c r="F399" s="50"/>
      <c r="G399" s="50"/>
      <c r="H399" s="50"/>
    </row>
    <row r="400" spans="1:8" ht="12.75" hidden="1">
      <c r="A400" s="72"/>
      <c r="B400" s="63"/>
      <c r="C400" s="63"/>
      <c r="D400" s="63"/>
      <c r="E400" s="64"/>
      <c r="F400" s="50"/>
      <c r="G400" s="50"/>
      <c r="H400" s="50"/>
    </row>
    <row r="401" spans="1:8" ht="12.75" hidden="1">
      <c r="A401" s="72"/>
      <c r="B401" s="63"/>
      <c r="C401" s="63"/>
      <c r="D401" s="63"/>
      <c r="E401" s="64"/>
      <c r="F401" s="50"/>
      <c r="G401" s="50"/>
      <c r="H401" s="50"/>
    </row>
    <row r="402" spans="1:8" ht="12.75" hidden="1">
      <c r="A402" s="72"/>
      <c r="B402" s="63"/>
      <c r="C402" s="63"/>
      <c r="D402" s="63"/>
      <c r="E402" s="64"/>
      <c r="F402" s="50"/>
      <c r="G402" s="50"/>
      <c r="H402" s="50"/>
    </row>
    <row r="403" spans="1:8" ht="12.75" hidden="1">
      <c r="A403" s="72"/>
      <c r="B403" s="63"/>
      <c r="C403" s="63"/>
      <c r="D403" s="63"/>
      <c r="E403" s="64"/>
      <c r="F403" s="50"/>
      <c r="G403" s="50"/>
      <c r="H403" s="50"/>
    </row>
    <row r="404" spans="1:8" ht="12.75" hidden="1">
      <c r="A404" s="72"/>
      <c r="B404" s="63"/>
      <c r="C404" s="63"/>
      <c r="D404" s="63"/>
      <c r="E404" s="64"/>
      <c r="F404" s="50"/>
      <c r="G404" s="50"/>
      <c r="H404" s="50"/>
    </row>
    <row r="405" spans="1:8" ht="12.75" hidden="1">
      <c r="A405" s="72"/>
      <c r="B405" s="63"/>
      <c r="C405" s="63"/>
      <c r="D405" s="63"/>
      <c r="E405" s="64"/>
      <c r="F405" s="50"/>
      <c r="G405" s="50"/>
      <c r="H405" s="50"/>
    </row>
    <row r="406" spans="1:8" ht="12.75" hidden="1">
      <c r="A406" s="72"/>
      <c r="B406" s="63"/>
      <c r="C406" s="63"/>
      <c r="D406" s="63"/>
      <c r="E406" s="64"/>
      <c r="F406" s="50"/>
      <c r="G406" s="50"/>
      <c r="H406" s="50"/>
    </row>
    <row r="407" spans="1:8" ht="12.75" hidden="1">
      <c r="A407" s="72"/>
      <c r="B407" s="63"/>
      <c r="C407" s="63"/>
      <c r="D407" s="63"/>
      <c r="E407" s="64"/>
      <c r="F407" s="50"/>
      <c r="G407" s="50"/>
      <c r="H407" s="50"/>
    </row>
    <row r="408" spans="1:8" ht="12.75" hidden="1">
      <c r="A408" s="72"/>
      <c r="B408" s="63"/>
      <c r="C408" s="63"/>
      <c r="D408" s="63"/>
      <c r="E408" s="64"/>
      <c r="F408" s="50"/>
      <c r="G408" s="50"/>
      <c r="H408" s="50"/>
    </row>
    <row r="409" spans="1:8" ht="12.75" hidden="1">
      <c r="A409" s="72"/>
      <c r="B409" s="63"/>
      <c r="C409" s="63"/>
      <c r="D409" s="63"/>
      <c r="E409" s="64"/>
      <c r="F409" s="50"/>
      <c r="G409" s="50"/>
      <c r="H409" s="50"/>
    </row>
    <row r="410" spans="1:8" ht="12.75" hidden="1">
      <c r="A410" s="72"/>
      <c r="B410" s="63"/>
      <c r="C410" s="63"/>
      <c r="D410" s="63"/>
      <c r="E410" s="64"/>
      <c r="F410" s="50"/>
      <c r="G410" s="50"/>
      <c r="H410" s="50"/>
    </row>
    <row r="411" spans="1:8" ht="12.75" hidden="1">
      <c r="A411" s="72"/>
      <c r="B411" s="63"/>
      <c r="C411" s="63"/>
      <c r="D411" s="63"/>
      <c r="E411" s="64"/>
      <c r="F411" s="50"/>
      <c r="G411" s="50"/>
      <c r="H411" s="50"/>
    </row>
    <row r="412" spans="1:8" ht="12.75" hidden="1">
      <c r="A412" s="72"/>
      <c r="B412" s="63"/>
      <c r="C412" s="63"/>
      <c r="D412" s="63"/>
      <c r="E412" s="64"/>
      <c r="F412" s="50"/>
      <c r="G412" s="50"/>
      <c r="H412" s="50"/>
    </row>
    <row r="413" spans="1:8" ht="12.75" hidden="1">
      <c r="A413" s="72"/>
      <c r="B413" s="63"/>
      <c r="C413" s="63"/>
      <c r="D413" s="63"/>
      <c r="E413" s="64"/>
      <c r="F413" s="50"/>
      <c r="G413" s="50"/>
      <c r="H413" s="50"/>
    </row>
    <row r="414" spans="1:8" ht="12.75" hidden="1">
      <c r="A414" s="72"/>
      <c r="B414" s="63"/>
      <c r="C414" s="63"/>
      <c r="D414" s="63"/>
      <c r="E414" s="64"/>
      <c r="F414" s="50"/>
      <c r="G414" s="50"/>
      <c r="H414" s="50"/>
    </row>
    <row r="415" spans="1:8" ht="12.75" hidden="1">
      <c r="A415" s="72"/>
      <c r="B415" s="63"/>
      <c r="C415" s="63"/>
      <c r="D415" s="63"/>
      <c r="E415" s="64"/>
      <c r="F415" s="50"/>
      <c r="G415" s="50"/>
      <c r="H415" s="50"/>
    </row>
    <row r="416" spans="1:8" ht="12.75" hidden="1">
      <c r="A416" s="72"/>
      <c r="B416" s="63"/>
      <c r="C416" s="63"/>
      <c r="D416" s="63"/>
      <c r="E416" s="64"/>
      <c r="F416" s="50"/>
      <c r="G416" s="50"/>
      <c r="H416" s="50"/>
    </row>
    <row r="417" spans="1:8" ht="12.75" hidden="1">
      <c r="A417" s="72"/>
      <c r="B417" s="63"/>
      <c r="C417" s="63"/>
      <c r="D417" s="63"/>
      <c r="E417" s="64"/>
      <c r="F417" s="50"/>
      <c r="G417" s="50"/>
      <c r="H417" s="50"/>
    </row>
    <row r="418" spans="1:8" ht="12.75" hidden="1">
      <c r="A418" s="72"/>
      <c r="B418" s="63"/>
      <c r="C418" s="63"/>
      <c r="D418" s="63"/>
      <c r="E418" s="64"/>
      <c r="F418" s="50"/>
      <c r="G418" s="50"/>
      <c r="H418" s="50"/>
    </row>
    <row r="419" spans="1:8" ht="12.75" hidden="1">
      <c r="A419" s="72"/>
      <c r="B419" s="63"/>
      <c r="C419" s="63"/>
      <c r="D419" s="63"/>
      <c r="E419" s="64"/>
      <c r="F419" s="50"/>
      <c r="G419" s="50"/>
      <c r="H419" s="50"/>
    </row>
    <row r="420" spans="1:8" ht="12.75" hidden="1">
      <c r="A420" s="72"/>
      <c r="B420" s="63"/>
      <c r="C420" s="63"/>
      <c r="D420" s="63"/>
      <c r="E420" s="64"/>
      <c r="F420" s="50"/>
      <c r="G420" s="50"/>
      <c r="H420" s="50"/>
    </row>
    <row r="421" spans="1:8" ht="12.75" hidden="1">
      <c r="A421" s="72"/>
      <c r="B421" s="63"/>
      <c r="C421" s="63"/>
      <c r="D421" s="63"/>
      <c r="E421" s="64"/>
      <c r="F421" s="50"/>
      <c r="G421" s="50"/>
      <c r="H421" s="50"/>
    </row>
    <row r="422" spans="1:8" ht="12.75" hidden="1">
      <c r="A422" s="72"/>
      <c r="B422" s="63"/>
      <c r="C422" s="63"/>
      <c r="D422" s="63"/>
      <c r="E422" s="64"/>
      <c r="F422" s="50"/>
      <c r="G422" s="50"/>
      <c r="H422" s="50"/>
    </row>
    <row r="423" spans="1:8" ht="12.75" hidden="1">
      <c r="A423" s="72"/>
      <c r="B423" s="63"/>
      <c r="C423" s="63"/>
      <c r="D423" s="63"/>
      <c r="E423" s="64"/>
      <c r="F423" s="50"/>
      <c r="G423" s="50"/>
      <c r="H423" s="50"/>
    </row>
    <row r="424" spans="1:8" ht="12.75" hidden="1">
      <c r="A424" s="72"/>
      <c r="B424" s="63"/>
      <c r="C424" s="63"/>
      <c r="D424" s="63"/>
      <c r="E424" s="64"/>
      <c r="F424" s="50"/>
      <c r="G424" s="50"/>
      <c r="H424" s="50"/>
    </row>
    <row r="425" spans="1:8" ht="12.75" hidden="1">
      <c r="A425" s="72"/>
      <c r="B425" s="63"/>
      <c r="C425" s="63"/>
      <c r="D425" s="63"/>
      <c r="E425" s="64"/>
      <c r="F425" s="50"/>
      <c r="G425" s="50"/>
      <c r="H425" s="50"/>
    </row>
    <row r="426" spans="1:8" ht="12.75" hidden="1">
      <c r="A426" s="72"/>
      <c r="B426" s="63"/>
      <c r="C426" s="63"/>
      <c r="D426" s="63"/>
      <c r="E426" s="64"/>
      <c r="F426" s="50"/>
      <c r="G426" s="50"/>
      <c r="H426" s="50"/>
    </row>
    <row r="427" spans="1:8" ht="12.75" hidden="1">
      <c r="A427" s="72"/>
      <c r="B427" s="63"/>
      <c r="C427" s="63"/>
      <c r="D427" s="63"/>
      <c r="E427" s="64"/>
      <c r="F427" s="50"/>
      <c r="G427" s="50"/>
      <c r="H427" s="50"/>
    </row>
    <row r="428" spans="1:8" ht="12.75" hidden="1">
      <c r="A428" s="72"/>
      <c r="B428" s="63"/>
      <c r="C428" s="63"/>
      <c r="D428" s="63"/>
      <c r="E428" s="64"/>
      <c r="F428" s="50"/>
      <c r="G428" s="50"/>
      <c r="H428" s="50"/>
    </row>
    <row r="429" spans="1:8" ht="12.75" hidden="1">
      <c r="A429" s="72"/>
      <c r="B429" s="63"/>
      <c r="C429" s="63"/>
      <c r="D429" s="63"/>
      <c r="E429" s="64"/>
      <c r="F429" s="50"/>
      <c r="G429" s="50"/>
      <c r="H429" s="50"/>
    </row>
    <row r="430" spans="1:8" ht="12.75" hidden="1">
      <c r="A430" s="72"/>
      <c r="B430" s="63"/>
      <c r="C430" s="63"/>
      <c r="D430" s="63"/>
      <c r="E430" s="64"/>
      <c r="F430" s="50"/>
      <c r="G430" s="50"/>
      <c r="H430" s="50"/>
    </row>
    <row r="431" spans="1:8" ht="12.75" hidden="1">
      <c r="A431" s="72"/>
      <c r="B431" s="63"/>
      <c r="C431" s="63"/>
      <c r="D431" s="63"/>
      <c r="E431" s="64"/>
      <c r="F431" s="50"/>
      <c r="G431" s="50"/>
      <c r="H431" s="50"/>
    </row>
    <row r="432" spans="1:8" ht="12.75" hidden="1">
      <c r="A432" s="72"/>
      <c r="B432" s="63"/>
      <c r="C432" s="63"/>
      <c r="D432" s="63"/>
      <c r="E432" s="64"/>
      <c r="F432" s="50"/>
      <c r="G432" s="50"/>
      <c r="H432" s="50"/>
    </row>
    <row r="433" spans="1:8" ht="12.75" hidden="1">
      <c r="A433" s="72"/>
      <c r="B433" s="63"/>
      <c r="C433" s="63"/>
      <c r="D433" s="63"/>
      <c r="E433" s="64"/>
      <c r="F433" s="50"/>
      <c r="G433" s="50"/>
      <c r="H433" s="50"/>
    </row>
    <row r="434" spans="1:8" ht="12.75" hidden="1">
      <c r="A434" s="72"/>
      <c r="B434" s="63"/>
      <c r="C434" s="63"/>
      <c r="D434" s="63"/>
      <c r="E434" s="64"/>
      <c r="F434" s="50"/>
      <c r="G434" s="50"/>
      <c r="H434" s="50"/>
    </row>
    <row r="435" spans="1:8" ht="12.75" hidden="1">
      <c r="A435" s="72"/>
      <c r="B435" s="63"/>
      <c r="C435" s="63"/>
      <c r="D435" s="63"/>
      <c r="E435" s="64"/>
      <c r="F435" s="50"/>
      <c r="G435" s="50"/>
      <c r="H435" s="50"/>
    </row>
    <row r="436" spans="1:8" ht="12.75" hidden="1">
      <c r="A436" s="72"/>
      <c r="B436" s="63"/>
      <c r="C436" s="63"/>
      <c r="D436" s="63"/>
      <c r="E436" s="64"/>
      <c r="F436" s="50"/>
      <c r="G436" s="50"/>
      <c r="H436" s="50"/>
    </row>
    <row r="437" spans="1:8" ht="12.75" hidden="1">
      <c r="A437" s="72"/>
      <c r="B437" s="63"/>
      <c r="C437" s="63"/>
      <c r="D437" s="63"/>
      <c r="E437" s="64"/>
      <c r="F437" s="50"/>
      <c r="G437" s="50"/>
      <c r="H437" s="50"/>
    </row>
    <row r="438" spans="1:8" ht="12.75" hidden="1">
      <c r="A438" s="72"/>
      <c r="B438" s="63"/>
      <c r="C438" s="63"/>
      <c r="D438" s="63"/>
      <c r="E438" s="64"/>
      <c r="F438" s="50"/>
      <c r="G438" s="50"/>
      <c r="H438" s="50"/>
    </row>
    <row r="439" spans="1:8" ht="12.75" hidden="1">
      <c r="A439" s="72"/>
      <c r="B439" s="63"/>
      <c r="C439" s="63"/>
      <c r="D439" s="63"/>
      <c r="E439" s="64"/>
      <c r="F439" s="50"/>
      <c r="G439" s="50"/>
      <c r="H439" s="50"/>
    </row>
    <row r="440" spans="1:8" ht="12.75" hidden="1">
      <c r="A440" s="72"/>
      <c r="B440" s="63"/>
      <c r="C440" s="63"/>
      <c r="D440" s="63"/>
      <c r="E440" s="64"/>
      <c r="F440" s="50"/>
      <c r="G440" s="50"/>
      <c r="H440" s="50"/>
    </row>
    <row r="441" spans="1:8" ht="12.75" hidden="1">
      <c r="A441" s="72"/>
      <c r="B441" s="63"/>
      <c r="C441" s="63"/>
      <c r="D441" s="63"/>
      <c r="E441" s="64"/>
      <c r="F441" s="50"/>
      <c r="G441" s="50"/>
      <c r="H441" s="50"/>
    </row>
    <row r="442" spans="1:8" ht="12.75" hidden="1">
      <c r="A442" s="72"/>
      <c r="B442" s="63"/>
      <c r="C442" s="63"/>
      <c r="D442" s="63"/>
      <c r="E442" s="64"/>
      <c r="F442" s="50"/>
      <c r="G442" s="50"/>
      <c r="H442" s="50"/>
    </row>
    <row r="443" spans="1:8" ht="12.75" hidden="1">
      <c r="A443" s="72"/>
      <c r="B443" s="63"/>
      <c r="C443" s="63"/>
      <c r="D443" s="63"/>
      <c r="E443" s="64"/>
      <c r="F443" s="50"/>
      <c r="G443" s="50"/>
      <c r="H443" s="50"/>
    </row>
    <row r="444" spans="1:8" ht="12.75" hidden="1">
      <c r="A444" s="72"/>
      <c r="B444" s="63"/>
      <c r="C444" s="63"/>
      <c r="D444" s="63"/>
      <c r="E444" s="64"/>
      <c r="F444" s="50"/>
      <c r="G444" s="50"/>
      <c r="H444" s="50"/>
    </row>
    <row r="445" spans="1:8" ht="12.75" hidden="1">
      <c r="A445" s="72"/>
      <c r="B445" s="63"/>
      <c r="C445" s="63"/>
      <c r="D445" s="63"/>
      <c r="E445" s="64"/>
      <c r="F445" s="50"/>
      <c r="G445" s="50"/>
      <c r="H445" s="50"/>
    </row>
    <row r="446" spans="1:8" ht="12.75" hidden="1">
      <c r="A446" s="72"/>
      <c r="B446" s="63"/>
      <c r="C446" s="63"/>
      <c r="D446" s="63"/>
      <c r="E446" s="64"/>
      <c r="F446" s="50"/>
      <c r="G446" s="50"/>
      <c r="H446" s="50"/>
    </row>
    <row r="447" spans="1:8" ht="12.75" hidden="1">
      <c r="A447" s="72"/>
      <c r="B447" s="63"/>
      <c r="C447" s="63"/>
      <c r="D447" s="63"/>
      <c r="E447" s="64"/>
      <c r="F447" s="50"/>
      <c r="G447" s="50"/>
      <c r="H447" s="50"/>
    </row>
    <row r="448" spans="1:8" ht="12.75" hidden="1">
      <c r="A448" s="72"/>
      <c r="B448" s="63"/>
      <c r="C448" s="63"/>
      <c r="D448" s="63"/>
      <c r="E448" s="64"/>
      <c r="F448" s="50"/>
      <c r="G448" s="50"/>
      <c r="H448" s="50"/>
    </row>
    <row r="449" spans="1:8" ht="12.75" hidden="1">
      <c r="A449" s="72"/>
      <c r="B449" s="63"/>
      <c r="C449" s="63"/>
      <c r="D449" s="63"/>
      <c r="E449" s="64"/>
      <c r="F449" s="50"/>
      <c r="G449" s="50"/>
      <c r="H449" s="50"/>
    </row>
    <row r="450" spans="1:8" ht="12.75" hidden="1">
      <c r="A450" s="72"/>
      <c r="B450" s="63"/>
      <c r="C450" s="63"/>
      <c r="D450" s="63"/>
      <c r="E450" s="64"/>
      <c r="F450" s="50"/>
      <c r="G450" s="50"/>
      <c r="H450" s="50"/>
    </row>
    <row r="451" spans="1:8" ht="12.75" hidden="1">
      <c r="A451" s="72"/>
      <c r="B451" s="63"/>
      <c r="C451" s="63"/>
      <c r="D451" s="63"/>
      <c r="E451" s="64"/>
      <c r="F451" s="50"/>
      <c r="G451" s="50"/>
      <c r="H451" s="50"/>
    </row>
    <row r="452" spans="1:8" ht="12.75" hidden="1">
      <c r="A452" s="72"/>
      <c r="B452" s="63"/>
      <c r="C452" s="63"/>
      <c r="D452" s="63"/>
      <c r="E452" s="64"/>
      <c r="F452" s="50"/>
      <c r="G452" s="50"/>
      <c r="H452" s="50"/>
    </row>
    <row r="453" spans="1:8" ht="12.75" hidden="1">
      <c r="A453" s="72"/>
      <c r="B453" s="63"/>
      <c r="C453" s="63"/>
      <c r="D453" s="63"/>
      <c r="E453" s="64"/>
      <c r="F453" s="50"/>
      <c r="G453" s="50"/>
      <c r="H453" s="50"/>
    </row>
    <row r="454" spans="1:8" ht="12.75" hidden="1">
      <c r="A454" s="72"/>
      <c r="B454" s="63"/>
      <c r="C454" s="63"/>
      <c r="D454" s="63"/>
      <c r="E454" s="64"/>
      <c r="F454" s="50"/>
      <c r="G454" s="50"/>
      <c r="H454" s="50"/>
    </row>
    <row r="455" spans="1:8" ht="12.75" hidden="1">
      <c r="A455" s="72"/>
      <c r="B455" s="63"/>
      <c r="C455" s="63"/>
      <c r="D455" s="63"/>
      <c r="E455" s="64"/>
      <c r="F455" s="50"/>
      <c r="G455" s="50"/>
      <c r="H455" s="50"/>
    </row>
    <row r="456" spans="1:8" ht="12.75" hidden="1">
      <c r="A456" s="72"/>
      <c r="B456" s="63"/>
      <c r="C456" s="63"/>
      <c r="D456" s="63"/>
      <c r="E456" s="64"/>
      <c r="F456" s="50"/>
      <c r="G456" s="50"/>
      <c r="H456" s="50"/>
    </row>
    <row r="457" spans="1:8" ht="12.75" hidden="1">
      <c r="A457" s="72"/>
      <c r="B457" s="63"/>
      <c r="C457" s="63"/>
      <c r="D457" s="63"/>
      <c r="E457" s="64"/>
      <c r="F457" s="50"/>
      <c r="G457" s="50"/>
      <c r="H457" s="50"/>
    </row>
    <row r="458" spans="1:8" ht="12.75" hidden="1">
      <c r="A458" s="72"/>
      <c r="B458" s="63"/>
      <c r="C458" s="63"/>
      <c r="D458" s="63"/>
      <c r="E458" s="64"/>
      <c r="F458" s="50"/>
      <c r="G458" s="50"/>
      <c r="H458" s="50"/>
    </row>
    <row r="459" spans="1:8" ht="12.75" hidden="1">
      <c r="A459" s="72"/>
      <c r="B459" s="63"/>
      <c r="C459" s="63"/>
      <c r="D459" s="63"/>
      <c r="E459" s="64"/>
      <c r="F459" s="50"/>
      <c r="G459" s="50"/>
      <c r="H459" s="50"/>
    </row>
    <row r="460" spans="1:8" ht="12.75" hidden="1">
      <c r="A460" s="72"/>
      <c r="B460" s="63"/>
      <c r="C460" s="63"/>
      <c r="D460" s="63"/>
      <c r="E460" s="64"/>
      <c r="F460" s="50"/>
      <c r="G460" s="50"/>
      <c r="H460" s="50"/>
    </row>
    <row r="461" spans="1:8" ht="12.75" hidden="1">
      <c r="A461" s="72"/>
      <c r="B461" s="63"/>
      <c r="C461" s="63"/>
      <c r="D461" s="63"/>
      <c r="E461" s="64"/>
      <c r="F461" s="50"/>
      <c r="G461" s="50"/>
      <c r="H461" s="50"/>
    </row>
    <row r="462" spans="1:8" ht="12.75" hidden="1">
      <c r="A462" s="72"/>
      <c r="B462" s="63"/>
      <c r="C462" s="63"/>
      <c r="D462" s="63"/>
      <c r="E462" s="64"/>
      <c r="F462" s="50"/>
      <c r="G462" s="50"/>
      <c r="H462" s="50"/>
    </row>
    <row r="463" spans="1:8" ht="12.75" hidden="1">
      <c r="A463" s="72"/>
      <c r="B463" s="63"/>
      <c r="C463" s="63"/>
      <c r="D463" s="63"/>
      <c r="E463" s="64"/>
      <c r="F463" s="50"/>
      <c r="G463" s="50"/>
      <c r="H463" s="50"/>
    </row>
    <row r="464" spans="1:8" ht="12.75" hidden="1">
      <c r="A464" s="72"/>
      <c r="B464" s="63"/>
      <c r="C464" s="63"/>
      <c r="D464" s="63"/>
      <c r="E464" s="64"/>
      <c r="F464" s="50"/>
      <c r="G464" s="50"/>
      <c r="H464" s="50"/>
    </row>
    <row r="465" spans="1:8" ht="12.75" hidden="1">
      <c r="A465" s="72"/>
      <c r="B465" s="63"/>
      <c r="C465" s="63"/>
      <c r="D465" s="63"/>
      <c r="E465" s="64"/>
      <c r="F465" s="50"/>
      <c r="G465" s="50"/>
      <c r="H465" s="50"/>
    </row>
    <row r="466" spans="1:8" ht="12.75" hidden="1">
      <c r="A466" s="72"/>
      <c r="B466" s="63"/>
      <c r="C466" s="63"/>
      <c r="D466" s="63"/>
      <c r="E466" s="64"/>
      <c r="F466" s="50"/>
      <c r="G466" s="50"/>
      <c r="H466" s="50"/>
    </row>
    <row r="467" spans="1:8" ht="12.75" hidden="1">
      <c r="A467" s="72"/>
      <c r="B467" s="63"/>
      <c r="C467" s="63"/>
      <c r="D467" s="63"/>
      <c r="E467" s="64"/>
      <c r="F467" s="50"/>
      <c r="G467" s="50"/>
      <c r="H467" s="50"/>
    </row>
    <row r="468" spans="1:8" ht="12.75" hidden="1">
      <c r="A468" s="72"/>
      <c r="B468" s="63"/>
      <c r="C468" s="63"/>
      <c r="D468" s="63"/>
      <c r="E468" s="64"/>
      <c r="F468" s="50"/>
      <c r="G468" s="50"/>
      <c r="H468" s="50"/>
    </row>
    <row r="469" spans="1:8" ht="12.75" hidden="1">
      <c r="A469" s="72"/>
      <c r="B469" s="63"/>
      <c r="C469" s="63"/>
      <c r="D469" s="63"/>
      <c r="E469" s="64"/>
      <c r="F469" s="50"/>
      <c r="G469" s="50"/>
      <c r="H469" s="50"/>
    </row>
    <row r="470" spans="1:8" ht="12.75" hidden="1">
      <c r="A470" s="72"/>
      <c r="B470" s="63"/>
      <c r="C470" s="63"/>
      <c r="D470" s="63"/>
      <c r="E470" s="64"/>
      <c r="F470" s="50"/>
      <c r="G470" s="50"/>
      <c r="H470" s="50"/>
    </row>
    <row r="471" spans="1:8" ht="12.75" hidden="1">
      <c r="A471" s="72"/>
      <c r="B471" s="63"/>
      <c r="C471" s="63"/>
      <c r="D471" s="63"/>
      <c r="E471" s="64"/>
      <c r="F471" s="50"/>
      <c r="G471" s="50"/>
      <c r="H471" s="50"/>
    </row>
    <row r="472" spans="1:8" ht="12.75" hidden="1">
      <c r="A472" s="72"/>
      <c r="B472" s="63"/>
      <c r="C472" s="63"/>
      <c r="D472" s="63"/>
      <c r="E472" s="64"/>
      <c r="F472" s="50"/>
      <c r="G472" s="50"/>
      <c r="H472" s="50"/>
    </row>
    <row r="473" spans="1:8" ht="12.75" hidden="1">
      <c r="A473" s="72"/>
      <c r="B473" s="63"/>
      <c r="C473" s="63"/>
      <c r="D473" s="63"/>
      <c r="E473" s="64"/>
      <c r="F473" s="50"/>
      <c r="G473" s="50"/>
      <c r="H473" s="50"/>
    </row>
    <row r="474" spans="1:8" ht="12.75" hidden="1">
      <c r="A474" s="72"/>
      <c r="B474" s="63"/>
      <c r="C474" s="63"/>
      <c r="D474" s="63"/>
      <c r="E474" s="64"/>
      <c r="F474" s="50"/>
      <c r="G474" s="50"/>
      <c r="H474" s="50"/>
    </row>
    <row r="475" spans="1:8" ht="12.75" hidden="1">
      <c r="A475" s="72"/>
      <c r="B475" s="63"/>
      <c r="C475" s="63"/>
      <c r="D475" s="63"/>
      <c r="E475" s="64"/>
      <c r="F475" s="50"/>
      <c r="G475" s="50"/>
      <c r="H475" s="50"/>
    </row>
    <row r="476" spans="1:8" ht="12.75" hidden="1">
      <c r="A476" s="72"/>
      <c r="B476" s="63"/>
      <c r="C476" s="63"/>
      <c r="D476" s="63"/>
      <c r="E476" s="64"/>
      <c r="F476" s="50"/>
      <c r="G476" s="50"/>
      <c r="H476" s="50"/>
    </row>
    <row r="477" spans="1:8" ht="12.75" hidden="1">
      <c r="A477" s="72"/>
      <c r="B477" s="63"/>
      <c r="C477" s="63"/>
      <c r="D477" s="63"/>
      <c r="E477" s="64"/>
      <c r="F477" s="50"/>
      <c r="G477" s="50"/>
      <c r="H477" s="50"/>
    </row>
    <row r="478" spans="1:8" ht="12.75" hidden="1">
      <c r="A478" s="72"/>
      <c r="B478" s="63"/>
      <c r="C478" s="63"/>
      <c r="D478" s="63"/>
      <c r="E478" s="64"/>
      <c r="F478" s="50"/>
      <c r="G478" s="50"/>
      <c r="H478" s="50"/>
    </row>
    <row r="479" spans="1:8" ht="12.75" hidden="1">
      <c r="A479" s="72"/>
      <c r="B479" s="63"/>
      <c r="C479" s="63"/>
      <c r="D479" s="63"/>
      <c r="E479" s="64"/>
      <c r="F479" s="50"/>
      <c r="G479" s="50"/>
      <c r="H479" s="50"/>
    </row>
    <row r="480" spans="1:8" ht="12.75" hidden="1">
      <c r="A480" s="72"/>
      <c r="B480" s="63"/>
      <c r="C480" s="63"/>
      <c r="D480" s="63"/>
      <c r="E480" s="64"/>
      <c r="F480" s="50"/>
      <c r="G480" s="50"/>
      <c r="H480" s="50"/>
    </row>
    <row r="481" spans="1:8" ht="12.75" hidden="1">
      <c r="A481" s="72"/>
      <c r="B481" s="63"/>
      <c r="C481" s="63"/>
      <c r="D481" s="63"/>
      <c r="E481" s="64"/>
      <c r="F481" s="50"/>
      <c r="G481" s="50"/>
      <c r="H481" s="50"/>
    </row>
    <row r="482" spans="1:8" ht="12.75" hidden="1">
      <c r="A482" s="72"/>
      <c r="B482" s="63"/>
      <c r="C482" s="63"/>
      <c r="D482" s="63"/>
      <c r="E482" s="64"/>
      <c r="F482" s="50"/>
      <c r="G482" s="50"/>
      <c r="H482" s="50"/>
    </row>
    <row r="483" spans="1:8" ht="12.75" hidden="1">
      <c r="A483" s="72"/>
      <c r="B483" s="63"/>
      <c r="C483" s="63"/>
      <c r="D483" s="63"/>
      <c r="E483" s="64"/>
      <c r="F483" s="50"/>
      <c r="G483" s="50"/>
      <c r="H483" s="50"/>
    </row>
    <row r="484" spans="1:8" ht="12.75" hidden="1">
      <c r="A484" s="72"/>
      <c r="B484" s="63"/>
      <c r="C484" s="63"/>
      <c r="D484" s="63"/>
      <c r="E484" s="64"/>
      <c r="F484" s="50"/>
      <c r="G484" s="50"/>
      <c r="H484" s="50"/>
    </row>
    <row r="485" spans="1:8" ht="12.75" hidden="1">
      <c r="A485" s="72"/>
      <c r="B485" s="63"/>
      <c r="C485" s="63"/>
      <c r="D485" s="63"/>
      <c r="E485" s="64"/>
      <c r="F485" s="50"/>
      <c r="G485" s="50"/>
      <c r="H485" s="50"/>
    </row>
    <row r="486" spans="1:8" ht="12.75" hidden="1">
      <c r="A486" s="72"/>
      <c r="B486" s="63"/>
      <c r="C486" s="63"/>
      <c r="D486" s="63"/>
      <c r="E486" s="64"/>
      <c r="F486" s="50"/>
      <c r="G486" s="50"/>
      <c r="H486" s="50"/>
    </row>
    <row r="487" spans="1:8" ht="12.75" hidden="1">
      <c r="A487" s="72"/>
      <c r="B487" s="63"/>
      <c r="C487" s="63"/>
      <c r="D487" s="63"/>
      <c r="E487" s="64"/>
      <c r="F487" s="50"/>
      <c r="G487" s="50"/>
      <c r="H487" s="50"/>
    </row>
    <row r="488" spans="1:8" ht="12.75" hidden="1">
      <c r="A488" s="72"/>
      <c r="B488" s="63"/>
      <c r="C488" s="63"/>
      <c r="D488" s="63"/>
      <c r="E488" s="64"/>
      <c r="F488" s="50"/>
      <c r="G488" s="50"/>
      <c r="H488" s="50"/>
    </row>
    <row r="489" spans="1:8" ht="12.75" hidden="1">
      <c r="A489" s="72"/>
      <c r="B489" s="63"/>
      <c r="C489" s="63"/>
      <c r="D489" s="63"/>
      <c r="E489" s="64"/>
      <c r="F489" s="50"/>
      <c r="G489" s="50"/>
      <c r="H489" s="50"/>
    </row>
    <row r="490" spans="1:8" ht="12.75" hidden="1">
      <c r="A490" s="72"/>
      <c r="B490" s="63"/>
      <c r="C490" s="63"/>
      <c r="D490" s="63"/>
      <c r="E490" s="64"/>
      <c r="F490" s="50"/>
      <c r="G490" s="50"/>
      <c r="H490" s="50"/>
    </row>
    <row r="491" spans="1:8" ht="12.75" hidden="1">
      <c r="A491" s="72"/>
      <c r="B491" s="63"/>
      <c r="C491" s="63"/>
      <c r="D491" s="63"/>
      <c r="E491" s="64"/>
      <c r="F491" s="50"/>
      <c r="G491" s="50"/>
      <c r="H491" s="50"/>
    </row>
    <row r="492" spans="1:8" ht="12.75" hidden="1">
      <c r="A492" s="72"/>
      <c r="B492" s="63"/>
      <c r="C492" s="63"/>
      <c r="D492" s="63"/>
      <c r="E492" s="64"/>
      <c r="F492" s="50"/>
      <c r="G492" s="50"/>
      <c r="H492" s="50"/>
    </row>
    <row r="493" spans="1:8" ht="12.75" hidden="1">
      <c r="A493" s="72"/>
      <c r="B493" s="63"/>
      <c r="C493" s="63"/>
      <c r="D493" s="63"/>
      <c r="E493" s="64"/>
      <c r="F493" s="50"/>
      <c r="G493" s="50"/>
      <c r="H493" s="50"/>
    </row>
    <row r="494" spans="1:8" ht="12.75" hidden="1">
      <c r="A494" s="72"/>
      <c r="B494" s="63"/>
      <c r="C494" s="63"/>
      <c r="D494" s="63"/>
      <c r="E494" s="64"/>
      <c r="F494" s="50"/>
      <c r="G494" s="50"/>
      <c r="H494" s="50"/>
    </row>
    <row r="495" spans="1:8" ht="12.75" hidden="1">
      <c r="A495" s="72"/>
      <c r="B495" s="63"/>
      <c r="C495" s="63"/>
      <c r="D495" s="63"/>
      <c r="E495" s="64"/>
      <c r="F495" s="50"/>
      <c r="G495" s="50"/>
      <c r="H495" s="50"/>
    </row>
    <row r="496" spans="1:8" ht="12.75" hidden="1">
      <c r="A496" s="72"/>
      <c r="B496" s="63"/>
      <c r="C496" s="63"/>
      <c r="D496" s="63"/>
      <c r="E496" s="64"/>
      <c r="F496" s="50"/>
      <c r="G496" s="50"/>
      <c r="H496" s="50"/>
    </row>
    <row r="497" spans="1:8" ht="12.75" hidden="1">
      <c r="A497" s="72"/>
      <c r="B497" s="63"/>
      <c r="C497" s="63"/>
      <c r="D497" s="63"/>
      <c r="E497" s="64"/>
      <c r="F497" s="50"/>
      <c r="G497" s="50"/>
      <c r="H497" s="50"/>
    </row>
    <row r="498" spans="1:8" ht="12.75">
      <c r="A498" s="72"/>
      <c r="B498" s="63"/>
      <c r="C498" s="63"/>
      <c r="D498" s="63"/>
      <c r="E498" s="64"/>
      <c r="F498" s="50"/>
      <c r="G498" s="50"/>
      <c r="H498" s="50"/>
    </row>
    <row r="499" spans="1:8" ht="12.75">
      <c r="A499" s="72"/>
      <c r="B499" s="63"/>
      <c r="C499" s="63"/>
      <c r="D499" s="63"/>
      <c r="E499" s="64"/>
      <c r="F499" s="50"/>
      <c r="G499" s="50"/>
      <c r="H499" s="50"/>
    </row>
    <row r="500" spans="1:8" ht="12.75">
      <c r="A500" s="72"/>
      <c r="B500" s="63"/>
      <c r="C500" s="63"/>
      <c r="D500" s="63"/>
      <c r="E500" s="64"/>
      <c r="F500" s="50"/>
      <c r="G500" s="50"/>
      <c r="H500" s="50"/>
    </row>
    <row r="501" spans="1:8" ht="12.75">
      <c r="A501" s="72"/>
      <c r="B501" s="63"/>
      <c r="C501" s="63"/>
      <c r="D501" s="63"/>
      <c r="E501" s="64"/>
      <c r="F501" s="50"/>
      <c r="G501" s="50"/>
      <c r="H501" s="50"/>
    </row>
    <row r="502" spans="1:8" ht="12.75">
      <c r="A502" s="72"/>
      <c r="B502" s="63"/>
      <c r="C502" s="63"/>
      <c r="D502" s="63"/>
      <c r="E502" s="64"/>
      <c r="F502" s="50"/>
      <c r="G502" s="50"/>
      <c r="H502" s="50"/>
    </row>
    <row r="503" spans="1:8" ht="12.75">
      <c r="A503" s="72"/>
      <c r="B503" s="63"/>
      <c r="C503" s="63"/>
      <c r="D503" s="63"/>
      <c r="E503" s="64"/>
      <c r="F503" s="50"/>
      <c r="G503" s="50"/>
      <c r="H503" s="50"/>
    </row>
    <row r="504" spans="1:8" ht="12.75">
      <c r="A504" s="72"/>
      <c r="B504" s="63"/>
      <c r="C504" s="63"/>
      <c r="D504" s="63"/>
      <c r="E504" s="64"/>
      <c r="F504" s="50"/>
      <c r="G504" s="50"/>
      <c r="H504" s="50"/>
    </row>
    <row r="505" spans="1:8" ht="12.75">
      <c r="A505" s="72"/>
      <c r="B505" s="63"/>
      <c r="C505" s="63"/>
      <c r="D505" s="63"/>
      <c r="E505" s="64"/>
      <c r="F505" s="50"/>
      <c r="G505" s="50"/>
      <c r="H505" s="50"/>
    </row>
    <row r="506" spans="1:8" ht="12.75">
      <c r="A506" s="72"/>
      <c r="B506" s="63"/>
      <c r="C506" s="63"/>
      <c r="D506" s="63"/>
      <c r="E506" s="64"/>
      <c r="F506" s="50"/>
      <c r="G506" s="50"/>
      <c r="H506" s="50"/>
    </row>
    <row r="507" spans="1:8" ht="12.75">
      <c r="A507" s="72"/>
      <c r="B507" s="63"/>
      <c r="C507" s="63"/>
      <c r="D507" s="63"/>
      <c r="E507" s="64"/>
      <c r="F507" s="50"/>
      <c r="G507" s="50"/>
      <c r="H507" s="50"/>
    </row>
    <row r="508" spans="1:8" ht="12.75">
      <c r="A508" s="72"/>
      <c r="B508" s="63"/>
      <c r="C508" s="63"/>
      <c r="D508" s="63"/>
      <c r="E508" s="64"/>
      <c r="F508" s="50"/>
      <c r="G508" s="50"/>
      <c r="H508" s="50"/>
    </row>
    <row r="509" spans="1:8" ht="12.75">
      <c r="A509" s="72"/>
      <c r="B509" s="63"/>
      <c r="C509" s="63"/>
      <c r="D509" s="63"/>
      <c r="E509" s="64"/>
      <c r="F509" s="50"/>
      <c r="G509" s="50"/>
      <c r="H509" s="50"/>
    </row>
    <row r="510" spans="1:8" ht="12.75">
      <c r="A510" s="72"/>
      <c r="B510" s="63"/>
      <c r="C510" s="63"/>
      <c r="D510" s="63"/>
      <c r="E510" s="64"/>
      <c r="F510" s="50"/>
      <c r="G510" s="50"/>
      <c r="H510" s="50"/>
    </row>
    <row r="511" spans="1:8" ht="12.75">
      <c r="A511" s="72"/>
      <c r="B511" s="63"/>
      <c r="C511" s="63"/>
      <c r="D511" s="63"/>
      <c r="E511" s="64"/>
      <c r="F511" s="50"/>
      <c r="G511" s="50"/>
      <c r="H511" s="50"/>
    </row>
    <row r="512" spans="1:8" ht="12.75">
      <c r="A512" s="72"/>
      <c r="B512" s="63"/>
      <c r="C512" s="63"/>
      <c r="D512" s="63"/>
      <c r="E512" s="64"/>
      <c r="F512" s="50"/>
      <c r="G512" s="50"/>
      <c r="H512" s="50"/>
    </row>
    <row r="513" spans="1:8" ht="12.75">
      <c r="A513" s="72"/>
      <c r="B513" s="63"/>
      <c r="C513" s="63"/>
      <c r="D513" s="63"/>
      <c r="E513" s="64"/>
      <c r="F513" s="50"/>
      <c r="G513" s="50"/>
      <c r="H513" s="50"/>
    </row>
    <row r="514" spans="1:8" ht="12.75">
      <c r="A514" s="72"/>
      <c r="B514" s="63"/>
      <c r="C514" s="63"/>
      <c r="D514" s="63"/>
      <c r="E514" s="64"/>
      <c r="F514" s="50"/>
      <c r="G514" s="50"/>
      <c r="H514" s="50"/>
    </row>
    <row r="515" spans="1:8" ht="12.75">
      <c r="A515" s="72"/>
      <c r="B515" s="63"/>
      <c r="C515" s="63"/>
      <c r="D515" s="63"/>
      <c r="E515" s="64"/>
      <c r="F515" s="50"/>
      <c r="G515" s="50"/>
      <c r="H515" s="50"/>
    </row>
    <row r="516" spans="1:8" ht="12.75">
      <c r="A516" s="72"/>
      <c r="B516" s="63"/>
      <c r="C516" s="63"/>
      <c r="D516" s="63"/>
      <c r="E516" s="64"/>
      <c r="F516" s="50"/>
      <c r="G516" s="50"/>
      <c r="H516" s="50"/>
    </row>
    <row r="517" spans="1:8" ht="12.75">
      <c r="A517" s="72"/>
      <c r="B517" s="63"/>
      <c r="C517" s="63"/>
      <c r="D517" s="63"/>
      <c r="E517" s="64"/>
      <c r="F517" s="50"/>
      <c r="G517" s="50"/>
      <c r="H517" s="50"/>
    </row>
    <row r="518" spans="1:8" ht="12.75">
      <c r="A518" s="72"/>
      <c r="B518" s="63"/>
      <c r="C518" s="63"/>
      <c r="D518" s="63"/>
      <c r="E518" s="64"/>
      <c r="F518" s="50"/>
      <c r="G518" s="50"/>
      <c r="H518" s="50"/>
    </row>
    <row r="519" spans="1:8" ht="12.75">
      <c r="A519" s="72"/>
      <c r="B519" s="63"/>
      <c r="C519" s="63"/>
      <c r="D519" s="63"/>
      <c r="E519" s="64"/>
      <c r="F519" s="50"/>
      <c r="G519" s="50"/>
      <c r="H519" s="50"/>
    </row>
    <row r="520" spans="1:8" ht="12.75">
      <c r="A520" s="72"/>
      <c r="B520" s="63"/>
      <c r="C520" s="63"/>
      <c r="D520" s="63"/>
      <c r="E520" s="64"/>
      <c r="F520" s="50"/>
      <c r="G520" s="50"/>
      <c r="H520" s="50"/>
    </row>
    <row r="521" spans="1:8" ht="12.75">
      <c r="A521" s="72"/>
      <c r="B521" s="63"/>
      <c r="C521" s="63"/>
      <c r="D521" s="63"/>
      <c r="E521" s="64"/>
      <c r="F521" s="50"/>
      <c r="G521" s="50"/>
      <c r="H521" s="50"/>
    </row>
    <row r="522" spans="1:8" ht="12.75">
      <c r="A522" s="72"/>
      <c r="B522" s="63"/>
      <c r="C522" s="63"/>
      <c r="D522" s="63"/>
      <c r="E522" s="64"/>
      <c r="F522" s="50"/>
      <c r="G522" s="50"/>
      <c r="H522" s="50"/>
    </row>
    <row r="523" spans="1:8" ht="12.75">
      <c r="A523" s="72"/>
      <c r="B523" s="63"/>
      <c r="C523" s="63"/>
      <c r="D523" s="63"/>
      <c r="E523" s="64"/>
      <c r="F523" s="50"/>
      <c r="G523" s="50"/>
      <c r="H523" s="50"/>
    </row>
    <row r="524" spans="1:8" ht="12.75">
      <c r="A524" s="72"/>
      <c r="B524" s="63"/>
      <c r="C524" s="63"/>
      <c r="D524" s="63"/>
      <c r="E524" s="64"/>
      <c r="F524" s="50"/>
      <c r="G524" s="50"/>
      <c r="H524" s="50"/>
    </row>
    <row r="525" spans="1:8" ht="12.75">
      <c r="A525" s="72"/>
      <c r="B525" s="63"/>
      <c r="C525" s="63"/>
      <c r="D525" s="63"/>
      <c r="E525" s="64"/>
      <c r="F525" s="50"/>
      <c r="G525" s="50"/>
      <c r="H525" s="50"/>
    </row>
    <row r="526" spans="1:8" ht="12.75">
      <c r="A526" s="72"/>
      <c r="B526" s="63"/>
      <c r="C526" s="63"/>
      <c r="D526" s="63"/>
      <c r="E526" s="64"/>
      <c r="F526" s="50"/>
      <c r="G526" s="50"/>
      <c r="H526" s="50"/>
    </row>
    <row r="527" spans="1:8" ht="12.75">
      <c r="A527" s="72"/>
      <c r="B527" s="63"/>
      <c r="C527" s="63"/>
      <c r="D527" s="63"/>
      <c r="E527" s="64"/>
      <c r="F527" s="50"/>
      <c r="G527" s="50"/>
      <c r="H527" s="50"/>
    </row>
    <row r="528" spans="1:8" ht="12.75">
      <c r="A528" s="72"/>
      <c r="B528" s="63"/>
      <c r="C528" s="63"/>
      <c r="D528" s="63"/>
      <c r="E528" s="64"/>
      <c r="F528" s="50"/>
      <c r="G528" s="50"/>
      <c r="H528" s="50"/>
    </row>
    <row r="529" spans="1:8" ht="12.75">
      <c r="A529" s="72"/>
      <c r="B529" s="63"/>
      <c r="C529" s="63"/>
      <c r="D529" s="63"/>
      <c r="E529" s="64"/>
      <c r="F529" s="50"/>
      <c r="G529" s="50"/>
      <c r="H529" s="50"/>
    </row>
    <row r="530" spans="1:8" ht="12.75">
      <c r="A530" s="72"/>
      <c r="B530" s="63"/>
      <c r="C530" s="63"/>
      <c r="D530" s="63"/>
      <c r="E530" s="64"/>
      <c r="F530" s="50"/>
      <c r="G530" s="50"/>
      <c r="H530" s="50"/>
    </row>
    <row r="531" spans="1:8" ht="12.75">
      <c r="A531" s="72"/>
      <c r="B531" s="63"/>
      <c r="C531" s="63"/>
      <c r="D531" s="63"/>
      <c r="E531" s="64"/>
      <c r="F531" s="50"/>
      <c r="G531" s="50"/>
      <c r="H531" s="50"/>
    </row>
    <row r="532" spans="1:8" ht="12.75">
      <c r="A532" s="72"/>
      <c r="B532" s="63"/>
      <c r="C532" s="63"/>
      <c r="D532" s="63"/>
      <c r="E532" s="64"/>
      <c r="F532" s="50"/>
      <c r="G532" s="50"/>
      <c r="H532" s="50"/>
    </row>
    <row r="533" spans="1:8" ht="12.75">
      <c r="A533" s="72"/>
      <c r="B533" s="63"/>
      <c r="C533" s="63"/>
      <c r="D533" s="63"/>
      <c r="E533" s="64"/>
      <c r="F533" s="50"/>
      <c r="G533" s="50"/>
      <c r="H533" s="50"/>
    </row>
    <row r="534" spans="1:8" ht="12.75">
      <c r="A534" s="72"/>
      <c r="B534" s="63"/>
      <c r="C534" s="63"/>
      <c r="D534" s="63"/>
      <c r="E534" s="64"/>
      <c r="F534" s="50"/>
      <c r="G534" s="50"/>
      <c r="H534" s="50"/>
    </row>
    <row r="535" spans="1:8" ht="12.75">
      <c r="A535" s="72"/>
      <c r="B535" s="63"/>
      <c r="C535" s="63"/>
      <c r="D535" s="63"/>
      <c r="E535" s="64"/>
      <c r="F535" s="50"/>
      <c r="G535" s="50"/>
      <c r="H535" s="50"/>
    </row>
    <row r="536" spans="1:8" ht="12.75">
      <c r="A536" s="72"/>
      <c r="B536" s="63"/>
      <c r="C536" s="63"/>
      <c r="D536" s="63"/>
      <c r="E536" s="64"/>
      <c r="F536" s="50"/>
      <c r="G536" s="50"/>
      <c r="H536" s="50"/>
    </row>
    <row r="537" spans="1:8" ht="12.75">
      <c r="A537" s="72"/>
      <c r="B537" s="63"/>
      <c r="C537" s="63"/>
      <c r="D537" s="63"/>
      <c r="E537" s="64"/>
      <c r="F537" s="50"/>
      <c r="G537" s="50"/>
      <c r="H537" s="50"/>
    </row>
    <row r="538" spans="1:8" ht="12.75">
      <c r="A538" s="72"/>
      <c r="B538" s="63"/>
      <c r="C538" s="63"/>
      <c r="D538" s="63"/>
      <c r="E538" s="64"/>
      <c r="F538" s="50"/>
      <c r="G538" s="50"/>
      <c r="H538" s="50"/>
    </row>
    <row r="539" spans="1:8" ht="12.75">
      <c r="A539" s="72"/>
      <c r="B539" s="63"/>
      <c r="C539" s="63"/>
      <c r="D539" s="63"/>
      <c r="E539" s="64"/>
      <c r="F539" s="50"/>
      <c r="G539" s="50"/>
      <c r="H539" s="50"/>
    </row>
    <row r="540" spans="1:8" ht="12.75">
      <c r="A540" s="72"/>
      <c r="B540" s="63"/>
      <c r="C540" s="63"/>
      <c r="D540" s="63"/>
      <c r="E540" s="64"/>
      <c r="F540" s="50"/>
      <c r="G540" s="50"/>
      <c r="H540" s="50"/>
    </row>
    <row r="541" spans="1:8" ht="12.75">
      <c r="A541" s="72"/>
      <c r="B541" s="63"/>
      <c r="C541" s="63"/>
      <c r="D541" s="63"/>
      <c r="E541" s="64"/>
      <c r="F541" s="50"/>
      <c r="G541" s="50"/>
      <c r="H541" s="50"/>
    </row>
    <row r="542" spans="1:8" ht="12.75">
      <c r="A542" s="72"/>
      <c r="B542" s="63"/>
      <c r="C542" s="63"/>
      <c r="D542" s="63"/>
      <c r="E542" s="64"/>
      <c r="F542" s="50"/>
      <c r="G542" s="50"/>
      <c r="H542" s="50"/>
    </row>
    <row r="543" spans="1:8" ht="12.75">
      <c r="A543" s="72"/>
      <c r="B543" s="63"/>
      <c r="C543" s="63"/>
      <c r="D543" s="63"/>
      <c r="E543" s="64"/>
      <c r="F543" s="50"/>
      <c r="G543" s="50"/>
      <c r="H543" s="50"/>
    </row>
    <row r="544" spans="1:8" ht="12.75">
      <c r="A544" s="72"/>
      <c r="B544" s="63"/>
      <c r="C544" s="63"/>
      <c r="D544" s="63"/>
      <c r="E544" s="64"/>
      <c r="F544" s="50"/>
      <c r="G544" s="50"/>
      <c r="H544" s="50"/>
    </row>
    <row r="545" spans="1:8" ht="12.75">
      <c r="A545" s="72"/>
      <c r="B545" s="63"/>
      <c r="C545" s="63"/>
      <c r="D545" s="63"/>
      <c r="E545" s="64"/>
      <c r="F545" s="50"/>
      <c r="G545" s="50"/>
      <c r="H545" s="50"/>
    </row>
    <row r="546" spans="1:8" ht="12.75">
      <c r="A546" s="72"/>
      <c r="B546" s="63"/>
      <c r="C546" s="63"/>
      <c r="D546" s="63"/>
      <c r="E546" s="64"/>
      <c r="F546" s="50"/>
      <c r="G546" s="50"/>
      <c r="H546" s="50"/>
    </row>
    <row r="547" spans="1:8" ht="12.75">
      <c r="A547" s="72"/>
      <c r="B547" s="63"/>
      <c r="C547" s="63"/>
      <c r="D547" s="63"/>
      <c r="E547" s="64"/>
      <c r="F547" s="50"/>
      <c r="G547" s="50"/>
      <c r="H547" s="50"/>
    </row>
    <row r="548" spans="1:8" ht="12.75">
      <c r="A548" s="72"/>
      <c r="B548" s="63"/>
      <c r="C548" s="63"/>
      <c r="D548" s="63"/>
      <c r="E548" s="64"/>
      <c r="F548" s="50"/>
      <c r="G548" s="50"/>
      <c r="H548" s="50"/>
    </row>
    <row r="549" spans="1:8" ht="12.75">
      <c r="A549" s="72"/>
      <c r="B549" s="63"/>
      <c r="C549" s="63"/>
      <c r="D549" s="63"/>
      <c r="E549" s="64"/>
      <c r="F549" s="50"/>
      <c r="G549" s="50"/>
      <c r="H549" s="50"/>
    </row>
    <row r="550" spans="1:8" ht="12.75">
      <c r="A550" s="72"/>
      <c r="B550" s="63"/>
      <c r="C550" s="63"/>
      <c r="D550" s="63"/>
      <c r="E550" s="64"/>
      <c r="F550" s="50"/>
      <c r="G550" s="50"/>
      <c r="H550" s="50"/>
    </row>
    <row r="551" spans="1:8" ht="12.75">
      <c r="A551" s="72"/>
      <c r="B551" s="63"/>
      <c r="C551" s="63"/>
      <c r="D551" s="63"/>
      <c r="E551" s="64"/>
      <c r="F551" s="50"/>
      <c r="G551" s="50"/>
      <c r="H551" s="50"/>
    </row>
    <row r="552" spans="1:8" ht="12.75">
      <c r="A552" s="72"/>
      <c r="B552" s="63"/>
      <c r="C552" s="63"/>
      <c r="D552" s="63"/>
      <c r="E552" s="64"/>
      <c r="F552" s="50"/>
      <c r="G552" s="50"/>
      <c r="H552" s="50"/>
    </row>
    <row r="553" spans="1:8" ht="12.75">
      <c r="A553" s="72"/>
      <c r="B553" s="63"/>
      <c r="C553" s="63"/>
      <c r="D553" s="63"/>
      <c r="E553" s="64"/>
      <c r="F553" s="50"/>
      <c r="G553" s="50"/>
      <c r="H553" s="50"/>
    </row>
    <row r="554" spans="1:8" ht="12.75">
      <c r="A554" s="72"/>
      <c r="B554" s="63"/>
      <c r="C554" s="63"/>
      <c r="D554" s="63"/>
      <c r="E554" s="64"/>
      <c r="F554" s="50"/>
      <c r="G554" s="50"/>
      <c r="H554" s="50"/>
    </row>
    <row r="555" spans="1:8" ht="12.75">
      <c r="A555" s="72"/>
      <c r="B555" s="63"/>
      <c r="C555" s="63"/>
      <c r="D555" s="63"/>
      <c r="E555" s="64"/>
      <c r="F555" s="50"/>
      <c r="G555" s="50"/>
      <c r="H555" s="50"/>
    </row>
    <row r="556" spans="1:8" ht="12.75">
      <c r="A556" s="72"/>
      <c r="B556" s="63"/>
      <c r="C556" s="63"/>
      <c r="D556" s="63"/>
      <c r="E556" s="64"/>
      <c r="F556" s="50"/>
      <c r="G556" s="50"/>
      <c r="H556" s="50"/>
    </row>
    <row r="557" spans="1:8" ht="12.75">
      <c r="A557" s="72"/>
      <c r="B557" s="63"/>
      <c r="C557" s="63"/>
      <c r="D557" s="63"/>
      <c r="E557" s="64"/>
      <c r="F557" s="50"/>
      <c r="G557" s="50"/>
      <c r="H557" s="50"/>
    </row>
    <row r="558" spans="1:8" ht="12.75">
      <c r="A558" s="72"/>
      <c r="B558" s="63"/>
      <c r="C558" s="63"/>
      <c r="D558" s="63"/>
      <c r="E558" s="64"/>
      <c r="F558" s="50"/>
      <c r="G558" s="50"/>
      <c r="H558" s="50"/>
    </row>
    <row r="559" spans="1:8" ht="12.75">
      <c r="A559" s="72"/>
      <c r="B559" s="63"/>
      <c r="C559" s="63"/>
      <c r="D559" s="63"/>
      <c r="E559" s="64"/>
      <c r="F559" s="50"/>
      <c r="G559" s="50"/>
      <c r="H559" s="50"/>
    </row>
    <row r="560" spans="1:8" ht="12.75">
      <c r="A560" s="72"/>
      <c r="B560" s="63"/>
      <c r="C560" s="63"/>
      <c r="D560" s="63"/>
      <c r="E560" s="64"/>
      <c r="F560" s="50"/>
      <c r="G560" s="50"/>
      <c r="H560" s="50"/>
    </row>
    <row r="561" spans="1:8" ht="12.75">
      <c r="A561" s="72"/>
      <c r="B561" s="63"/>
      <c r="C561" s="63"/>
      <c r="D561" s="63"/>
      <c r="E561" s="64"/>
      <c r="F561" s="50"/>
      <c r="G561" s="50"/>
      <c r="H561" s="50"/>
    </row>
    <row r="562" spans="1:8" ht="12.75">
      <c r="A562" s="72"/>
      <c r="B562" s="63"/>
      <c r="C562" s="63"/>
      <c r="D562" s="63"/>
      <c r="E562" s="64"/>
      <c r="F562" s="50"/>
      <c r="G562" s="50"/>
      <c r="H562" s="50"/>
    </row>
    <row r="563" spans="1:8" ht="12.75">
      <c r="A563" s="72"/>
      <c r="B563" s="63"/>
      <c r="C563" s="63"/>
      <c r="D563" s="63"/>
      <c r="E563" s="64"/>
      <c r="F563" s="50"/>
      <c r="G563" s="50"/>
      <c r="H563" s="50"/>
    </row>
    <row r="564" spans="1:8" ht="12.75">
      <c r="A564" s="72"/>
      <c r="B564" s="63"/>
      <c r="C564" s="63"/>
      <c r="D564" s="63"/>
      <c r="E564" s="64"/>
      <c r="F564" s="50"/>
      <c r="G564" s="50"/>
      <c r="H564" s="50"/>
    </row>
    <row r="565" spans="1:8" ht="12.75">
      <c r="A565" s="72"/>
      <c r="B565" s="63"/>
      <c r="C565" s="63"/>
      <c r="D565" s="63"/>
      <c r="E565" s="64"/>
      <c r="F565" s="50"/>
      <c r="G565" s="50"/>
      <c r="H565" s="50"/>
    </row>
    <row r="566" spans="1:8" ht="12.75">
      <c r="A566" s="72"/>
      <c r="B566" s="63"/>
      <c r="C566" s="63"/>
      <c r="D566" s="63"/>
      <c r="E566" s="64"/>
      <c r="F566" s="50"/>
      <c r="G566" s="50"/>
      <c r="H566" s="50"/>
    </row>
    <row r="567" spans="1:8" ht="12.75">
      <c r="A567" s="72"/>
      <c r="B567" s="63"/>
      <c r="C567" s="63"/>
      <c r="D567" s="63"/>
      <c r="E567" s="64"/>
      <c r="F567" s="50"/>
      <c r="G567" s="50"/>
      <c r="H567" s="50"/>
    </row>
    <row r="568" spans="1:8" ht="12.75">
      <c r="A568" s="72"/>
      <c r="B568" s="63"/>
      <c r="C568" s="63"/>
      <c r="D568" s="63"/>
      <c r="E568" s="64"/>
      <c r="F568" s="50"/>
      <c r="G568" s="50"/>
      <c r="H568" s="50"/>
    </row>
    <row r="569" spans="1:8" ht="12.75">
      <c r="A569" s="72"/>
      <c r="B569" s="63"/>
      <c r="C569" s="63"/>
      <c r="D569" s="63"/>
      <c r="E569" s="64"/>
      <c r="F569" s="50"/>
      <c r="G569" s="50"/>
      <c r="H569" s="50"/>
    </row>
    <row r="570" spans="1:8" ht="12.75">
      <c r="A570" s="72"/>
      <c r="B570" s="63"/>
      <c r="C570" s="63"/>
      <c r="D570" s="63"/>
      <c r="E570" s="64"/>
      <c r="F570" s="50"/>
      <c r="G570" s="50"/>
      <c r="H570" s="50"/>
    </row>
    <row r="571" spans="1:8" ht="12.75">
      <c r="A571" s="72"/>
      <c r="B571" s="63"/>
      <c r="C571" s="63"/>
      <c r="D571" s="63"/>
      <c r="E571" s="64"/>
      <c r="F571" s="50"/>
      <c r="G571" s="50"/>
      <c r="H571" s="50"/>
    </row>
    <row r="572" spans="1:8" ht="12.75">
      <c r="A572" s="72"/>
      <c r="B572" s="63"/>
      <c r="C572" s="63"/>
      <c r="D572" s="63"/>
      <c r="E572" s="64"/>
      <c r="F572" s="50"/>
      <c r="G572" s="50"/>
      <c r="H572" s="50"/>
    </row>
    <row r="573" spans="1:8" ht="12.75">
      <c r="A573" s="72"/>
      <c r="B573" s="63"/>
      <c r="C573" s="63"/>
      <c r="D573" s="63"/>
      <c r="E573" s="64"/>
      <c r="F573" s="50"/>
      <c r="G573" s="50"/>
      <c r="H573" s="50"/>
    </row>
    <row r="574" spans="1:8" ht="12.75">
      <c r="A574" s="72"/>
      <c r="B574" s="63"/>
      <c r="C574" s="63"/>
      <c r="D574" s="63"/>
      <c r="E574" s="64"/>
      <c r="F574" s="50"/>
      <c r="G574" s="50"/>
      <c r="H574" s="50"/>
    </row>
    <row r="575" spans="1:8" ht="12.75">
      <c r="A575" s="72"/>
      <c r="B575" s="63"/>
      <c r="C575" s="63"/>
      <c r="D575" s="63"/>
      <c r="E575" s="64"/>
      <c r="F575" s="50"/>
      <c r="G575" s="50"/>
      <c r="H575" s="50"/>
    </row>
    <row r="576" spans="1:8" ht="12.75">
      <c r="A576" s="72"/>
      <c r="B576" s="63"/>
      <c r="C576" s="63"/>
      <c r="D576" s="63"/>
      <c r="E576" s="64"/>
      <c r="F576" s="50"/>
      <c r="G576" s="50"/>
      <c r="H576" s="50"/>
    </row>
    <row r="577" spans="1:8" ht="12.75">
      <c r="A577" s="72"/>
      <c r="B577" s="63"/>
      <c r="C577" s="63"/>
      <c r="D577" s="63"/>
      <c r="E577" s="64"/>
      <c r="F577" s="50"/>
      <c r="G577" s="50"/>
      <c r="H577" s="50"/>
    </row>
    <row r="578" spans="1:8" ht="12.75">
      <c r="A578" s="72"/>
      <c r="B578" s="63"/>
      <c r="C578" s="63"/>
      <c r="D578" s="63"/>
      <c r="E578" s="64"/>
      <c r="F578" s="50"/>
      <c r="G578" s="50"/>
      <c r="H578" s="50"/>
    </row>
    <row r="579" spans="1:8" ht="12.75">
      <c r="A579" s="72"/>
      <c r="B579" s="63"/>
      <c r="C579" s="63"/>
      <c r="D579" s="63"/>
      <c r="E579" s="64"/>
      <c r="F579" s="50"/>
      <c r="G579" s="50"/>
      <c r="H579" s="50"/>
    </row>
    <row r="580" spans="1:8" ht="12.75">
      <c r="A580" s="72"/>
      <c r="B580" s="63"/>
      <c r="C580" s="63"/>
      <c r="D580" s="63"/>
      <c r="E580" s="64"/>
      <c r="F580" s="50"/>
      <c r="G580" s="50"/>
      <c r="H580" s="50"/>
    </row>
    <row r="581" spans="1:8" ht="12.75">
      <c r="A581" s="72"/>
      <c r="B581" s="63"/>
      <c r="C581" s="63"/>
      <c r="D581" s="63"/>
      <c r="E581" s="64"/>
      <c r="F581" s="50"/>
      <c r="G581" s="50"/>
      <c r="H581" s="50"/>
    </row>
    <row r="582" spans="1:8" ht="12.75">
      <c r="A582" s="72"/>
      <c r="B582" s="63"/>
      <c r="C582" s="63"/>
      <c r="D582" s="63"/>
      <c r="E582" s="64"/>
      <c r="F582" s="50"/>
      <c r="G582" s="50"/>
      <c r="H582" s="50"/>
    </row>
    <row r="583" spans="1:8" ht="12.75">
      <c r="A583" s="72"/>
      <c r="B583" s="63"/>
      <c r="C583" s="63"/>
      <c r="D583" s="63"/>
      <c r="E583" s="64"/>
      <c r="F583" s="50"/>
      <c r="G583" s="50"/>
      <c r="H583" s="50"/>
    </row>
    <row r="584" spans="1:8" ht="12.75">
      <c r="A584" s="72"/>
      <c r="B584" s="63"/>
      <c r="C584" s="63"/>
      <c r="D584" s="63"/>
      <c r="E584" s="64"/>
      <c r="F584" s="50"/>
      <c r="G584" s="50"/>
      <c r="H584" s="50"/>
    </row>
    <row r="585" spans="1:8" ht="12.75">
      <c r="A585" s="72"/>
      <c r="B585" s="63"/>
      <c r="C585" s="63"/>
      <c r="D585" s="63"/>
      <c r="E585" s="64"/>
      <c r="F585" s="50"/>
      <c r="G585" s="50"/>
      <c r="H585" s="50"/>
    </row>
    <row r="586" spans="1:8" ht="12.75">
      <c r="A586" s="72"/>
      <c r="B586" s="63"/>
      <c r="C586" s="63"/>
      <c r="D586" s="63"/>
      <c r="E586" s="64"/>
      <c r="F586" s="50"/>
      <c r="G586" s="50"/>
      <c r="H586" s="50"/>
    </row>
    <row r="587" spans="1:8" ht="12.75">
      <c r="A587" s="72"/>
      <c r="B587" s="63"/>
      <c r="C587" s="63"/>
      <c r="D587" s="63"/>
      <c r="E587" s="64"/>
      <c r="F587" s="50"/>
      <c r="G587" s="50"/>
      <c r="H587" s="50"/>
    </row>
    <row r="588" spans="1:8" ht="12.75">
      <c r="A588" s="72"/>
      <c r="B588" s="63"/>
      <c r="C588" s="63"/>
      <c r="D588" s="63"/>
      <c r="E588" s="64"/>
      <c r="F588" s="50"/>
      <c r="G588" s="50"/>
      <c r="H588" s="50"/>
    </row>
    <row r="589" spans="1:8" ht="12.75">
      <c r="A589" s="72"/>
      <c r="B589" s="63"/>
      <c r="C589" s="63"/>
      <c r="D589" s="63"/>
      <c r="E589" s="64"/>
      <c r="F589" s="50"/>
      <c r="G589" s="50"/>
      <c r="H589" s="50"/>
    </row>
    <row r="590" spans="1:8" ht="12.75">
      <c r="A590" s="72"/>
      <c r="B590" s="63"/>
      <c r="C590" s="63"/>
      <c r="D590" s="63"/>
      <c r="E590" s="64"/>
      <c r="F590" s="50"/>
      <c r="G590" s="50"/>
      <c r="H590" s="50"/>
    </row>
    <row r="591" spans="1:8" ht="12.75">
      <c r="A591" s="72"/>
      <c r="B591" s="63"/>
      <c r="C591" s="63"/>
      <c r="D591" s="63"/>
      <c r="E591" s="64"/>
      <c r="F591" s="50"/>
      <c r="G591" s="50"/>
      <c r="H591" s="50"/>
    </row>
    <row r="592" spans="1:8" ht="12.75">
      <c r="A592" s="72"/>
      <c r="B592" s="63"/>
      <c r="C592" s="63"/>
      <c r="D592" s="63"/>
      <c r="E592" s="64"/>
      <c r="F592" s="50"/>
      <c r="G592" s="50"/>
      <c r="H592" s="50"/>
    </row>
    <row r="593" spans="1:8" ht="12.75">
      <c r="A593" s="72"/>
      <c r="B593" s="63"/>
      <c r="C593" s="63"/>
      <c r="D593" s="63"/>
      <c r="E593" s="64"/>
      <c r="F593" s="50"/>
      <c r="G593" s="50"/>
      <c r="H593" s="50"/>
    </row>
    <row r="594" spans="1:8" ht="12.75">
      <c r="A594" s="72"/>
      <c r="B594" s="63"/>
      <c r="C594" s="63"/>
      <c r="D594" s="63"/>
      <c r="E594" s="64"/>
      <c r="F594" s="50"/>
      <c r="G594" s="50"/>
      <c r="H594" s="50"/>
    </row>
    <row r="595" spans="1:8" ht="12.75">
      <c r="A595" s="72"/>
      <c r="B595" s="63"/>
      <c r="C595" s="63"/>
      <c r="D595" s="63"/>
      <c r="E595" s="64"/>
      <c r="F595" s="50"/>
      <c r="G595" s="50"/>
      <c r="H595" s="50"/>
    </row>
    <row r="596" spans="1:8" ht="12.75">
      <c r="A596" s="72"/>
      <c r="B596" s="63"/>
      <c r="C596" s="63"/>
      <c r="D596" s="63"/>
      <c r="E596" s="64"/>
      <c r="F596" s="50"/>
      <c r="G596" s="50"/>
      <c r="H596" s="50"/>
    </row>
    <row r="597" spans="1:8" ht="12.75">
      <c r="A597" s="72"/>
      <c r="B597" s="63"/>
      <c r="C597" s="63"/>
      <c r="D597" s="63"/>
      <c r="E597" s="64"/>
      <c r="F597" s="50"/>
      <c r="G597" s="50"/>
      <c r="H597" s="50"/>
    </row>
    <row r="598" spans="1:8" ht="12.75">
      <c r="A598" s="72"/>
      <c r="B598" s="63"/>
      <c r="C598" s="63"/>
      <c r="D598" s="63"/>
      <c r="E598" s="64"/>
      <c r="F598" s="50"/>
      <c r="G598" s="50"/>
      <c r="H598" s="50"/>
    </row>
    <row r="599" spans="1:8" ht="12.75">
      <c r="A599" s="72"/>
      <c r="B599" s="63"/>
      <c r="C599" s="63"/>
      <c r="D599" s="63"/>
      <c r="E599" s="64"/>
      <c r="F599" s="50"/>
      <c r="G599" s="50"/>
      <c r="H599" s="50"/>
    </row>
    <row r="600" spans="1:8" ht="12.75">
      <c r="A600" s="72"/>
      <c r="B600" s="63"/>
      <c r="C600" s="63"/>
      <c r="D600" s="63"/>
      <c r="E600" s="64"/>
      <c r="F600" s="50"/>
      <c r="G600" s="50"/>
      <c r="H600" s="50"/>
    </row>
    <row r="601" spans="1:8" ht="12.75">
      <c r="A601" s="72"/>
      <c r="B601" s="63"/>
      <c r="C601" s="63"/>
      <c r="D601" s="63"/>
      <c r="E601" s="64"/>
      <c r="F601" s="50"/>
      <c r="G601" s="50"/>
      <c r="H601" s="50"/>
    </row>
    <row r="602" spans="1:8" ht="12.75">
      <c r="A602" s="72"/>
      <c r="B602" s="63"/>
      <c r="C602" s="63"/>
      <c r="D602" s="63"/>
      <c r="E602" s="64"/>
      <c r="F602" s="50"/>
      <c r="G602" s="50"/>
      <c r="H602" s="50"/>
    </row>
    <row r="603" spans="1:8" ht="12.75">
      <c r="A603" s="72"/>
      <c r="B603" s="63"/>
      <c r="C603" s="63"/>
      <c r="D603" s="63"/>
      <c r="E603" s="64"/>
      <c r="F603" s="50"/>
      <c r="G603" s="50"/>
      <c r="H603" s="50"/>
    </row>
    <row r="604" spans="1:8" ht="12.75">
      <c r="A604" s="72"/>
      <c r="B604" s="63"/>
      <c r="C604" s="63"/>
      <c r="D604" s="63"/>
      <c r="E604" s="64"/>
      <c r="F604" s="50"/>
      <c r="G604" s="50"/>
      <c r="H604" s="50"/>
    </row>
    <row r="605" spans="1:8" ht="12.75">
      <c r="A605" s="72"/>
      <c r="B605" s="63"/>
      <c r="C605" s="63"/>
      <c r="D605" s="63"/>
      <c r="E605" s="64"/>
      <c r="F605" s="50"/>
      <c r="G605" s="50"/>
      <c r="H605" s="50"/>
    </row>
    <row r="606" spans="1:8" ht="12.75">
      <c r="A606" s="72"/>
      <c r="B606" s="63"/>
      <c r="C606" s="63"/>
      <c r="D606" s="63"/>
      <c r="E606" s="64"/>
      <c r="F606" s="50"/>
      <c r="G606" s="50"/>
      <c r="H606" s="50"/>
    </row>
    <row r="607" spans="1:8" ht="12.75">
      <c r="A607" s="72"/>
      <c r="B607" s="63"/>
      <c r="C607" s="63"/>
      <c r="D607" s="63"/>
      <c r="E607" s="64"/>
      <c r="F607" s="50"/>
      <c r="G607" s="50"/>
      <c r="H607" s="50"/>
    </row>
    <row r="608" spans="1:8" ht="12.75">
      <c r="A608" s="72"/>
      <c r="B608" s="63"/>
      <c r="C608" s="63"/>
      <c r="D608" s="63"/>
      <c r="E608" s="64"/>
      <c r="F608" s="50"/>
      <c r="G608" s="50"/>
      <c r="H608" s="50"/>
    </row>
    <row r="609" spans="1:8" ht="12.75">
      <c r="A609" s="72"/>
      <c r="B609" s="63"/>
      <c r="C609" s="63"/>
      <c r="D609" s="63"/>
      <c r="E609" s="64"/>
      <c r="F609" s="50"/>
      <c r="G609" s="50"/>
      <c r="H609" s="50"/>
    </row>
    <row r="610" spans="1:8" ht="12.75">
      <c r="A610" s="72"/>
      <c r="B610" s="63"/>
      <c r="C610" s="63"/>
      <c r="D610" s="63"/>
      <c r="E610" s="64"/>
      <c r="F610" s="50"/>
      <c r="G610" s="50"/>
      <c r="H610" s="50"/>
    </row>
    <row r="611" spans="1:8" ht="12.75">
      <c r="A611" s="72"/>
      <c r="B611" s="63"/>
      <c r="C611" s="63"/>
      <c r="D611" s="63"/>
      <c r="E611" s="64"/>
      <c r="F611" s="50"/>
      <c r="G611" s="50"/>
      <c r="H611" s="50"/>
    </row>
    <row r="612" spans="1:8" ht="12.75">
      <c r="A612" s="72"/>
      <c r="B612" s="63"/>
      <c r="C612" s="63"/>
      <c r="D612" s="63"/>
      <c r="E612" s="64"/>
      <c r="F612" s="50"/>
      <c r="G612" s="50"/>
      <c r="H612" s="50"/>
    </row>
    <row r="613" spans="1:8" ht="12.75">
      <c r="A613" s="72"/>
      <c r="B613" s="63"/>
      <c r="C613" s="63"/>
      <c r="D613" s="63"/>
      <c r="E613" s="64"/>
      <c r="F613" s="50"/>
      <c r="G613" s="50"/>
      <c r="H613" s="50"/>
    </row>
    <row r="614" spans="1:8" ht="12.75">
      <c r="A614" s="72"/>
      <c r="B614" s="63"/>
      <c r="C614" s="63"/>
      <c r="D614" s="63"/>
      <c r="E614" s="64"/>
      <c r="F614" s="50"/>
      <c r="G614" s="50"/>
      <c r="H614" s="50"/>
    </row>
    <row r="615" spans="1:8" ht="12.75">
      <c r="A615" s="72"/>
      <c r="B615" s="63"/>
      <c r="C615" s="63"/>
      <c r="D615" s="63"/>
      <c r="E615" s="64"/>
      <c r="F615" s="50"/>
      <c r="G615" s="50"/>
      <c r="H615" s="50"/>
    </row>
    <row r="616" spans="1:8" ht="12.75">
      <c r="A616" s="72"/>
      <c r="B616" s="63"/>
      <c r="C616" s="63"/>
      <c r="D616" s="63"/>
      <c r="E616" s="64"/>
      <c r="F616" s="50"/>
      <c r="G616" s="50"/>
      <c r="H616" s="50"/>
    </row>
    <row r="617" spans="1:8" ht="12.75">
      <c r="A617" s="72"/>
      <c r="B617" s="63"/>
      <c r="C617" s="63"/>
      <c r="D617" s="63"/>
      <c r="E617" s="64"/>
      <c r="F617" s="50"/>
      <c r="G617" s="50"/>
      <c r="H617" s="50"/>
    </row>
    <row r="618" spans="1:8" ht="12.75">
      <c r="A618" s="72"/>
      <c r="B618" s="63"/>
      <c r="C618" s="63"/>
      <c r="D618" s="63"/>
      <c r="E618" s="64"/>
      <c r="F618" s="50"/>
      <c r="G618" s="50"/>
      <c r="H618" s="50"/>
    </row>
    <row r="619" spans="1:8" ht="12.75">
      <c r="A619" s="72"/>
      <c r="B619" s="63"/>
      <c r="C619" s="63"/>
      <c r="D619" s="63"/>
      <c r="E619" s="64"/>
      <c r="F619" s="50"/>
      <c r="G619" s="50"/>
      <c r="H619" s="50"/>
    </row>
    <row r="620" spans="1:8" ht="12.75">
      <c r="A620" s="72"/>
      <c r="B620" s="63"/>
      <c r="C620" s="63"/>
      <c r="D620" s="63"/>
      <c r="E620" s="64"/>
      <c r="F620" s="50"/>
      <c r="G620" s="50"/>
      <c r="H620" s="50"/>
    </row>
    <row r="621" spans="1:8" ht="12.75">
      <c r="A621" s="72"/>
      <c r="B621" s="63"/>
      <c r="C621" s="63"/>
      <c r="D621" s="63"/>
      <c r="E621" s="64"/>
      <c r="F621" s="50"/>
      <c r="G621" s="50"/>
      <c r="H621" s="50"/>
    </row>
    <row r="622" spans="1:8" ht="12.75">
      <c r="A622" s="72"/>
      <c r="B622" s="63"/>
      <c r="C622" s="63"/>
      <c r="D622" s="63"/>
      <c r="E622" s="64"/>
      <c r="F622" s="50"/>
      <c r="G622" s="50"/>
      <c r="H622" s="50"/>
    </row>
    <row r="623" spans="1:8" ht="12.75">
      <c r="A623" s="72"/>
      <c r="B623" s="63"/>
      <c r="C623" s="63"/>
      <c r="D623" s="63"/>
      <c r="E623" s="64"/>
      <c r="F623" s="50"/>
      <c r="G623" s="50"/>
      <c r="H623" s="50"/>
    </row>
    <row r="624" spans="1:8" ht="12.75">
      <c r="A624" s="72"/>
      <c r="B624" s="63"/>
      <c r="C624" s="63"/>
      <c r="D624" s="63"/>
      <c r="E624" s="64"/>
      <c r="F624" s="50"/>
      <c r="G624" s="50"/>
      <c r="H624" s="50"/>
    </row>
    <row r="625" spans="1:8" ht="12.75">
      <c r="A625" s="72"/>
      <c r="B625" s="63"/>
      <c r="C625" s="63"/>
      <c r="D625" s="63"/>
      <c r="E625" s="64"/>
      <c r="F625" s="50"/>
      <c r="G625" s="50"/>
      <c r="H625" s="50"/>
    </row>
    <row r="626" spans="1:8" ht="12.75">
      <c r="A626" s="72"/>
      <c r="B626" s="63"/>
      <c r="C626" s="63"/>
      <c r="D626" s="63"/>
      <c r="E626" s="64"/>
      <c r="F626" s="50"/>
      <c r="G626" s="50"/>
      <c r="H626" s="50"/>
    </row>
    <row r="627" spans="1:8" ht="12.75">
      <c r="A627" s="72"/>
      <c r="B627" s="63"/>
      <c r="C627" s="63"/>
      <c r="D627" s="63"/>
      <c r="E627" s="64"/>
      <c r="F627" s="50"/>
      <c r="G627" s="50"/>
      <c r="H627" s="50"/>
    </row>
    <row r="628" spans="1:8" ht="12.75">
      <c r="A628" s="72"/>
      <c r="B628" s="63"/>
      <c r="C628" s="63"/>
      <c r="D628" s="63"/>
      <c r="E628" s="64"/>
      <c r="F628" s="50"/>
      <c r="G628" s="50"/>
      <c r="H628" s="50"/>
    </row>
    <row r="629" spans="1:8" ht="12.75">
      <c r="A629" s="72"/>
      <c r="B629" s="63"/>
      <c r="C629" s="63"/>
      <c r="D629" s="63"/>
      <c r="E629" s="64"/>
      <c r="F629" s="50"/>
      <c r="G629" s="50"/>
      <c r="H629" s="50"/>
    </row>
    <row r="630" spans="1:8" ht="12.75">
      <c r="A630" s="72"/>
      <c r="B630" s="63"/>
      <c r="C630" s="63"/>
      <c r="D630" s="63"/>
      <c r="E630" s="64"/>
      <c r="F630" s="50"/>
      <c r="G630" s="50"/>
      <c r="H630" s="50"/>
    </row>
    <row r="631" spans="1:8" ht="12.75">
      <c r="A631" s="72"/>
      <c r="B631" s="63"/>
      <c r="C631" s="63"/>
      <c r="D631" s="63"/>
      <c r="E631" s="64"/>
      <c r="F631" s="50"/>
      <c r="G631" s="50"/>
      <c r="H631" s="50"/>
    </row>
    <row r="632" spans="1:8" ht="12.75">
      <c r="A632" s="72"/>
      <c r="B632" s="63"/>
      <c r="C632" s="63"/>
      <c r="D632" s="63"/>
      <c r="E632" s="64"/>
      <c r="F632" s="50"/>
      <c r="G632" s="50"/>
      <c r="H632" s="50"/>
    </row>
    <row r="633" spans="1:8" ht="12.75">
      <c r="A633" s="72"/>
      <c r="B633" s="63"/>
      <c r="C633" s="63"/>
      <c r="D633" s="63"/>
      <c r="E633" s="64"/>
      <c r="F633" s="50"/>
      <c r="G633" s="50"/>
      <c r="H633" s="50"/>
    </row>
    <row r="634" spans="1:8" ht="12.75">
      <c r="A634" s="72"/>
      <c r="B634" s="63"/>
      <c r="C634" s="63"/>
      <c r="D634" s="63"/>
      <c r="E634" s="64"/>
      <c r="F634" s="50"/>
      <c r="G634" s="50"/>
      <c r="H634" s="50"/>
    </row>
    <row r="635" spans="1:8" ht="12.75">
      <c r="A635" s="72"/>
      <c r="B635" s="63"/>
      <c r="C635" s="63"/>
      <c r="D635" s="63"/>
      <c r="E635" s="64"/>
      <c r="F635" s="50"/>
      <c r="G635" s="50"/>
      <c r="H635" s="50"/>
    </row>
    <row r="636" spans="1:8" ht="12.75">
      <c r="A636" s="72"/>
      <c r="B636" s="63"/>
      <c r="C636" s="63"/>
      <c r="D636" s="63"/>
      <c r="E636" s="64"/>
      <c r="F636" s="50"/>
      <c r="G636" s="50"/>
      <c r="H636" s="50"/>
    </row>
    <row r="637" spans="1:8" ht="12.75">
      <c r="A637" s="72"/>
      <c r="B637" s="63"/>
      <c r="C637" s="63"/>
      <c r="D637" s="63"/>
      <c r="E637" s="64"/>
      <c r="F637" s="50"/>
      <c r="G637" s="50"/>
      <c r="H637" s="50"/>
    </row>
    <row r="638" spans="1:8" ht="12.75">
      <c r="A638" s="72"/>
      <c r="B638" s="63"/>
      <c r="C638" s="63"/>
      <c r="D638" s="63"/>
      <c r="E638" s="64"/>
      <c r="F638" s="50"/>
      <c r="G638" s="50"/>
      <c r="H638" s="50"/>
    </row>
    <row r="639" spans="1:8" ht="12.75">
      <c r="A639" s="72"/>
      <c r="B639" s="63"/>
      <c r="C639" s="63"/>
      <c r="D639" s="63"/>
      <c r="E639" s="64"/>
      <c r="F639" s="50"/>
      <c r="G639" s="50"/>
      <c r="H639" s="50"/>
    </row>
    <row r="640" spans="1:8" ht="12.75">
      <c r="A640" s="72"/>
      <c r="B640" s="63"/>
      <c r="C640" s="63"/>
      <c r="D640" s="63"/>
      <c r="E640" s="64"/>
      <c r="F640" s="50"/>
      <c r="G640" s="50"/>
      <c r="H640" s="50"/>
    </row>
    <row r="641" spans="1:8" ht="12.75">
      <c r="A641" s="72"/>
      <c r="B641" s="63"/>
      <c r="C641" s="63"/>
      <c r="D641" s="63"/>
      <c r="E641" s="64"/>
      <c r="F641" s="50"/>
      <c r="G641" s="50"/>
      <c r="H641" s="50"/>
    </row>
    <row r="642" spans="1:8" ht="12.75">
      <c r="A642" s="72"/>
      <c r="B642" s="63"/>
      <c r="C642" s="63"/>
      <c r="D642" s="63"/>
      <c r="E642" s="64"/>
      <c r="F642" s="50"/>
      <c r="G642" s="50"/>
      <c r="H642" s="50"/>
    </row>
    <row r="643" spans="1:8" ht="12.75">
      <c r="A643" s="72"/>
      <c r="B643" s="63"/>
      <c r="C643" s="63"/>
      <c r="D643" s="63"/>
      <c r="E643" s="64"/>
      <c r="F643" s="50"/>
      <c r="G643" s="50"/>
      <c r="H643" s="50"/>
    </row>
    <row r="644" spans="1:8" ht="12.75">
      <c r="A644" s="72"/>
      <c r="B644" s="63"/>
      <c r="C644" s="63"/>
      <c r="D644" s="63"/>
      <c r="E644" s="64"/>
      <c r="F644" s="50"/>
      <c r="G644" s="50"/>
      <c r="H644" s="50"/>
    </row>
    <row r="645" spans="1:8" ht="12.75">
      <c r="A645" s="72"/>
      <c r="B645" s="63"/>
      <c r="C645" s="63"/>
      <c r="D645" s="63"/>
      <c r="E645" s="64"/>
      <c r="F645" s="50"/>
      <c r="G645" s="50"/>
      <c r="H645" s="50"/>
    </row>
    <row r="646" spans="1:8" ht="12.75">
      <c r="A646" s="72"/>
      <c r="B646" s="63"/>
      <c r="C646" s="63"/>
      <c r="D646" s="63"/>
      <c r="E646" s="64"/>
      <c r="F646" s="50"/>
      <c r="G646" s="50"/>
      <c r="H646" s="50"/>
    </row>
    <row r="647" spans="1:8" ht="12.75">
      <c r="A647" s="72"/>
      <c r="B647" s="63"/>
      <c r="C647" s="63"/>
      <c r="D647" s="63"/>
      <c r="E647" s="64"/>
      <c r="F647" s="50"/>
      <c r="G647" s="50"/>
      <c r="H647" s="50"/>
    </row>
    <row r="648" spans="1:8" ht="12.75">
      <c r="A648" s="72"/>
      <c r="B648" s="63"/>
      <c r="C648" s="63"/>
      <c r="D648" s="63"/>
      <c r="E648" s="64"/>
      <c r="F648" s="50"/>
      <c r="G648" s="50"/>
      <c r="H648" s="50"/>
    </row>
    <row r="649" spans="1:8" ht="12.75">
      <c r="A649" s="72"/>
      <c r="B649" s="63"/>
      <c r="C649" s="63"/>
      <c r="D649" s="63"/>
      <c r="E649" s="64"/>
      <c r="F649" s="50"/>
      <c r="G649" s="50"/>
      <c r="H649" s="50"/>
    </row>
    <row r="650" spans="1:8" ht="12.75">
      <c r="A650" s="72"/>
      <c r="B650" s="63"/>
      <c r="C650" s="63"/>
      <c r="D650" s="63"/>
      <c r="E650" s="64"/>
      <c r="F650" s="50"/>
      <c r="G650" s="50"/>
      <c r="H650" s="50"/>
    </row>
    <row r="651" spans="1:8" ht="12.75">
      <c r="A651" s="72"/>
      <c r="B651" s="63"/>
      <c r="C651" s="63"/>
      <c r="D651" s="63"/>
      <c r="E651" s="64"/>
      <c r="F651" s="50"/>
      <c r="G651" s="50"/>
      <c r="H651" s="50"/>
    </row>
    <row r="652" spans="1:8" ht="12.75">
      <c r="A652" s="72"/>
      <c r="B652" s="63"/>
      <c r="C652" s="63"/>
      <c r="D652" s="63"/>
      <c r="E652" s="64"/>
      <c r="F652" s="50"/>
      <c r="G652" s="50"/>
      <c r="H652" s="50"/>
    </row>
    <row r="653" spans="1:8" ht="12.75">
      <c r="A653" s="72"/>
      <c r="B653" s="63"/>
      <c r="C653" s="63"/>
      <c r="D653" s="63"/>
      <c r="E653" s="64"/>
      <c r="F653" s="50"/>
      <c r="G653" s="50"/>
      <c r="H653" s="50"/>
    </row>
    <row r="654" spans="1:8" ht="12.75">
      <c r="A654" s="72"/>
      <c r="B654" s="63"/>
      <c r="C654" s="63"/>
      <c r="D654" s="63"/>
      <c r="E654" s="64"/>
      <c r="F654" s="50"/>
      <c r="G654" s="50"/>
      <c r="H654" s="50"/>
    </row>
    <row r="655" spans="1:8" ht="12.75">
      <c r="A655" s="72"/>
      <c r="B655" s="63"/>
      <c r="C655" s="63"/>
      <c r="D655" s="63"/>
      <c r="E655" s="64"/>
      <c r="F655" s="50"/>
      <c r="G655" s="50"/>
      <c r="H655" s="50"/>
    </row>
    <row r="656" spans="1:8" ht="12.75">
      <c r="A656" s="72"/>
      <c r="B656" s="63"/>
      <c r="C656" s="63"/>
      <c r="D656" s="63"/>
      <c r="E656" s="64"/>
      <c r="F656" s="50"/>
      <c r="G656" s="50"/>
      <c r="H656" s="50"/>
    </row>
    <row r="657" spans="1:8" ht="12.75">
      <c r="A657" s="72"/>
      <c r="B657" s="63"/>
      <c r="C657" s="63"/>
      <c r="D657" s="63"/>
      <c r="E657" s="64"/>
      <c r="F657" s="50"/>
      <c r="G657" s="50"/>
      <c r="H657" s="50"/>
    </row>
    <row r="658" spans="1:8" ht="12.75">
      <c r="A658" s="72"/>
      <c r="B658" s="63"/>
      <c r="C658" s="63"/>
      <c r="D658" s="63"/>
      <c r="E658" s="64"/>
      <c r="F658" s="50"/>
      <c r="G658" s="50"/>
      <c r="H658" s="50"/>
    </row>
    <row r="659" spans="1:8" ht="12.75">
      <c r="A659" s="72"/>
      <c r="B659" s="63"/>
      <c r="C659" s="63"/>
      <c r="D659" s="63"/>
      <c r="E659" s="64"/>
      <c r="F659" s="50"/>
      <c r="G659" s="50"/>
      <c r="H659" s="50"/>
    </row>
    <row r="660" spans="1:8" ht="12.75">
      <c r="A660" s="72"/>
      <c r="B660" s="63"/>
      <c r="C660" s="63"/>
      <c r="D660" s="63"/>
      <c r="E660" s="64"/>
      <c r="F660" s="50"/>
      <c r="G660" s="50"/>
      <c r="H660" s="50"/>
    </row>
    <row r="661" spans="1:8" ht="12.75">
      <c r="A661" s="72"/>
      <c r="B661" s="63"/>
      <c r="C661" s="63"/>
      <c r="D661" s="63"/>
      <c r="E661" s="64"/>
      <c r="F661" s="50"/>
      <c r="G661" s="50"/>
      <c r="H661" s="50"/>
    </row>
    <row r="662" spans="1:8" ht="12.75">
      <c r="A662" s="72"/>
      <c r="B662" s="63"/>
      <c r="C662" s="63"/>
      <c r="D662" s="63"/>
      <c r="E662" s="64"/>
      <c r="F662" s="50"/>
      <c r="G662" s="50"/>
      <c r="H662" s="50"/>
    </row>
    <row r="663" spans="1:8" ht="12.75">
      <c r="A663" s="72"/>
      <c r="B663" s="63"/>
      <c r="C663" s="63"/>
      <c r="D663" s="63"/>
      <c r="E663" s="64"/>
      <c r="F663" s="50"/>
      <c r="G663" s="50"/>
      <c r="H663" s="50"/>
    </row>
    <row r="664" spans="1:8" ht="12.75">
      <c r="A664" s="72"/>
      <c r="B664" s="63"/>
      <c r="C664" s="63"/>
      <c r="D664" s="63"/>
      <c r="E664" s="64"/>
      <c r="F664" s="50"/>
      <c r="G664" s="50"/>
      <c r="H664" s="50"/>
    </row>
    <row r="665" spans="1:8" ht="12.75">
      <c r="A665" s="72"/>
      <c r="B665" s="63"/>
      <c r="C665" s="63"/>
      <c r="D665" s="63"/>
      <c r="E665" s="64"/>
      <c r="F665" s="50"/>
      <c r="G665" s="50"/>
      <c r="H665" s="50"/>
    </row>
    <row r="666" spans="1:8" ht="12.75">
      <c r="A666" s="72"/>
      <c r="B666" s="63"/>
      <c r="C666" s="63"/>
      <c r="D666" s="63"/>
      <c r="E666" s="64"/>
      <c r="F666" s="50"/>
      <c r="G666" s="50"/>
      <c r="H666" s="50"/>
    </row>
    <row r="667" spans="1:8" ht="12.75">
      <c r="A667" s="72"/>
      <c r="B667" s="63"/>
      <c r="C667" s="63"/>
      <c r="D667" s="63"/>
      <c r="E667" s="64"/>
      <c r="F667" s="50"/>
      <c r="G667" s="50"/>
      <c r="H667" s="50"/>
    </row>
    <row r="668" spans="1:8" ht="12.75">
      <c r="A668" s="72"/>
      <c r="B668" s="63"/>
      <c r="C668" s="63"/>
      <c r="D668" s="63"/>
      <c r="E668" s="64"/>
      <c r="F668" s="50"/>
      <c r="G668" s="50"/>
      <c r="H668" s="50"/>
    </row>
    <row r="669" spans="1:8" ht="12.75">
      <c r="A669" s="72"/>
      <c r="B669" s="63"/>
      <c r="C669" s="63"/>
      <c r="D669" s="63"/>
      <c r="E669" s="64"/>
      <c r="F669" s="50"/>
      <c r="G669" s="50"/>
      <c r="H669" s="50"/>
    </row>
    <row r="670" spans="1:8" ht="12.75">
      <c r="A670" s="72"/>
      <c r="B670" s="63"/>
      <c r="C670" s="63"/>
      <c r="D670" s="63"/>
      <c r="E670" s="64"/>
      <c r="F670" s="50"/>
      <c r="G670" s="50"/>
      <c r="H670" s="50"/>
    </row>
    <row r="671" spans="1:8" ht="12.75">
      <c r="A671" s="72"/>
      <c r="B671" s="63"/>
      <c r="C671" s="63"/>
      <c r="D671" s="63"/>
      <c r="E671" s="64"/>
      <c r="F671" s="50"/>
      <c r="G671" s="50"/>
      <c r="H671" s="50"/>
    </row>
    <row r="672" spans="1:8" ht="12.75">
      <c r="A672" s="72"/>
      <c r="B672" s="63"/>
      <c r="C672" s="63"/>
      <c r="D672" s="63"/>
      <c r="E672" s="64"/>
      <c r="F672" s="50"/>
      <c r="G672" s="50"/>
      <c r="H672" s="50"/>
    </row>
    <row r="673" spans="1:8" ht="12.75">
      <c r="A673" s="72"/>
      <c r="B673" s="63"/>
      <c r="C673" s="63"/>
      <c r="D673" s="63"/>
      <c r="E673" s="64"/>
      <c r="F673" s="50"/>
      <c r="G673" s="50"/>
      <c r="H673" s="50"/>
    </row>
    <row r="674" spans="1:8" ht="12.75">
      <c r="A674" s="72"/>
      <c r="B674" s="63"/>
      <c r="C674" s="63"/>
      <c r="D674" s="63"/>
      <c r="E674" s="64"/>
      <c r="F674" s="50"/>
      <c r="G674" s="50"/>
      <c r="H674" s="50"/>
    </row>
    <row r="675" spans="1:8" ht="12.75">
      <c r="A675" s="72"/>
      <c r="B675" s="63"/>
      <c r="C675" s="63"/>
      <c r="D675" s="63"/>
      <c r="E675" s="64"/>
      <c r="F675" s="50"/>
      <c r="G675" s="50"/>
      <c r="H675" s="50"/>
    </row>
    <row r="676" spans="1:8" ht="12.75">
      <c r="A676" s="72"/>
      <c r="B676" s="63"/>
      <c r="C676" s="63"/>
      <c r="D676" s="63"/>
      <c r="E676" s="64"/>
      <c r="F676" s="50"/>
      <c r="G676" s="50"/>
      <c r="H676" s="50"/>
    </row>
    <row r="677" spans="1:8" ht="12.75">
      <c r="A677" s="72"/>
      <c r="B677" s="63"/>
      <c r="C677" s="63"/>
      <c r="D677" s="63"/>
      <c r="E677" s="64"/>
      <c r="F677" s="50"/>
      <c r="G677" s="50"/>
      <c r="H677" s="50"/>
    </row>
    <row r="678" spans="1:8" ht="12.75">
      <c r="A678" s="72"/>
      <c r="B678" s="63"/>
      <c r="C678" s="63"/>
      <c r="D678" s="63"/>
      <c r="E678" s="64"/>
      <c r="F678" s="50"/>
      <c r="G678" s="50"/>
      <c r="H678" s="50"/>
    </row>
    <row r="679" spans="1:8" ht="12.75">
      <c r="A679" s="72"/>
      <c r="B679" s="63"/>
      <c r="C679" s="63"/>
      <c r="D679" s="63"/>
      <c r="E679" s="64"/>
      <c r="F679" s="50"/>
      <c r="G679" s="50"/>
      <c r="H679" s="50"/>
    </row>
    <row r="680" spans="1:8" ht="12.75">
      <c r="A680" s="72"/>
      <c r="B680" s="63"/>
      <c r="C680" s="63"/>
      <c r="D680" s="63"/>
      <c r="E680" s="64"/>
      <c r="F680" s="50"/>
      <c r="G680" s="50"/>
      <c r="H680" s="50"/>
    </row>
    <row r="681" spans="1:8" ht="12.75">
      <c r="A681" s="72"/>
      <c r="B681" s="63"/>
      <c r="C681" s="63"/>
      <c r="D681" s="63"/>
      <c r="E681" s="64"/>
      <c r="F681" s="50"/>
      <c r="G681" s="50"/>
      <c r="H681" s="50"/>
    </row>
    <row r="682" spans="1:8" ht="12.75">
      <c r="A682" s="72"/>
      <c r="B682" s="63"/>
      <c r="C682" s="63"/>
      <c r="D682" s="63"/>
      <c r="E682" s="64"/>
      <c r="F682" s="50"/>
      <c r="G682" s="50"/>
      <c r="H682" s="50"/>
    </row>
    <row r="683" spans="1:8" ht="12.75">
      <c r="A683" s="72"/>
      <c r="B683" s="63"/>
      <c r="C683" s="63"/>
      <c r="D683" s="63"/>
      <c r="E683" s="64"/>
      <c r="F683" s="50"/>
      <c r="G683" s="50"/>
      <c r="H683" s="50"/>
    </row>
    <row r="684" spans="1:8" ht="12.75">
      <c r="A684" s="72"/>
      <c r="B684" s="63"/>
      <c r="C684" s="63"/>
      <c r="D684" s="63"/>
      <c r="E684" s="64"/>
      <c r="F684" s="50"/>
      <c r="G684" s="50"/>
      <c r="H684" s="50"/>
    </row>
    <row r="685" spans="1:8" ht="12.75">
      <c r="A685" s="72"/>
      <c r="B685" s="63"/>
      <c r="C685" s="63"/>
      <c r="D685" s="63"/>
      <c r="E685" s="64"/>
      <c r="F685" s="50"/>
      <c r="G685" s="50"/>
      <c r="H685" s="50"/>
    </row>
    <row r="686" spans="1:8" ht="12.75">
      <c r="A686" s="72"/>
      <c r="B686" s="63"/>
      <c r="C686" s="63"/>
      <c r="D686" s="63"/>
      <c r="E686" s="64"/>
      <c r="F686" s="50"/>
      <c r="G686" s="50"/>
      <c r="H686" s="50"/>
    </row>
    <row r="687" spans="1:8" ht="12.75">
      <c r="A687" s="72"/>
      <c r="B687" s="63"/>
      <c r="C687" s="63"/>
      <c r="D687" s="63"/>
      <c r="E687" s="64"/>
      <c r="F687" s="50"/>
      <c r="G687" s="50"/>
      <c r="H687" s="50"/>
    </row>
    <row r="688" spans="1:8" ht="12.75">
      <c r="A688" s="72"/>
      <c r="B688" s="63"/>
      <c r="C688" s="63"/>
      <c r="D688" s="63"/>
      <c r="E688" s="64"/>
      <c r="F688" s="50"/>
      <c r="G688" s="50"/>
      <c r="H688" s="50"/>
    </row>
    <row r="689" spans="1:8" ht="12.75">
      <c r="A689" s="72"/>
      <c r="B689" s="63"/>
      <c r="C689" s="63"/>
      <c r="D689" s="63"/>
      <c r="E689" s="64"/>
      <c r="F689" s="50"/>
      <c r="G689" s="50"/>
      <c r="H689" s="50"/>
    </row>
    <row r="690" spans="1:8" ht="12.75">
      <c r="A690" s="72"/>
      <c r="B690" s="63"/>
      <c r="C690" s="63"/>
      <c r="D690" s="63"/>
      <c r="E690" s="64"/>
      <c r="F690" s="50"/>
      <c r="G690" s="50"/>
      <c r="H690" s="50"/>
    </row>
    <row r="691" spans="1:8" ht="12.75">
      <c r="A691" s="72"/>
      <c r="B691" s="63"/>
      <c r="C691" s="63"/>
      <c r="D691" s="63"/>
      <c r="E691" s="64"/>
      <c r="F691" s="50"/>
      <c r="G691" s="50"/>
      <c r="H691" s="50"/>
    </row>
    <row r="692" spans="1:8" ht="12.75">
      <c r="A692" s="72"/>
      <c r="B692" s="63"/>
      <c r="C692" s="63"/>
      <c r="D692" s="63"/>
      <c r="E692" s="64"/>
      <c r="F692" s="50"/>
      <c r="G692" s="50"/>
      <c r="H692" s="50"/>
    </row>
    <row r="693" spans="1:8" ht="12.75">
      <c r="A693" s="72"/>
      <c r="B693" s="63"/>
      <c r="C693" s="63"/>
      <c r="D693" s="63"/>
      <c r="E693" s="64"/>
      <c r="F693" s="50"/>
      <c r="G693" s="50"/>
      <c r="H693" s="50"/>
    </row>
    <row r="694" spans="1:8" ht="12.75">
      <c r="A694" s="72"/>
      <c r="B694" s="63"/>
      <c r="C694" s="63"/>
      <c r="D694" s="63"/>
      <c r="E694" s="64"/>
      <c r="F694" s="50"/>
      <c r="G694" s="50"/>
      <c r="H694" s="50"/>
    </row>
    <row r="695" spans="1:8" ht="12.75">
      <c r="A695" s="72"/>
      <c r="B695" s="63"/>
      <c r="C695" s="63"/>
      <c r="D695" s="63"/>
      <c r="E695" s="64"/>
      <c r="F695" s="50"/>
      <c r="G695" s="50"/>
      <c r="H695" s="50"/>
    </row>
    <row r="696" spans="1:8" ht="12.75">
      <c r="A696" s="72"/>
      <c r="B696" s="63"/>
      <c r="C696" s="63"/>
      <c r="D696" s="63"/>
      <c r="E696" s="64"/>
      <c r="F696" s="50"/>
      <c r="G696" s="50"/>
      <c r="H696" s="50"/>
    </row>
    <row r="697" spans="1:8" ht="12.75">
      <c r="A697" s="72"/>
      <c r="B697" s="63"/>
      <c r="C697" s="63"/>
      <c r="D697" s="63"/>
      <c r="E697" s="64"/>
      <c r="F697" s="50"/>
      <c r="G697" s="50"/>
      <c r="H697" s="50"/>
    </row>
    <row r="698" spans="1:8" ht="12.75">
      <c r="A698" s="72"/>
      <c r="B698" s="63"/>
      <c r="C698" s="63"/>
      <c r="D698" s="63"/>
      <c r="E698" s="64"/>
      <c r="F698" s="50"/>
      <c r="G698" s="50"/>
      <c r="H698" s="50"/>
    </row>
    <row r="699" spans="1:8" ht="12.75">
      <c r="A699" s="72"/>
      <c r="B699" s="63"/>
      <c r="C699" s="63"/>
      <c r="D699" s="63"/>
      <c r="E699" s="64"/>
      <c r="F699" s="50"/>
      <c r="G699" s="50"/>
      <c r="H699" s="50"/>
    </row>
    <row r="700" spans="1:8" ht="12.75">
      <c r="A700" s="72"/>
      <c r="B700" s="63"/>
      <c r="C700" s="63"/>
      <c r="D700" s="63"/>
      <c r="E700" s="64"/>
      <c r="F700" s="50"/>
      <c r="G700" s="50"/>
      <c r="H700" s="50"/>
    </row>
    <row r="701" spans="1:8" ht="12.75">
      <c r="A701" s="72"/>
      <c r="B701" s="63"/>
      <c r="C701" s="63"/>
      <c r="D701" s="63"/>
      <c r="E701" s="64"/>
      <c r="F701" s="50"/>
      <c r="G701" s="50"/>
      <c r="H701" s="50"/>
    </row>
    <row r="702" spans="1:8" ht="12.75">
      <c r="A702" s="72"/>
      <c r="B702" s="63"/>
      <c r="C702" s="63"/>
      <c r="D702" s="63"/>
      <c r="E702" s="64"/>
      <c r="F702" s="50"/>
      <c r="G702" s="50"/>
      <c r="H702" s="50"/>
    </row>
    <row r="703" spans="1:8" ht="12.75">
      <c r="A703" s="72"/>
      <c r="B703" s="63"/>
      <c r="C703" s="63"/>
      <c r="D703" s="63"/>
      <c r="E703" s="64"/>
      <c r="F703" s="50"/>
      <c r="G703" s="50"/>
      <c r="H703" s="50"/>
    </row>
    <row r="704" spans="1:8" ht="12.75">
      <c r="A704" s="72"/>
      <c r="B704" s="63"/>
      <c r="C704" s="63"/>
      <c r="D704" s="63"/>
      <c r="E704" s="64"/>
      <c r="F704" s="50"/>
      <c r="G704" s="50"/>
      <c r="H704" s="50"/>
    </row>
    <row r="705" spans="1:8" ht="12.75">
      <c r="A705" s="72"/>
      <c r="B705" s="63"/>
      <c r="C705" s="63"/>
      <c r="D705" s="63"/>
      <c r="E705" s="64"/>
      <c r="F705" s="50"/>
      <c r="G705" s="50"/>
      <c r="H705" s="50"/>
    </row>
    <row r="706" spans="1:8" ht="12.75">
      <c r="A706" s="72"/>
      <c r="B706" s="63"/>
      <c r="C706" s="63"/>
      <c r="D706" s="63"/>
      <c r="E706" s="64"/>
      <c r="F706" s="50"/>
      <c r="G706" s="50"/>
      <c r="H706" s="50"/>
    </row>
    <row r="707" spans="1:8" ht="12.75">
      <c r="A707" s="72"/>
      <c r="B707" s="63"/>
      <c r="C707" s="63"/>
      <c r="D707" s="63"/>
      <c r="E707" s="64"/>
      <c r="F707" s="50"/>
      <c r="G707" s="50"/>
      <c r="H707" s="50"/>
    </row>
    <row r="708" spans="1:8" ht="12.75">
      <c r="A708" s="72"/>
      <c r="B708" s="63"/>
      <c r="C708" s="63"/>
      <c r="D708" s="63"/>
      <c r="E708" s="64"/>
      <c r="F708" s="50"/>
      <c r="G708" s="50"/>
      <c r="H708" s="50"/>
    </row>
    <row r="709" spans="1:8" ht="12.75">
      <c r="A709" s="72"/>
      <c r="B709" s="63"/>
      <c r="C709" s="63"/>
      <c r="D709" s="63"/>
      <c r="E709" s="64"/>
      <c r="F709" s="50"/>
      <c r="G709" s="50"/>
      <c r="H709" s="50"/>
    </row>
    <row r="710" spans="1:8" ht="12.75">
      <c r="A710" s="72"/>
      <c r="B710" s="63"/>
      <c r="C710" s="63"/>
      <c r="D710" s="63"/>
      <c r="E710" s="64"/>
      <c r="F710" s="50"/>
      <c r="G710" s="50"/>
      <c r="H710" s="50"/>
    </row>
    <row r="711" spans="1:8" ht="12.75">
      <c r="A711" s="72"/>
      <c r="B711" s="63"/>
      <c r="C711" s="63"/>
      <c r="D711" s="63"/>
      <c r="E711" s="64"/>
      <c r="F711" s="50"/>
      <c r="G711" s="50"/>
      <c r="H711" s="50"/>
    </row>
    <row r="712" spans="1:8" ht="12.75">
      <c r="A712" s="72"/>
      <c r="B712" s="63"/>
      <c r="C712" s="63"/>
      <c r="D712" s="63"/>
      <c r="E712" s="64"/>
      <c r="F712" s="50"/>
      <c r="G712" s="50"/>
      <c r="H712" s="50"/>
    </row>
    <row r="713" spans="1:8" ht="12.75">
      <c r="A713" s="72"/>
      <c r="B713" s="63"/>
      <c r="C713" s="63"/>
      <c r="D713" s="63"/>
      <c r="E713" s="64"/>
      <c r="F713" s="50"/>
      <c r="G713" s="50"/>
      <c r="H713" s="50"/>
    </row>
    <row r="714" spans="1:8" ht="12.75">
      <c r="A714" s="72"/>
      <c r="B714" s="63"/>
      <c r="C714" s="63"/>
      <c r="D714" s="63"/>
      <c r="E714" s="64"/>
      <c r="F714" s="50"/>
      <c r="G714" s="50"/>
      <c r="H714" s="50"/>
    </row>
    <row r="715" spans="1:8" ht="12.75">
      <c r="A715" s="72"/>
      <c r="B715" s="63"/>
      <c r="C715" s="63"/>
      <c r="D715" s="63"/>
      <c r="E715" s="64"/>
      <c r="F715" s="50"/>
      <c r="G715" s="50"/>
      <c r="H715" s="50"/>
    </row>
    <row r="716" spans="1:8" ht="12.75">
      <c r="A716" s="72"/>
      <c r="B716" s="63"/>
      <c r="C716" s="63"/>
      <c r="D716" s="63"/>
      <c r="E716" s="64"/>
      <c r="F716" s="50"/>
      <c r="G716" s="50"/>
      <c r="H716" s="50"/>
    </row>
    <row r="717" spans="1:8" ht="12.75">
      <c r="A717" s="72"/>
      <c r="B717" s="63"/>
      <c r="C717" s="63"/>
      <c r="D717" s="63"/>
      <c r="E717" s="64"/>
      <c r="F717" s="50"/>
      <c r="G717" s="50"/>
      <c r="H717" s="50"/>
    </row>
    <row r="718" spans="1:8" ht="12.75">
      <c r="A718" s="72"/>
      <c r="B718" s="63"/>
      <c r="C718" s="63"/>
      <c r="D718" s="63"/>
      <c r="E718" s="64"/>
      <c r="F718" s="50"/>
      <c r="G718" s="50"/>
      <c r="H718" s="50"/>
    </row>
    <row r="719" spans="1:8" ht="12.75">
      <c r="A719" s="72"/>
      <c r="B719" s="63"/>
      <c r="C719" s="63"/>
      <c r="D719" s="63"/>
      <c r="E719" s="64"/>
      <c r="F719" s="50"/>
      <c r="G719" s="50"/>
      <c r="H719" s="50"/>
    </row>
    <row r="720" spans="1:8" ht="12.75">
      <c r="A720" s="72"/>
      <c r="B720" s="63"/>
      <c r="C720" s="63"/>
      <c r="D720" s="63"/>
      <c r="E720" s="64"/>
      <c r="F720" s="50"/>
      <c r="G720" s="50"/>
      <c r="H720" s="50"/>
    </row>
    <row r="721" spans="1:8" ht="12.75">
      <c r="A721" s="72"/>
      <c r="B721" s="63"/>
      <c r="C721" s="63"/>
      <c r="D721" s="63"/>
      <c r="E721" s="64"/>
      <c r="F721" s="50"/>
      <c r="G721" s="50"/>
      <c r="H721" s="50"/>
    </row>
    <row r="722" spans="1:8" ht="12.75">
      <c r="A722" s="72"/>
      <c r="B722" s="63"/>
      <c r="C722" s="63"/>
      <c r="D722" s="63"/>
      <c r="E722" s="64"/>
      <c r="F722" s="50"/>
      <c r="G722" s="50"/>
      <c r="H722" s="50"/>
    </row>
    <row r="723" spans="1:8" ht="12.75">
      <c r="A723" s="72"/>
      <c r="B723" s="63"/>
      <c r="C723" s="63"/>
      <c r="D723" s="63"/>
      <c r="E723" s="64"/>
      <c r="F723" s="50"/>
      <c r="G723" s="50"/>
      <c r="H723" s="50"/>
    </row>
    <row r="724" spans="1:8" ht="12.75">
      <c r="A724" s="72"/>
      <c r="B724" s="63"/>
      <c r="C724" s="63"/>
      <c r="D724" s="63"/>
      <c r="E724" s="64"/>
      <c r="F724" s="50"/>
      <c r="G724" s="50"/>
      <c r="H724" s="50"/>
    </row>
    <row r="725" spans="1:8" ht="12.75">
      <c r="A725" s="72"/>
      <c r="B725" s="63"/>
      <c r="C725" s="63"/>
      <c r="D725" s="63"/>
      <c r="E725" s="64"/>
      <c r="F725" s="50"/>
      <c r="G725" s="50"/>
      <c r="H725" s="50"/>
    </row>
    <row r="726" spans="1:8" ht="12.75">
      <c r="A726" s="72"/>
      <c r="B726" s="63"/>
      <c r="C726" s="63"/>
      <c r="D726" s="63"/>
      <c r="E726" s="64"/>
      <c r="F726" s="50"/>
      <c r="G726" s="50"/>
      <c r="H726" s="50"/>
    </row>
    <row r="727" spans="1:8" ht="12.75">
      <c r="A727" s="72"/>
      <c r="B727" s="63"/>
      <c r="C727" s="63"/>
      <c r="D727" s="63"/>
      <c r="E727" s="64"/>
      <c r="F727" s="50"/>
      <c r="G727" s="50"/>
      <c r="H727" s="50"/>
    </row>
    <row r="728" spans="1:8" ht="12.75">
      <c r="A728" s="72"/>
      <c r="B728" s="63"/>
      <c r="C728" s="63"/>
      <c r="D728" s="63"/>
      <c r="E728" s="64"/>
      <c r="F728" s="50"/>
      <c r="G728" s="50"/>
      <c r="H728" s="50"/>
    </row>
    <row r="729" spans="1:8" ht="12.75">
      <c r="A729" s="72"/>
      <c r="B729" s="63"/>
      <c r="C729" s="63"/>
      <c r="D729" s="63"/>
      <c r="E729" s="64"/>
      <c r="F729" s="50"/>
      <c r="G729" s="50"/>
      <c r="H729" s="50"/>
    </row>
    <row r="730" spans="1:8" ht="12.75">
      <c r="A730" s="72"/>
      <c r="B730" s="63"/>
      <c r="C730" s="63"/>
      <c r="D730" s="63"/>
      <c r="E730" s="64"/>
      <c r="F730" s="50"/>
      <c r="G730" s="50"/>
      <c r="H730" s="50"/>
    </row>
    <row r="731" spans="1:8" ht="12.75">
      <c r="A731" s="72"/>
      <c r="B731" s="63"/>
      <c r="C731" s="63"/>
      <c r="D731" s="63"/>
      <c r="E731" s="64"/>
      <c r="F731" s="50"/>
      <c r="G731" s="50"/>
      <c r="H731" s="50"/>
    </row>
    <row r="732" spans="1:8" ht="12.75">
      <c r="A732" s="72"/>
      <c r="B732" s="63"/>
      <c r="C732" s="63"/>
      <c r="D732" s="63"/>
      <c r="E732" s="64"/>
      <c r="F732" s="50"/>
      <c r="G732" s="50"/>
      <c r="H732" s="50"/>
    </row>
    <row r="733" spans="1:8" ht="12.75">
      <c r="A733" s="72"/>
      <c r="B733" s="63"/>
      <c r="C733" s="63"/>
      <c r="D733" s="63"/>
      <c r="E733" s="64"/>
      <c r="F733" s="50"/>
      <c r="G733" s="50"/>
      <c r="H733" s="50"/>
    </row>
    <row r="734" spans="1:8" ht="12.75">
      <c r="A734" s="72"/>
      <c r="B734" s="63"/>
      <c r="C734" s="63"/>
      <c r="D734" s="63"/>
      <c r="E734" s="64"/>
      <c r="F734" s="50"/>
      <c r="G734" s="50"/>
      <c r="H734" s="50"/>
    </row>
    <row r="735" spans="1:8" ht="12.75">
      <c r="A735" s="72"/>
      <c r="B735" s="63"/>
      <c r="C735" s="63"/>
      <c r="D735" s="63"/>
      <c r="E735" s="64"/>
      <c r="F735" s="50"/>
      <c r="G735" s="50"/>
      <c r="H735" s="50"/>
    </row>
    <row r="736" spans="1:8" ht="12.75">
      <c r="A736" s="72"/>
      <c r="B736" s="63"/>
      <c r="C736" s="63"/>
      <c r="D736" s="63"/>
      <c r="E736" s="64"/>
      <c r="F736" s="50"/>
      <c r="G736" s="50"/>
      <c r="H736" s="50"/>
    </row>
    <row r="737" spans="1:8" ht="12.75">
      <c r="A737" s="72"/>
      <c r="B737" s="63"/>
      <c r="C737" s="63"/>
      <c r="D737" s="63"/>
      <c r="E737" s="64"/>
      <c r="F737" s="50"/>
      <c r="G737" s="50"/>
      <c r="H737" s="50"/>
    </row>
    <row r="738" spans="1:8" ht="12.75">
      <c r="A738" s="72"/>
      <c r="B738" s="63"/>
      <c r="C738" s="63"/>
      <c r="D738" s="63"/>
      <c r="E738" s="64"/>
      <c r="F738" s="50"/>
      <c r="G738" s="50"/>
      <c r="H738" s="50"/>
    </row>
    <row r="739" spans="1:8" ht="12.75">
      <c r="A739" s="72"/>
      <c r="B739" s="63"/>
      <c r="C739" s="63"/>
      <c r="D739" s="63"/>
      <c r="E739" s="64"/>
      <c r="F739" s="50"/>
      <c r="G739" s="50"/>
      <c r="H739" s="50"/>
    </row>
    <row r="740" spans="1:8" ht="12.75">
      <c r="A740" s="72"/>
      <c r="B740" s="63"/>
      <c r="C740" s="63"/>
      <c r="D740" s="63"/>
      <c r="E740" s="64"/>
      <c r="F740" s="50"/>
      <c r="G740" s="50"/>
      <c r="H740" s="50"/>
    </row>
    <row r="741" spans="1:8" ht="12.75">
      <c r="A741" s="72"/>
      <c r="B741" s="63"/>
      <c r="C741" s="63"/>
      <c r="D741" s="63"/>
      <c r="E741" s="64"/>
      <c r="F741" s="50"/>
      <c r="G741" s="50"/>
      <c r="H741" s="50"/>
    </row>
    <row r="742" spans="1:8" ht="12.75">
      <c r="A742" s="72"/>
      <c r="B742" s="63"/>
      <c r="C742" s="63"/>
      <c r="D742" s="63"/>
      <c r="E742" s="64"/>
      <c r="F742" s="50"/>
      <c r="G742" s="50"/>
      <c r="H742" s="50"/>
    </row>
    <row r="743" spans="1:8" ht="12.75">
      <c r="A743" s="72"/>
      <c r="B743" s="63"/>
      <c r="C743" s="63"/>
      <c r="D743" s="63"/>
      <c r="E743" s="64"/>
      <c r="F743" s="50"/>
      <c r="G743" s="50"/>
      <c r="H743" s="50"/>
    </row>
    <row r="744" spans="1:8" ht="12.75">
      <c r="A744" s="72"/>
      <c r="B744" s="63"/>
      <c r="C744" s="63"/>
      <c r="D744" s="63"/>
      <c r="E744" s="64"/>
      <c r="F744" s="50"/>
      <c r="G744" s="50"/>
      <c r="H744" s="50"/>
    </row>
    <row r="745" spans="1:8" ht="12.75">
      <c r="A745" s="72"/>
      <c r="B745" s="63"/>
      <c r="C745" s="63"/>
      <c r="D745" s="63"/>
      <c r="E745" s="64"/>
      <c r="F745" s="50"/>
      <c r="G745" s="50"/>
      <c r="H745" s="50"/>
    </row>
    <row r="746" spans="1:8" ht="12.75">
      <c r="A746" s="72"/>
      <c r="B746" s="63"/>
      <c r="C746" s="63"/>
      <c r="D746" s="63"/>
      <c r="E746" s="64"/>
      <c r="F746" s="50"/>
      <c r="G746" s="50"/>
      <c r="H746" s="50"/>
    </row>
    <row r="747" spans="1:8" ht="12.75">
      <c r="A747" s="72"/>
      <c r="B747" s="63"/>
      <c r="C747" s="63"/>
      <c r="D747" s="63"/>
      <c r="E747" s="64"/>
      <c r="F747" s="50"/>
      <c r="G747" s="50"/>
      <c r="H747" s="50"/>
    </row>
    <row r="748" spans="1:8" ht="12.75">
      <c r="A748" s="72"/>
      <c r="B748" s="63"/>
      <c r="C748" s="63"/>
      <c r="D748" s="63"/>
      <c r="E748" s="64"/>
      <c r="F748" s="50"/>
      <c r="G748" s="50"/>
      <c r="H748" s="50"/>
    </row>
    <row r="749" spans="1:8" ht="12.75">
      <c r="A749" s="72"/>
      <c r="B749" s="63"/>
      <c r="C749" s="63"/>
      <c r="D749" s="63"/>
      <c r="E749" s="64"/>
      <c r="F749" s="50"/>
      <c r="G749" s="50"/>
      <c r="H749" s="50"/>
    </row>
    <row r="750" spans="1:8" ht="12.75">
      <c r="A750" s="72"/>
      <c r="B750" s="63"/>
      <c r="C750" s="63"/>
      <c r="D750" s="63"/>
      <c r="E750" s="64"/>
      <c r="F750" s="50"/>
      <c r="G750" s="50"/>
      <c r="H750" s="50"/>
    </row>
    <row r="751" spans="1:8" ht="12.75">
      <c r="A751" s="72"/>
      <c r="B751" s="63"/>
      <c r="C751" s="63"/>
      <c r="D751" s="63"/>
      <c r="E751" s="64"/>
      <c r="F751" s="50"/>
      <c r="G751" s="50"/>
      <c r="H751" s="50"/>
    </row>
    <row r="752" spans="1:8" ht="12.75">
      <c r="A752" s="72"/>
      <c r="B752" s="63"/>
      <c r="C752" s="63"/>
      <c r="D752" s="63"/>
      <c r="E752" s="64"/>
      <c r="F752" s="50"/>
      <c r="G752" s="50"/>
      <c r="H752" s="50"/>
    </row>
    <row r="753" spans="1:8" ht="12.75">
      <c r="A753" s="72"/>
      <c r="B753" s="63"/>
      <c r="C753" s="63"/>
      <c r="D753" s="63"/>
      <c r="E753" s="64"/>
      <c r="F753" s="50"/>
      <c r="G753" s="50"/>
      <c r="H753" s="50"/>
    </row>
    <row r="754" spans="1:8" ht="12.75">
      <c r="A754" s="72"/>
      <c r="B754" s="63"/>
      <c r="C754" s="63"/>
      <c r="D754" s="63"/>
      <c r="E754" s="64"/>
      <c r="F754" s="50"/>
      <c r="G754" s="50"/>
      <c r="H754" s="50"/>
    </row>
    <row r="755" spans="1:8" ht="12.75">
      <c r="A755" s="72"/>
      <c r="B755" s="63"/>
      <c r="C755" s="63"/>
      <c r="D755" s="63"/>
      <c r="E755" s="64"/>
      <c r="F755" s="50"/>
      <c r="G755" s="50"/>
      <c r="H755" s="50"/>
    </row>
    <row r="756" spans="1:8" ht="12.75">
      <c r="A756" s="72"/>
      <c r="B756" s="63"/>
      <c r="C756" s="63"/>
      <c r="D756" s="63"/>
      <c r="E756" s="64"/>
      <c r="F756" s="50"/>
      <c r="G756" s="50"/>
      <c r="H756" s="50"/>
    </row>
    <row r="757" spans="1:8" ht="12.75">
      <c r="A757" s="72"/>
      <c r="B757" s="63"/>
      <c r="C757" s="63"/>
      <c r="D757" s="63"/>
      <c r="E757" s="64"/>
      <c r="F757" s="50"/>
      <c r="G757" s="50"/>
      <c r="H757" s="50"/>
    </row>
    <row r="758" spans="1:8" ht="12.75">
      <c r="A758" s="72"/>
      <c r="B758" s="63"/>
      <c r="C758" s="63"/>
      <c r="D758" s="63"/>
      <c r="E758" s="64"/>
      <c r="F758" s="50"/>
      <c r="G758" s="50"/>
      <c r="H758" s="50"/>
    </row>
    <row r="759" spans="1:8" ht="12.75">
      <c r="A759" s="72"/>
      <c r="B759" s="63"/>
      <c r="C759" s="63"/>
      <c r="D759" s="63"/>
      <c r="E759" s="64"/>
      <c r="F759" s="50"/>
      <c r="G759" s="50"/>
      <c r="H759" s="50"/>
    </row>
    <row r="760" spans="1:8" ht="12.75">
      <c r="A760" s="72"/>
      <c r="B760" s="63"/>
      <c r="C760" s="63"/>
      <c r="D760" s="63"/>
      <c r="E760" s="64"/>
      <c r="F760" s="50"/>
      <c r="G760" s="50"/>
      <c r="H760" s="50"/>
    </row>
    <row r="761" spans="1:8" ht="12.75">
      <c r="A761" s="72"/>
      <c r="B761" s="63"/>
      <c r="C761" s="63"/>
      <c r="D761" s="63"/>
      <c r="E761" s="64"/>
      <c r="F761" s="50"/>
      <c r="G761" s="50"/>
      <c r="H761" s="50"/>
    </row>
    <row r="762" spans="1:8" ht="12.75">
      <c r="A762" s="72"/>
      <c r="B762" s="63"/>
      <c r="C762" s="63"/>
      <c r="D762" s="63"/>
      <c r="E762" s="64"/>
      <c r="F762" s="50"/>
      <c r="G762" s="50"/>
      <c r="H762" s="50"/>
    </row>
    <row r="763" spans="1:8" ht="12.75">
      <c r="A763" s="72"/>
      <c r="B763" s="63"/>
      <c r="C763" s="63"/>
      <c r="D763" s="63"/>
      <c r="E763" s="64"/>
      <c r="F763" s="50"/>
      <c r="G763" s="50"/>
      <c r="H763" s="50"/>
    </row>
    <row r="764" spans="1:8" ht="12.75">
      <c r="A764" s="72"/>
      <c r="B764" s="63"/>
      <c r="C764" s="63"/>
      <c r="D764" s="63"/>
      <c r="E764" s="64"/>
      <c r="F764" s="50"/>
      <c r="G764" s="50"/>
      <c r="H764" s="50"/>
    </row>
    <row r="765" spans="1:8" ht="12.75">
      <c r="A765" s="72"/>
      <c r="B765" s="63"/>
      <c r="C765" s="63"/>
      <c r="D765" s="63"/>
      <c r="E765" s="64"/>
      <c r="F765" s="50"/>
      <c r="G765" s="50"/>
      <c r="H765" s="50"/>
    </row>
    <row r="766" spans="1:8" ht="12.75">
      <c r="A766" s="72"/>
      <c r="B766" s="63"/>
      <c r="C766" s="63"/>
      <c r="D766" s="63"/>
      <c r="E766" s="64"/>
      <c r="F766" s="50"/>
      <c r="G766" s="50"/>
      <c r="H766" s="50"/>
    </row>
    <row r="767" spans="1:8" ht="12.75">
      <c r="A767" s="72"/>
      <c r="B767" s="63"/>
      <c r="C767" s="63"/>
      <c r="D767" s="63"/>
      <c r="E767" s="64"/>
      <c r="F767" s="50"/>
      <c r="G767" s="50"/>
      <c r="H767" s="50"/>
    </row>
    <row r="768" spans="1:8" ht="12.75">
      <c r="A768" s="72"/>
      <c r="B768" s="63"/>
      <c r="C768" s="63"/>
      <c r="D768" s="63"/>
      <c r="E768" s="64"/>
      <c r="F768" s="50"/>
      <c r="G768" s="50"/>
      <c r="H768" s="50"/>
    </row>
    <row r="769" spans="1:8" ht="12.75">
      <c r="A769" s="72"/>
      <c r="B769" s="63"/>
      <c r="C769" s="63"/>
      <c r="D769" s="63"/>
      <c r="E769" s="64"/>
      <c r="F769" s="50"/>
      <c r="G769" s="50"/>
      <c r="H769" s="50"/>
    </row>
    <row r="770" spans="1:8" ht="12.75">
      <c r="A770" s="72"/>
      <c r="B770" s="63"/>
      <c r="C770" s="63"/>
      <c r="D770" s="63"/>
      <c r="E770" s="64"/>
      <c r="F770" s="50"/>
      <c r="G770" s="50"/>
      <c r="H770" s="50"/>
    </row>
    <row r="771" spans="1:8" ht="12.75">
      <c r="A771" s="72"/>
      <c r="B771" s="63"/>
      <c r="C771" s="63"/>
      <c r="D771" s="63"/>
      <c r="E771" s="64"/>
      <c r="F771" s="50"/>
      <c r="G771" s="50"/>
      <c r="H771" s="50"/>
    </row>
    <row r="772" spans="1:8" ht="12.75">
      <c r="A772" s="72"/>
      <c r="B772" s="63"/>
      <c r="C772" s="63"/>
      <c r="D772" s="63"/>
      <c r="E772" s="64"/>
      <c r="F772" s="50"/>
      <c r="G772" s="50"/>
      <c r="H772" s="50"/>
    </row>
    <row r="773" spans="1:8" ht="12.75">
      <c r="A773" s="72"/>
      <c r="B773" s="63"/>
      <c r="C773" s="63"/>
      <c r="D773" s="63"/>
      <c r="E773" s="64"/>
      <c r="F773" s="50"/>
      <c r="G773" s="50"/>
      <c r="H773" s="50"/>
    </row>
    <row r="774" spans="1:8" ht="12.75">
      <c r="A774" s="72"/>
      <c r="B774" s="63"/>
      <c r="C774" s="63"/>
      <c r="D774" s="63"/>
      <c r="E774" s="64"/>
      <c r="F774" s="50"/>
      <c r="G774" s="50"/>
      <c r="H774" s="50"/>
    </row>
    <row r="775" spans="1:8" ht="12.75">
      <c r="A775" s="72"/>
      <c r="B775" s="63"/>
      <c r="C775" s="63"/>
      <c r="D775" s="63"/>
      <c r="E775" s="64"/>
      <c r="F775" s="50"/>
      <c r="G775" s="50"/>
      <c r="H775" s="50"/>
    </row>
    <row r="776" spans="1:8" ht="12.75">
      <c r="A776" s="72"/>
      <c r="B776" s="63"/>
      <c r="C776" s="63"/>
      <c r="D776" s="63"/>
      <c r="E776" s="64"/>
      <c r="F776" s="50"/>
      <c r="G776" s="50"/>
      <c r="H776" s="50"/>
    </row>
    <row r="777" spans="1:8" ht="12.75">
      <c r="A777" s="72"/>
      <c r="B777" s="63"/>
      <c r="C777" s="63"/>
      <c r="D777" s="63"/>
      <c r="E777" s="64"/>
      <c r="F777" s="50"/>
      <c r="G777" s="50"/>
      <c r="H777" s="50"/>
    </row>
    <row r="778" spans="1:8" ht="12.75">
      <c r="A778" s="72"/>
      <c r="B778" s="63"/>
      <c r="C778" s="63"/>
      <c r="D778" s="63"/>
      <c r="E778" s="64"/>
      <c r="F778" s="50"/>
      <c r="G778" s="50"/>
      <c r="H778" s="50"/>
    </row>
    <row r="779" spans="1:8" ht="12.75">
      <c r="A779" s="72"/>
      <c r="B779" s="63"/>
      <c r="C779" s="63"/>
      <c r="D779" s="63"/>
      <c r="E779" s="64"/>
      <c r="F779" s="50"/>
      <c r="G779" s="50"/>
      <c r="H779" s="50"/>
    </row>
    <row r="780" spans="1:8" ht="12.75">
      <c r="A780" s="72"/>
      <c r="B780" s="63"/>
      <c r="C780" s="63"/>
      <c r="D780" s="63"/>
      <c r="E780" s="64"/>
      <c r="F780" s="50"/>
      <c r="G780" s="50"/>
      <c r="H780" s="50"/>
    </row>
    <row r="781" spans="1:8" ht="12.75">
      <c r="A781" s="72"/>
      <c r="B781" s="63"/>
      <c r="C781" s="63"/>
      <c r="D781" s="63"/>
      <c r="E781" s="64"/>
      <c r="F781" s="50"/>
      <c r="G781" s="50"/>
      <c r="H781" s="50"/>
    </row>
    <row r="782" spans="1:8" ht="12.75">
      <c r="A782" s="72"/>
      <c r="B782" s="63"/>
      <c r="C782" s="63"/>
      <c r="D782" s="63"/>
      <c r="E782" s="64"/>
      <c r="F782" s="50"/>
      <c r="G782" s="50"/>
      <c r="H782" s="50"/>
    </row>
    <row r="783" spans="1:8" ht="12.75">
      <c r="A783" s="72"/>
      <c r="B783" s="63"/>
      <c r="C783" s="63"/>
      <c r="D783" s="63"/>
      <c r="E783" s="64"/>
      <c r="F783" s="50"/>
      <c r="G783" s="50"/>
      <c r="H783" s="50"/>
    </row>
    <row r="784" spans="1:8" ht="12.75">
      <c r="A784" s="72"/>
      <c r="B784" s="63"/>
      <c r="C784" s="63"/>
      <c r="D784" s="63"/>
      <c r="E784" s="64"/>
      <c r="F784" s="50"/>
      <c r="G784" s="50"/>
      <c r="H784" s="50"/>
    </row>
    <row r="785" spans="1:8" ht="12.75">
      <c r="A785" s="72"/>
      <c r="B785" s="63"/>
      <c r="C785" s="63"/>
      <c r="D785" s="63"/>
      <c r="E785" s="64"/>
      <c r="F785" s="50"/>
      <c r="G785" s="50"/>
      <c r="H785" s="50"/>
    </row>
    <row r="786" spans="1:8" ht="12.75">
      <c r="A786" s="72"/>
      <c r="B786" s="63"/>
      <c r="C786" s="63"/>
      <c r="D786" s="63"/>
      <c r="E786" s="64"/>
      <c r="F786" s="50"/>
      <c r="G786" s="50"/>
      <c r="H786" s="50"/>
    </row>
    <row r="787" spans="1:8" ht="12.75">
      <c r="A787" s="72"/>
      <c r="B787" s="63"/>
      <c r="C787" s="63"/>
      <c r="D787" s="63"/>
      <c r="E787" s="64"/>
      <c r="F787" s="50"/>
      <c r="G787" s="50"/>
      <c r="H787" s="50"/>
    </row>
    <row r="788" spans="1:8" ht="12.75">
      <c r="A788" s="72"/>
      <c r="B788" s="63"/>
      <c r="C788" s="63"/>
      <c r="D788" s="63"/>
      <c r="E788" s="64"/>
      <c r="F788" s="50"/>
      <c r="G788" s="50"/>
      <c r="H788" s="50"/>
    </row>
    <row r="789" spans="1:8" ht="12.75">
      <c r="A789" s="72"/>
      <c r="B789" s="63"/>
      <c r="C789" s="63"/>
      <c r="D789" s="63"/>
      <c r="E789" s="64"/>
      <c r="F789" s="50"/>
      <c r="G789" s="50"/>
      <c r="H789" s="50"/>
    </row>
    <row r="790" spans="1:8" ht="12.75">
      <c r="A790" s="72"/>
      <c r="B790" s="63"/>
      <c r="C790" s="63"/>
      <c r="D790" s="63"/>
      <c r="E790" s="64"/>
      <c r="F790" s="50"/>
      <c r="G790" s="50"/>
      <c r="H790" s="50"/>
    </row>
    <row r="791" spans="1:8" ht="12.75">
      <c r="A791" s="72"/>
      <c r="B791" s="63"/>
      <c r="C791" s="63"/>
      <c r="D791" s="63"/>
      <c r="E791" s="64"/>
      <c r="F791" s="50"/>
      <c r="G791" s="50"/>
      <c r="H791" s="50"/>
    </row>
    <row r="792" spans="1:8" ht="12.75">
      <c r="A792" s="72"/>
      <c r="B792" s="63"/>
      <c r="C792" s="63"/>
      <c r="D792" s="63"/>
      <c r="E792" s="64"/>
      <c r="F792" s="50"/>
      <c r="G792" s="50"/>
      <c r="H792" s="50"/>
    </row>
    <row r="793" spans="1:8" ht="12.75">
      <c r="A793" s="72"/>
      <c r="B793" s="63"/>
      <c r="C793" s="63"/>
      <c r="D793" s="63"/>
      <c r="E793" s="64"/>
      <c r="F793" s="50"/>
      <c r="G793" s="50"/>
      <c r="H793" s="50"/>
    </row>
    <row r="794" spans="1:8" ht="12.75">
      <c r="A794" s="72"/>
      <c r="B794" s="63"/>
      <c r="C794" s="63"/>
      <c r="D794" s="63"/>
      <c r="E794" s="64"/>
      <c r="F794" s="50"/>
      <c r="G794" s="50"/>
      <c r="H794" s="50"/>
    </row>
    <row r="795" spans="1:8" ht="12.75">
      <c r="A795" s="72"/>
      <c r="B795" s="63"/>
      <c r="C795" s="63"/>
      <c r="D795" s="63"/>
      <c r="E795" s="64"/>
      <c r="F795" s="50"/>
      <c r="G795" s="50"/>
      <c r="H795" s="50"/>
    </row>
    <row r="796" spans="1:8" ht="12.75">
      <c r="A796" s="72"/>
      <c r="B796" s="63"/>
      <c r="C796" s="63"/>
      <c r="D796" s="63"/>
      <c r="E796" s="64"/>
      <c r="F796" s="50"/>
      <c r="G796" s="50"/>
      <c r="H796" s="50"/>
    </row>
    <row r="797" spans="1:8" ht="12.75">
      <c r="A797" s="72"/>
      <c r="B797" s="63"/>
      <c r="C797" s="63"/>
      <c r="D797" s="63"/>
      <c r="E797" s="64"/>
      <c r="F797" s="50"/>
      <c r="G797" s="50"/>
      <c r="H797" s="50"/>
    </row>
    <row r="798" spans="1:8" ht="12.75">
      <c r="A798" s="72"/>
      <c r="B798" s="63"/>
      <c r="C798" s="63"/>
      <c r="D798" s="63"/>
      <c r="E798" s="64"/>
      <c r="F798" s="50"/>
      <c r="G798" s="50"/>
      <c r="H798" s="50"/>
    </row>
    <row r="799" spans="1:8" ht="12.75">
      <c r="A799" s="72"/>
      <c r="B799" s="63"/>
      <c r="C799" s="63"/>
      <c r="D799" s="63"/>
      <c r="E799" s="64"/>
      <c r="F799" s="50"/>
      <c r="G799" s="50"/>
      <c r="H799" s="50"/>
    </row>
    <row r="800" spans="1:8" ht="12.75">
      <c r="A800" s="72"/>
      <c r="B800" s="63"/>
      <c r="C800" s="63"/>
      <c r="D800" s="63"/>
      <c r="E800" s="64"/>
      <c r="F800" s="50"/>
      <c r="G800" s="50"/>
      <c r="H800" s="50"/>
    </row>
    <row r="801" spans="1:8" ht="12.75">
      <c r="A801" s="72"/>
      <c r="B801" s="63"/>
      <c r="C801" s="63"/>
      <c r="D801" s="63"/>
      <c r="E801" s="64"/>
      <c r="F801" s="50"/>
      <c r="G801" s="50"/>
      <c r="H801" s="50"/>
    </row>
    <row r="802" spans="1:8" ht="12.75">
      <c r="A802" s="72"/>
      <c r="B802" s="63"/>
      <c r="C802" s="63"/>
      <c r="D802" s="63"/>
      <c r="E802" s="64"/>
      <c r="F802" s="50"/>
      <c r="G802" s="50"/>
      <c r="H802" s="50"/>
    </row>
    <row r="803" spans="1:8" ht="12.75">
      <c r="A803" s="72"/>
      <c r="B803" s="63"/>
      <c r="C803" s="63"/>
      <c r="D803" s="63"/>
      <c r="E803" s="64"/>
      <c r="F803" s="50"/>
      <c r="G803" s="50"/>
      <c r="H803" s="50"/>
    </row>
    <row r="804" spans="1:8" ht="12.75">
      <c r="A804" s="72"/>
      <c r="B804" s="63"/>
      <c r="C804" s="63"/>
      <c r="D804" s="63"/>
      <c r="E804" s="64"/>
      <c r="F804" s="50"/>
      <c r="G804" s="50"/>
      <c r="H804" s="50"/>
    </row>
    <row r="805" spans="1:8" ht="12.75">
      <c r="A805" s="72"/>
      <c r="B805" s="63"/>
      <c r="C805" s="63"/>
      <c r="D805" s="63"/>
      <c r="E805" s="64"/>
      <c r="F805" s="50"/>
      <c r="G805" s="50"/>
      <c r="H805" s="50"/>
    </row>
    <row r="806" spans="1:8" ht="12.75">
      <c r="A806" s="72"/>
      <c r="B806" s="63"/>
      <c r="C806" s="63"/>
      <c r="D806" s="63"/>
      <c r="E806" s="64"/>
      <c r="F806" s="50"/>
      <c r="G806" s="50"/>
      <c r="H806" s="50"/>
    </row>
    <row r="807" spans="1:8" ht="12.75">
      <c r="A807" s="72"/>
      <c r="B807" s="63"/>
      <c r="C807" s="63"/>
      <c r="D807" s="63"/>
      <c r="E807" s="64"/>
      <c r="F807" s="50"/>
      <c r="G807" s="50"/>
      <c r="H807" s="50"/>
    </row>
    <row r="808" spans="1:8" ht="12.75">
      <c r="A808" s="72"/>
      <c r="B808" s="63"/>
      <c r="C808" s="63"/>
      <c r="D808" s="63"/>
      <c r="E808" s="64"/>
      <c r="F808" s="50"/>
      <c r="G808" s="50"/>
      <c r="H808" s="50"/>
    </row>
    <row r="809" spans="1:8" ht="12.75">
      <c r="A809" s="72"/>
      <c r="B809" s="63"/>
      <c r="C809" s="63"/>
      <c r="D809" s="63"/>
      <c r="E809" s="64"/>
      <c r="F809" s="50"/>
      <c r="G809" s="50"/>
      <c r="H809" s="50"/>
    </row>
    <row r="810" spans="1:8" ht="12.75">
      <c r="A810" s="72"/>
      <c r="B810" s="63"/>
      <c r="C810" s="63"/>
      <c r="D810" s="63"/>
      <c r="E810" s="64"/>
      <c r="F810" s="50"/>
      <c r="G810" s="50"/>
      <c r="H810" s="50"/>
    </row>
    <row r="811" spans="1:8" ht="12.75">
      <c r="A811" s="72"/>
      <c r="B811" s="63"/>
      <c r="C811" s="63"/>
      <c r="D811" s="63"/>
      <c r="E811" s="64"/>
      <c r="F811" s="50"/>
      <c r="G811" s="50"/>
      <c r="H811" s="50"/>
    </row>
    <row r="812" spans="1:8" ht="12.75">
      <c r="A812" s="72"/>
      <c r="B812" s="63"/>
      <c r="C812" s="63"/>
      <c r="D812" s="63"/>
      <c r="E812" s="64"/>
      <c r="F812" s="50"/>
      <c r="G812" s="50"/>
      <c r="H812" s="50"/>
    </row>
    <row r="813" spans="1:8" ht="12.75">
      <c r="A813" s="72"/>
      <c r="B813" s="63"/>
      <c r="C813" s="63"/>
      <c r="D813" s="63"/>
      <c r="E813" s="64"/>
      <c r="F813" s="50"/>
      <c r="G813" s="50"/>
      <c r="H813" s="50"/>
    </row>
    <row r="814" spans="1:8" ht="12.75">
      <c r="A814" s="72"/>
      <c r="B814" s="63"/>
      <c r="C814" s="63"/>
      <c r="D814" s="63"/>
      <c r="E814" s="64"/>
      <c r="F814" s="50"/>
      <c r="G814" s="50"/>
      <c r="H814" s="50"/>
    </row>
    <row r="815" spans="1:8" ht="12.75">
      <c r="A815" s="72"/>
      <c r="B815" s="63"/>
      <c r="C815" s="63"/>
      <c r="D815" s="63"/>
      <c r="E815" s="64"/>
      <c r="F815" s="50"/>
      <c r="G815" s="50"/>
      <c r="H815" s="50"/>
    </row>
    <row r="816" spans="1:8" ht="12.75">
      <c r="A816" s="72"/>
      <c r="B816" s="63"/>
      <c r="C816" s="63"/>
      <c r="D816" s="63"/>
      <c r="E816" s="64"/>
      <c r="F816" s="50"/>
      <c r="G816" s="50"/>
      <c r="H816" s="50"/>
    </row>
    <row r="817" spans="1:8" ht="12.75">
      <c r="A817" s="72"/>
      <c r="B817" s="63"/>
      <c r="C817" s="63"/>
      <c r="D817" s="63"/>
      <c r="E817" s="64"/>
      <c r="F817" s="50"/>
      <c r="G817" s="50"/>
      <c r="H817" s="50"/>
    </row>
    <row r="818" spans="1:8" ht="12.75">
      <c r="A818" s="72"/>
      <c r="B818" s="63"/>
      <c r="C818" s="63"/>
      <c r="D818" s="63"/>
      <c r="E818" s="64"/>
      <c r="F818" s="50"/>
      <c r="G818" s="50"/>
      <c r="H818" s="50"/>
    </row>
    <row r="819" spans="1:8" ht="12.75">
      <c r="A819" s="72"/>
      <c r="B819" s="63"/>
      <c r="C819" s="63"/>
      <c r="D819" s="63"/>
      <c r="E819" s="64"/>
      <c r="F819" s="50"/>
      <c r="G819" s="50"/>
      <c r="H819" s="50"/>
    </row>
    <row r="820" spans="1:8" ht="12.75">
      <c r="A820" s="72"/>
      <c r="B820" s="63"/>
      <c r="C820" s="63"/>
      <c r="D820" s="63"/>
      <c r="E820" s="64"/>
      <c r="F820" s="50"/>
      <c r="G820" s="50"/>
      <c r="H820" s="50"/>
    </row>
    <row r="821" spans="1:8" ht="12.75">
      <c r="A821" s="72"/>
      <c r="B821" s="63"/>
      <c r="C821" s="63"/>
      <c r="D821" s="63"/>
      <c r="E821" s="64"/>
      <c r="F821" s="50"/>
      <c r="G821" s="50"/>
      <c r="H821" s="50"/>
    </row>
    <row r="822" spans="1:8" ht="12.75">
      <c r="A822" s="72"/>
      <c r="B822" s="63"/>
      <c r="C822" s="63"/>
      <c r="D822" s="63"/>
      <c r="E822" s="64"/>
      <c r="F822" s="50"/>
      <c r="G822" s="50"/>
      <c r="H822" s="50"/>
    </row>
    <row r="823" spans="1:8" ht="12.75">
      <c r="A823" s="72"/>
      <c r="B823" s="63"/>
      <c r="C823" s="63"/>
      <c r="D823" s="63"/>
      <c r="E823" s="64"/>
      <c r="F823" s="50"/>
      <c r="G823" s="50"/>
      <c r="H823" s="50"/>
    </row>
    <row r="824" spans="1:8" ht="12.75">
      <c r="A824" s="72"/>
      <c r="B824" s="63"/>
      <c r="C824" s="63"/>
      <c r="D824" s="63"/>
      <c r="E824" s="64"/>
      <c r="F824" s="50"/>
      <c r="G824" s="50"/>
      <c r="H824" s="50"/>
    </row>
    <row r="825" spans="1:8" ht="12.75">
      <c r="A825" s="72"/>
      <c r="B825" s="63"/>
      <c r="C825" s="63"/>
      <c r="D825" s="63"/>
      <c r="E825" s="64"/>
      <c r="F825" s="50"/>
      <c r="G825" s="50"/>
      <c r="H825" s="50"/>
    </row>
    <row r="826" spans="1:8" ht="12.75">
      <c r="A826" s="72"/>
      <c r="B826" s="63"/>
      <c r="C826" s="63"/>
      <c r="D826" s="63"/>
      <c r="E826" s="64"/>
      <c r="F826" s="50"/>
      <c r="G826" s="50"/>
      <c r="H826" s="50"/>
    </row>
    <row r="827" spans="1:8" ht="12.75">
      <c r="A827" s="72"/>
      <c r="B827" s="63"/>
      <c r="C827" s="63"/>
      <c r="D827" s="63"/>
      <c r="E827" s="64"/>
      <c r="F827" s="50"/>
      <c r="G827" s="50"/>
      <c r="H827" s="50"/>
    </row>
    <row r="828" spans="1:8" ht="12.75">
      <c r="A828" s="72"/>
      <c r="B828" s="63"/>
      <c r="C828" s="63"/>
      <c r="D828" s="63"/>
      <c r="E828" s="64"/>
      <c r="F828" s="50"/>
      <c r="G828" s="50"/>
      <c r="H828" s="50"/>
    </row>
    <row r="829" spans="1:8" ht="12.75">
      <c r="A829" s="72"/>
      <c r="B829" s="63"/>
      <c r="C829" s="63"/>
      <c r="D829" s="63"/>
      <c r="E829" s="64"/>
      <c r="F829" s="50"/>
      <c r="G829" s="50"/>
      <c r="H829" s="50"/>
    </row>
    <row r="830" spans="1:8" ht="12.75">
      <c r="A830" s="72"/>
      <c r="B830" s="63"/>
      <c r="C830" s="63"/>
      <c r="D830" s="63"/>
      <c r="E830" s="64"/>
      <c r="F830" s="50"/>
      <c r="G830" s="50"/>
      <c r="H830" s="50"/>
    </row>
    <row r="831" spans="1:8" ht="12.75">
      <c r="A831" s="72"/>
      <c r="B831" s="63"/>
      <c r="C831" s="63"/>
      <c r="D831" s="63"/>
      <c r="E831" s="64"/>
      <c r="F831" s="50"/>
      <c r="G831" s="50"/>
      <c r="H831" s="50"/>
    </row>
    <row r="832" spans="1:8" ht="12.75">
      <c r="A832" s="72"/>
      <c r="B832" s="63"/>
      <c r="C832" s="63"/>
      <c r="D832" s="63"/>
      <c r="E832" s="64"/>
      <c r="F832" s="50"/>
      <c r="G832" s="50"/>
      <c r="H832" s="50"/>
    </row>
    <row r="833" spans="1:8" ht="12.75">
      <c r="A833" s="72"/>
      <c r="B833" s="63"/>
      <c r="C833" s="63"/>
      <c r="D833" s="63"/>
      <c r="E833" s="64"/>
      <c r="F833" s="50"/>
      <c r="G833" s="50"/>
      <c r="H833" s="50"/>
    </row>
    <row r="834" spans="1:8" ht="12.75">
      <c r="A834" s="72"/>
      <c r="B834" s="63"/>
      <c r="C834" s="63"/>
      <c r="D834" s="63"/>
      <c r="E834" s="64"/>
      <c r="F834" s="50"/>
      <c r="G834" s="50"/>
      <c r="H834" s="50"/>
    </row>
    <row r="835" spans="1:8" ht="12.75">
      <c r="A835" s="72"/>
      <c r="B835" s="63"/>
      <c r="C835" s="63"/>
      <c r="D835" s="63"/>
      <c r="E835" s="64"/>
      <c r="F835" s="50"/>
      <c r="G835" s="50"/>
      <c r="H835" s="50"/>
    </row>
    <row r="836" spans="1:8" ht="12.75">
      <c r="A836" s="72"/>
      <c r="B836" s="63"/>
      <c r="C836" s="63"/>
      <c r="D836" s="63"/>
      <c r="E836" s="64"/>
      <c r="F836" s="50"/>
      <c r="G836" s="50"/>
      <c r="H836" s="50"/>
    </row>
    <row r="837" spans="1:8" ht="12.75">
      <c r="A837" s="72"/>
      <c r="B837" s="63"/>
      <c r="C837" s="63"/>
      <c r="D837" s="63"/>
      <c r="E837" s="64"/>
      <c r="F837" s="50"/>
      <c r="G837" s="50"/>
      <c r="H837" s="50"/>
    </row>
    <row r="838" spans="1:8" ht="12.75">
      <c r="A838" s="72"/>
      <c r="B838" s="63"/>
      <c r="C838" s="63"/>
      <c r="D838" s="63"/>
      <c r="E838" s="64"/>
      <c r="F838" s="50"/>
      <c r="G838" s="50"/>
      <c r="H838" s="50"/>
    </row>
    <row r="839" spans="1:8" ht="12.75">
      <c r="A839" s="72"/>
      <c r="B839" s="63"/>
      <c r="C839" s="63"/>
      <c r="D839" s="63"/>
      <c r="E839" s="64"/>
      <c r="F839" s="50"/>
      <c r="G839" s="50"/>
      <c r="H839" s="50"/>
    </row>
    <row r="840" spans="1:8" ht="12.75">
      <c r="A840" s="72"/>
      <c r="B840" s="63"/>
      <c r="C840" s="63"/>
      <c r="D840" s="63"/>
      <c r="E840" s="64"/>
      <c r="F840" s="50"/>
      <c r="G840" s="50"/>
      <c r="H840" s="50"/>
    </row>
    <row r="841" spans="1:8" ht="12.75">
      <c r="A841" s="72"/>
      <c r="B841" s="63"/>
      <c r="C841" s="63"/>
      <c r="D841" s="63"/>
      <c r="E841" s="64"/>
      <c r="F841" s="50"/>
      <c r="G841" s="50"/>
      <c r="H841" s="50"/>
    </row>
    <row r="842" spans="1:8" ht="12.75">
      <c r="A842" s="72"/>
      <c r="B842" s="63"/>
      <c r="C842" s="63"/>
      <c r="D842" s="63"/>
      <c r="E842" s="64"/>
      <c r="F842" s="50"/>
      <c r="G842" s="50"/>
      <c r="H842" s="50"/>
    </row>
    <row r="843" spans="1:8" ht="12.75">
      <c r="A843" s="72"/>
      <c r="B843" s="63"/>
      <c r="C843" s="63"/>
      <c r="D843" s="63"/>
      <c r="E843" s="64"/>
      <c r="F843" s="50"/>
      <c r="G843" s="50"/>
      <c r="H843" s="50"/>
    </row>
    <row r="844" spans="1:8" ht="12.75">
      <c r="A844" s="72"/>
      <c r="B844" s="63"/>
      <c r="C844" s="63"/>
      <c r="D844" s="63"/>
      <c r="E844" s="64"/>
      <c r="F844" s="50"/>
      <c r="G844" s="50"/>
      <c r="H844" s="50"/>
    </row>
    <row r="845" spans="1:8" ht="12.75">
      <c r="A845" s="72"/>
      <c r="B845" s="63"/>
      <c r="C845" s="63"/>
      <c r="D845" s="63"/>
      <c r="E845" s="64"/>
      <c r="F845" s="50"/>
      <c r="G845" s="50"/>
      <c r="H845" s="50"/>
    </row>
    <row r="846" spans="1:8" ht="12.75">
      <c r="A846" s="72"/>
      <c r="B846" s="63"/>
      <c r="C846" s="63"/>
      <c r="D846" s="63"/>
      <c r="E846" s="64"/>
      <c r="F846" s="50"/>
      <c r="G846" s="50"/>
      <c r="H846" s="50"/>
    </row>
    <row r="847" spans="1:8" ht="12.75">
      <c r="A847" s="72"/>
      <c r="B847" s="63"/>
      <c r="C847" s="63"/>
      <c r="D847" s="63"/>
      <c r="E847" s="64"/>
      <c r="F847" s="50"/>
      <c r="G847" s="50"/>
      <c r="H847" s="50"/>
    </row>
    <row r="848" spans="1:8" ht="12.75">
      <c r="A848" s="72"/>
      <c r="B848" s="63"/>
      <c r="C848" s="63"/>
      <c r="D848" s="63"/>
      <c r="E848" s="64"/>
      <c r="F848" s="50"/>
      <c r="G848" s="50"/>
      <c r="H848" s="50"/>
    </row>
    <row r="849" spans="1:8" ht="12.75">
      <c r="A849" s="72"/>
      <c r="B849" s="63"/>
      <c r="C849" s="63"/>
      <c r="D849" s="63"/>
      <c r="E849" s="64"/>
      <c r="F849" s="50"/>
      <c r="G849" s="50"/>
      <c r="H849" s="50"/>
    </row>
    <row r="850" spans="1:8" ht="12.75">
      <c r="A850" s="72"/>
      <c r="B850" s="63"/>
      <c r="C850" s="63"/>
      <c r="D850" s="63"/>
      <c r="E850" s="64"/>
      <c r="F850" s="50"/>
      <c r="G850" s="50"/>
      <c r="H850" s="50"/>
    </row>
    <row r="851" spans="1:8" ht="12.75">
      <c r="A851" s="72"/>
      <c r="B851" s="63"/>
      <c r="C851" s="63"/>
      <c r="D851" s="63"/>
      <c r="E851" s="64"/>
      <c r="F851" s="50"/>
      <c r="G851" s="50"/>
      <c r="H851" s="50"/>
    </row>
    <row r="852" spans="1:8" ht="12.75">
      <c r="A852" s="72"/>
      <c r="B852" s="63"/>
      <c r="C852" s="63"/>
      <c r="D852" s="63"/>
      <c r="E852" s="64"/>
      <c r="F852" s="50"/>
      <c r="G852" s="50"/>
      <c r="H852" s="50"/>
    </row>
    <row r="853" spans="1:8" ht="12.75">
      <c r="A853" s="72"/>
      <c r="B853" s="63"/>
      <c r="C853" s="63"/>
      <c r="D853" s="63"/>
      <c r="E853" s="64"/>
      <c r="F853" s="50"/>
      <c r="G853" s="50"/>
      <c r="H853" s="50"/>
    </row>
    <row r="854" spans="1:8" ht="12.75">
      <c r="A854" s="72"/>
      <c r="B854" s="63"/>
      <c r="C854" s="63"/>
      <c r="D854" s="63"/>
      <c r="E854" s="64"/>
      <c r="F854" s="50"/>
      <c r="G854" s="50"/>
      <c r="H854" s="50"/>
    </row>
    <row r="855" spans="1:8" ht="12.75">
      <c r="A855" s="72"/>
      <c r="B855" s="63"/>
      <c r="C855" s="63"/>
      <c r="D855" s="63"/>
      <c r="E855" s="64"/>
      <c r="F855" s="50"/>
      <c r="G855" s="50"/>
      <c r="H855" s="50"/>
    </row>
    <row r="856" spans="1:8" ht="12.75">
      <c r="A856" s="72"/>
      <c r="B856" s="63"/>
      <c r="C856" s="63"/>
      <c r="D856" s="63"/>
      <c r="E856" s="64"/>
      <c r="F856" s="50"/>
      <c r="G856" s="50"/>
      <c r="H856" s="50"/>
    </row>
    <row r="857" spans="1:8" ht="12.75">
      <c r="A857" s="72"/>
      <c r="B857" s="63"/>
      <c r="C857" s="63"/>
      <c r="D857" s="63"/>
      <c r="E857" s="64"/>
      <c r="F857" s="50"/>
      <c r="G857" s="50"/>
      <c r="H857" s="50"/>
    </row>
    <row r="858" spans="1:8" ht="12.75">
      <c r="A858" s="72"/>
      <c r="B858" s="63"/>
      <c r="C858" s="63"/>
      <c r="D858" s="63"/>
      <c r="E858" s="64"/>
      <c r="F858" s="50"/>
      <c r="G858" s="50"/>
      <c r="H858" s="50"/>
    </row>
    <row r="859" spans="1:8" ht="12.75">
      <c r="A859" s="72"/>
      <c r="B859" s="63"/>
      <c r="C859" s="63"/>
      <c r="D859" s="63"/>
      <c r="E859" s="64"/>
      <c r="F859" s="50"/>
      <c r="G859" s="50"/>
      <c r="H859" s="50"/>
    </row>
    <row r="860" spans="1:8" ht="12.75">
      <c r="A860" s="72"/>
      <c r="B860" s="63"/>
      <c r="C860" s="63"/>
      <c r="D860" s="63"/>
      <c r="E860" s="64"/>
      <c r="F860" s="50"/>
      <c r="G860" s="50"/>
      <c r="H860" s="50"/>
    </row>
    <row r="861" spans="1:8" ht="12.75">
      <c r="A861" s="72"/>
      <c r="B861" s="63"/>
      <c r="C861" s="63"/>
      <c r="D861" s="63"/>
      <c r="E861" s="64"/>
      <c r="F861" s="50"/>
      <c r="G861" s="50"/>
      <c r="H861" s="50"/>
    </row>
    <row r="862" spans="1:8" ht="12.75">
      <c r="A862" s="72"/>
      <c r="B862" s="63"/>
      <c r="C862" s="63"/>
      <c r="D862" s="63"/>
      <c r="E862" s="64"/>
      <c r="F862" s="50"/>
      <c r="G862" s="50"/>
      <c r="H862" s="50"/>
    </row>
    <row r="863" spans="1:8" ht="12.75">
      <c r="A863" s="72"/>
      <c r="B863" s="63"/>
      <c r="C863" s="63"/>
      <c r="D863" s="63"/>
      <c r="E863" s="64"/>
      <c r="F863" s="50"/>
      <c r="G863" s="50"/>
      <c r="H863" s="50"/>
    </row>
    <row r="864" spans="1:8" ht="12.75">
      <c r="A864" s="72"/>
      <c r="B864" s="63"/>
      <c r="C864" s="63"/>
      <c r="D864" s="63"/>
      <c r="E864" s="64"/>
      <c r="F864" s="50"/>
      <c r="G864" s="50"/>
      <c r="H864" s="50"/>
    </row>
    <row r="865" spans="1:8" ht="12.75">
      <c r="A865" s="72"/>
      <c r="B865" s="63"/>
      <c r="C865" s="63"/>
      <c r="D865" s="63"/>
      <c r="E865" s="64"/>
      <c r="F865" s="50"/>
      <c r="G865" s="50"/>
      <c r="H865" s="50"/>
    </row>
    <row r="866" spans="1:8" ht="12.75">
      <c r="A866" s="72"/>
      <c r="B866" s="63"/>
      <c r="C866" s="63"/>
      <c r="D866" s="63"/>
      <c r="E866" s="64"/>
      <c r="F866" s="50"/>
      <c r="G866" s="50"/>
      <c r="H866" s="50"/>
    </row>
    <row r="867" spans="1:8" ht="12.75">
      <c r="A867" s="72"/>
      <c r="B867" s="63"/>
      <c r="C867" s="63"/>
      <c r="D867" s="63"/>
      <c r="E867" s="64"/>
      <c r="F867" s="50"/>
      <c r="G867" s="50"/>
      <c r="H867" s="50"/>
    </row>
    <row r="868" spans="1:8" ht="12.75">
      <c r="A868" s="72"/>
      <c r="B868" s="63"/>
      <c r="C868" s="63"/>
      <c r="D868" s="63"/>
      <c r="E868" s="64"/>
      <c r="F868" s="50"/>
      <c r="G868" s="50"/>
      <c r="H868" s="50"/>
    </row>
    <row r="869" spans="1:8" ht="12.75">
      <c r="A869" s="72"/>
      <c r="B869" s="63"/>
      <c r="C869" s="63"/>
      <c r="D869" s="63"/>
      <c r="E869" s="64"/>
      <c r="F869" s="50"/>
      <c r="G869" s="50"/>
      <c r="H869" s="50"/>
    </row>
    <row r="870" spans="1:8" ht="12.75">
      <c r="A870" s="72"/>
      <c r="B870" s="63"/>
      <c r="C870" s="63"/>
      <c r="D870" s="63"/>
      <c r="E870" s="64"/>
      <c r="F870" s="50"/>
      <c r="G870" s="50"/>
      <c r="H870" s="50"/>
    </row>
    <row r="871" spans="1:8" ht="12.75">
      <c r="A871" s="72"/>
      <c r="B871" s="63"/>
      <c r="C871" s="63"/>
      <c r="D871" s="63"/>
      <c r="E871" s="64"/>
      <c r="F871" s="50"/>
      <c r="G871" s="50"/>
      <c r="H871" s="50"/>
    </row>
    <row r="872" spans="1:8" ht="12.75">
      <c r="A872" s="72"/>
      <c r="B872" s="63"/>
      <c r="C872" s="63"/>
      <c r="D872" s="63"/>
      <c r="E872" s="64"/>
      <c r="F872" s="50"/>
      <c r="G872" s="50"/>
      <c r="H872" s="50"/>
    </row>
    <row r="873" spans="1:8" ht="12.75">
      <c r="A873" s="72"/>
      <c r="B873" s="63"/>
      <c r="C873" s="63"/>
      <c r="D873" s="63"/>
      <c r="E873" s="64"/>
      <c r="F873" s="50"/>
      <c r="G873" s="50"/>
      <c r="H873" s="50"/>
    </row>
    <row r="874" spans="1:8" ht="12.75">
      <c r="A874" s="72"/>
      <c r="B874" s="63"/>
      <c r="C874" s="63"/>
      <c r="D874" s="63"/>
      <c r="E874" s="64"/>
      <c r="F874" s="50"/>
      <c r="G874" s="50"/>
      <c r="H874" s="50"/>
    </row>
    <row r="875" spans="1:8" ht="12.75">
      <c r="A875" s="72"/>
      <c r="B875" s="63"/>
      <c r="C875" s="63"/>
      <c r="D875" s="63"/>
      <c r="E875" s="64"/>
      <c r="F875" s="50"/>
      <c r="G875" s="50"/>
      <c r="H875" s="50"/>
    </row>
    <row r="876" spans="1:8" ht="12.75">
      <c r="A876" s="72"/>
      <c r="B876" s="63"/>
      <c r="C876" s="63"/>
      <c r="D876" s="63"/>
      <c r="E876" s="64"/>
      <c r="F876" s="50"/>
      <c r="G876" s="50"/>
      <c r="H876" s="50"/>
    </row>
    <row r="877" spans="1:8" ht="12.75">
      <c r="A877" s="72"/>
      <c r="B877" s="63"/>
      <c r="C877" s="63"/>
      <c r="D877" s="63"/>
      <c r="E877" s="64"/>
      <c r="F877" s="50"/>
      <c r="G877" s="50"/>
      <c r="H877" s="50"/>
    </row>
    <row r="878" spans="1:8" ht="12.75">
      <c r="A878" s="72"/>
      <c r="B878" s="63"/>
      <c r="C878" s="63"/>
      <c r="D878" s="63"/>
      <c r="E878" s="64"/>
      <c r="F878" s="50"/>
      <c r="G878" s="50"/>
      <c r="H878" s="50"/>
    </row>
    <row r="879" spans="1:8" ht="12.75">
      <c r="A879" s="72"/>
      <c r="B879" s="63"/>
      <c r="C879" s="63"/>
      <c r="D879" s="63"/>
      <c r="E879" s="64"/>
      <c r="F879" s="50"/>
      <c r="G879" s="50"/>
      <c r="H879" s="50"/>
    </row>
    <row r="880" spans="1:8" ht="12.75">
      <c r="A880" s="72"/>
      <c r="B880" s="63"/>
      <c r="C880" s="63"/>
      <c r="D880" s="63"/>
      <c r="E880" s="64"/>
      <c r="F880" s="50"/>
      <c r="G880" s="50"/>
      <c r="H880" s="50"/>
    </row>
    <row r="881" spans="1:8" ht="12.75">
      <c r="A881" s="72"/>
      <c r="B881" s="63"/>
      <c r="C881" s="63"/>
      <c r="D881" s="63"/>
      <c r="E881" s="64"/>
      <c r="F881" s="50"/>
      <c r="G881" s="50"/>
      <c r="H881" s="50"/>
    </row>
    <row r="882" spans="1:8" ht="12.75">
      <c r="A882" s="72"/>
      <c r="B882" s="63"/>
      <c r="C882" s="63"/>
      <c r="D882" s="63"/>
      <c r="E882" s="64"/>
      <c r="F882" s="50"/>
      <c r="G882" s="50"/>
      <c r="H882" s="50"/>
    </row>
    <row r="883" spans="1:8" ht="12.75">
      <c r="A883" s="72"/>
      <c r="B883" s="63"/>
      <c r="C883" s="63"/>
      <c r="D883" s="63"/>
      <c r="E883" s="64"/>
      <c r="F883" s="50"/>
      <c r="G883" s="50"/>
      <c r="H883" s="50"/>
    </row>
    <row r="884" spans="1:8" ht="12.75">
      <c r="A884" s="72"/>
      <c r="B884" s="63"/>
      <c r="C884" s="63"/>
      <c r="D884" s="63"/>
      <c r="E884" s="64"/>
      <c r="F884" s="50"/>
      <c r="G884" s="50"/>
      <c r="H884" s="50"/>
    </row>
    <row r="885" spans="1:8" ht="12.75">
      <c r="A885" s="72"/>
      <c r="B885" s="63"/>
      <c r="C885" s="63"/>
      <c r="D885" s="63"/>
      <c r="E885" s="64"/>
      <c r="F885" s="50"/>
      <c r="G885" s="50"/>
      <c r="H885" s="50"/>
    </row>
    <row r="886" spans="1:8" ht="12.75">
      <c r="A886" s="72"/>
      <c r="B886" s="63"/>
      <c r="C886" s="63"/>
      <c r="D886" s="63"/>
      <c r="E886" s="64"/>
      <c r="F886" s="50"/>
      <c r="G886" s="50"/>
      <c r="H886" s="50"/>
    </row>
    <row r="887" spans="1:8" ht="12.75">
      <c r="A887" s="72"/>
      <c r="B887" s="63"/>
      <c r="C887" s="63"/>
      <c r="D887" s="63"/>
      <c r="E887" s="64"/>
      <c r="F887" s="50"/>
      <c r="G887" s="50"/>
      <c r="H887" s="50"/>
    </row>
    <row r="888" spans="1:8" ht="12.75">
      <c r="A888" s="72"/>
      <c r="B888" s="63"/>
      <c r="C888" s="63"/>
      <c r="D888" s="63"/>
      <c r="E888" s="64"/>
      <c r="F888" s="50"/>
      <c r="G888" s="50"/>
      <c r="H888" s="50"/>
    </row>
    <row r="889" spans="1:8" ht="12.75">
      <c r="A889" s="72"/>
      <c r="B889" s="63"/>
      <c r="C889" s="63"/>
      <c r="D889" s="63"/>
      <c r="E889" s="64"/>
      <c r="F889" s="50"/>
      <c r="G889" s="50"/>
      <c r="H889" s="50"/>
    </row>
    <row r="890" spans="1:8" ht="12.75">
      <c r="A890" s="72"/>
      <c r="B890" s="63"/>
      <c r="C890" s="63"/>
      <c r="D890" s="63"/>
      <c r="E890" s="64"/>
      <c r="F890" s="50"/>
      <c r="G890" s="50"/>
      <c r="H890" s="50"/>
    </row>
    <row r="891" spans="1:8" ht="12.75">
      <c r="A891" s="72"/>
      <c r="B891" s="63"/>
      <c r="C891" s="63"/>
      <c r="D891" s="63"/>
      <c r="E891" s="64"/>
      <c r="F891" s="50"/>
      <c r="G891" s="50"/>
      <c r="H891" s="50"/>
    </row>
    <row r="892" spans="1:8" ht="12.75">
      <c r="A892" s="72"/>
      <c r="B892" s="63"/>
      <c r="C892" s="63"/>
      <c r="D892" s="63"/>
      <c r="E892" s="64"/>
      <c r="F892" s="50"/>
      <c r="G892" s="50"/>
      <c r="H892" s="50"/>
    </row>
    <row r="893" spans="1:8" ht="12.75">
      <c r="A893" s="72"/>
      <c r="B893" s="63"/>
      <c r="C893" s="63"/>
      <c r="D893" s="63"/>
      <c r="E893" s="64"/>
      <c r="F893" s="50"/>
      <c r="G893" s="50"/>
      <c r="H893" s="50"/>
    </row>
    <row r="894" spans="1:8" ht="12.75">
      <c r="A894" s="72"/>
      <c r="B894" s="63"/>
      <c r="C894" s="63"/>
      <c r="D894" s="63"/>
      <c r="E894" s="64"/>
      <c r="F894" s="50"/>
      <c r="G894" s="50"/>
      <c r="H894" s="50"/>
    </row>
    <row r="895" spans="1:8" ht="12.75">
      <c r="A895" s="72"/>
      <c r="B895" s="63"/>
      <c r="C895" s="63"/>
      <c r="D895" s="63"/>
      <c r="E895" s="64"/>
      <c r="F895" s="50"/>
      <c r="G895" s="50"/>
      <c r="H895" s="50"/>
    </row>
    <row r="896" spans="1:8" ht="12.75">
      <c r="A896" s="72"/>
      <c r="B896" s="63"/>
      <c r="C896" s="63"/>
      <c r="D896" s="63"/>
      <c r="E896" s="64"/>
      <c r="F896" s="50"/>
      <c r="G896" s="50"/>
      <c r="H896" s="50"/>
    </row>
    <row r="897" spans="1:8" ht="12.75">
      <c r="A897" s="72"/>
      <c r="B897" s="63"/>
      <c r="C897" s="63"/>
      <c r="D897" s="63"/>
      <c r="E897" s="64"/>
      <c r="F897" s="50"/>
      <c r="G897" s="50"/>
      <c r="H897" s="50"/>
    </row>
    <row r="898" spans="1:8" ht="12.75">
      <c r="A898" s="72"/>
      <c r="B898" s="63"/>
      <c r="C898" s="63"/>
      <c r="D898" s="63"/>
      <c r="E898" s="64"/>
      <c r="F898" s="50"/>
      <c r="G898" s="50"/>
      <c r="H898" s="50"/>
    </row>
    <row r="899" spans="1:8" ht="12.75">
      <c r="A899" s="72"/>
      <c r="B899" s="63"/>
      <c r="C899" s="63"/>
      <c r="D899" s="63"/>
      <c r="E899" s="64"/>
      <c r="F899" s="50"/>
      <c r="G899" s="50"/>
      <c r="H899" s="50"/>
    </row>
    <row r="900" spans="1:8" ht="12.75">
      <c r="A900" s="72"/>
      <c r="B900" s="63"/>
      <c r="C900" s="63"/>
      <c r="D900" s="63"/>
      <c r="E900" s="64"/>
      <c r="F900" s="50"/>
      <c r="G900" s="50"/>
      <c r="H900" s="50"/>
    </row>
    <row r="901" spans="1:8" ht="12.75">
      <c r="A901" s="72"/>
      <c r="B901" s="63"/>
      <c r="C901" s="63"/>
      <c r="D901" s="63"/>
      <c r="E901" s="64"/>
      <c r="F901" s="50"/>
      <c r="G901" s="50"/>
      <c r="H901" s="50"/>
    </row>
    <row r="902" spans="1:8" ht="12.75">
      <c r="A902" s="72"/>
      <c r="B902" s="63"/>
      <c r="C902" s="63"/>
      <c r="D902" s="63"/>
      <c r="E902" s="64"/>
      <c r="F902" s="50"/>
      <c r="G902" s="50"/>
      <c r="H902" s="50"/>
    </row>
    <row r="903" spans="1:8" ht="12.75">
      <c r="A903" s="72"/>
      <c r="B903" s="63"/>
      <c r="C903" s="63"/>
      <c r="D903" s="63"/>
      <c r="E903" s="64"/>
      <c r="F903" s="50"/>
      <c r="G903" s="50"/>
      <c r="H903" s="50"/>
    </row>
    <row r="904" spans="1:8" ht="12.75">
      <c r="A904" s="72"/>
      <c r="B904" s="63"/>
      <c r="C904" s="63"/>
      <c r="D904" s="63"/>
      <c r="E904" s="64"/>
      <c r="F904" s="50"/>
      <c r="G904" s="50"/>
      <c r="H904" s="50"/>
    </row>
    <row r="905" spans="1:8" ht="12.75">
      <c r="A905" s="72"/>
      <c r="B905" s="63"/>
      <c r="C905" s="63"/>
      <c r="D905" s="63"/>
      <c r="E905" s="64"/>
      <c r="F905" s="50"/>
      <c r="G905" s="50"/>
      <c r="H905" s="50"/>
    </row>
    <row r="906" spans="1:8" ht="12.75">
      <c r="A906" s="72"/>
      <c r="B906" s="63"/>
      <c r="C906" s="63"/>
      <c r="D906" s="63"/>
      <c r="E906" s="64"/>
      <c r="F906" s="50"/>
      <c r="G906" s="50"/>
      <c r="H906" s="50"/>
    </row>
    <row r="907" spans="1:8" ht="12.75">
      <c r="A907" s="72"/>
      <c r="B907" s="63"/>
      <c r="C907" s="63"/>
      <c r="D907" s="63"/>
      <c r="E907" s="64"/>
      <c r="F907" s="50"/>
      <c r="G907" s="50"/>
      <c r="H907" s="50"/>
    </row>
    <row r="908" spans="1:8" ht="12.75">
      <c r="A908" s="72"/>
      <c r="B908" s="63"/>
      <c r="C908" s="63"/>
      <c r="D908" s="63"/>
      <c r="E908" s="64"/>
      <c r="F908" s="50"/>
      <c r="G908" s="50"/>
      <c r="H908" s="50"/>
    </row>
    <row r="909" spans="1:8" ht="12.75">
      <c r="A909" s="72"/>
      <c r="B909" s="63"/>
      <c r="C909" s="63"/>
      <c r="D909" s="63"/>
      <c r="E909" s="64"/>
      <c r="F909" s="50"/>
      <c r="G909" s="50"/>
      <c r="H909" s="50"/>
    </row>
    <row r="910" spans="1:8" ht="12.75">
      <c r="A910" s="72"/>
      <c r="B910" s="63"/>
      <c r="C910" s="63"/>
      <c r="D910" s="63"/>
      <c r="E910" s="64"/>
      <c r="F910" s="50"/>
      <c r="G910" s="50"/>
      <c r="H910" s="50"/>
    </row>
    <row r="911" spans="1:8" ht="12.75">
      <c r="A911" s="72"/>
      <c r="B911" s="63"/>
      <c r="C911" s="63"/>
      <c r="D911" s="63"/>
      <c r="E911" s="64"/>
      <c r="F911" s="50"/>
      <c r="G911" s="50"/>
      <c r="H911" s="50"/>
    </row>
    <row r="912" spans="1:8" ht="12.75">
      <c r="A912" s="72"/>
      <c r="B912" s="63"/>
      <c r="C912" s="63"/>
      <c r="D912" s="63"/>
      <c r="E912" s="64"/>
      <c r="F912" s="50"/>
      <c r="G912" s="50"/>
      <c r="H912" s="50"/>
    </row>
    <row r="913" spans="1:8" ht="12.75">
      <c r="A913" s="72"/>
      <c r="B913" s="63"/>
      <c r="C913" s="63"/>
      <c r="D913" s="63"/>
      <c r="E913" s="64"/>
      <c r="F913" s="50"/>
      <c r="G913" s="50"/>
      <c r="H913" s="50"/>
    </row>
    <row r="914" spans="1:8" ht="12.75">
      <c r="A914" s="72"/>
      <c r="B914" s="63"/>
      <c r="C914" s="63"/>
      <c r="D914" s="63"/>
      <c r="E914" s="64"/>
      <c r="F914" s="50"/>
      <c r="G914" s="50"/>
      <c r="H914" s="50"/>
    </row>
    <row r="915" spans="1:8" ht="12.75">
      <c r="A915" s="72"/>
      <c r="B915" s="63"/>
      <c r="C915" s="63"/>
      <c r="D915" s="63"/>
      <c r="E915" s="64"/>
      <c r="F915" s="50"/>
      <c r="G915" s="50"/>
      <c r="H915" s="50"/>
    </row>
    <row r="916" spans="1:8" ht="12.75">
      <c r="A916" s="72"/>
      <c r="B916" s="63"/>
      <c r="C916" s="63"/>
      <c r="D916" s="63"/>
      <c r="E916" s="64"/>
      <c r="F916" s="50"/>
      <c r="G916" s="50"/>
      <c r="H916" s="50"/>
    </row>
    <row r="917" spans="1:8" ht="12.75">
      <c r="A917" s="72"/>
      <c r="B917" s="63"/>
      <c r="C917" s="63"/>
      <c r="D917" s="63"/>
      <c r="E917" s="64"/>
      <c r="F917" s="50"/>
      <c r="G917" s="50"/>
      <c r="H917" s="50"/>
    </row>
    <row r="918" spans="1:8" ht="12.75">
      <c r="A918" s="72"/>
      <c r="B918" s="63"/>
      <c r="C918" s="63"/>
      <c r="D918" s="63"/>
      <c r="E918" s="64"/>
      <c r="F918" s="50"/>
      <c r="G918" s="50"/>
      <c r="H918" s="50"/>
    </row>
    <row r="919" spans="1:8" ht="12.75">
      <c r="A919" s="72"/>
      <c r="B919" s="63"/>
      <c r="C919" s="63"/>
      <c r="D919" s="63"/>
      <c r="E919" s="64"/>
      <c r="F919" s="50"/>
      <c r="G919" s="50"/>
      <c r="H919" s="50"/>
    </row>
    <row r="920" spans="1:8" ht="12.75">
      <c r="A920" s="72"/>
      <c r="B920" s="63"/>
      <c r="C920" s="63"/>
      <c r="D920" s="63"/>
      <c r="E920" s="64"/>
      <c r="F920" s="50"/>
      <c r="G920" s="50"/>
      <c r="H920" s="50"/>
    </row>
    <row r="921" spans="1:8" ht="12.75">
      <c r="A921" s="72"/>
      <c r="B921" s="63"/>
      <c r="C921" s="63"/>
      <c r="D921" s="63"/>
      <c r="E921" s="64"/>
      <c r="F921" s="50"/>
      <c r="G921" s="50"/>
      <c r="H921" s="50"/>
    </row>
    <row r="922" spans="1:8" ht="12.75">
      <c r="A922" s="72"/>
      <c r="B922" s="63"/>
      <c r="C922" s="63"/>
      <c r="D922" s="63"/>
      <c r="E922" s="64"/>
      <c r="F922" s="50"/>
      <c r="G922" s="50"/>
      <c r="H922" s="50"/>
    </row>
    <row r="923" spans="1:8" ht="12.75">
      <c r="A923" s="72"/>
      <c r="B923" s="63"/>
      <c r="C923" s="63"/>
      <c r="D923" s="63"/>
      <c r="E923" s="64"/>
      <c r="F923" s="50"/>
      <c r="G923" s="50"/>
      <c r="H923" s="50"/>
    </row>
    <row r="924" spans="1:8" ht="12.75">
      <c r="A924" s="72"/>
      <c r="B924" s="63"/>
      <c r="C924" s="63"/>
      <c r="D924" s="63"/>
      <c r="E924" s="64"/>
      <c r="F924" s="50"/>
      <c r="G924" s="50"/>
      <c r="H924" s="50"/>
    </row>
    <row r="925" spans="1:8" ht="12.75">
      <c r="A925" s="72"/>
      <c r="B925" s="63"/>
      <c r="C925" s="63"/>
      <c r="D925" s="63"/>
      <c r="E925" s="64"/>
      <c r="F925" s="50"/>
      <c r="G925" s="50"/>
      <c r="H925" s="50"/>
    </row>
    <row r="926" spans="1:8" ht="12.75">
      <c r="A926" s="72"/>
      <c r="B926" s="63"/>
      <c r="C926" s="63"/>
      <c r="D926" s="63"/>
      <c r="E926" s="64"/>
      <c r="F926" s="50"/>
      <c r="G926" s="50"/>
      <c r="H926" s="50"/>
    </row>
    <row r="927" spans="1:8" ht="12.75">
      <c r="A927" s="72"/>
      <c r="B927" s="63"/>
      <c r="C927" s="63"/>
      <c r="D927" s="63"/>
      <c r="E927" s="64"/>
      <c r="F927" s="50"/>
      <c r="G927" s="50"/>
      <c r="H927" s="50"/>
    </row>
    <row r="928" spans="1:8" ht="12.75">
      <c r="A928" s="72"/>
      <c r="B928" s="63"/>
      <c r="C928" s="63"/>
      <c r="D928" s="63"/>
      <c r="E928" s="64"/>
      <c r="F928" s="50"/>
      <c r="G928" s="50"/>
      <c r="H928" s="50"/>
    </row>
    <row r="929" spans="1:8" ht="12.75">
      <c r="A929" s="72"/>
      <c r="B929" s="63"/>
      <c r="C929" s="63"/>
      <c r="D929" s="63"/>
      <c r="E929" s="64"/>
      <c r="F929" s="50"/>
      <c r="G929" s="50"/>
      <c r="H929" s="50"/>
    </row>
    <row r="930" spans="1:8" ht="12.75">
      <c r="A930" s="72"/>
      <c r="B930" s="63"/>
      <c r="C930" s="63"/>
      <c r="D930" s="63"/>
      <c r="E930" s="64"/>
      <c r="F930" s="50"/>
      <c r="G930" s="50"/>
      <c r="H930" s="50"/>
    </row>
    <row r="931" spans="1:8" ht="12.75">
      <c r="A931" s="72"/>
      <c r="B931" s="63"/>
      <c r="C931" s="63"/>
      <c r="D931" s="63"/>
      <c r="E931" s="64"/>
      <c r="F931" s="50"/>
      <c r="G931" s="50"/>
      <c r="H931" s="50"/>
    </row>
    <row r="932" spans="1:8" ht="12.75">
      <c r="A932" s="72"/>
      <c r="B932" s="63"/>
      <c r="C932" s="63"/>
      <c r="D932" s="63"/>
      <c r="E932" s="64"/>
      <c r="F932" s="50"/>
      <c r="G932" s="50"/>
      <c r="H932" s="50"/>
    </row>
    <row r="933" spans="1:8" ht="12.75">
      <c r="A933" s="72"/>
      <c r="B933" s="63"/>
      <c r="C933" s="63"/>
      <c r="D933" s="63"/>
      <c r="E933" s="64"/>
      <c r="F933" s="50"/>
      <c r="G933" s="50"/>
      <c r="H933" s="50"/>
    </row>
    <row r="934" spans="1:8" ht="12.75">
      <c r="A934" s="72"/>
      <c r="B934" s="63"/>
      <c r="C934" s="63"/>
      <c r="D934" s="63"/>
      <c r="E934" s="64"/>
      <c r="F934" s="50"/>
      <c r="G934" s="50"/>
      <c r="H934" s="50"/>
    </row>
    <row r="935" spans="1:8" ht="12.75">
      <c r="A935" s="72"/>
      <c r="B935" s="63"/>
      <c r="C935" s="63"/>
      <c r="D935" s="63"/>
      <c r="E935" s="64"/>
      <c r="F935" s="50"/>
      <c r="G935" s="50"/>
      <c r="H935" s="50"/>
    </row>
    <row r="936" spans="1:8" ht="12.75">
      <c r="A936" s="72"/>
      <c r="B936" s="63"/>
      <c r="C936" s="63"/>
      <c r="D936" s="63"/>
      <c r="E936" s="64"/>
      <c r="F936" s="50"/>
      <c r="G936" s="50"/>
      <c r="H936" s="50"/>
    </row>
    <row r="937" spans="1:8" ht="12.75">
      <c r="A937" s="72"/>
      <c r="B937" s="63"/>
      <c r="C937" s="63"/>
      <c r="D937" s="63"/>
      <c r="E937" s="64"/>
      <c r="F937" s="50"/>
      <c r="G937" s="50"/>
      <c r="H937" s="50"/>
    </row>
    <row r="938" spans="1:8" ht="12.75">
      <c r="A938" s="72"/>
      <c r="B938" s="63"/>
      <c r="C938" s="63"/>
      <c r="D938" s="63"/>
      <c r="E938" s="64"/>
      <c r="F938" s="50"/>
      <c r="G938" s="50"/>
      <c r="H938" s="50"/>
    </row>
    <row r="939" spans="1:8" ht="12.75">
      <c r="A939" s="72"/>
      <c r="B939" s="63"/>
      <c r="C939" s="63"/>
      <c r="D939" s="63"/>
      <c r="E939" s="64"/>
      <c r="F939" s="50"/>
      <c r="G939" s="50"/>
      <c r="H939" s="50"/>
    </row>
    <row r="940" spans="1:8" ht="12.75">
      <c r="A940" s="72"/>
      <c r="B940" s="63"/>
      <c r="C940" s="63"/>
      <c r="D940" s="63"/>
      <c r="E940" s="64"/>
      <c r="F940" s="50"/>
      <c r="G940" s="50"/>
      <c r="H940" s="50"/>
    </row>
    <row r="941" spans="1:8" ht="12.75">
      <c r="A941" s="72"/>
      <c r="B941" s="63"/>
      <c r="C941" s="63"/>
      <c r="D941" s="63"/>
      <c r="E941" s="64"/>
      <c r="F941" s="50"/>
      <c r="G941" s="50"/>
      <c r="H941" s="50"/>
    </row>
    <row r="942" spans="1:8" ht="12.75">
      <c r="A942" s="72"/>
      <c r="B942" s="63"/>
      <c r="C942" s="63"/>
      <c r="D942" s="63"/>
      <c r="E942" s="64"/>
      <c r="F942" s="50"/>
      <c r="G942" s="50"/>
      <c r="H942" s="50"/>
    </row>
    <row r="943" spans="1:8" ht="12.75">
      <c r="A943" s="72"/>
      <c r="B943" s="63"/>
      <c r="C943" s="63"/>
      <c r="D943" s="63"/>
      <c r="E943" s="64"/>
      <c r="F943" s="50"/>
      <c r="G943" s="50"/>
      <c r="H943" s="50"/>
    </row>
    <row r="944" spans="1:8" ht="12.75">
      <c r="A944" s="72"/>
      <c r="B944" s="63"/>
      <c r="C944" s="63"/>
      <c r="D944" s="63"/>
      <c r="E944" s="64"/>
      <c r="F944" s="50"/>
      <c r="G944" s="50"/>
      <c r="H944" s="50"/>
    </row>
    <row r="945" spans="1:8" ht="12.75">
      <c r="A945" s="72"/>
      <c r="B945" s="63"/>
      <c r="C945" s="63"/>
      <c r="D945" s="63"/>
      <c r="E945" s="64"/>
      <c r="F945" s="50"/>
      <c r="G945" s="50"/>
      <c r="H945" s="50"/>
    </row>
    <row r="946" spans="1:8" ht="12.75">
      <c r="A946" s="72"/>
      <c r="B946" s="63"/>
      <c r="C946" s="63"/>
      <c r="D946" s="63"/>
      <c r="E946" s="64"/>
      <c r="F946" s="50"/>
      <c r="G946" s="50"/>
      <c r="H946" s="50"/>
    </row>
    <row r="947" spans="1:8" ht="12.75">
      <c r="A947" s="72"/>
      <c r="B947" s="63"/>
      <c r="C947" s="63"/>
      <c r="D947" s="63"/>
      <c r="E947" s="64"/>
      <c r="F947" s="50"/>
      <c r="G947" s="50"/>
      <c r="H947" s="50"/>
    </row>
    <row r="948" spans="1:8" ht="12.75">
      <c r="A948" s="72"/>
      <c r="B948" s="63"/>
      <c r="C948" s="63"/>
      <c r="D948" s="63"/>
      <c r="E948" s="64"/>
      <c r="F948" s="50"/>
      <c r="G948" s="50"/>
      <c r="H948" s="50"/>
    </row>
    <row r="949" spans="1:8" ht="12.75">
      <c r="A949" s="72"/>
      <c r="B949" s="63"/>
      <c r="C949" s="63"/>
      <c r="D949" s="63"/>
      <c r="E949" s="64"/>
      <c r="F949" s="50"/>
      <c r="G949" s="50"/>
      <c r="H949" s="50"/>
    </row>
    <row r="950" spans="1:8" ht="12.75">
      <c r="A950" s="72"/>
      <c r="B950" s="63"/>
      <c r="C950" s="63"/>
      <c r="D950" s="63"/>
      <c r="E950" s="64"/>
      <c r="F950" s="50"/>
      <c r="G950" s="50"/>
      <c r="H950" s="50"/>
    </row>
    <row r="951" spans="1:8" ht="12.75">
      <c r="A951" s="72"/>
      <c r="B951" s="63"/>
      <c r="C951" s="63"/>
      <c r="D951" s="63"/>
      <c r="E951" s="64"/>
      <c r="F951" s="50"/>
      <c r="G951" s="50"/>
      <c r="H951" s="50"/>
    </row>
    <row r="952" spans="1:8" ht="12.75">
      <c r="A952" s="72"/>
      <c r="B952" s="63"/>
      <c r="C952" s="63"/>
      <c r="D952" s="63"/>
      <c r="E952" s="64"/>
      <c r="F952" s="50"/>
      <c r="G952" s="50"/>
      <c r="H952" s="50"/>
    </row>
    <row r="953" spans="1:8" ht="12.75">
      <c r="A953" s="72"/>
      <c r="B953" s="63"/>
      <c r="C953" s="63"/>
      <c r="D953" s="63"/>
      <c r="E953" s="64"/>
      <c r="F953" s="50"/>
      <c r="G953" s="50"/>
      <c r="H953" s="50"/>
    </row>
    <row r="954" spans="1:8" ht="12.75">
      <c r="A954" s="72"/>
      <c r="B954" s="63"/>
      <c r="C954" s="63"/>
      <c r="D954" s="63"/>
      <c r="E954" s="64"/>
      <c r="F954" s="50"/>
      <c r="G954" s="50"/>
      <c r="H954" s="50"/>
    </row>
    <row r="955" spans="1:8" ht="12.75">
      <c r="A955" s="72"/>
      <c r="B955" s="63"/>
      <c r="C955" s="63"/>
      <c r="D955" s="63"/>
      <c r="E955" s="64"/>
      <c r="F955" s="50"/>
      <c r="G955" s="50"/>
      <c r="H955" s="50"/>
    </row>
  </sheetData>
  <autoFilter ref="A1:H497" xr:uid="{00000000-0009-0000-0000-000007000000}">
    <filterColumn colId="3">
      <filters>
        <filter val="Graph"/>
      </filters>
    </filterColumn>
    <sortState xmlns:xlrd2="http://schemas.microsoft.com/office/spreadsheetml/2017/richdata2" ref="A2:H74">
      <sortCondition descending="1" ref="F1:F497"/>
    </sortState>
  </autoFilter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01"/>
  <sheetViews>
    <sheetView workbookViewId="0">
      <pane ySplit="1" topLeftCell="A53" activePane="bottomLeft" state="frozen"/>
      <selection pane="bottomLeft" activeCell="B3" sqref="B3"/>
    </sheetView>
  </sheetViews>
  <sheetFormatPr defaultColWidth="14.42578125" defaultRowHeight="15.75" customHeight="1"/>
  <cols>
    <col min="2" max="2" width="35.42578125" customWidth="1"/>
    <col min="4" max="4" width="21.28515625" customWidth="1"/>
    <col min="5" max="5" width="36.140625" hidden="1" customWidth="1"/>
  </cols>
  <sheetData>
    <row r="1" spans="1:5">
      <c r="A1" s="57" t="s">
        <v>6</v>
      </c>
      <c r="B1" s="58" t="s">
        <v>35</v>
      </c>
      <c r="C1" s="3" t="s">
        <v>8</v>
      </c>
      <c r="D1" s="3" t="s">
        <v>9</v>
      </c>
      <c r="E1" s="55"/>
    </row>
    <row r="2" spans="1:5">
      <c r="A2" s="59" t="s">
        <v>2619</v>
      </c>
      <c r="B2" s="60" t="str">
        <f t="shared" ref="B2:B101" si="0">HYPERLINK(CONCATENATE("https://www.algoexpert.io/questions/",E2),E2)</f>
        <v>Two Number Sum</v>
      </c>
      <c r="C2" s="55" t="s">
        <v>40</v>
      </c>
      <c r="D2" s="55" t="s">
        <v>123</v>
      </c>
      <c r="E2" s="55" t="s">
        <v>2620</v>
      </c>
    </row>
    <row r="3" spans="1:5">
      <c r="A3" s="59" t="s">
        <v>2621</v>
      </c>
      <c r="B3" s="60" t="str">
        <f t="shared" si="0"/>
        <v>Validate Subsequence</v>
      </c>
      <c r="C3" s="55" t="s">
        <v>40</v>
      </c>
      <c r="D3" s="55" t="s">
        <v>123</v>
      </c>
      <c r="E3" s="55" t="s">
        <v>2622</v>
      </c>
    </row>
    <row r="4" spans="1:5">
      <c r="A4" s="59" t="s">
        <v>2623</v>
      </c>
      <c r="B4" s="60" t="str">
        <f t="shared" si="0"/>
        <v>Three Number Sum</v>
      </c>
      <c r="C4" s="55" t="s">
        <v>45</v>
      </c>
      <c r="D4" s="55" t="s">
        <v>123</v>
      </c>
      <c r="E4" s="55" t="s">
        <v>2624</v>
      </c>
    </row>
    <row r="5" spans="1:5">
      <c r="A5" s="59" t="s">
        <v>2625</v>
      </c>
      <c r="B5" s="60" t="str">
        <f t="shared" si="0"/>
        <v>Smallest Difference</v>
      </c>
      <c r="C5" s="55" t="s">
        <v>45</v>
      </c>
      <c r="D5" s="55" t="s">
        <v>123</v>
      </c>
      <c r="E5" s="55" t="s">
        <v>2626</v>
      </c>
    </row>
    <row r="6" spans="1:5">
      <c r="A6" s="59" t="s">
        <v>2627</v>
      </c>
      <c r="B6" s="60" t="str">
        <f t="shared" si="0"/>
        <v>Move Element To End</v>
      </c>
      <c r="C6" s="55" t="s">
        <v>45</v>
      </c>
      <c r="D6" s="55" t="s">
        <v>123</v>
      </c>
      <c r="E6" s="55" t="s">
        <v>2628</v>
      </c>
    </row>
    <row r="7" spans="1:5">
      <c r="A7" s="59" t="s">
        <v>2629</v>
      </c>
      <c r="B7" s="60" t="str">
        <f t="shared" si="0"/>
        <v>Monotonic Array</v>
      </c>
      <c r="C7" s="55" t="s">
        <v>45</v>
      </c>
      <c r="D7" s="55" t="s">
        <v>123</v>
      </c>
      <c r="E7" s="55" t="s">
        <v>1776</v>
      </c>
    </row>
    <row r="8" spans="1:5">
      <c r="A8" s="59" t="s">
        <v>2630</v>
      </c>
      <c r="B8" s="60" t="str">
        <f t="shared" si="0"/>
        <v>Spiral Traverse</v>
      </c>
      <c r="C8" s="55" t="s">
        <v>45</v>
      </c>
      <c r="D8" s="55" t="s">
        <v>123</v>
      </c>
      <c r="E8" s="55" t="s">
        <v>2631</v>
      </c>
    </row>
    <row r="9" spans="1:5">
      <c r="A9" s="59" t="s">
        <v>2632</v>
      </c>
      <c r="B9" s="60" t="str">
        <f t="shared" si="0"/>
        <v>Longest Peak</v>
      </c>
      <c r="C9" s="55" t="s">
        <v>45</v>
      </c>
      <c r="D9" s="55" t="s">
        <v>123</v>
      </c>
      <c r="E9" s="55" t="s">
        <v>2633</v>
      </c>
    </row>
    <row r="10" spans="1:5">
      <c r="A10" s="59" t="s">
        <v>2634</v>
      </c>
      <c r="B10" s="60" t="str">
        <f t="shared" si="0"/>
        <v>Four Number Sum</v>
      </c>
      <c r="C10" s="55" t="s">
        <v>52</v>
      </c>
      <c r="D10" s="55" t="s">
        <v>123</v>
      </c>
      <c r="E10" s="55" t="s">
        <v>2635</v>
      </c>
    </row>
    <row r="11" spans="1:5">
      <c r="A11" s="59" t="s">
        <v>2636</v>
      </c>
      <c r="B11" s="60" t="str">
        <f t="shared" si="0"/>
        <v>Subarray Sort</v>
      </c>
      <c r="C11" s="55" t="s">
        <v>52</v>
      </c>
      <c r="D11" s="55" t="s">
        <v>123</v>
      </c>
      <c r="E11" s="55" t="s">
        <v>2637</v>
      </c>
    </row>
    <row r="12" spans="1:5">
      <c r="A12" s="59" t="s">
        <v>2638</v>
      </c>
      <c r="B12" s="60" t="str">
        <f t="shared" si="0"/>
        <v>Largest Range</v>
      </c>
      <c r="C12" s="55" t="s">
        <v>52</v>
      </c>
      <c r="D12" s="55" t="s">
        <v>123</v>
      </c>
      <c r="E12" s="55" t="s">
        <v>2639</v>
      </c>
    </row>
    <row r="13" spans="1:5">
      <c r="A13" s="59" t="s">
        <v>2640</v>
      </c>
      <c r="B13" s="60" t="str">
        <f t="shared" si="0"/>
        <v>Min Rewards</v>
      </c>
      <c r="C13" s="55" t="s">
        <v>52</v>
      </c>
      <c r="D13" s="55" t="s">
        <v>123</v>
      </c>
      <c r="E13" s="55" t="s">
        <v>2641</v>
      </c>
    </row>
    <row r="14" spans="1:5">
      <c r="A14" s="59" t="s">
        <v>2642</v>
      </c>
      <c r="B14" s="60" t="str">
        <f t="shared" si="0"/>
        <v>Zigzag Traverse</v>
      </c>
      <c r="C14" s="55" t="s">
        <v>52</v>
      </c>
      <c r="D14" s="55" t="s">
        <v>123</v>
      </c>
      <c r="E14" s="55" t="s">
        <v>2643</v>
      </c>
    </row>
    <row r="15" spans="1:5">
      <c r="A15" s="59" t="s">
        <v>2644</v>
      </c>
      <c r="B15" s="60" t="str">
        <f t="shared" si="0"/>
        <v>Apartment Hunting</v>
      </c>
      <c r="C15" s="55" t="s">
        <v>2645</v>
      </c>
      <c r="D15" s="55" t="s">
        <v>123</v>
      </c>
      <c r="E15" s="55" t="s">
        <v>2646</v>
      </c>
    </row>
    <row r="16" spans="1:5">
      <c r="A16" s="59" t="s">
        <v>2647</v>
      </c>
      <c r="B16" s="60" t="str">
        <f t="shared" si="0"/>
        <v>Calendar Matching</v>
      </c>
      <c r="C16" s="55" t="s">
        <v>2645</v>
      </c>
      <c r="D16" s="55" t="s">
        <v>123</v>
      </c>
      <c r="E16" s="55" t="s">
        <v>2648</v>
      </c>
    </row>
    <row r="17" spans="1:5">
      <c r="A17" s="59" t="s">
        <v>2649</v>
      </c>
      <c r="B17" s="60" t="str">
        <f t="shared" si="0"/>
        <v>Find Closest Value In BST</v>
      </c>
      <c r="C17" s="55" t="s">
        <v>40</v>
      </c>
      <c r="D17" s="55" t="s">
        <v>2650</v>
      </c>
      <c r="E17" s="55" t="s">
        <v>2651</v>
      </c>
    </row>
    <row r="18" spans="1:5">
      <c r="A18" s="59" t="s">
        <v>2652</v>
      </c>
      <c r="B18" s="60" t="str">
        <f t="shared" si="0"/>
        <v>BST Construction</v>
      </c>
      <c r="C18" s="55" t="s">
        <v>45</v>
      </c>
      <c r="D18" s="55" t="s">
        <v>2650</v>
      </c>
      <c r="E18" s="55" t="s">
        <v>2653</v>
      </c>
    </row>
    <row r="19" spans="1:5">
      <c r="A19" s="59" t="s">
        <v>2654</v>
      </c>
      <c r="B19" s="60" t="str">
        <f t="shared" si="0"/>
        <v>Validate BST</v>
      </c>
      <c r="C19" s="55" t="s">
        <v>45</v>
      </c>
      <c r="D19" s="55" t="s">
        <v>2650</v>
      </c>
      <c r="E19" s="55" t="s">
        <v>2655</v>
      </c>
    </row>
    <row r="20" spans="1:5">
      <c r="A20" s="59" t="s">
        <v>2656</v>
      </c>
      <c r="B20" s="60" t="str">
        <f t="shared" si="0"/>
        <v>BST Traversal</v>
      </c>
      <c r="C20" s="55" t="s">
        <v>45</v>
      </c>
      <c r="D20" s="55" t="s">
        <v>2650</v>
      </c>
      <c r="E20" s="55" t="s">
        <v>2657</v>
      </c>
    </row>
    <row r="21" spans="1:5">
      <c r="A21" s="59" t="s">
        <v>2658</v>
      </c>
      <c r="B21" s="60" t="str">
        <f t="shared" si="0"/>
        <v>Min Height BST</v>
      </c>
      <c r="C21" s="55" t="s">
        <v>45</v>
      </c>
      <c r="D21" s="55" t="s">
        <v>2650</v>
      </c>
      <c r="E21" s="55" t="s">
        <v>2659</v>
      </c>
    </row>
    <row r="22" spans="1:5">
      <c r="A22" s="59" t="s">
        <v>2660</v>
      </c>
      <c r="B22" s="60" t="str">
        <f t="shared" si="0"/>
        <v>Same BSTs</v>
      </c>
      <c r="C22" s="55" t="s">
        <v>52</v>
      </c>
      <c r="D22" s="55" t="s">
        <v>2650</v>
      </c>
      <c r="E22" s="55" t="s">
        <v>2661</v>
      </c>
    </row>
    <row r="23" spans="1:5">
      <c r="A23" s="59" t="s">
        <v>2662</v>
      </c>
      <c r="B23" s="60" t="str">
        <f t="shared" si="0"/>
        <v>Right Smaller Than</v>
      </c>
      <c r="C23" s="55" t="s">
        <v>2663</v>
      </c>
      <c r="D23" s="55" t="s">
        <v>2650</v>
      </c>
      <c r="E23" s="55" t="s">
        <v>2664</v>
      </c>
    </row>
    <row r="24" spans="1:5">
      <c r="A24" s="59" t="s">
        <v>2665</v>
      </c>
      <c r="B24" s="60" t="str">
        <f t="shared" si="0"/>
        <v>Branch Sums</v>
      </c>
      <c r="C24" s="55" t="s">
        <v>40</v>
      </c>
      <c r="D24" s="55" t="s">
        <v>2666</v>
      </c>
      <c r="E24" s="55" t="s">
        <v>2667</v>
      </c>
    </row>
    <row r="25" spans="1:5">
      <c r="A25" s="59" t="s">
        <v>2668</v>
      </c>
      <c r="B25" s="60" t="str">
        <f t="shared" si="0"/>
        <v>Node Depths</v>
      </c>
      <c r="C25" s="55" t="s">
        <v>40</v>
      </c>
      <c r="D25" s="55" t="s">
        <v>2666</v>
      </c>
      <c r="E25" s="55" t="s">
        <v>2669</v>
      </c>
    </row>
    <row r="26" spans="1:5">
      <c r="A26" s="59" t="s">
        <v>2670</v>
      </c>
      <c r="B26" s="60" t="str">
        <f t="shared" si="0"/>
        <v>Invert Binary Tree</v>
      </c>
      <c r="C26" s="55" t="s">
        <v>45</v>
      </c>
      <c r="D26" s="55" t="s">
        <v>2666</v>
      </c>
      <c r="E26" s="55" t="s">
        <v>564</v>
      </c>
    </row>
    <row r="27" spans="1:5">
      <c r="A27" s="59" t="s">
        <v>2671</v>
      </c>
      <c r="B27" s="60" t="str">
        <f t="shared" si="0"/>
        <v>Max Path Sum In Binary Tree</v>
      </c>
      <c r="C27" s="55" t="s">
        <v>52</v>
      </c>
      <c r="D27" s="55" t="s">
        <v>2666</v>
      </c>
      <c r="E27" s="55" t="s">
        <v>2672</v>
      </c>
    </row>
    <row r="28" spans="1:5">
      <c r="A28" s="59" t="s">
        <v>2673</v>
      </c>
      <c r="B28" s="60" t="str">
        <f t="shared" si="0"/>
        <v>Iterative In-order Traversal</v>
      </c>
      <c r="C28" s="55" t="s">
        <v>2645</v>
      </c>
      <c r="D28" s="55" t="s">
        <v>2666</v>
      </c>
      <c r="E28" s="55" t="s">
        <v>2674</v>
      </c>
    </row>
    <row r="29" spans="1:5">
      <c r="A29" s="59" t="s">
        <v>2675</v>
      </c>
      <c r="B29" s="60" t="str">
        <f t="shared" si="0"/>
        <v>Flatten Binary Tree</v>
      </c>
      <c r="C29" s="55" t="s">
        <v>2645</v>
      </c>
      <c r="D29" s="55" t="s">
        <v>2666</v>
      </c>
      <c r="E29" s="55" t="s">
        <v>2676</v>
      </c>
    </row>
    <row r="30" spans="1:5">
      <c r="A30" s="59" t="s">
        <v>2677</v>
      </c>
      <c r="B30" s="60" t="str">
        <f t="shared" si="0"/>
        <v>Right Sibling Tree</v>
      </c>
      <c r="C30" s="55" t="s">
        <v>2645</v>
      </c>
      <c r="D30" s="55" t="s">
        <v>2666</v>
      </c>
      <c r="E30" s="55" t="s">
        <v>2678</v>
      </c>
    </row>
    <row r="31" spans="1:5">
      <c r="A31" s="59" t="s">
        <v>2679</v>
      </c>
      <c r="B31" s="60" t="str">
        <f t="shared" si="0"/>
        <v>All Kinds Of Node Depths</v>
      </c>
      <c r="C31" s="55" t="s">
        <v>2645</v>
      </c>
      <c r="D31" s="55" t="s">
        <v>2666</v>
      </c>
      <c r="E31" s="55" t="s">
        <v>2680</v>
      </c>
    </row>
    <row r="32" spans="1:5">
      <c r="A32" s="59" t="s">
        <v>2681</v>
      </c>
      <c r="B32" s="60" t="str">
        <f t="shared" si="0"/>
        <v>Max Subset Sum No Adjacent</v>
      </c>
      <c r="C32" s="55" t="s">
        <v>45</v>
      </c>
      <c r="D32" s="55" t="s">
        <v>214</v>
      </c>
      <c r="E32" s="55" t="s">
        <v>2682</v>
      </c>
    </row>
    <row r="33" spans="1:5">
      <c r="A33" s="59" t="s">
        <v>2683</v>
      </c>
      <c r="B33" s="60" t="str">
        <f t="shared" si="0"/>
        <v>Number Of Ways To Make Change</v>
      </c>
      <c r="C33" s="55" t="s">
        <v>45</v>
      </c>
      <c r="D33" s="55" t="s">
        <v>214</v>
      </c>
      <c r="E33" s="55" t="s">
        <v>2684</v>
      </c>
    </row>
    <row r="34" spans="1:5">
      <c r="A34" s="59" t="s">
        <v>2685</v>
      </c>
      <c r="B34" s="60" t="str">
        <f t="shared" si="0"/>
        <v>Min Number Of Coins For Change</v>
      </c>
      <c r="C34" s="55" t="s">
        <v>45</v>
      </c>
      <c r="D34" s="55" t="s">
        <v>214</v>
      </c>
      <c r="E34" s="55" t="s">
        <v>2686</v>
      </c>
    </row>
    <row r="35" spans="1:5">
      <c r="A35" s="59" t="s">
        <v>2687</v>
      </c>
      <c r="B35" s="60" t="str">
        <f t="shared" si="0"/>
        <v>Levenshtein Distance</v>
      </c>
      <c r="C35" s="55" t="s">
        <v>45</v>
      </c>
      <c r="D35" s="55" t="s">
        <v>214</v>
      </c>
      <c r="E35" s="55" t="s">
        <v>2688</v>
      </c>
    </row>
    <row r="36" spans="1:5">
      <c r="A36" s="59" t="s">
        <v>2689</v>
      </c>
      <c r="B36" s="60" t="str">
        <f t="shared" si="0"/>
        <v>Max Sum Increasing Subsequence</v>
      </c>
      <c r="C36" s="55" t="s">
        <v>52</v>
      </c>
      <c r="D36" s="55" t="s">
        <v>214</v>
      </c>
      <c r="E36" s="55" t="s">
        <v>2690</v>
      </c>
    </row>
    <row r="37" spans="1:5">
      <c r="A37" s="59" t="s">
        <v>2691</v>
      </c>
      <c r="B37" s="60" t="str">
        <f t="shared" si="0"/>
        <v>Longest Common Subsequence</v>
      </c>
      <c r="C37" s="55" t="s">
        <v>52</v>
      </c>
      <c r="D37" s="55" t="s">
        <v>214</v>
      </c>
      <c r="E37" s="55" t="s">
        <v>2140</v>
      </c>
    </row>
    <row r="38" spans="1:5">
      <c r="A38" s="59" t="s">
        <v>2692</v>
      </c>
      <c r="B38" s="60" t="str">
        <f t="shared" si="0"/>
        <v>Min Number Of Jumps</v>
      </c>
      <c r="C38" s="55" t="s">
        <v>52</v>
      </c>
      <c r="D38" s="55" t="s">
        <v>214</v>
      </c>
      <c r="E38" s="55" t="s">
        <v>2693</v>
      </c>
    </row>
    <row r="39" spans="1:5">
      <c r="A39" s="59" t="s">
        <v>2694</v>
      </c>
      <c r="B39" s="60" t="str">
        <f t="shared" si="0"/>
        <v>Water Area</v>
      </c>
      <c r="C39" s="55" t="s">
        <v>52</v>
      </c>
      <c r="D39" s="55" t="s">
        <v>214</v>
      </c>
      <c r="E39" s="55" t="s">
        <v>2695</v>
      </c>
    </row>
    <row r="40" spans="1:5">
      <c r="A40" s="59" t="s">
        <v>2696</v>
      </c>
      <c r="B40" s="60" t="str">
        <f t="shared" si="0"/>
        <v>Knapsack Problem</v>
      </c>
      <c r="C40" s="55" t="s">
        <v>52</v>
      </c>
      <c r="D40" s="55" t="s">
        <v>214</v>
      </c>
      <c r="E40" s="55" t="s">
        <v>2697</v>
      </c>
    </row>
    <row r="41" spans="1:5">
      <c r="A41" s="59" t="s">
        <v>2698</v>
      </c>
      <c r="B41" s="60" t="str">
        <f t="shared" si="0"/>
        <v>Disk Stacking</v>
      </c>
      <c r="C41" s="55" t="s">
        <v>52</v>
      </c>
      <c r="D41" s="55" t="s">
        <v>214</v>
      </c>
      <c r="E41" s="55" t="s">
        <v>2699</v>
      </c>
    </row>
    <row r="42" spans="1:5">
      <c r="A42" s="59" t="s">
        <v>2700</v>
      </c>
      <c r="B42" s="60" t="str">
        <f t="shared" si="0"/>
        <v>Numbers In Pi</v>
      </c>
      <c r="C42" s="55" t="s">
        <v>52</v>
      </c>
      <c r="D42" s="55" t="s">
        <v>214</v>
      </c>
      <c r="E42" s="55" t="s">
        <v>2701</v>
      </c>
    </row>
    <row r="43" spans="1:5">
      <c r="A43" s="59" t="s">
        <v>2702</v>
      </c>
      <c r="B43" s="60" t="str">
        <f t="shared" si="0"/>
        <v>Max Profit With K Transactions</v>
      </c>
      <c r="C43" s="55" t="s">
        <v>2645</v>
      </c>
      <c r="D43" s="55" t="s">
        <v>214</v>
      </c>
      <c r="E43" s="55" t="s">
        <v>2703</v>
      </c>
    </row>
    <row r="44" spans="1:5">
      <c r="A44" s="59" t="s">
        <v>2704</v>
      </c>
      <c r="B44" s="60" t="str">
        <f t="shared" si="0"/>
        <v>Palindrome Partitioning Min Cuts</v>
      </c>
      <c r="C44" s="55" t="s">
        <v>2645</v>
      </c>
      <c r="D44" s="55" t="s">
        <v>214</v>
      </c>
      <c r="E44" s="55" t="s">
        <v>2705</v>
      </c>
    </row>
    <row r="45" spans="1:5">
      <c r="A45" s="59" t="s">
        <v>2706</v>
      </c>
      <c r="B45" s="60" t="str">
        <f t="shared" si="0"/>
        <v>Longest String Chain</v>
      </c>
      <c r="C45" s="55" t="s">
        <v>2645</v>
      </c>
      <c r="D45" s="55" t="s">
        <v>214</v>
      </c>
      <c r="E45" s="55" t="s">
        <v>2014</v>
      </c>
    </row>
    <row r="46" spans="1:5">
      <c r="A46" s="59" t="s">
        <v>2707</v>
      </c>
      <c r="B46" s="60" t="str">
        <f t="shared" si="0"/>
        <v>Longest Increasing Subsequence</v>
      </c>
      <c r="C46" s="55" t="s">
        <v>2663</v>
      </c>
      <c r="D46" s="55" t="s">
        <v>214</v>
      </c>
      <c r="E46" s="55" t="s">
        <v>721</v>
      </c>
    </row>
    <row r="47" spans="1:5">
      <c r="A47" s="59" t="s">
        <v>2708</v>
      </c>
      <c r="B47" s="60" t="str">
        <f t="shared" si="0"/>
        <v>Square of Zeroes</v>
      </c>
      <c r="C47" s="55" t="s">
        <v>2663</v>
      </c>
      <c r="D47" s="55" t="s">
        <v>214</v>
      </c>
      <c r="E47" s="55" t="s">
        <v>2709</v>
      </c>
    </row>
    <row r="48" spans="1:5">
      <c r="A48" s="59" t="s">
        <v>2710</v>
      </c>
      <c r="B48" s="60" t="str">
        <f t="shared" si="0"/>
        <v>Kadane's Algorithm</v>
      </c>
      <c r="C48" s="55" t="s">
        <v>45</v>
      </c>
      <c r="D48" s="55" t="s">
        <v>2711</v>
      </c>
      <c r="E48" s="55" t="s">
        <v>2712</v>
      </c>
    </row>
    <row r="49" spans="1:5">
      <c r="A49" s="59" t="s">
        <v>2713</v>
      </c>
      <c r="B49" s="60" t="str">
        <f t="shared" si="0"/>
        <v>Topological Sort</v>
      </c>
      <c r="C49" s="55" t="s">
        <v>52</v>
      </c>
      <c r="D49" s="55" t="s">
        <v>2711</v>
      </c>
      <c r="E49" s="55" t="s">
        <v>2618</v>
      </c>
    </row>
    <row r="50" spans="1:5">
      <c r="A50" s="59" t="s">
        <v>2714</v>
      </c>
      <c r="B50" s="60" t="str">
        <f t="shared" si="0"/>
        <v>Knuth—Morris—Pratt Algorithm</v>
      </c>
      <c r="C50" s="55" t="s">
        <v>2645</v>
      </c>
      <c r="D50" s="55" t="s">
        <v>2711</v>
      </c>
      <c r="E50" s="55" t="s">
        <v>2715</v>
      </c>
    </row>
    <row r="51" spans="1:5">
      <c r="A51" s="59" t="s">
        <v>2716</v>
      </c>
      <c r="B51" s="60" t="str">
        <f t="shared" si="0"/>
        <v>Depth-first Search</v>
      </c>
      <c r="C51" s="55" t="s">
        <v>40</v>
      </c>
      <c r="D51" s="55" t="s">
        <v>2717</v>
      </c>
      <c r="E51" s="55" t="s">
        <v>2718</v>
      </c>
    </row>
    <row r="52" spans="1:5">
      <c r="A52" s="59" t="s">
        <v>2719</v>
      </c>
      <c r="B52" s="60" t="str">
        <f t="shared" si="0"/>
        <v>Single Cycle Check</v>
      </c>
      <c r="C52" s="55" t="s">
        <v>45</v>
      </c>
      <c r="D52" s="55" t="s">
        <v>2717</v>
      </c>
      <c r="E52" s="55" t="s">
        <v>2720</v>
      </c>
    </row>
    <row r="53" spans="1:5">
      <c r="A53" s="59" t="s">
        <v>2721</v>
      </c>
      <c r="B53" s="60" t="str">
        <f t="shared" si="0"/>
        <v>Breadth-first Search</v>
      </c>
      <c r="C53" s="55" t="s">
        <v>45</v>
      </c>
      <c r="D53" s="55" t="s">
        <v>2717</v>
      </c>
      <c r="E53" s="55" t="s">
        <v>2722</v>
      </c>
    </row>
    <row r="54" spans="1:5">
      <c r="A54" s="59" t="s">
        <v>2723</v>
      </c>
      <c r="B54" s="60" t="str">
        <f t="shared" si="0"/>
        <v>River Sizes</v>
      </c>
      <c r="C54" s="55" t="s">
        <v>45</v>
      </c>
      <c r="D54" s="55" t="s">
        <v>2717</v>
      </c>
      <c r="E54" s="55" t="s">
        <v>2724</v>
      </c>
    </row>
    <row r="55" spans="1:5">
      <c r="A55" s="59" t="s">
        <v>2725</v>
      </c>
      <c r="B55" s="60" t="str">
        <f t="shared" si="0"/>
        <v>Youngest Common Ancestor</v>
      </c>
      <c r="C55" s="55" t="s">
        <v>45</v>
      </c>
      <c r="D55" s="55" t="s">
        <v>2717</v>
      </c>
      <c r="E55" s="55" t="s">
        <v>2726</v>
      </c>
    </row>
    <row r="56" spans="1:5">
      <c r="A56" s="59" t="s">
        <v>2727</v>
      </c>
      <c r="B56" s="60" t="str">
        <f t="shared" si="0"/>
        <v>Boggle Board</v>
      </c>
      <c r="C56" s="55" t="s">
        <v>52</v>
      </c>
      <c r="D56" s="55" t="s">
        <v>2717</v>
      </c>
      <c r="E56" s="55" t="s">
        <v>2728</v>
      </c>
    </row>
    <row r="57" spans="1:5">
      <c r="A57" s="59" t="s">
        <v>2729</v>
      </c>
      <c r="B57" s="60" t="str">
        <f t="shared" si="0"/>
        <v>Rectangle Mania</v>
      </c>
      <c r="C57" s="55" t="s">
        <v>2645</v>
      </c>
      <c r="D57" s="55" t="s">
        <v>2717</v>
      </c>
      <c r="E57" s="55" t="s">
        <v>2730</v>
      </c>
    </row>
    <row r="58" spans="1:5">
      <c r="A58" s="59" t="s">
        <v>2731</v>
      </c>
      <c r="B58" s="60" t="str">
        <f t="shared" si="0"/>
        <v>Airport Connections</v>
      </c>
      <c r="C58" s="55" t="s">
        <v>2663</v>
      </c>
      <c r="D58" s="55" t="s">
        <v>2717</v>
      </c>
      <c r="E58" s="55" t="s">
        <v>2732</v>
      </c>
    </row>
    <row r="59" spans="1:5">
      <c r="A59" s="59" t="s">
        <v>2733</v>
      </c>
      <c r="B59" s="60" t="str">
        <f t="shared" si="0"/>
        <v>Min Heap Construction</v>
      </c>
      <c r="C59" s="55" t="s">
        <v>45</v>
      </c>
      <c r="D59" s="55" t="s">
        <v>2734</v>
      </c>
      <c r="E59" s="55" t="s">
        <v>2735</v>
      </c>
    </row>
    <row r="60" spans="1:5">
      <c r="A60" s="59" t="s">
        <v>2736</v>
      </c>
      <c r="B60" s="60" t="str">
        <f t="shared" si="0"/>
        <v>Continuous Median</v>
      </c>
      <c r="C60" s="55" t="s">
        <v>52</v>
      </c>
      <c r="D60" s="55" t="s">
        <v>2734</v>
      </c>
      <c r="E60" s="55" t="s">
        <v>2737</v>
      </c>
    </row>
    <row r="61" spans="1:5">
      <c r="A61" s="59" t="s">
        <v>2738</v>
      </c>
      <c r="B61" s="60" t="str">
        <f t="shared" si="0"/>
        <v>Merge Sorted Arrays</v>
      </c>
      <c r="C61" s="55" t="s">
        <v>2645</v>
      </c>
      <c r="D61" s="55" t="s">
        <v>2734</v>
      </c>
      <c r="E61" s="55" t="s">
        <v>2739</v>
      </c>
    </row>
    <row r="62" spans="1:5">
      <c r="A62" s="59" t="s">
        <v>2740</v>
      </c>
      <c r="B62" s="60" t="str">
        <f t="shared" si="0"/>
        <v>Linked List Construction</v>
      </c>
      <c r="C62" s="55" t="s">
        <v>45</v>
      </c>
      <c r="D62" s="55" t="s">
        <v>2741</v>
      </c>
      <c r="E62" s="55" t="s">
        <v>2742</v>
      </c>
    </row>
    <row r="63" spans="1:5">
      <c r="A63" s="59" t="s">
        <v>2743</v>
      </c>
      <c r="B63" s="60" t="str">
        <f t="shared" si="0"/>
        <v>Remove Kth Node From End</v>
      </c>
      <c r="C63" s="55" t="s">
        <v>45</v>
      </c>
      <c r="D63" s="55" t="s">
        <v>2741</v>
      </c>
      <c r="E63" s="55" t="s">
        <v>2744</v>
      </c>
    </row>
    <row r="64" spans="1:5">
      <c r="A64" s="59" t="s">
        <v>2745</v>
      </c>
      <c r="B64" s="60" t="str">
        <f t="shared" si="0"/>
        <v>Find Loop</v>
      </c>
      <c r="C64" s="55" t="s">
        <v>52</v>
      </c>
      <c r="D64" s="55" t="s">
        <v>2741</v>
      </c>
      <c r="E64" s="55" t="s">
        <v>2746</v>
      </c>
    </row>
    <row r="65" spans="1:5">
      <c r="A65" s="59" t="s">
        <v>2747</v>
      </c>
      <c r="B65" s="60" t="str">
        <f t="shared" si="0"/>
        <v>Reverse Linked List</v>
      </c>
      <c r="C65" s="55" t="s">
        <v>52</v>
      </c>
      <c r="D65" s="55" t="s">
        <v>2741</v>
      </c>
      <c r="E65" s="55" t="s">
        <v>515</v>
      </c>
    </row>
    <row r="66" spans="1:5">
      <c r="A66" s="59" t="s">
        <v>2748</v>
      </c>
      <c r="B66" s="60" t="str">
        <f t="shared" si="0"/>
        <v>Merge Linked Lists</v>
      </c>
      <c r="C66" s="55" t="s">
        <v>52</v>
      </c>
      <c r="D66" s="55" t="s">
        <v>2741</v>
      </c>
      <c r="E66" s="55" t="s">
        <v>2749</v>
      </c>
    </row>
    <row r="67" spans="1:5">
      <c r="A67" s="59" t="s">
        <v>2750</v>
      </c>
      <c r="B67" s="60" t="str">
        <f t="shared" si="0"/>
        <v>Shift Linked List</v>
      </c>
      <c r="C67" s="55" t="s">
        <v>52</v>
      </c>
      <c r="D67" s="55" t="s">
        <v>2741</v>
      </c>
      <c r="E67" s="55" t="s">
        <v>2751</v>
      </c>
    </row>
    <row r="68" spans="1:5">
      <c r="A68" s="59" t="s">
        <v>2752</v>
      </c>
      <c r="B68" s="60" t="str">
        <f t="shared" si="0"/>
        <v>LRU Cache</v>
      </c>
      <c r="C68" s="55" t="s">
        <v>2645</v>
      </c>
      <c r="D68" s="55" t="s">
        <v>2741</v>
      </c>
      <c r="E68" s="55" t="s">
        <v>389</v>
      </c>
    </row>
    <row r="69" spans="1:5">
      <c r="A69" s="59" t="s">
        <v>2753</v>
      </c>
      <c r="B69" s="60" t="str">
        <f t="shared" si="0"/>
        <v>Rearrange Linked List</v>
      </c>
      <c r="C69" s="55" t="s">
        <v>2645</v>
      </c>
      <c r="D69" s="55" t="s">
        <v>2741</v>
      </c>
      <c r="E69" s="55" t="s">
        <v>2754</v>
      </c>
    </row>
    <row r="70" spans="1:5">
      <c r="A70" s="59" t="s">
        <v>2755</v>
      </c>
      <c r="B70" s="60" t="str">
        <f t="shared" si="0"/>
        <v>Nth Fibonacci</v>
      </c>
      <c r="C70" s="55" t="s">
        <v>40</v>
      </c>
      <c r="D70" s="55" t="s">
        <v>1594</v>
      </c>
      <c r="E70" s="55" t="s">
        <v>2756</v>
      </c>
    </row>
    <row r="71" spans="1:5">
      <c r="A71" s="59" t="s">
        <v>2757</v>
      </c>
      <c r="B71" s="60" t="str">
        <f t="shared" si="0"/>
        <v>Product Sum</v>
      </c>
      <c r="C71" s="55" t="s">
        <v>40</v>
      </c>
      <c r="D71" s="55" t="s">
        <v>1594</v>
      </c>
      <c r="E71" s="55" t="s">
        <v>2758</v>
      </c>
    </row>
    <row r="72" spans="1:5">
      <c r="A72" s="59" t="s">
        <v>2759</v>
      </c>
      <c r="B72" s="60" t="str">
        <f t="shared" si="0"/>
        <v>Permutations</v>
      </c>
      <c r="C72" s="55" t="s">
        <v>45</v>
      </c>
      <c r="D72" s="55" t="s">
        <v>1594</v>
      </c>
      <c r="E72" s="55" t="s">
        <v>160</v>
      </c>
    </row>
    <row r="73" spans="1:5">
      <c r="A73" s="59" t="s">
        <v>2760</v>
      </c>
      <c r="B73" s="60" t="str">
        <f t="shared" si="0"/>
        <v>Powerset</v>
      </c>
      <c r="C73" s="55" t="s">
        <v>45</v>
      </c>
      <c r="D73" s="55" t="s">
        <v>1594</v>
      </c>
      <c r="E73" s="55" t="s">
        <v>2761</v>
      </c>
    </row>
    <row r="74" spans="1:5">
      <c r="A74" s="59" t="s">
        <v>2762</v>
      </c>
      <c r="B74" s="60" t="str">
        <f t="shared" si="0"/>
        <v>Lowest Common Manager</v>
      </c>
      <c r="C74" s="55" t="s">
        <v>52</v>
      </c>
      <c r="D74" s="55" t="s">
        <v>1594</v>
      </c>
      <c r="E74" s="55" t="s">
        <v>2763</v>
      </c>
    </row>
    <row r="75" spans="1:5">
      <c r="A75" s="59" t="s">
        <v>2764</v>
      </c>
      <c r="B75" s="60" t="str">
        <f t="shared" si="0"/>
        <v>Interweaving Strings</v>
      </c>
      <c r="C75" s="55" t="s">
        <v>52</v>
      </c>
      <c r="D75" s="55" t="s">
        <v>1594</v>
      </c>
      <c r="E75" s="55" t="s">
        <v>2765</v>
      </c>
    </row>
    <row r="76" spans="1:5">
      <c r="A76" s="59" t="s">
        <v>2766</v>
      </c>
      <c r="B76" s="60" t="str">
        <f t="shared" si="0"/>
        <v>Number Of Binary Tree Topologies</v>
      </c>
      <c r="C76" s="55" t="s">
        <v>2645</v>
      </c>
      <c r="D76" s="55" t="s">
        <v>1594</v>
      </c>
      <c r="E76" s="55" t="s">
        <v>2767</v>
      </c>
    </row>
    <row r="77" spans="1:5">
      <c r="A77" s="59" t="s">
        <v>2768</v>
      </c>
      <c r="B77" s="60" t="str">
        <f t="shared" si="0"/>
        <v>Binary Search</v>
      </c>
      <c r="C77" s="55" t="s">
        <v>40</v>
      </c>
      <c r="D77" s="55" t="s">
        <v>2769</v>
      </c>
      <c r="E77" s="55" t="s">
        <v>670</v>
      </c>
    </row>
    <row r="78" spans="1:5">
      <c r="A78" s="59" t="s">
        <v>2770</v>
      </c>
      <c r="B78" s="60" t="str">
        <f t="shared" si="0"/>
        <v>Find Three Largest Numbers</v>
      </c>
      <c r="C78" s="55" t="s">
        <v>40</v>
      </c>
      <c r="D78" s="55" t="s">
        <v>2769</v>
      </c>
      <c r="E78" s="55" t="s">
        <v>2771</v>
      </c>
    </row>
    <row r="79" spans="1:5">
      <c r="A79" s="59" t="s">
        <v>2772</v>
      </c>
      <c r="B79" s="60" t="str">
        <f t="shared" si="0"/>
        <v>Search In Sorted Matrix</v>
      </c>
      <c r="C79" s="55" t="s">
        <v>45</v>
      </c>
      <c r="D79" s="55" t="s">
        <v>2769</v>
      </c>
      <c r="E79" s="55" t="s">
        <v>2773</v>
      </c>
    </row>
    <row r="80" spans="1:5">
      <c r="A80" s="59" t="s">
        <v>2774</v>
      </c>
      <c r="B80" s="60" t="str">
        <f t="shared" si="0"/>
        <v>Shifted Binary Search</v>
      </c>
      <c r="C80" s="55" t="s">
        <v>52</v>
      </c>
      <c r="D80" s="55" t="s">
        <v>2769</v>
      </c>
      <c r="E80" s="55" t="s">
        <v>2775</v>
      </c>
    </row>
    <row r="81" spans="1:5">
      <c r="A81" s="59" t="s">
        <v>2776</v>
      </c>
      <c r="B81" s="60" t="str">
        <f t="shared" si="0"/>
        <v>Search For Range</v>
      </c>
      <c r="C81" s="55" t="s">
        <v>52</v>
      </c>
      <c r="D81" s="55" t="s">
        <v>2769</v>
      </c>
      <c r="E81" s="55" t="s">
        <v>2777</v>
      </c>
    </row>
    <row r="82" spans="1:5">
      <c r="A82" s="59" t="s">
        <v>2778</v>
      </c>
      <c r="B82" s="60" t="str">
        <f t="shared" si="0"/>
        <v>Quickselect</v>
      </c>
      <c r="C82" s="55" t="s">
        <v>52</v>
      </c>
      <c r="D82" s="55" t="s">
        <v>2769</v>
      </c>
      <c r="E82" s="55" t="s">
        <v>2779</v>
      </c>
    </row>
    <row r="83" spans="1:5">
      <c r="A83" s="59" t="s">
        <v>2780</v>
      </c>
      <c r="B83" s="60" t="str">
        <f t="shared" si="0"/>
        <v>Bubble Sort</v>
      </c>
      <c r="C83" s="55" t="s">
        <v>40</v>
      </c>
      <c r="D83" s="55" t="s">
        <v>2781</v>
      </c>
      <c r="E83" s="55" t="s">
        <v>2782</v>
      </c>
    </row>
    <row r="84" spans="1:5">
      <c r="A84" s="59" t="s">
        <v>2783</v>
      </c>
      <c r="B84" s="60" t="str">
        <f t="shared" si="0"/>
        <v>Insertion Sort</v>
      </c>
      <c r="C84" s="55" t="s">
        <v>40</v>
      </c>
      <c r="D84" s="55" t="s">
        <v>2781</v>
      </c>
      <c r="E84" s="55" t="s">
        <v>2784</v>
      </c>
    </row>
    <row r="85" spans="1:5">
      <c r="A85" s="59" t="s">
        <v>2785</v>
      </c>
      <c r="B85" s="60" t="str">
        <f t="shared" si="0"/>
        <v>Selection Sort</v>
      </c>
      <c r="C85" s="55" t="s">
        <v>40</v>
      </c>
      <c r="D85" s="55" t="s">
        <v>2781</v>
      </c>
      <c r="E85" s="55" t="s">
        <v>2786</v>
      </c>
    </row>
    <row r="86" spans="1:5">
      <c r="A86" s="59" t="s">
        <v>2787</v>
      </c>
      <c r="B86" s="60" t="str">
        <f t="shared" si="0"/>
        <v>Quick Sort</v>
      </c>
      <c r="C86" s="55" t="s">
        <v>52</v>
      </c>
      <c r="D86" s="55" t="s">
        <v>2781</v>
      </c>
      <c r="E86" s="55" t="s">
        <v>2788</v>
      </c>
    </row>
    <row r="87" spans="1:5">
      <c r="A87" s="59" t="s">
        <v>2789</v>
      </c>
      <c r="B87" s="60" t="str">
        <f t="shared" si="0"/>
        <v>Heap Sort</v>
      </c>
      <c r="C87" s="55" t="s">
        <v>52</v>
      </c>
      <c r="D87" s="55" t="s">
        <v>2781</v>
      </c>
      <c r="E87" s="55" t="s">
        <v>2790</v>
      </c>
    </row>
    <row r="88" spans="1:5">
      <c r="A88" s="59" t="s">
        <v>2791</v>
      </c>
      <c r="B88" s="60" t="str">
        <f t="shared" si="0"/>
        <v>Merge Sort</v>
      </c>
      <c r="C88" s="55" t="s">
        <v>2645</v>
      </c>
      <c r="D88" s="55" t="s">
        <v>2781</v>
      </c>
      <c r="E88" s="55" t="s">
        <v>2792</v>
      </c>
    </row>
    <row r="89" spans="1:5">
      <c r="A89" s="59" t="s">
        <v>2793</v>
      </c>
      <c r="B89" s="60" t="str">
        <f t="shared" si="0"/>
        <v>Min Max Stack Construction</v>
      </c>
      <c r="C89" s="55" t="s">
        <v>45</v>
      </c>
      <c r="D89" s="55" t="s">
        <v>2794</v>
      </c>
      <c r="E89" s="55" t="s">
        <v>2795</v>
      </c>
    </row>
    <row r="90" spans="1:5">
      <c r="A90" s="59" t="s">
        <v>2796</v>
      </c>
      <c r="B90" s="60" t="str">
        <f t="shared" si="0"/>
        <v>Balanced Brackets</v>
      </c>
      <c r="C90" s="55" t="s">
        <v>45</v>
      </c>
      <c r="D90" s="55" t="s">
        <v>2794</v>
      </c>
      <c r="E90" s="55" t="s">
        <v>2797</v>
      </c>
    </row>
    <row r="91" spans="1:5">
      <c r="A91" s="59" t="s">
        <v>2798</v>
      </c>
      <c r="B91" s="60" t="str">
        <f t="shared" si="0"/>
        <v>Shorten Path</v>
      </c>
      <c r="C91" s="55" t="s">
        <v>52</v>
      </c>
      <c r="D91" s="55" t="s">
        <v>2794</v>
      </c>
      <c r="E91" s="55" t="s">
        <v>2799</v>
      </c>
    </row>
    <row r="92" spans="1:5">
      <c r="A92" s="59" t="s">
        <v>2800</v>
      </c>
      <c r="B92" s="60" t="str">
        <f t="shared" si="0"/>
        <v>Palindrome Check</v>
      </c>
      <c r="C92" s="55" t="s">
        <v>40</v>
      </c>
      <c r="D92" s="55" t="s">
        <v>2801</v>
      </c>
      <c r="E92" s="55" t="s">
        <v>2802</v>
      </c>
    </row>
    <row r="93" spans="1:5">
      <c r="A93" s="59" t="s">
        <v>2803</v>
      </c>
      <c r="B93" s="60" t="str">
        <f t="shared" si="0"/>
        <v>Caesar Cipher Encryptor</v>
      </c>
      <c r="C93" s="55" t="s">
        <v>40</v>
      </c>
      <c r="D93" s="55" t="s">
        <v>2801</v>
      </c>
      <c r="E93" s="55" t="s">
        <v>2804</v>
      </c>
    </row>
    <row r="94" spans="1:5">
      <c r="A94" s="59" t="s">
        <v>2805</v>
      </c>
      <c r="B94" s="60" t="str">
        <f t="shared" si="0"/>
        <v>Longest Palindromic Substring</v>
      </c>
      <c r="C94" s="55" t="s">
        <v>45</v>
      </c>
      <c r="D94" s="55" t="s">
        <v>2801</v>
      </c>
      <c r="E94" s="55" t="s">
        <v>55</v>
      </c>
    </row>
    <row r="95" spans="1:5">
      <c r="A95" s="59" t="s">
        <v>2806</v>
      </c>
      <c r="B95" s="60" t="str">
        <f t="shared" si="0"/>
        <v>Group Anagrams</v>
      </c>
      <c r="C95" s="55" t="s">
        <v>45</v>
      </c>
      <c r="D95" s="55" t="s">
        <v>2801</v>
      </c>
      <c r="E95" s="55" t="s">
        <v>167</v>
      </c>
    </row>
    <row r="96" spans="1:5">
      <c r="A96" s="59" t="s">
        <v>2807</v>
      </c>
      <c r="B96" s="60" t="str">
        <f t="shared" si="0"/>
        <v>Longest Substring Without Duplication</v>
      </c>
      <c r="C96" s="55" t="s">
        <v>52</v>
      </c>
      <c r="D96" s="55" t="s">
        <v>2801</v>
      </c>
      <c r="E96" s="55" t="s">
        <v>2808</v>
      </c>
    </row>
    <row r="97" spans="1:5">
      <c r="A97" s="59" t="s">
        <v>2809</v>
      </c>
      <c r="B97" s="60" t="str">
        <f t="shared" si="0"/>
        <v>Underscorify Substring</v>
      </c>
      <c r="C97" s="55" t="s">
        <v>52</v>
      </c>
      <c r="D97" s="55" t="s">
        <v>2801</v>
      </c>
      <c r="E97" s="55" t="s">
        <v>2810</v>
      </c>
    </row>
    <row r="98" spans="1:5">
      <c r="A98" s="59" t="s">
        <v>2811</v>
      </c>
      <c r="B98" s="60" t="str">
        <f t="shared" si="0"/>
        <v>Pattern Matcher</v>
      </c>
      <c r="C98" s="55" t="s">
        <v>52</v>
      </c>
      <c r="D98" s="55" t="s">
        <v>2801</v>
      </c>
      <c r="E98" s="55" t="s">
        <v>2812</v>
      </c>
    </row>
    <row r="99" spans="1:5">
      <c r="A99" s="59" t="s">
        <v>2813</v>
      </c>
      <c r="B99" s="60" t="str">
        <f t="shared" si="0"/>
        <v>Smallest Substring Containing</v>
      </c>
      <c r="C99" s="55" t="s">
        <v>2645</v>
      </c>
      <c r="D99" s="55" t="s">
        <v>2801</v>
      </c>
      <c r="E99" s="55" t="s">
        <v>2814</v>
      </c>
    </row>
    <row r="100" spans="1:5">
      <c r="A100" s="59" t="s">
        <v>2815</v>
      </c>
      <c r="B100" s="60" t="str">
        <f t="shared" si="0"/>
        <v>Suffix Trie Construction</v>
      </c>
      <c r="C100" s="55" t="s">
        <v>45</v>
      </c>
      <c r="D100" s="55" t="s">
        <v>2816</v>
      </c>
      <c r="E100" s="55" t="s">
        <v>2817</v>
      </c>
    </row>
    <row r="101" spans="1:5">
      <c r="A101" s="59" t="s">
        <v>2818</v>
      </c>
      <c r="B101" s="60" t="str">
        <f t="shared" si="0"/>
        <v>Multi String Search</v>
      </c>
      <c r="C101" s="55" t="s">
        <v>52</v>
      </c>
      <c r="D101" s="55" t="s">
        <v>2816</v>
      </c>
      <c r="E101" s="55" t="s">
        <v>2819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刷题统计</vt:lpstr>
      <vt:lpstr>Coder-1</vt:lpstr>
      <vt:lpstr>Coder-2</vt:lpstr>
      <vt:lpstr>Coder-3</vt:lpstr>
      <vt:lpstr>Coder-4</vt:lpstr>
      <vt:lpstr>公司分类查询</vt:lpstr>
      <vt:lpstr>Leetcode List</vt:lpstr>
      <vt:lpstr>Leetcode分类顺序表</vt:lpstr>
      <vt:lpstr>Algoexpert.io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傅关丞</cp:lastModifiedBy>
  <dcterms:modified xsi:type="dcterms:W3CDTF">2020-07-24T12:40:04Z</dcterms:modified>
</cp:coreProperties>
</file>