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数据" sheetId="1" r:id="rId1"/>
  </sheets>
  <definedNames>
    <definedName name="_xlnm._FilterDatabase" localSheetId="0" hidden="1">数据!$A$1:$E$9203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203"/>
  <sheetViews>
    <sheetView tabSelected="1" zoomScaleSheetLayoutView="60" workbookViewId="0">
      <selection activeCell="G2088" sqref="G2088"/>
    </sheetView>
  </sheetViews>
  <sheetFormatPr defaultColWidth="9" defaultRowHeight="24" customHeight="1" outlineLevelCol="4"/>
  <cols>
    <col min="1" max="1" width="11.625" style="2" customWidth="1"/>
    <col min="2" max="2" width="17.75" style="2" customWidth="1"/>
    <col min="3" max="3" width="6.875" style="2" customWidth="1"/>
    <col min="4" max="4" width="12.375" style="3" customWidth="1"/>
    <col min="5" max="5" width="24" style="2" customWidth="1"/>
  </cols>
  <sheetData>
    <row r="1" s="1" customFormat="1" customHeight="1" spans="1:5">
      <c r="A1" s="4" t="str">
        <f>"名称"</f>
        <v>名称</v>
      </c>
      <c r="B1" s="4" t="str">
        <f>"证号"</f>
        <v>证号</v>
      </c>
      <c r="C1" s="4" t="str">
        <f>"性别"</f>
        <v>性别</v>
      </c>
      <c r="D1" s="5" t="str">
        <f>"借书数量"</f>
        <v>借书数量</v>
      </c>
      <c r="E1" s="4" t="str">
        <f>"学院"</f>
        <v>学院</v>
      </c>
    </row>
    <row r="2" ht="13.5" hidden="1" spans="1:5">
      <c r="A2" s="2" t="str">
        <f>"郑一帆"</f>
        <v>郑一帆</v>
      </c>
      <c r="B2" s="2" t="str">
        <f>"B20200403116"</f>
        <v>B20200403116</v>
      </c>
      <c r="C2" s="2" t="str">
        <f>"男"</f>
        <v>男</v>
      </c>
      <c r="D2" s="2" t="str">
        <f>"55"</f>
        <v>55</v>
      </c>
      <c r="E2" s="2" t="str">
        <f>"电子信息与电气工程学院"</f>
        <v>电子信息与电气工程学院</v>
      </c>
    </row>
    <row r="3" ht="13.5" hidden="1" spans="1:5">
      <c r="A3" s="2" t="str">
        <f>"陈娟"</f>
        <v>陈娟</v>
      </c>
      <c r="B3" s="2" t="str">
        <f>"B20220801506"</f>
        <v>B20220801506</v>
      </c>
      <c r="C3" s="2" t="str">
        <f t="shared" ref="C3:C7" si="0">"女"</f>
        <v>女</v>
      </c>
      <c r="D3" s="2" t="str">
        <f>"46"</f>
        <v>46</v>
      </c>
      <c r="E3" s="2" t="str">
        <f>"外国语学院"</f>
        <v>外国语学院</v>
      </c>
    </row>
    <row r="4" ht="13.5" hidden="1" spans="1:5">
      <c r="A4" s="2" t="str">
        <f>"吴晶晶"</f>
        <v>吴晶晶</v>
      </c>
      <c r="B4" s="2" t="str">
        <f>"B20230904203"</f>
        <v>B20230904203</v>
      </c>
      <c r="C4" s="2" t="str">
        <f t="shared" si="0"/>
        <v>女</v>
      </c>
      <c r="D4" s="2" t="str">
        <f>"43"</f>
        <v>43</v>
      </c>
      <c r="E4" s="2" t="str">
        <f>"经济与管理学院"</f>
        <v>经济与管理学院</v>
      </c>
    </row>
    <row r="5" ht="13.5" hidden="1" spans="1:5">
      <c r="A5" s="2" t="str">
        <f>"饶文杰"</f>
        <v>饶文杰</v>
      </c>
      <c r="B5" s="2" t="str">
        <f>"B20220802119"</f>
        <v>B20220802119</v>
      </c>
      <c r="C5" s="2" t="str">
        <f>"男"</f>
        <v>男</v>
      </c>
      <c r="D5" s="2" t="str">
        <f>"42"</f>
        <v>42</v>
      </c>
      <c r="E5" s="2" t="str">
        <f>"外国语学院"</f>
        <v>外国语学院</v>
      </c>
    </row>
    <row r="6" ht="13.5" hidden="1" spans="1:5">
      <c r="A6" s="2" t="str">
        <f>"刘赵祥"</f>
        <v>刘赵祥</v>
      </c>
      <c r="B6" s="2" t="str">
        <f>"B20231301120"</f>
        <v>B20231301120</v>
      </c>
      <c r="C6" s="2" t="str">
        <f>"男"</f>
        <v>男</v>
      </c>
      <c r="D6" s="2" t="str">
        <f>"40"</f>
        <v>40</v>
      </c>
      <c r="E6" s="2" t="str">
        <f>"材料与环境工程学院"</f>
        <v>材料与环境工程学院</v>
      </c>
    </row>
    <row r="7" ht="13.5" hidden="1" spans="1:5">
      <c r="A7" s="2" t="str">
        <f>"黄雨晨"</f>
        <v>黄雨晨</v>
      </c>
      <c r="B7" s="2" t="str">
        <f>"B20220703309"</f>
        <v>B20220703309</v>
      </c>
      <c r="C7" s="2" t="str">
        <f t="shared" si="0"/>
        <v>女</v>
      </c>
      <c r="D7" s="2" t="str">
        <f>"38"</f>
        <v>38</v>
      </c>
      <c r="E7" s="2" t="str">
        <f>"马栏山新媒体学院"</f>
        <v>马栏山新媒体学院</v>
      </c>
    </row>
    <row r="8" ht="13.5" hidden="1" spans="1:5">
      <c r="A8" s="2" t="str">
        <f>"王剑"</f>
        <v>王剑</v>
      </c>
      <c r="B8" s="2" t="str">
        <f>"B20201002407"</f>
        <v>B20201002407</v>
      </c>
      <c r="C8" s="2" t="str">
        <f t="shared" ref="C8:C12" si="1">"男"</f>
        <v>男</v>
      </c>
      <c r="D8" s="2" t="str">
        <f>"37"</f>
        <v>37</v>
      </c>
      <c r="E8" s="2" t="str">
        <f>"艺术设计学院"</f>
        <v>艺术设计学院</v>
      </c>
    </row>
    <row r="9" ht="13.5" hidden="1" spans="1:5">
      <c r="A9" s="2" t="str">
        <f>"刘赛男"</f>
        <v>刘赛男</v>
      </c>
      <c r="B9" s="2" t="str">
        <f>"B20220904220"</f>
        <v>B20220904220</v>
      </c>
      <c r="C9" s="2" t="str">
        <f t="shared" ref="C9:C18" si="2">"女"</f>
        <v>女</v>
      </c>
      <c r="D9" s="2" t="str">
        <f>"37"</f>
        <v>37</v>
      </c>
      <c r="E9" s="2" t="str">
        <f t="shared" ref="E9:E15" si="3">"经济与管理学院"</f>
        <v>经济与管理学院</v>
      </c>
    </row>
    <row r="10" ht="13.5" hidden="1" spans="1:5">
      <c r="A10" s="2" t="str">
        <f>"彭先球"</f>
        <v>彭先球</v>
      </c>
      <c r="B10" s="2" t="str">
        <f>"B20180201423"</f>
        <v>B20180201423</v>
      </c>
      <c r="C10" s="2" t="str">
        <f t="shared" si="1"/>
        <v>男</v>
      </c>
      <c r="D10" s="2" t="str">
        <f t="shared" ref="D10:D12" si="4">"36"</f>
        <v>36</v>
      </c>
      <c r="E10" s="2" t="str">
        <f>"机电工程学院"</f>
        <v>机电工程学院</v>
      </c>
    </row>
    <row r="11" ht="13.5" hidden="1" spans="1:5">
      <c r="A11" s="2" t="str">
        <f>"雷阎文"</f>
        <v>雷阎文</v>
      </c>
      <c r="B11" s="2" t="str">
        <f>"B20210903113"</f>
        <v>B20210903113</v>
      </c>
      <c r="C11" s="2" t="str">
        <f t="shared" si="2"/>
        <v>女</v>
      </c>
      <c r="D11" s="2" t="str">
        <f t="shared" si="4"/>
        <v>36</v>
      </c>
      <c r="E11" s="2" t="str">
        <f t="shared" si="3"/>
        <v>经济与管理学院</v>
      </c>
    </row>
    <row r="12" ht="13.5" hidden="1" spans="1:5">
      <c r="A12" s="2" t="str">
        <f>"张建"</f>
        <v>张建</v>
      </c>
      <c r="B12" s="2" t="str">
        <f>"B20200404130"</f>
        <v>B20200404130</v>
      </c>
      <c r="C12" s="2" t="str">
        <f t="shared" si="1"/>
        <v>男</v>
      </c>
      <c r="D12" s="2" t="str">
        <f t="shared" si="4"/>
        <v>36</v>
      </c>
      <c r="E12" s="2" t="str">
        <f>"电子信息与电气工程学院"</f>
        <v>电子信息与电气工程学院</v>
      </c>
    </row>
    <row r="13" ht="13.5" hidden="1" spans="1:5">
      <c r="A13" s="2" t="str">
        <f>"申佩"</f>
        <v>申佩</v>
      </c>
      <c r="B13" s="2" t="str">
        <f>"B20230601314"</f>
        <v>B20230601314</v>
      </c>
      <c r="C13" s="2" t="str">
        <f t="shared" si="2"/>
        <v>女</v>
      </c>
      <c r="D13" s="2" t="str">
        <f>"35"</f>
        <v>35</v>
      </c>
      <c r="E13" s="2" t="str">
        <f>"法学院"</f>
        <v>法学院</v>
      </c>
    </row>
    <row r="14" ht="13.5" hidden="1" spans="1:5">
      <c r="A14" s="2" t="str">
        <f>"宋嘉欣"</f>
        <v>宋嘉欣</v>
      </c>
      <c r="B14" s="2" t="str">
        <f>"B20200904240"</f>
        <v>B20200904240</v>
      </c>
      <c r="C14" s="2" t="str">
        <f t="shared" si="2"/>
        <v>女</v>
      </c>
      <c r="D14" s="2" t="str">
        <f t="shared" ref="D14:D16" si="5">"34"</f>
        <v>34</v>
      </c>
      <c r="E14" s="2" t="str">
        <f t="shared" si="3"/>
        <v>经济与管理学院</v>
      </c>
    </row>
    <row r="15" ht="13.5" hidden="1" spans="1:5">
      <c r="A15" s="2" t="str">
        <f>"胡小燕"</f>
        <v>胡小燕</v>
      </c>
      <c r="B15" s="2" t="str">
        <f>"B20230902104"</f>
        <v>B20230902104</v>
      </c>
      <c r="C15" s="2" t="str">
        <f t="shared" si="2"/>
        <v>女</v>
      </c>
      <c r="D15" s="2" t="str">
        <f t="shared" si="5"/>
        <v>34</v>
      </c>
      <c r="E15" s="2" t="str">
        <f t="shared" si="3"/>
        <v>经济与管理学院</v>
      </c>
    </row>
    <row r="16" ht="13.5" hidden="1" spans="1:5">
      <c r="A16" s="2" t="str">
        <f>"瞿佳其"</f>
        <v>瞿佳其</v>
      </c>
      <c r="B16" s="2" t="str">
        <f>"B20230101412"</f>
        <v>B20230101412</v>
      </c>
      <c r="C16" s="2" t="str">
        <f t="shared" si="2"/>
        <v>女</v>
      </c>
      <c r="D16" s="2" t="str">
        <f t="shared" si="5"/>
        <v>34</v>
      </c>
      <c r="E16" s="2" t="str">
        <f>"土木工程学院"</f>
        <v>土木工程学院</v>
      </c>
    </row>
    <row r="17" ht="13.5" hidden="1" spans="1:5">
      <c r="A17" s="2" t="str">
        <f>"吴雨婷"</f>
        <v>吴雨婷</v>
      </c>
      <c r="B17" s="2" t="str">
        <f>"B20230104208"</f>
        <v>B20230104208</v>
      </c>
      <c r="C17" s="2" t="str">
        <f t="shared" si="2"/>
        <v>女</v>
      </c>
      <c r="D17" s="2" t="str">
        <f>"33"</f>
        <v>33</v>
      </c>
      <c r="E17" s="2" t="str">
        <f>"土木工程学院"</f>
        <v>土木工程学院</v>
      </c>
    </row>
    <row r="18" ht="13.5" hidden="1" spans="1:5">
      <c r="A18" s="2" t="str">
        <f>"邓芊芊"</f>
        <v>邓芊芊</v>
      </c>
      <c r="B18" s="2" t="str">
        <f>"B20210905113"</f>
        <v>B20210905113</v>
      </c>
      <c r="C18" s="2" t="str">
        <f t="shared" si="2"/>
        <v>女</v>
      </c>
      <c r="D18" s="2" t="str">
        <f>"32"</f>
        <v>32</v>
      </c>
      <c r="E18" s="2" t="str">
        <f>"经济与管理学院"</f>
        <v>经济与管理学院</v>
      </c>
    </row>
    <row r="19" ht="13.5" hidden="1" spans="1:5">
      <c r="A19" s="2" t="str">
        <f>"李师贤"</f>
        <v>李师贤</v>
      </c>
      <c r="B19" s="2" t="str">
        <f>"B20200701136"</f>
        <v>B20200701136</v>
      </c>
      <c r="C19" s="2" t="str">
        <f t="shared" ref="C19:C23" si="6">"女"</f>
        <v>女</v>
      </c>
      <c r="D19" s="2" t="str">
        <f t="shared" ref="D19:D25" si="7">"31"</f>
        <v>31</v>
      </c>
      <c r="E19" s="2" t="str">
        <f t="shared" ref="E19:E24" si="8">"马栏山新媒体学院"</f>
        <v>马栏山新媒体学院</v>
      </c>
    </row>
    <row r="20" ht="13.5" hidden="1" spans="1:5">
      <c r="A20" s="2" t="str">
        <f>"王敏敏"</f>
        <v>王敏敏</v>
      </c>
      <c r="B20" s="2" t="str">
        <f>"B20210901246"</f>
        <v>B20210901246</v>
      </c>
      <c r="C20" s="2" t="str">
        <f t="shared" si="6"/>
        <v>女</v>
      </c>
      <c r="D20" s="2" t="str">
        <f t="shared" si="7"/>
        <v>31</v>
      </c>
      <c r="E20" s="2" t="str">
        <f>"经济与管理学院"</f>
        <v>经济与管理学院</v>
      </c>
    </row>
    <row r="21" ht="13.5" hidden="1" spans="1:5">
      <c r="A21" s="2" t="str">
        <f>"曾余"</f>
        <v>曾余</v>
      </c>
      <c r="B21" s="2" t="str">
        <f>"B20220904110"</f>
        <v>B20220904110</v>
      </c>
      <c r="C21" s="2" t="str">
        <f t="shared" si="6"/>
        <v>女</v>
      </c>
      <c r="D21" s="2" t="str">
        <f t="shared" si="7"/>
        <v>31</v>
      </c>
      <c r="E21" s="2" t="str">
        <f>"经济与管理学院"</f>
        <v>经济与管理学院</v>
      </c>
    </row>
    <row r="22" ht="13.5" hidden="1" spans="1:5">
      <c r="A22" s="2" t="str">
        <f>"蔡妍祯"</f>
        <v>蔡妍祯</v>
      </c>
      <c r="B22" s="2" t="str">
        <f>"B20180701103"</f>
        <v>B20180701103</v>
      </c>
      <c r="C22" s="2" t="str">
        <f t="shared" si="6"/>
        <v>女</v>
      </c>
      <c r="D22" s="2" t="str">
        <f t="shared" si="7"/>
        <v>31</v>
      </c>
      <c r="E22" s="2" t="str">
        <f t="shared" si="8"/>
        <v>马栏山新媒体学院</v>
      </c>
    </row>
    <row r="23" ht="13.5" hidden="1" spans="1:5">
      <c r="A23" s="2" t="str">
        <f>"汤丹婷"</f>
        <v>汤丹婷</v>
      </c>
      <c r="B23" s="2" t="str">
        <f>"B20220801421"</f>
        <v>B20220801421</v>
      </c>
      <c r="C23" s="2" t="str">
        <f t="shared" si="6"/>
        <v>女</v>
      </c>
      <c r="D23" s="2" t="str">
        <f t="shared" si="7"/>
        <v>31</v>
      </c>
      <c r="E23" s="2" t="str">
        <f>"外国语学院"</f>
        <v>外国语学院</v>
      </c>
    </row>
    <row r="24" ht="13.5" hidden="1" spans="1:5">
      <c r="A24" s="2" t="str">
        <f>"龙沛禺"</f>
        <v>龙沛禺</v>
      </c>
      <c r="B24" s="2" t="str">
        <f>"B20200705109"</f>
        <v>B20200705109</v>
      </c>
      <c r="C24" s="2" t="str">
        <f t="shared" ref="C24:C26" si="9">"男"</f>
        <v>男</v>
      </c>
      <c r="D24" s="2" t="str">
        <f t="shared" si="7"/>
        <v>31</v>
      </c>
      <c r="E24" s="2" t="str">
        <f t="shared" si="8"/>
        <v>马栏山新媒体学院</v>
      </c>
    </row>
    <row r="25" ht="13.5" hidden="1" spans="1:5">
      <c r="A25" s="2" t="str">
        <f>"张钟晨"</f>
        <v>张钟晨</v>
      </c>
      <c r="B25" s="2" t="str">
        <f>"B20180202218"</f>
        <v>B20180202218</v>
      </c>
      <c r="C25" s="2" t="str">
        <f t="shared" si="9"/>
        <v>男</v>
      </c>
      <c r="D25" s="2" t="str">
        <f t="shared" si="7"/>
        <v>31</v>
      </c>
      <c r="E25" s="2" t="str">
        <f>"机电工程学院"</f>
        <v>机电工程学院</v>
      </c>
    </row>
    <row r="26" ht="13.5" hidden="1" spans="1:5">
      <c r="A26" s="2" t="str">
        <f>"张赵龙"</f>
        <v>张赵龙</v>
      </c>
      <c r="B26" s="2" t="str">
        <f>"B20180704316"</f>
        <v>B20180704316</v>
      </c>
      <c r="C26" s="2" t="str">
        <f t="shared" si="9"/>
        <v>男</v>
      </c>
      <c r="D26" s="2" t="str">
        <f>"30"</f>
        <v>30</v>
      </c>
      <c r="E26" s="2" t="str">
        <f>"马栏山新媒体学院"</f>
        <v>马栏山新媒体学院</v>
      </c>
    </row>
    <row r="27" ht="13.5" hidden="1" spans="1:5">
      <c r="A27" s="2" t="str">
        <f>"雷翊辰"</f>
        <v>雷翊辰</v>
      </c>
      <c r="B27" s="2" t="str">
        <f>"B20190201118"</f>
        <v>B20190201118</v>
      </c>
      <c r="C27" s="2" t="str">
        <f>"女"</f>
        <v>女</v>
      </c>
      <c r="D27" s="2" t="str">
        <f>"30"</f>
        <v>30</v>
      </c>
      <c r="E27" s="2" t="str">
        <f>"电子信息与电气工程学院"</f>
        <v>电子信息与电气工程学院</v>
      </c>
    </row>
    <row r="28" ht="13.5" hidden="1" spans="1:5">
      <c r="A28" s="2" t="str">
        <f>"王璧君"</f>
        <v>王璧君</v>
      </c>
      <c r="B28" s="2" t="str">
        <f>"B20201004105"</f>
        <v>B20201004105</v>
      </c>
      <c r="C28" s="2" t="str">
        <f>"女"</f>
        <v>女</v>
      </c>
      <c r="D28" s="2" t="str">
        <f>"30"</f>
        <v>30</v>
      </c>
      <c r="E28" s="2" t="str">
        <f>"艺术设计学院"</f>
        <v>艺术设计学院</v>
      </c>
    </row>
    <row r="29" ht="13.5" hidden="1" spans="1:5">
      <c r="A29" s="2" t="str">
        <f>"谢铭"</f>
        <v>谢铭</v>
      </c>
      <c r="B29" s="2" t="str">
        <f>"B20190201319"</f>
        <v>B20190201319</v>
      </c>
      <c r="C29" s="2" t="str">
        <f>"男"</f>
        <v>男</v>
      </c>
      <c r="D29" s="2" t="str">
        <f>"30"</f>
        <v>30</v>
      </c>
      <c r="E29" s="2" t="str">
        <f>"机电工程学院"</f>
        <v>机电工程学院</v>
      </c>
    </row>
    <row r="30" ht="13.5" hidden="1" spans="1:5">
      <c r="A30" s="2" t="str">
        <f>"肖怡婷"</f>
        <v>肖怡婷</v>
      </c>
      <c r="B30" s="2" t="str">
        <f>"B20210803117"</f>
        <v>B20210803117</v>
      </c>
      <c r="C30" s="2" t="str">
        <f>"女"</f>
        <v>女</v>
      </c>
      <c r="D30" s="2" t="str">
        <f>"30"</f>
        <v>30</v>
      </c>
      <c r="E30" s="2" t="str">
        <f>"外国语学院"</f>
        <v>外国语学院</v>
      </c>
    </row>
    <row r="31" ht="13.5" hidden="1" spans="1:5">
      <c r="A31" s="2" t="str">
        <f>"廖新宇"</f>
        <v>廖新宇</v>
      </c>
      <c r="B31" s="2" t="str">
        <f>"B20180704412"</f>
        <v>B20180704412</v>
      </c>
      <c r="C31" s="2" t="str">
        <f>"男"</f>
        <v>男</v>
      </c>
      <c r="D31" s="2" t="str">
        <f t="shared" ref="D31:D38" si="10">"29"</f>
        <v>29</v>
      </c>
      <c r="E31" s="2" t="str">
        <f>"马栏山新媒体学院"</f>
        <v>马栏山新媒体学院</v>
      </c>
    </row>
    <row r="32" ht="13.5" hidden="1" spans="1:5">
      <c r="A32" s="2" t="str">
        <f>"蒋雨萱"</f>
        <v>蒋雨萱</v>
      </c>
      <c r="B32" s="2" t="str">
        <f>"B20200801627"</f>
        <v>B20200801627</v>
      </c>
      <c r="C32" s="2" t="str">
        <f>"女"</f>
        <v>女</v>
      </c>
      <c r="D32" s="2" t="str">
        <f t="shared" si="10"/>
        <v>29</v>
      </c>
      <c r="E32" s="2" t="str">
        <f>"外国语学院"</f>
        <v>外国语学院</v>
      </c>
    </row>
    <row r="33" ht="13.5" hidden="1" spans="1:5">
      <c r="A33" s="2" t="str">
        <f>"吴华扬"</f>
        <v>吴华扬</v>
      </c>
      <c r="B33" s="2" t="str">
        <f>"B20220501106"</f>
        <v>B20220501106</v>
      </c>
      <c r="C33" s="2" t="str">
        <f>"男"</f>
        <v>男</v>
      </c>
      <c r="D33" s="2" t="str">
        <f t="shared" si="10"/>
        <v>29</v>
      </c>
      <c r="E33" s="2" t="str">
        <f>"生物与化学工程学院"</f>
        <v>生物与化学工程学院</v>
      </c>
    </row>
    <row r="34" ht="13.5" hidden="1" spans="1:5">
      <c r="A34" s="2" t="str">
        <f>"何锦涛"</f>
        <v>何锦涛</v>
      </c>
      <c r="B34" s="2" t="str">
        <f>"B20200505101"</f>
        <v>B20200505101</v>
      </c>
      <c r="C34" s="2" t="str">
        <f>"男"</f>
        <v>男</v>
      </c>
      <c r="D34" s="2" t="str">
        <f t="shared" si="10"/>
        <v>29</v>
      </c>
      <c r="E34" s="2" t="str">
        <f>"生物与环境工程学院"</f>
        <v>生物与环境工程学院</v>
      </c>
    </row>
    <row r="35" ht="13.5" hidden="1" spans="1:5">
      <c r="A35" s="2" t="str">
        <f>"王婕"</f>
        <v>王婕</v>
      </c>
      <c r="B35" s="2" t="str">
        <f>"B20200703307"</f>
        <v>B20200703307</v>
      </c>
      <c r="C35" s="2" t="str">
        <f>"女"</f>
        <v>女</v>
      </c>
      <c r="D35" s="2" t="str">
        <f t="shared" si="10"/>
        <v>29</v>
      </c>
      <c r="E35" s="2" t="str">
        <f>"马栏山新媒体学院"</f>
        <v>马栏山新媒体学院</v>
      </c>
    </row>
    <row r="36" ht="13.5" hidden="1" spans="1:5">
      <c r="A36" s="2" t="str">
        <f>"徐义豪"</f>
        <v>徐义豪</v>
      </c>
      <c r="B36" s="2" t="str">
        <f>"B20211002418"</f>
        <v>B20211002418</v>
      </c>
      <c r="C36" s="2" t="str">
        <f>"男"</f>
        <v>男</v>
      </c>
      <c r="D36" s="2" t="str">
        <f t="shared" si="10"/>
        <v>29</v>
      </c>
      <c r="E36" s="2" t="str">
        <f>"艺术设计学院"</f>
        <v>艺术设计学院</v>
      </c>
    </row>
    <row r="37" ht="13.5" hidden="1" spans="1:5">
      <c r="A37" s="2" t="str">
        <f>"张芳萍"</f>
        <v>张芳萍</v>
      </c>
      <c r="B37" s="2" t="str">
        <f>"B20190501122"</f>
        <v>B20190501122</v>
      </c>
      <c r="C37" s="2" t="str">
        <f t="shared" ref="C37:C44" si="11">"女"</f>
        <v>女</v>
      </c>
      <c r="D37" s="2" t="str">
        <f t="shared" si="10"/>
        <v>29</v>
      </c>
      <c r="E37" s="2" t="str">
        <f>"生物与化学工程学院"</f>
        <v>生物与化学工程学院</v>
      </c>
    </row>
    <row r="38" ht="13.5" hidden="1" spans="1:5">
      <c r="A38" s="2" t="str">
        <f>"何锦豪"</f>
        <v>何锦豪</v>
      </c>
      <c r="B38" s="2" t="str">
        <f>"B20201003110"</f>
        <v>B20201003110</v>
      </c>
      <c r="C38" s="2" t="str">
        <f t="shared" ref="C38:C40" si="12">"男"</f>
        <v>男</v>
      </c>
      <c r="D38" s="2" t="str">
        <f t="shared" si="10"/>
        <v>29</v>
      </c>
      <c r="E38" s="2" t="str">
        <f>"艺术设计学院"</f>
        <v>艺术设计学院</v>
      </c>
    </row>
    <row r="39" ht="13.5" hidden="1" spans="1:5">
      <c r="A39" s="2" t="str">
        <f>"刘一鸣"</f>
        <v>刘一鸣</v>
      </c>
      <c r="B39" s="2" t="str">
        <f>"B20200101401"</f>
        <v>B20200101401</v>
      </c>
      <c r="C39" s="2" t="str">
        <f t="shared" si="12"/>
        <v>男</v>
      </c>
      <c r="D39" s="2" t="str">
        <f t="shared" ref="D39:D44" si="13">"28"</f>
        <v>28</v>
      </c>
      <c r="E39" s="2" t="str">
        <f>"土木工程学院"</f>
        <v>土木工程学院</v>
      </c>
    </row>
    <row r="40" ht="13.5" hidden="1" spans="1:5">
      <c r="A40" s="2" t="str">
        <f>"郭伟"</f>
        <v>郭伟</v>
      </c>
      <c r="B40" s="2" t="str">
        <f>"B20220502132"</f>
        <v>B20220502132</v>
      </c>
      <c r="C40" s="2" t="str">
        <f t="shared" si="12"/>
        <v>男</v>
      </c>
      <c r="D40" s="2" t="str">
        <f t="shared" si="13"/>
        <v>28</v>
      </c>
      <c r="E40" s="2" t="str">
        <f>"生物与化学工程学院"</f>
        <v>生物与化学工程学院</v>
      </c>
    </row>
    <row r="41" ht="13.5" hidden="1" spans="1:5">
      <c r="A41" s="2" t="str">
        <f>"熊文婷"</f>
        <v>熊文婷</v>
      </c>
      <c r="B41" s="2" t="str">
        <f>"B20210704214"</f>
        <v>B20210704214</v>
      </c>
      <c r="C41" s="2" t="str">
        <f t="shared" si="11"/>
        <v>女</v>
      </c>
      <c r="D41" s="2" t="str">
        <f t="shared" si="13"/>
        <v>28</v>
      </c>
      <c r="E41" s="2" t="str">
        <f>"马栏山新媒体学院"</f>
        <v>马栏山新媒体学院</v>
      </c>
    </row>
    <row r="42" ht="13.5" hidden="1" spans="1:5">
      <c r="A42" s="2" t="str">
        <f>"金雨晴"</f>
        <v>金雨晴</v>
      </c>
      <c r="B42" s="2" t="str">
        <f>"B20230905130"</f>
        <v>B20230905130</v>
      </c>
      <c r="C42" s="2" t="str">
        <f t="shared" si="11"/>
        <v>女</v>
      </c>
      <c r="D42" s="2" t="str">
        <f t="shared" si="13"/>
        <v>28</v>
      </c>
      <c r="E42" s="2" t="str">
        <f>"经济与管理学院"</f>
        <v>经济与管理学院</v>
      </c>
    </row>
    <row r="43" ht="13.5" hidden="1" spans="1:5">
      <c r="A43" s="2" t="str">
        <f>"徐铭璐"</f>
        <v>徐铭璐</v>
      </c>
      <c r="B43" s="2" t="str">
        <f>"B20201002313"</f>
        <v>B20201002313</v>
      </c>
      <c r="C43" s="2" t="str">
        <f t="shared" si="11"/>
        <v>女</v>
      </c>
      <c r="D43" s="2" t="str">
        <f t="shared" si="13"/>
        <v>28</v>
      </c>
      <c r="E43" s="2" t="str">
        <f t="shared" ref="E43:E45" si="14">"艺术设计学院"</f>
        <v>艺术设计学院</v>
      </c>
    </row>
    <row r="44" ht="13.5" hidden="1" spans="1:5">
      <c r="A44" s="2" t="str">
        <f>"李雪"</f>
        <v>李雪</v>
      </c>
      <c r="B44" s="2" t="str">
        <f>"B20201003107"</f>
        <v>B20201003107</v>
      </c>
      <c r="C44" s="2" t="str">
        <f t="shared" si="11"/>
        <v>女</v>
      </c>
      <c r="D44" s="2" t="str">
        <f t="shared" si="13"/>
        <v>28</v>
      </c>
      <c r="E44" s="2" t="str">
        <f t="shared" si="14"/>
        <v>艺术设计学院</v>
      </c>
    </row>
    <row r="45" ht="13.5" hidden="1" spans="1:5">
      <c r="A45" s="2" t="str">
        <f>"靳佳伟"</f>
        <v>靳佳伟</v>
      </c>
      <c r="B45" s="2" t="str">
        <f>"B20201004204"</f>
        <v>B20201004204</v>
      </c>
      <c r="C45" s="2" t="str">
        <f>"男"</f>
        <v>男</v>
      </c>
      <c r="D45" s="2" t="str">
        <f t="shared" ref="D45:D51" si="15">"27"</f>
        <v>27</v>
      </c>
      <c r="E45" s="2" t="str">
        <f t="shared" si="14"/>
        <v>艺术设计学院</v>
      </c>
    </row>
    <row r="46" ht="13.5" hidden="1" spans="1:5">
      <c r="A46" s="2" t="str">
        <f>"卢勇五"</f>
        <v>卢勇五</v>
      </c>
      <c r="B46" s="2" t="str">
        <f>"B20200701137"</f>
        <v>B20200701137</v>
      </c>
      <c r="C46" s="2" t="str">
        <f>"男"</f>
        <v>男</v>
      </c>
      <c r="D46" s="2" t="str">
        <f t="shared" si="15"/>
        <v>27</v>
      </c>
      <c r="E46" s="2" t="str">
        <f>"马栏山新媒体学院"</f>
        <v>马栏山新媒体学院</v>
      </c>
    </row>
    <row r="47" ht="13.5" hidden="1" spans="1:5">
      <c r="A47" s="2" t="str">
        <f>"刘杰"</f>
        <v>刘杰</v>
      </c>
      <c r="B47" s="2" t="str">
        <f>"B20200402202"</f>
        <v>B20200402202</v>
      </c>
      <c r="C47" s="2" t="str">
        <f>"男"</f>
        <v>男</v>
      </c>
      <c r="D47" s="2" t="str">
        <f t="shared" si="15"/>
        <v>27</v>
      </c>
      <c r="E47" s="2" t="str">
        <f>"电子信息与电气工程学院"</f>
        <v>电子信息与电气工程学院</v>
      </c>
    </row>
    <row r="48" ht="13.5" hidden="1" spans="1:5">
      <c r="A48" s="2" t="str">
        <f>"彭胡临鹏"</f>
        <v>彭胡临鹏</v>
      </c>
      <c r="B48" s="2" t="str">
        <f>"B20200401320"</f>
        <v>B20200401320</v>
      </c>
      <c r="C48" s="2" t="str">
        <f>"男"</f>
        <v>男</v>
      </c>
      <c r="D48" s="2" t="str">
        <f t="shared" si="15"/>
        <v>27</v>
      </c>
      <c r="E48" s="2" t="str">
        <f>"电子信息与电气工程学院"</f>
        <v>电子信息与电气工程学院</v>
      </c>
    </row>
    <row r="49" ht="13.5" hidden="1" spans="1:5">
      <c r="A49" s="2" t="str">
        <f>"高鸣沙"</f>
        <v>高鸣沙</v>
      </c>
      <c r="B49" s="2" t="str">
        <f>"B20190201401"</f>
        <v>B20190201401</v>
      </c>
      <c r="C49" s="2" t="str">
        <f>"男"</f>
        <v>男</v>
      </c>
      <c r="D49" s="2" t="str">
        <f t="shared" si="15"/>
        <v>27</v>
      </c>
      <c r="E49" s="2" t="str">
        <f>"机电工程学院"</f>
        <v>机电工程学院</v>
      </c>
    </row>
    <row r="50" ht="13.5" hidden="1" spans="1:5">
      <c r="A50" s="2" t="str">
        <f>"阳甘霖"</f>
        <v>阳甘霖</v>
      </c>
      <c r="B50" s="2" t="str">
        <f>"B20220701219"</f>
        <v>B20220701219</v>
      </c>
      <c r="C50" s="2" t="str">
        <f>"女"</f>
        <v>女</v>
      </c>
      <c r="D50" s="2" t="str">
        <f t="shared" si="15"/>
        <v>27</v>
      </c>
      <c r="E50" s="2" t="str">
        <f>"马栏山新媒体学院"</f>
        <v>马栏山新媒体学院</v>
      </c>
    </row>
    <row r="51" ht="13.5" hidden="1" spans="1:5">
      <c r="A51" s="2" t="str">
        <f>"程佳辉"</f>
        <v>程佳辉</v>
      </c>
      <c r="B51" s="2" t="str">
        <f>"B20180703212"</f>
        <v>B20180703212</v>
      </c>
      <c r="C51" s="2" t="str">
        <f>"男"</f>
        <v>男</v>
      </c>
      <c r="D51" s="2" t="str">
        <f t="shared" si="15"/>
        <v>27</v>
      </c>
      <c r="E51" s="2" t="str">
        <f>"马栏山新媒体学院"</f>
        <v>马栏山新媒体学院</v>
      </c>
    </row>
    <row r="52" ht="13.5" hidden="1" spans="1:5">
      <c r="A52" s="2" t="str">
        <f>"许伊诺"</f>
        <v>许伊诺</v>
      </c>
      <c r="B52" s="2" t="str">
        <f>"B20200801524"</f>
        <v>B20200801524</v>
      </c>
      <c r="C52" s="2" t="str">
        <f>"女"</f>
        <v>女</v>
      </c>
      <c r="D52" s="2" t="str">
        <f>"26"</f>
        <v>26</v>
      </c>
      <c r="E52" s="2" t="str">
        <f>"外国语学院"</f>
        <v>外国语学院</v>
      </c>
    </row>
    <row r="53" ht="13.5" hidden="1" spans="1:5">
      <c r="A53" s="2" t="str">
        <f>"罗邵玮"</f>
        <v>罗邵玮</v>
      </c>
      <c r="B53" s="2" t="str">
        <f>"B20200202402"</f>
        <v>B20200202402</v>
      </c>
      <c r="C53" s="2" t="str">
        <f>"男"</f>
        <v>男</v>
      </c>
      <c r="D53" s="2" t="str">
        <f>"26"</f>
        <v>26</v>
      </c>
      <c r="E53" s="2" t="str">
        <f>"电子信息与电气工程学院"</f>
        <v>电子信息与电气工程学院</v>
      </c>
    </row>
    <row r="54" ht="13.5" hidden="1" spans="1:5">
      <c r="A54" s="2" t="str">
        <f>"金海涛"</f>
        <v>金海涛</v>
      </c>
      <c r="B54" s="2" t="str">
        <f>"B20201004109"</f>
        <v>B20201004109</v>
      </c>
      <c r="C54" s="2" t="str">
        <f>"男"</f>
        <v>男</v>
      </c>
      <c r="D54" s="2" t="str">
        <f>"26"</f>
        <v>26</v>
      </c>
      <c r="E54" s="2" t="str">
        <f>"艺术设计学院"</f>
        <v>艺术设计学院</v>
      </c>
    </row>
    <row r="55" ht="13.5" hidden="1" spans="1:5">
      <c r="A55" s="2" t="str">
        <f>"欧阳文庆"</f>
        <v>欧阳文庆</v>
      </c>
      <c r="B55" s="2" t="str">
        <f>"B20200801607"</f>
        <v>B20200801607</v>
      </c>
      <c r="C55" s="2" t="str">
        <f>"男"</f>
        <v>男</v>
      </c>
      <c r="D55" s="2" t="str">
        <f t="shared" ref="D55:D67" si="16">"26"</f>
        <v>26</v>
      </c>
      <c r="E55" s="2" t="str">
        <f>"外国语学院"</f>
        <v>外国语学院</v>
      </c>
    </row>
    <row r="56" ht="13.5" hidden="1" spans="1:5">
      <c r="A56" s="2" t="str">
        <f>"邱纤"</f>
        <v>邱纤</v>
      </c>
      <c r="B56" s="2" t="str">
        <f>"B20200904108"</f>
        <v>B20200904108</v>
      </c>
      <c r="C56" s="2" t="str">
        <f t="shared" ref="C56:C58" si="17">"女"</f>
        <v>女</v>
      </c>
      <c r="D56" s="2" t="str">
        <f t="shared" si="16"/>
        <v>26</v>
      </c>
      <c r="E56" s="2" t="str">
        <f>"经济与管理学院"</f>
        <v>经济与管理学院</v>
      </c>
    </row>
    <row r="57" ht="13.5" hidden="1" spans="1:5">
      <c r="A57" s="2" t="str">
        <f>"刘航廷"</f>
        <v>刘航廷</v>
      </c>
      <c r="B57" s="2" t="str">
        <f>"B20201001413"</f>
        <v>B20201001413</v>
      </c>
      <c r="C57" s="2" t="str">
        <f t="shared" si="17"/>
        <v>女</v>
      </c>
      <c r="D57" s="2" t="str">
        <f t="shared" si="16"/>
        <v>26</v>
      </c>
      <c r="E57" s="2" t="str">
        <f>"艺术设计学院"</f>
        <v>艺术设计学院</v>
      </c>
    </row>
    <row r="58" ht="13.5" hidden="1" spans="1:5">
      <c r="A58" s="2" t="str">
        <f>"章一芃"</f>
        <v>章一芃</v>
      </c>
      <c r="B58" s="2" t="str">
        <f>"B20201004214"</f>
        <v>B20201004214</v>
      </c>
      <c r="C58" s="2" t="str">
        <f t="shared" si="17"/>
        <v>女</v>
      </c>
      <c r="D58" s="2" t="str">
        <f t="shared" si="16"/>
        <v>26</v>
      </c>
      <c r="E58" s="2" t="str">
        <f>"艺术设计学院"</f>
        <v>艺术设计学院</v>
      </c>
    </row>
    <row r="59" ht="13.5" hidden="1" spans="1:5">
      <c r="A59" s="2" t="str">
        <f>"潘中兴"</f>
        <v>潘中兴</v>
      </c>
      <c r="B59" s="2" t="str">
        <f>"B20200501201"</f>
        <v>B20200501201</v>
      </c>
      <c r="C59" s="2" t="str">
        <f>"男"</f>
        <v>男</v>
      </c>
      <c r="D59" s="2" t="str">
        <f t="shared" si="16"/>
        <v>26</v>
      </c>
      <c r="E59" s="2" t="str">
        <f>"生物与环境工程学院"</f>
        <v>生物与环境工程学院</v>
      </c>
    </row>
    <row r="60" ht="13.5" hidden="1" spans="1:5">
      <c r="A60" s="2" t="str">
        <f>"李龙"</f>
        <v>李龙</v>
      </c>
      <c r="B60" s="2" t="str">
        <f>"B20200703113"</f>
        <v>B20200703113</v>
      </c>
      <c r="C60" s="2" t="str">
        <f>"男"</f>
        <v>男</v>
      </c>
      <c r="D60" s="2" t="str">
        <f t="shared" si="16"/>
        <v>26</v>
      </c>
      <c r="E60" s="2" t="str">
        <f>"马栏山新媒体学院"</f>
        <v>马栏山新媒体学院</v>
      </c>
    </row>
    <row r="61" ht="13.5" hidden="1" spans="1:5">
      <c r="A61" s="2" t="str">
        <f>"张晗"</f>
        <v>张晗</v>
      </c>
      <c r="B61" s="2" t="str">
        <f>"B20210201428"</f>
        <v>B20210201428</v>
      </c>
      <c r="C61" s="2" t="str">
        <f>"女"</f>
        <v>女</v>
      </c>
      <c r="D61" s="2" t="str">
        <f t="shared" si="16"/>
        <v>26</v>
      </c>
      <c r="E61" s="2" t="str">
        <f>"机电工程学院"</f>
        <v>机电工程学院</v>
      </c>
    </row>
    <row r="62" ht="13.5" hidden="1" spans="1:5">
      <c r="A62" s="2" t="str">
        <f>"丁佳玲"</f>
        <v>丁佳玲</v>
      </c>
      <c r="B62" s="2" t="str">
        <f>"B20200901328"</f>
        <v>B20200901328</v>
      </c>
      <c r="C62" s="2" t="str">
        <f>"女"</f>
        <v>女</v>
      </c>
      <c r="D62" s="2" t="str">
        <f t="shared" si="16"/>
        <v>26</v>
      </c>
      <c r="E62" s="2" t="str">
        <f>"马栏山新媒体学院"</f>
        <v>马栏山新媒体学院</v>
      </c>
    </row>
    <row r="63" ht="13.5" hidden="1" spans="1:5">
      <c r="A63" s="2" t="str">
        <f>"刘曦"</f>
        <v>刘曦</v>
      </c>
      <c r="B63" s="2" t="str">
        <f>"B20210601122"</f>
        <v>B20210601122</v>
      </c>
      <c r="C63" s="2" t="str">
        <f>"男"</f>
        <v>男</v>
      </c>
      <c r="D63" s="2" t="str">
        <f t="shared" si="16"/>
        <v>26</v>
      </c>
      <c r="E63" s="2" t="str">
        <f>"法学院"</f>
        <v>法学院</v>
      </c>
    </row>
    <row r="64" ht="13.5" hidden="1" spans="1:5">
      <c r="A64" s="2" t="str">
        <f>"周豪"</f>
        <v>周豪</v>
      </c>
      <c r="B64" s="2" t="str">
        <f>"B20200101632"</f>
        <v>B20200101632</v>
      </c>
      <c r="C64" s="2" t="str">
        <f t="shared" ref="C64:C68" si="18">"男"</f>
        <v>男</v>
      </c>
      <c r="D64" s="2" t="str">
        <f t="shared" si="16"/>
        <v>26</v>
      </c>
      <c r="E64" s="2" t="str">
        <f>"土木工程学院"</f>
        <v>土木工程学院</v>
      </c>
    </row>
    <row r="65" ht="13.5" hidden="1" spans="1:5">
      <c r="A65" s="2" t="str">
        <f>"赵敏琛"</f>
        <v>赵敏琛</v>
      </c>
      <c r="B65" s="2" t="str">
        <f>"B20210901220"</f>
        <v>B20210901220</v>
      </c>
      <c r="C65" s="2" t="str">
        <f t="shared" ref="C65:C69" si="19">"女"</f>
        <v>女</v>
      </c>
      <c r="D65" s="2" t="str">
        <f t="shared" si="16"/>
        <v>26</v>
      </c>
      <c r="E65" s="2" t="str">
        <f t="shared" ref="E65:E69" si="20">"经济与管理学院"</f>
        <v>经济与管理学院</v>
      </c>
    </row>
    <row r="66" ht="13.5" hidden="1" spans="1:5">
      <c r="A66" s="2" t="str">
        <f>"高源"</f>
        <v>高源</v>
      </c>
      <c r="B66" s="2" t="str">
        <f>"B20230701333"</f>
        <v>B20230701333</v>
      </c>
      <c r="C66" s="2" t="str">
        <f t="shared" si="18"/>
        <v>男</v>
      </c>
      <c r="D66" s="2" t="str">
        <f t="shared" si="16"/>
        <v>26</v>
      </c>
      <c r="E66" s="2" t="str">
        <f>"马栏山新媒体学院"</f>
        <v>马栏山新媒体学院</v>
      </c>
    </row>
    <row r="67" ht="13.5" hidden="1" spans="1:5">
      <c r="A67" s="2" t="str">
        <f>"何美"</f>
        <v>何美</v>
      </c>
      <c r="B67" s="2" t="str">
        <f>"B20230904206"</f>
        <v>B20230904206</v>
      </c>
      <c r="C67" s="2" t="str">
        <f t="shared" si="19"/>
        <v>女</v>
      </c>
      <c r="D67" s="2" t="str">
        <f t="shared" si="16"/>
        <v>26</v>
      </c>
      <c r="E67" s="2" t="str">
        <f t="shared" si="20"/>
        <v>经济与管理学院</v>
      </c>
    </row>
    <row r="68" ht="13.5" hidden="1" spans="1:5">
      <c r="A68" s="2" t="str">
        <f>"刘俊杰"</f>
        <v>刘俊杰</v>
      </c>
      <c r="B68" s="2" t="str">
        <f>"B20190204122"</f>
        <v>B20190204122</v>
      </c>
      <c r="C68" s="2" t="str">
        <f t="shared" si="18"/>
        <v>男</v>
      </c>
      <c r="D68" s="2" t="str">
        <f t="shared" ref="D68:D77" si="21">"25"</f>
        <v>25</v>
      </c>
      <c r="E68" s="2" t="str">
        <f>"机电工程学院"</f>
        <v>机电工程学院</v>
      </c>
    </row>
    <row r="69" ht="13.5" hidden="1" spans="1:5">
      <c r="A69" s="2" t="str">
        <f>"黄新宇"</f>
        <v>黄新宇</v>
      </c>
      <c r="B69" s="2" t="str">
        <f>"B20200902118"</f>
        <v>B20200902118</v>
      </c>
      <c r="C69" s="2" t="str">
        <f t="shared" si="19"/>
        <v>女</v>
      </c>
      <c r="D69" s="2" t="str">
        <f t="shared" si="21"/>
        <v>25</v>
      </c>
      <c r="E69" s="2" t="str">
        <f t="shared" si="20"/>
        <v>经济与管理学院</v>
      </c>
    </row>
    <row r="70" ht="13.5" hidden="1" spans="1:5">
      <c r="A70" s="2" t="str">
        <f>"王子超"</f>
        <v>王子超</v>
      </c>
      <c r="B70" s="2" t="str">
        <f>"B20230401317"</f>
        <v>B20230401317</v>
      </c>
      <c r="C70" s="2" t="str">
        <f>"男"</f>
        <v>男</v>
      </c>
      <c r="D70" s="2" t="str">
        <f t="shared" si="21"/>
        <v>25</v>
      </c>
      <c r="E70" s="2" t="str">
        <f>"电子信息与电气工程学院"</f>
        <v>电子信息与电气工程学院</v>
      </c>
    </row>
    <row r="71" ht="13.5" hidden="1" spans="1:5">
      <c r="A71" s="2" t="str">
        <f>"王学文"</f>
        <v>王学文</v>
      </c>
      <c r="B71" s="2" t="str">
        <f>"B20200101609"</f>
        <v>B20200101609</v>
      </c>
      <c r="C71" s="2" t="str">
        <f>"男"</f>
        <v>男</v>
      </c>
      <c r="D71" s="2" t="str">
        <f t="shared" si="21"/>
        <v>25</v>
      </c>
      <c r="E71" s="2" t="str">
        <f>"土木工程学院"</f>
        <v>土木工程学院</v>
      </c>
    </row>
    <row r="72" ht="13.5" hidden="1" spans="1:5">
      <c r="A72" s="2" t="str">
        <f>"周诗佳"</f>
        <v>周诗佳</v>
      </c>
      <c r="B72" s="2" t="str">
        <f>"B20230601315"</f>
        <v>B20230601315</v>
      </c>
      <c r="C72" s="2" t="str">
        <f>"女"</f>
        <v>女</v>
      </c>
      <c r="D72" s="2" t="str">
        <f t="shared" si="21"/>
        <v>25</v>
      </c>
      <c r="E72" s="2" t="str">
        <f>"法学院"</f>
        <v>法学院</v>
      </c>
    </row>
    <row r="73" ht="13.5" hidden="1" spans="1:5">
      <c r="A73" s="2" t="str">
        <f>"吴佳洁"</f>
        <v>吴佳洁</v>
      </c>
      <c r="B73" s="2" t="str">
        <f>"B20200505107"</f>
        <v>B20200505107</v>
      </c>
      <c r="C73" s="2" t="str">
        <f>"女"</f>
        <v>女</v>
      </c>
      <c r="D73" s="2" t="str">
        <f t="shared" si="21"/>
        <v>25</v>
      </c>
      <c r="E73" s="2" t="str">
        <f>"生物与环境工程学院"</f>
        <v>生物与环境工程学院</v>
      </c>
    </row>
    <row r="74" ht="13.5" hidden="1" spans="1:5">
      <c r="A74" s="2" t="str">
        <f>"李畅"</f>
        <v>李畅</v>
      </c>
      <c r="B74" s="2" t="str">
        <f>"B20230402331"</f>
        <v>B20230402331</v>
      </c>
      <c r="C74" s="2" t="str">
        <f>"女"</f>
        <v>女</v>
      </c>
      <c r="D74" s="2" t="str">
        <f t="shared" si="21"/>
        <v>25</v>
      </c>
      <c r="E74" s="2" t="str">
        <f>"电子信息与电气工程学院"</f>
        <v>电子信息与电气工程学院</v>
      </c>
    </row>
    <row r="75" ht="13.5" hidden="1" spans="1:5">
      <c r="A75" s="2" t="str">
        <f>"张海俊"</f>
        <v>张海俊</v>
      </c>
      <c r="B75" s="2" t="str">
        <f>"B20200101122"</f>
        <v>B20200101122</v>
      </c>
      <c r="C75" s="2" t="str">
        <f>"男"</f>
        <v>男</v>
      </c>
      <c r="D75" s="2" t="str">
        <f t="shared" si="21"/>
        <v>25</v>
      </c>
      <c r="E75" s="2" t="str">
        <f>"土木工程学院"</f>
        <v>土木工程学院</v>
      </c>
    </row>
    <row r="76" ht="13.5" hidden="1" spans="1:5">
      <c r="A76" s="2" t="str">
        <f>"周悦"</f>
        <v>周悦</v>
      </c>
      <c r="B76" s="2" t="str">
        <f>"B20200201311"</f>
        <v>B20200201311</v>
      </c>
      <c r="C76" s="2" t="str">
        <f>"男"</f>
        <v>男</v>
      </c>
      <c r="D76" s="2" t="str">
        <f t="shared" si="21"/>
        <v>25</v>
      </c>
      <c r="E76" s="2" t="str">
        <f>"机电工程学院"</f>
        <v>机电工程学院</v>
      </c>
    </row>
    <row r="77" ht="13.5" hidden="1" spans="1:5">
      <c r="A77" s="2" t="str">
        <f>"洪力彬"</f>
        <v>洪力彬</v>
      </c>
      <c r="B77" s="2" t="str">
        <f>"B20200103211"</f>
        <v>B20200103211</v>
      </c>
      <c r="C77" s="2" t="str">
        <f>"男"</f>
        <v>男</v>
      </c>
      <c r="D77" s="2" t="str">
        <f t="shared" si="21"/>
        <v>25</v>
      </c>
      <c r="E77" s="2" t="str">
        <f>"土木工程学院"</f>
        <v>土木工程学院</v>
      </c>
    </row>
    <row r="78" ht="13.5" hidden="1" spans="1:5">
      <c r="A78" s="2" t="str">
        <f>"朱诗雅"</f>
        <v>朱诗雅</v>
      </c>
      <c r="B78" s="2" t="str">
        <f>"B20200703111"</f>
        <v>B20200703111</v>
      </c>
      <c r="C78" s="2" t="str">
        <f>"女"</f>
        <v>女</v>
      </c>
      <c r="D78" s="2" t="str">
        <f t="shared" ref="D78:D85" si="22">"25"</f>
        <v>25</v>
      </c>
      <c r="E78" s="2" t="str">
        <f>"马栏山新媒体学院"</f>
        <v>马栏山新媒体学院</v>
      </c>
    </row>
    <row r="79" ht="13.5" hidden="1" spans="1:5">
      <c r="A79" s="2" t="str">
        <f>"管飞航"</f>
        <v>管飞航</v>
      </c>
      <c r="B79" s="2" t="str">
        <f>"B20200204133"</f>
        <v>B20200204133</v>
      </c>
      <c r="C79" s="2" t="str">
        <f>"男"</f>
        <v>男</v>
      </c>
      <c r="D79" s="2" t="str">
        <f t="shared" si="22"/>
        <v>25</v>
      </c>
      <c r="E79" s="2" t="str">
        <f>"机电工程学院"</f>
        <v>机电工程学院</v>
      </c>
    </row>
    <row r="80" ht="13.5" hidden="1" spans="1:5">
      <c r="A80" s="2" t="str">
        <f>"林雨薇"</f>
        <v>林雨薇</v>
      </c>
      <c r="B80" s="2" t="str">
        <f>"B20190903229"</f>
        <v>B20190903229</v>
      </c>
      <c r="C80" s="2" t="str">
        <f>"女"</f>
        <v>女</v>
      </c>
      <c r="D80" s="2" t="str">
        <f t="shared" si="22"/>
        <v>25</v>
      </c>
      <c r="E80" s="2" t="str">
        <f>"马栏山新媒体学院"</f>
        <v>马栏山新媒体学院</v>
      </c>
    </row>
    <row r="81" ht="13.5" hidden="1" spans="1:5">
      <c r="A81" s="2" t="str">
        <f>"陈瑞富"</f>
        <v>陈瑞富</v>
      </c>
      <c r="B81" s="2" t="str">
        <f>"B20220401210"</f>
        <v>B20220401210</v>
      </c>
      <c r="C81" s="2" t="str">
        <f>"男"</f>
        <v>男</v>
      </c>
      <c r="D81" s="2" t="str">
        <f t="shared" si="22"/>
        <v>25</v>
      </c>
      <c r="E81" s="2" t="str">
        <f>"电子信息与电气工程学院"</f>
        <v>电子信息与电气工程学院</v>
      </c>
    </row>
    <row r="82" ht="13.5" hidden="1" spans="1:5">
      <c r="A82" s="2" t="str">
        <f>"刘尧"</f>
        <v>刘尧</v>
      </c>
      <c r="B82" s="2" t="str">
        <f>"B20200902402"</f>
        <v>B20200902402</v>
      </c>
      <c r="C82" s="2" t="str">
        <f>"女"</f>
        <v>女</v>
      </c>
      <c r="D82" s="2" t="str">
        <f t="shared" si="22"/>
        <v>25</v>
      </c>
      <c r="E82" s="2" t="str">
        <f>"经济与管理学院"</f>
        <v>经济与管理学院</v>
      </c>
    </row>
    <row r="83" ht="13.5" hidden="1" spans="1:5">
      <c r="A83" s="2" t="str">
        <f>"肖俊"</f>
        <v>肖俊</v>
      </c>
      <c r="B83" s="2" t="str">
        <f>"B20200503102"</f>
        <v>B20200503102</v>
      </c>
      <c r="C83" s="2" t="str">
        <f>"男"</f>
        <v>男</v>
      </c>
      <c r="D83" s="2" t="str">
        <f t="shared" si="22"/>
        <v>25</v>
      </c>
      <c r="E83" s="2" t="str">
        <f>"生物与环境工程学院"</f>
        <v>生物与环境工程学院</v>
      </c>
    </row>
    <row r="84" ht="13.5" hidden="1" spans="1:5">
      <c r="A84" s="2" t="str">
        <f>"邓柯"</f>
        <v>邓柯</v>
      </c>
      <c r="B84" s="2" t="str">
        <f>"B20200702213"</f>
        <v>B20200702213</v>
      </c>
      <c r="C84" s="2" t="str">
        <f>"男"</f>
        <v>男</v>
      </c>
      <c r="D84" s="2" t="str">
        <f t="shared" si="22"/>
        <v>25</v>
      </c>
      <c r="E84" s="2" t="str">
        <f>"马栏山新媒体学院"</f>
        <v>马栏山新媒体学院</v>
      </c>
    </row>
    <row r="85" ht="13.5" hidden="1" spans="1:5">
      <c r="A85" s="2" t="str">
        <f>"田佳骐"</f>
        <v>田佳骐</v>
      </c>
      <c r="B85" s="2" t="str">
        <f>"B20200201226"</f>
        <v>B20200201226</v>
      </c>
      <c r="C85" s="2" t="str">
        <f>"男"</f>
        <v>男</v>
      </c>
      <c r="D85" s="2" t="str">
        <f t="shared" si="22"/>
        <v>25</v>
      </c>
      <c r="E85" s="2" t="str">
        <f>"机电工程学院"</f>
        <v>机电工程学院</v>
      </c>
    </row>
    <row r="86" ht="13.5" hidden="1" spans="1:5">
      <c r="A86" s="2" t="str">
        <f>"张可盈"</f>
        <v>张可盈</v>
      </c>
      <c r="B86" s="2" t="str">
        <f>"B20210101230"</f>
        <v>B20210101230</v>
      </c>
      <c r="C86" s="2" t="str">
        <f t="shared" ref="C86:C89" si="23">"女"</f>
        <v>女</v>
      </c>
      <c r="D86" s="2" t="str">
        <f>"24"</f>
        <v>24</v>
      </c>
      <c r="E86" s="2" t="str">
        <f>"土木工程学院"</f>
        <v>土木工程学院</v>
      </c>
    </row>
    <row r="87" ht="13.5" hidden="1" spans="1:5">
      <c r="A87" s="2" t="str">
        <f>"张津玮"</f>
        <v>张津玮</v>
      </c>
      <c r="B87" s="2" t="str">
        <f>"B20220902314"</f>
        <v>B20220902314</v>
      </c>
      <c r="C87" s="2" t="str">
        <f t="shared" si="23"/>
        <v>女</v>
      </c>
      <c r="D87" s="2" t="str">
        <f>"24"</f>
        <v>24</v>
      </c>
      <c r="E87" s="2" t="str">
        <f t="shared" ref="E87:E89" si="24">"经济与管理学院"</f>
        <v>经济与管理学院</v>
      </c>
    </row>
    <row r="88" ht="13.5" hidden="1" spans="1:5">
      <c r="A88" s="2" t="str">
        <f>"安杰"</f>
        <v>安杰</v>
      </c>
      <c r="B88" s="2" t="str">
        <f>"B20200904138"</f>
        <v>B20200904138</v>
      </c>
      <c r="C88" s="2" t="str">
        <f>"男"</f>
        <v>男</v>
      </c>
      <c r="D88" s="2" t="str">
        <f>"24"</f>
        <v>24</v>
      </c>
      <c r="E88" s="2" t="str">
        <f t="shared" si="24"/>
        <v>经济与管理学院</v>
      </c>
    </row>
    <row r="89" ht="13.5" hidden="1" spans="1:5">
      <c r="A89" s="2" t="str">
        <f>"赵安婷"</f>
        <v>赵安婷</v>
      </c>
      <c r="B89" s="2" t="str">
        <f>"B20230901207"</f>
        <v>B20230901207</v>
      </c>
      <c r="C89" s="2" t="str">
        <f t="shared" si="23"/>
        <v>女</v>
      </c>
      <c r="D89" s="2" t="str">
        <f>"24"</f>
        <v>24</v>
      </c>
      <c r="E89" s="2" t="str">
        <f t="shared" si="24"/>
        <v>经济与管理学院</v>
      </c>
    </row>
    <row r="90" ht="13.5" hidden="1" spans="1:5">
      <c r="A90" s="2" t="str">
        <f>"谭诗雨"</f>
        <v>谭诗雨</v>
      </c>
      <c r="B90" s="2" t="str">
        <f>"B20200704404"</f>
        <v>B20200704404</v>
      </c>
      <c r="C90" s="2" t="str">
        <f t="shared" ref="C90:C92" si="25">"女"</f>
        <v>女</v>
      </c>
      <c r="D90" s="2" t="str">
        <f t="shared" ref="D90:D97" si="26">"24"</f>
        <v>24</v>
      </c>
      <c r="E90" s="2" t="str">
        <f>"马栏山新媒体学院"</f>
        <v>马栏山新媒体学院</v>
      </c>
    </row>
    <row r="91" ht="13.5" hidden="1" spans="1:5">
      <c r="A91" s="2" t="str">
        <f>"周文鑫"</f>
        <v>周文鑫</v>
      </c>
      <c r="B91" s="2" t="str">
        <f>"B20200703114"</f>
        <v>B20200703114</v>
      </c>
      <c r="C91" s="2" t="str">
        <f t="shared" si="25"/>
        <v>女</v>
      </c>
      <c r="D91" s="2" t="str">
        <f t="shared" si="26"/>
        <v>24</v>
      </c>
      <c r="E91" s="2" t="str">
        <f>"马栏山新媒体学院"</f>
        <v>马栏山新媒体学院</v>
      </c>
    </row>
    <row r="92" ht="13.5" hidden="1" spans="1:5">
      <c r="A92" s="2" t="str">
        <f>"王敏"</f>
        <v>王敏</v>
      </c>
      <c r="B92" s="2" t="str">
        <f>"B20200903110"</f>
        <v>B20200903110</v>
      </c>
      <c r="C92" s="2" t="str">
        <f t="shared" si="25"/>
        <v>女</v>
      </c>
      <c r="D92" s="2" t="str">
        <f t="shared" si="26"/>
        <v>24</v>
      </c>
      <c r="E92" s="2" t="str">
        <f>"经济与管理学院"</f>
        <v>经济与管理学院</v>
      </c>
    </row>
    <row r="93" ht="13.5" hidden="1" spans="1:5">
      <c r="A93" s="2" t="str">
        <f>"邹永晖"</f>
        <v>邹永晖</v>
      </c>
      <c r="B93" s="2" t="str">
        <f>"B20200102132"</f>
        <v>B20200102132</v>
      </c>
      <c r="C93" s="2" t="str">
        <f>"男"</f>
        <v>男</v>
      </c>
      <c r="D93" s="2" t="str">
        <f t="shared" si="26"/>
        <v>24</v>
      </c>
      <c r="E93" s="2" t="str">
        <f>"土木工程学院"</f>
        <v>土木工程学院</v>
      </c>
    </row>
    <row r="94" ht="13.5" hidden="1" spans="1:5">
      <c r="A94" s="2" t="str">
        <f>"伍文鑫"</f>
        <v>伍文鑫</v>
      </c>
      <c r="B94" s="2" t="str">
        <f>"B20230401126"</f>
        <v>B20230401126</v>
      </c>
      <c r="C94" s="2" t="str">
        <f>"男"</f>
        <v>男</v>
      </c>
      <c r="D94" s="2" t="str">
        <f t="shared" si="26"/>
        <v>24</v>
      </c>
      <c r="E94" s="2" t="str">
        <f>"电子信息与电气工程学院"</f>
        <v>电子信息与电气工程学院</v>
      </c>
    </row>
    <row r="95" ht="13.5" hidden="1" spans="1:5">
      <c r="A95" s="2" t="str">
        <f>"胡璇"</f>
        <v>胡璇</v>
      </c>
      <c r="B95" s="2" t="str">
        <f>"B20210904213"</f>
        <v>B20210904213</v>
      </c>
      <c r="C95" s="2" t="str">
        <f t="shared" ref="C95:C99" si="27">"女"</f>
        <v>女</v>
      </c>
      <c r="D95" s="2" t="str">
        <f t="shared" si="26"/>
        <v>24</v>
      </c>
      <c r="E95" s="2" t="str">
        <f>"经济与管理学院"</f>
        <v>经济与管理学院</v>
      </c>
    </row>
    <row r="96" ht="13.5" hidden="1" spans="1:5">
      <c r="A96" s="2" t="str">
        <f>"袁威宇"</f>
        <v>袁威宇</v>
      </c>
      <c r="B96" s="2" t="str">
        <f>"B20200201214"</f>
        <v>B20200201214</v>
      </c>
      <c r="C96" s="2" t="str">
        <f>"男"</f>
        <v>男</v>
      </c>
      <c r="D96" s="2" t="str">
        <f t="shared" si="26"/>
        <v>24</v>
      </c>
      <c r="E96" s="2" t="str">
        <f>"机电工程学院"</f>
        <v>机电工程学院</v>
      </c>
    </row>
    <row r="97" ht="13.5" hidden="1" spans="1:5">
      <c r="A97" s="2" t="str">
        <f>"李心怡"</f>
        <v>李心怡</v>
      </c>
      <c r="B97" s="2" t="str">
        <f>"B20201101201"</f>
        <v>B20201101201</v>
      </c>
      <c r="C97" s="2" t="str">
        <f t="shared" si="27"/>
        <v>女</v>
      </c>
      <c r="D97" s="2" t="str">
        <f t="shared" si="26"/>
        <v>24</v>
      </c>
      <c r="E97" s="2" t="str">
        <f>"音乐学院"</f>
        <v>音乐学院</v>
      </c>
    </row>
    <row r="98" ht="13.5" hidden="1" spans="1:5">
      <c r="A98" s="2" t="str">
        <f>"孙昕媛"</f>
        <v>孙昕媛</v>
      </c>
      <c r="B98" s="2" t="str">
        <f>"B20220902127"</f>
        <v>B20220902127</v>
      </c>
      <c r="C98" s="2" t="str">
        <f t="shared" si="27"/>
        <v>女</v>
      </c>
      <c r="D98" s="2" t="str">
        <f t="shared" ref="D98:D103" si="28">"23"</f>
        <v>23</v>
      </c>
      <c r="E98" s="2" t="str">
        <f>"经济与管理学院"</f>
        <v>经济与管理学院</v>
      </c>
    </row>
    <row r="99" ht="13.5" hidden="1" spans="1:5">
      <c r="A99" s="2" t="str">
        <f>"杨薇"</f>
        <v>杨薇</v>
      </c>
      <c r="B99" s="2" t="str">
        <f>"B20201001212"</f>
        <v>B20201001212</v>
      </c>
      <c r="C99" s="2" t="str">
        <f t="shared" si="27"/>
        <v>女</v>
      </c>
      <c r="D99" s="2" t="str">
        <f t="shared" si="28"/>
        <v>23</v>
      </c>
      <c r="E99" s="2" t="str">
        <f>"艺术设计学院"</f>
        <v>艺术设计学院</v>
      </c>
    </row>
    <row r="100" ht="13.5" hidden="1" spans="1:5">
      <c r="A100" s="2" t="str">
        <f>"岳汝夕"</f>
        <v>岳汝夕</v>
      </c>
      <c r="B100" s="2" t="str">
        <f>"B20200703409"</f>
        <v>B20200703409</v>
      </c>
      <c r="C100" s="2" t="str">
        <f>"男"</f>
        <v>男</v>
      </c>
      <c r="D100" s="2" t="str">
        <f t="shared" si="28"/>
        <v>23</v>
      </c>
      <c r="E100" s="2" t="str">
        <f>"马栏山新媒体学院"</f>
        <v>马栏山新媒体学院</v>
      </c>
    </row>
    <row r="101" ht="13.5" hidden="1" spans="1:5">
      <c r="A101" s="2" t="str">
        <f>"傅晨曦"</f>
        <v>傅晨曦</v>
      </c>
      <c r="B101" s="2" t="str">
        <f>"B20220905118"</f>
        <v>B20220905118</v>
      </c>
      <c r="C101" s="2" t="str">
        <f t="shared" ref="C101:C104" si="29">"女"</f>
        <v>女</v>
      </c>
      <c r="D101" s="2" t="str">
        <f t="shared" si="28"/>
        <v>23</v>
      </c>
      <c r="E101" s="2" t="str">
        <f>"经济与管理学院"</f>
        <v>经济与管理学院</v>
      </c>
    </row>
    <row r="102" ht="13.5" hidden="1" spans="1:5">
      <c r="A102" s="2" t="str">
        <f>"王尹凡"</f>
        <v>王尹凡</v>
      </c>
      <c r="B102" s="2" t="str">
        <f>"B20230601112"</f>
        <v>B20230601112</v>
      </c>
      <c r="C102" s="2" t="str">
        <f t="shared" si="29"/>
        <v>女</v>
      </c>
      <c r="D102" s="2" t="str">
        <f t="shared" si="28"/>
        <v>23</v>
      </c>
      <c r="E102" s="2" t="str">
        <f>"法学院"</f>
        <v>法学院</v>
      </c>
    </row>
    <row r="103" ht="13.5" hidden="1" spans="1:5">
      <c r="A103" s="2" t="str">
        <f>"谢吟"</f>
        <v>谢吟</v>
      </c>
      <c r="B103" s="2" t="str">
        <f>"B20180601321"</f>
        <v>B20180601321</v>
      </c>
      <c r="C103" s="2" t="str">
        <f t="shared" si="29"/>
        <v>女</v>
      </c>
      <c r="D103" s="2" t="str">
        <f t="shared" si="28"/>
        <v>23</v>
      </c>
      <c r="E103" s="2" t="str">
        <f>"法学院"</f>
        <v>法学院</v>
      </c>
    </row>
    <row r="104" ht="13.5" hidden="1" spans="1:5">
      <c r="A104" s="2" t="str">
        <f>"张冬梅"</f>
        <v>张冬梅</v>
      </c>
      <c r="B104" s="2" t="str">
        <f>"B20211003224"</f>
        <v>B20211003224</v>
      </c>
      <c r="C104" s="2" t="str">
        <f t="shared" si="29"/>
        <v>女</v>
      </c>
      <c r="D104" s="2" t="str">
        <f t="shared" ref="D104:D129" si="30">"23"</f>
        <v>23</v>
      </c>
      <c r="E104" s="2" t="str">
        <f>"艺术设计学院"</f>
        <v>艺术设计学院</v>
      </c>
    </row>
    <row r="105" ht="13.5" hidden="1" spans="1:5">
      <c r="A105" s="2" t="str">
        <f>"陈浩宇"</f>
        <v>陈浩宇</v>
      </c>
      <c r="B105" s="2" t="str">
        <f>"B20200102109"</f>
        <v>B20200102109</v>
      </c>
      <c r="C105" s="2" t="str">
        <f>"男"</f>
        <v>男</v>
      </c>
      <c r="D105" s="2" t="str">
        <f t="shared" si="30"/>
        <v>23</v>
      </c>
      <c r="E105" s="2" t="str">
        <f>"土木工程学院"</f>
        <v>土木工程学院</v>
      </c>
    </row>
    <row r="106" ht="13.5" hidden="1" spans="1:5">
      <c r="A106" s="2" t="str">
        <f>"邹艺苗"</f>
        <v>邹艺苗</v>
      </c>
      <c r="B106" s="2" t="str">
        <f>"B20200204210"</f>
        <v>B20200204210</v>
      </c>
      <c r="C106" s="2" t="str">
        <f>"男"</f>
        <v>男</v>
      </c>
      <c r="D106" s="2" t="str">
        <f t="shared" si="30"/>
        <v>23</v>
      </c>
      <c r="E106" s="2" t="str">
        <f>"机电工程学院"</f>
        <v>机电工程学院</v>
      </c>
    </row>
    <row r="107" ht="13.5" hidden="1" spans="1:5">
      <c r="A107" s="2" t="str">
        <f>"刘洋"</f>
        <v>刘洋</v>
      </c>
      <c r="B107" s="2" t="str">
        <f>"B20200904112"</f>
        <v>B20200904112</v>
      </c>
      <c r="C107" s="2" t="str">
        <f>"男"</f>
        <v>男</v>
      </c>
      <c r="D107" s="2" t="str">
        <f t="shared" si="30"/>
        <v>23</v>
      </c>
      <c r="E107" s="2" t="str">
        <f t="shared" ref="E107:E111" si="31">"经济与管理学院"</f>
        <v>经济与管理学院</v>
      </c>
    </row>
    <row r="108" ht="13.5" hidden="1" spans="1:5">
      <c r="A108" s="2" t="str">
        <f>"甘志强"</f>
        <v>甘志强</v>
      </c>
      <c r="B108" s="2" t="str">
        <f>"B20200101408"</f>
        <v>B20200101408</v>
      </c>
      <c r="C108" s="2" t="str">
        <f>"男"</f>
        <v>男</v>
      </c>
      <c r="D108" s="2" t="str">
        <f t="shared" si="30"/>
        <v>23</v>
      </c>
      <c r="E108" s="2" t="str">
        <f>"土木工程学院"</f>
        <v>土木工程学院</v>
      </c>
    </row>
    <row r="109" ht="13.5" hidden="1" spans="1:5">
      <c r="A109" s="2" t="str">
        <f>"汪惠"</f>
        <v>汪惠</v>
      </c>
      <c r="B109" s="2" t="str">
        <f>"B20200901224"</f>
        <v>B20200901224</v>
      </c>
      <c r="C109" s="2" t="str">
        <f t="shared" ref="C109:C113" si="32">"女"</f>
        <v>女</v>
      </c>
      <c r="D109" s="2" t="str">
        <f t="shared" si="30"/>
        <v>23</v>
      </c>
      <c r="E109" s="2" t="str">
        <f t="shared" si="31"/>
        <v>经济与管理学院</v>
      </c>
    </row>
    <row r="110" ht="13.5" hidden="1" spans="1:5">
      <c r="A110" s="2" t="str">
        <f>"王亚蕊"</f>
        <v>王亚蕊</v>
      </c>
      <c r="B110" s="2" t="str">
        <f>"B20201003105"</f>
        <v>B20201003105</v>
      </c>
      <c r="C110" s="2" t="str">
        <f t="shared" si="32"/>
        <v>女</v>
      </c>
      <c r="D110" s="2" t="str">
        <f t="shared" si="30"/>
        <v>23</v>
      </c>
      <c r="E110" s="2" t="str">
        <f>"艺术设计学院"</f>
        <v>艺术设计学院</v>
      </c>
    </row>
    <row r="111" ht="13.5" hidden="1" spans="1:5">
      <c r="A111" s="2" t="str">
        <f>"盘羽"</f>
        <v>盘羽</v>
      </c>
      <c r="B111" s="2" t="str">
        <f>"B20220902221"</f>
        <v>B20220902221</v>
      </c>
      <c r="C111" s="2" t="str">
        <f t="shared" si="32"/>
        <v>女</v>
      </c>
      <c r="D111" s="2" t="str">
        <f t="shared" si="30"/>
        <v>23</v>
      </c>
      <c r="E111" s="2" t="str">
        <f t="shared" si="31"/>
        <v>经济与管理学院</v>
      </c>
    </row>
    <row r="112" ht="13.5" hidden="1" spans="1:5">
      <c r="A112" s="2" t="str">
        <f>"刘睿琦"</f>
        <v>刘睿琦</v>
      </c>
      <c r="B112" s="2" t="str">
        <f>"B20200101209"</f>
        <v>B20200101209</v>
      </c>
      <c r="C112" s="2" t="str">
        <f t="shared" si="32"/>
        <v>女</v>
      </c>
      <c r="D112" s="2" t="str">
        <f t="shared" si="30"/>
        <v>23</v>
      </c>
      <c r="E112" s="2" t="str">
        <f>"土木工程学院"</f>
        <v>土木工程学院</v>
      </c>
    </row>
    <row r="113" ht="13.5" hidden="1" spans="1:5">
      <c r="A113" s="2" t="str">
        <f>"谭培欣"</f>
        <v>谭培欣</v>
      </c>
      <c r="B113" s="2" t="str">
        <f>"B20201002309"</f>
        <v>B20201002309</v>
      </c>
      <c r="C113" s="2" t="str">
        <f t="shared" si="32"/>
        <v>女</v>
      </c>
      <c r="D113" s="2" t="str">
        <f t="shared" si="30"/>
        <v>23</v>
      </c>
      <c r="E113" s="2" t="str">
        <f>"艺术设计学院"</f>
        <v>艺术设计学院</v>
      </c>
    </row>
    <row r="114" ht="13.5" hidden="1" spans="1:5">
      <c r="A114" s="2" t="str">
        <f>"郭强"</f>
        <v>郭强</v>
      </c>
      <c r="B114" s="2" t="str">
        <f>"B20230601407"</f>
        <v>B20230601407</v>
      </c>
      <c r="C114" s="2" t="str">
        <f t="shared" ref="C114:C119" si="33">"男"</f>
        <v>男</v>
      </c>
      <c r="D114" s="2" t="str">
        <f t="shared" si="30"/>
        <v>23</v>
      </c>
      <c r="E114" s="2" t="str">
        <f>"法学院"</f>
        <v>法学院</v>
      </c>
    </row>
    <row r="115" ht="13.5" hidden="1" spans="1:5">
      <c r="A115" s="2" t="str">
        <f>"谢雨菡"</f>
        <v>谢雨菡</v>
      </c>
      <c r="B115" s="2" t="str">
        <f>"B20230601108"</f>
        <v>B20230601108</v>
      </c>
      <c r="C115" s="2" t="str">
        <f t="shared" ref="C115:C117" si="34">"女"</f>
        <v>女</v>
      </c>
      <c r="D115" s="2" t="str">
        <f t="shared" si="30"/>
        <v>23</v>
      </c>
      <c r="E115" s="2" t="str">
        <f>"法学院"</f>
        <v>法学院</v>
      </c>
    </row>
    <row r="116" ht="13.5" hidden="1" spans="1:5">
      <c r="A116" s="2" t="str">
        <f>"吴思宇"</f>
        <v>吴思宇</v>
      </c>
      <c r="B116" s="2" t="str">
        <f>"B20220701423"</f>
        <v>B20220701423</v>
      </c>
      <c r="C116" s="2" t="str">
        <f t="shared" si="34"/>
        <v>女</v>
      </c>
      <c r="D116" s="2" t="str">
        <f t="shared" si="30"/>
        <v>23</v>
      </c>
      <c r="E116" s="2" t="str">
        <f>"马栏山新媒体学院"</f>
        <v>马栏山新媒体学院</v>
      </c>
    </row>
    <row r="117" ht="13.5" hidden="1" spans="1:5">
      <c r="A117" s="2" t="str">
        <f>"姚欣怡"</f>
        <v>姚欣怡</v>
      </c>
      <c r="B117" s="2" t="str">
        <f>"B20231302414"</f>
        <v>B20231302414</v>
      </c>
      <c r="C117" s="2" t="str">
        <f t="shared" si="34"/>
        <v>女</v>
      </c>
      <c r="D117" s="2" t="str">
        <f t="shared" si="30"/>
        <v>23</v>
      </c>
      <c r="E117" s="2" t="str">
        <f>"材料与环境工程学院"</f>
        <v>材料与环境工程学院</v>
      </c>
    </row>
    <row r="118" ht="13.5" hidden="1" spans="1:5">
      <c r="A118" s="2" t="str">
        <f>"于要飞"</f>
        <v>于要飞</v>
      </c>
      <c r="B118" s="2" t="str">
        <f>"B20190905235"</f>
        <v>B20190905235</v>
      </c>
      <c r="C118" s="2" t="str">
        <f t="shared" si="33"/>
        <v>男</v>
      </c>
      <c r="D118" s="2" t="str">
        <f t="shared" si="30"/>
        <v>23</v>
      </c>
      <c r="E118" s="2" t="str">
        <f>"电子信息与电气工程学院"</f>
        <v>电子信息与电气工程学院</v>
      </c>
    </row>
    <row r="119" ht="13.5" hidden="1" spans="1:5">
      <c r="A119" s="2" t="str">
        <f>"陈玉杰"</f>
        <v>陈玉杰</v>
      </c>
      <c r="B119" s="2" t="str">
        <f>"B20230904307"</f>
        <v>B20230904307</v>
      </c>
      <c r="C119" s="2" t="str">
        <f t="shared" si="33"/>
        <v>男</v>
      </c>
      <c r="D119" s="2" t="str">
        <f t="shared" si="30"/>
        <v>23</v>
      </c>
      <c r="E119" s="2" t="str">
        <f t="shared" ref="E119:E124" si="35">"经济与管理学院"</f>
        <v>经济与管理学院</v>
      </c>
    </row>
    <row r="120" ht="13.5" hidden="1" spans="1:5">
      <c r="A120" s="2" t="str">
        <f>"周雨迪"</f>
        <v>周雨迪</v>
      </c>
      <c r="B120" s="2" t="str">
        <f>"B20200201434"</f>
        <v>B20200201434</v>
      </c>
      <c r="C120" s="2" t="str">
        <f>"女"</f>
        <v>女</v>
      </c>
      <c r="D120" s="2" t="str">
        <f t="shared" si="30"/>
        <v>23</v>
      </c>
      <c r="E120" s="2" t="str">
        <f>"机电工程学院"</f>
        <v>机电工程学院</v>
      </c>
    </row>
    <row r="121" ht="13.5" hidden="1" spans="1:5">
      <c r="A121" s="2" t="str">
        <f>"尹珺栋"</f>
        <v>尹珺栋</v>
      </c>
      <c r="B121" s="2" t="str">
        <f>"B20200906133"</f>
        <v>B20200906133</v>
      </c>
      <c r="C121" s="2" t="str">
        <f t="shared" ref="C121:C123" si="36">"男"</f>
        <v>男</v>
      </c>
      <c r="D121" s="2" t="str">
        <f t="shared" si="30"/>
        <v>23</v>
      </c>
      <c r="E121" s="2" t="str">
        <f t="shared" si="35"/>
        <v>经济与管理学院</v>
      </c>
    </row>
    <row r="122" ht="13.5" hidden="1" spans="1:5">
      <c r="A122" s="2" t="str">
        <f>"梁泽恩"</f>
        <v>梁泽恩</v>
      </c>
      <c r="B122" s="2" t="str">
        <f>"B20201002318"</f>
        <v>B20201002318</v>
      </c>
      <c r="C122" s="2" t="str">
        <f t="shared" si="36"/>
        <v>男</v>
      </c>
      <c r="D122" s="2" t="str">
        <f t="shared" si="30"/>
        <v>23</v>
      </c>
      <c r="E122" s="2" t="str">
        <f>"艺术设计学院"</f>
        <v>艺术设计学院</v>
      </c>
    </row>
    <row r="123" ht="13.5" hidden="1" spans="1:5">
      <c r="A123" s="2" t="str">
        <f>"王博文"</f>
        <v>王博文</v>
      </c>
      <c r="B123" s="2" t="str">
        <f>"B20201003213"</f>
        <v>B20201003213</v>
      </c>
      <c r="C123" s="2" t="str">
        <f t="shared" si="36"/>
        <v>男</v>
      </c>
      <c r="D123" s="2" t="str">
        <f t="shared" si="30"/>
        <v>23</v>
      </c>
      <c r="E123" s="2" t="str">
        <f>"艺术设计学院"</f>
        <v>艺术设计学院</v>
      </c>
    </row>
    <row r="124" ht="13.5" hidden="1" spans="1:5">
      <c r="A124" s="2" t="str">
        <f>"杨雅琴"</f>
        <v>杨雅琴</v>
      </c>
      <c r="B124" s="2" t="str">
        <f>"B20230905131"</f>
        <v>B20230905131</v>
      </c>
      <c r="C124" s="2" t="str">
        <f t="shared" ref="C124:C128" si="37">"女"</f>
        <v>女</v>
      </c>
      <c r="D124" s="2" t="str">
        <f t="shared" si="30"/>
        <v>23</v>
      </c>
      <c r="E124" s="2" t="str">
        <f t="shared" si="35"/>
        <v>经济与管理学院</v>
      </c>
    </row>
    <row r="125" ht="13.5" hidden="1" spans="1:5">
      <c r="A125" s="2" t="str">
        <f>"毛冠棋"</f>
        <v>毛冠棋</v>
      </c>
      <c r="B125" s="2" t="str">
        <f>"B20200203233"</f>
        <v>B20200203233</v>
      </c>
      <c r="C125" s="2" t="str">
        <f>"男"</f>
        <v>男</v>
      </c>
      <c r="D125" s="2" t="str">
        <f t="shared" si="30"/>
        <v>23</v>
      </c>
      <c r="E125" s="2" t="str">
        <f>"马栏山新媒体学院"</f>
        <v>马栏山新媒体学院</v>
      </c>
    </row>
    <row r="126" ht="13.5" hidden="1" spans="1:5">
      <c r="A126" s="2" t="str">
        <f>"杨智钧"</f>
        <v>杨智钧</v>
      </c>
      <c r="B126" s="2" t="str">
        <f>"B20200501223"</f>
        <v>B20200501223</v>
      </c>
      <c r="C126" s="2" t="str">
        <f>"男"</f>
        <v>男</v>
      </c>
      <c r="D126" s="2" t="str">
        <f t="shared" si="30"/>
        <v>23</v>
      </c>
      <c r="E126" s="2" t="str">
        <f>"生物与环境工程学院"</f>
        <v>生物与环境工程学院</v>
      </c>
    </row>
    <row r="127" ht="13.5" hidden="1" spans="1:5">
      <c r="A127" s="2" t="str">
        <f>"袁钰蝶"</f>
        <v>袁钰蝶</v>
      </c>
      <c r="B127" s="2" t="str">
        <f>"B20200203220"</f>
        <v>B20200203220</v>
      </c>
      <c r="C127" s="2" t="str">
        <f t="shared" si="37"/>
        <v>女</v>
      </c>
      <c r="D127" s="2" t="str">
        <f t="shared" si="30"/>
        <v>23</v>
      </c>
      <c r="E127" s="2" t="str">
        <f>"机电工程学院"</f>
        <v>机电工程学院</v>
      </c>
    </row>
    <row r="128" ht="13.5" hidden="1" spans="1:5">
      <c r="A128" s="2" t="str">
        <f>"吴钊妃"</f>
        <v>吴钊妃</v>
      </c>
      <c r="B128" s="2" t="str">
        <f>"B20200801423"</f>
        <v>B20200801423</v>
      </c>
      <c r="C128" s="2" t="str">
        <f t="shared" si="37"/>
        <v>女</v>
      </c>
      <c r="D128" s="2" t="str">
        <f t="shared" si="30"/>
        <v>23</v>
      </c>
      <c r="E128" s="2" t="str">
        <f>"外国语学院"</f>
        <v>外国语学院</v>
      </c>
    </row>
    <row r="129" ht="13.5" hidden="1" spans="1:5">
      <c r="A129" s="2" t="str">
        <f>"谭敬峰"</f>
        <v>谭敬峰</v>
      </c>
      <c r="B129" s="2" t="str">
        <f>"B20200502102"</f>
        <v>B20200502102</v>
      </c>
      <c r="C129" s="2" t="str">
        <f>"男"</f>
        <v>男</v>
      </c>
      <c r="D129" s="2" t="str">
        <f t="shared" si="30"/>
        <v>23</v>
      </c>
      <c r="E129" s="2" t="str">
        <f>"生物与环境工程学院"</f>
        <v>生物与环境工程学院</v>
      </c>
    </row>
    <row r="130" ht="13.5" hidden="1" spans="1:5">
      <c r="A130" s="2" t="str">
        <f>"赵灿"</f>
        <v>赵灿</v>
      </c>
      <c r="B130" s="2" t="str">
        <f>"B20210801118"</f>
        <v>B20210801118</v>
      </c>
      <c r="C130" s="2" t="str">
        <f>"女"</f>
        <v>女</v>
      </c>
      <c r="D130" s="2" t="str">
        <f t="shared" ref="D130:D155" si="38">"22"</f>
        <v>22</v>
      </c>
      <c r="E130" s="2" t="str">
        <f>"外国语学院"</f>
        <v>外国语学院</v>
      </c>
    </row>
    <row r="131" ht="13.5" hidden="1" spans="1:5">
      <c r="A131" s="2" t="str">
        <f>"陈宇杰"</f>
        <v>陈宇杰</v>
      </c>
      <c r="B131" s="2" t="str">
        <f>"B20220404120"</f>
        <v>B20220404120</v>
      </c>
      <c r="C131" s="2" t="str">
        <f>"男"</f>
        <v>男</v>
      </c>
      <c r="D131" s="2" t="str">
        <f t="shared" si="38"/>
        <v>22</v>
      </c>
      <c r="E131" s="2" t="str">
        <f>"电子信息与电气工程学院"</f>
        <v>电子信息与电气工程学院</v>
      </c>
    </row>
    <row r="132" ht="13.5" hidden="1" spans="1:5">
      <c r="A132" s="2" t="str">
        <f>"王依婷"</f>
        <v>王依婷</v>
      </c>
      <c r="B132" s="2" t="str">
        <f>"B20200704326"</f>
        <v>B20200704326</v>
      </c>
      <c r="C132" s="2" t="str">
        <f>"女"</f>
        <v>女</v>
      </c>
      <c r="D132" s="2" t="str">
        <f t="shared" si="38"/>
        <v>22</v>
      </c>
      <c r="E132" s="2" t="str">
        <f>"马栏山新媒体学院"</f>
        <v>马栏山新媒体学院</v>
      </c>
    </row>
    <row r="133" ht="13.5" hidden="1" spans="1:5">
      <c r="A133" s="2" t="str">
        <f>"杨赟"</f>
        <v>杨赟</v>
      </c>
      <c r="B133" s="2" t="str">
        <f>"B20200501205"</f>
        <v>B20200501205</v>
      </c>
      <c r="C133" s="2" t="str">
        <f>"男"</f>
        <v>男</v>
      </c>
      <c r="D133" s="2" t="str">
        <f t="shared" si="38"/>
        <v>22</v>
      </c>
      <c r="E133" s="2" t="str">
        <f>"生物与环境工程学院"</f>
        <v>生物与环境工程学院</v>
      </c>
    </row>
    <row r="134" ht="13.5" hidden="1" spans="1:5">
      <c r="A134" s="2" t="str">
        <f>"陈亚玲"</f>
        <v>陈亚玲</v>
      </c>
      <c r="B134" s="2" t="str">
        <f>"B20200904134"</f>
        <v>B20200904134</v>
      </c>
      <c r="C134" s="2" t="str">
        <f>"女"</f>
        <v>女</v>
      </c>
      <c r="D134" s="2" t="str">
        <f t="shared" si="38"/>
        <v>22</v>
      </c>
      <c r="E134" s="2" t="str">
        <f>"经济与管理学院"</f>
        <v>经济与管理学院</v>
      </c>
    </row>
    <row r="135" ht="13.5" hidden="1" spans="1:5">
      <c r="A135" s="2" t="str">
        <f>"江水涛"</f>
        <v>江水涛</v>
      </c>
      <c r="B135" s="2" t="str">
        <f>"B20201003222"</f>
        <v>B20201003222</v>
      </c>
      <c r="C135" s="2" t="str">
        <f>"男"</f>
        <v>男</v>
      </c>
      <c r="D135" s="2" t="str">
        <f t="shared" si="38"/>
        <v>22</v>
      </c>
      <c r="E135" s="2" t="str">
        <f t="shared" ref="E135:E139" si="39">"艺术设计学院"</f>
        <v>艺术设计学院</v>
      </c>
    </row>
    <row r="136" ht="13.5" hidden="1" spans="1:5">
      <c r="A136" s="2" t="str">
        <f>"辛泽胜"</f>
        <v>辛泽胜</v>
      </c>
      <c r="B136" s="2" t="str">
        <f>"B20201002423"</f>
        <v>B20201002423</v>
      </c>
      <c r="C136" s="2" t="str">
        <f>"男"</f>
        <v>男</v>
      </c>
      <c r="D136" s="2" t="str">
        <f t="shared" si="38"/>
        <v>22</v>
      </c>
      <c r="E136" s="2" t="str">
        <f t="shared" si="39"/>
        <v>艺术设计学院</v>
      </c>
    </row>
    <row r="137" ht="13.5" hidden="1" spans="1:5">
      <c r="A137" s="2" t="str">
        <f>"詹雅婷"</f>
        <v>詹雅婷</v>
      </c>
      <c r="B137" s="2" t="str">
        <f>"B20200704411"</f>
        <v>B20200704411</v>
      </c>
      <c r="C137" s="2" t="str">
        <f>"女"</f>
        <v>女</v>
      </c>
      <c r="D137" s="2" t="str">
        <f t="shared" si="38"/>
        <v>22</v>
      </c>
      <c r="E137" s="2" t="str">
        <f>"马栏山新媒体学院"</f>
        <v>马栏山新媒体学院</v>
      </c>
    </row>
    <row r="138" ht="13.5" hidden="1" spans="1:5">
      <c r="A138" s="2" t="str">
        <f>"欧芯媛"</f>
        <v>欧芯媛</v>
      </c>
      <c r="B138" s="2" t="str">
        <f>"B20200902326"</f>
        <v>B20200902326</v>
      </c>
      <c r="C138" s="2" t="str">
        <f>"女"</f>
        <v>女</v>
      </c>
      <c r="D138" s="2" t="str">
        <f t="shared" si="38"/>
        <v>22</v>
      </c>
      <c r="E138" s="2" t="str">
        <f>"经济与管理学院"</f>
        <v>经济与管理学院</v>
      </c>
    </row>
    <row r="139" ht="13.5" hidden="1" spans="1:5">
      <c r="A139" s="2" t="str">
        <f>"韦瀚昱"</f>
        <v>韦瀚昱</v>
      </c>
      <c r="B139" s="2" t="str">
        <f>"B20201002416"</f>
        <v>B20201002416</v>
      </c>
      <c r="C139" s="2" t="str">
        <f>"男"</f>
        <v>男</v>
      </c>
      <c r="D139" s="2" t="str">
        <f t="shared" si="38"/>
        <v>22</v>
      </c>
      <c r="E139" s="2" t="str">
        <f t="shared" si="39"/>
        <v>艺术设计学院</v>
      </c>
    </row>
    <row r="140" ht="13.5" hidden="1" spans="1:5">
      <c r="A140" s="2" t="str">
        <f>"盛孝根"</f>
        <v>盛孝根</v>
      </c>
      <c r="B140" s="2" t="str">
        <f>"B20180101604"</f>
        <v>B20180101604</v>
      </c>
      <c r="C140" s="2" t="str">
        <f>"男"</f>
        <v>男</v>
      </c>
      <c r="D140" s="2" t="str">
        <f t="shared" si="38"/>
        <v>22</v>
      </c>
      <c r="E140" s="2" t="str">
        <f>"土木工程学院"</f>
        <v>土木工程学院</v>
      </c>
    </row>
    <row r="141" ht="13.5" hidden="1" spans="1:5">
      <c r="A141" s="2" t="str">
        <f>"曹茜"</f>
        <v>曹茜</v>
      </c>
      <c r="B141" s="2" t="str">
        <f>"B20230601312"</f>
        <v>B20230601312</v>
      </c>
      <c r="C141" s="2" t="str">
        <f>"女"</f>
        <v>女</v>
      </c>
      <c r="D141" s="2" t="str">
        <f t="shared" si="38"/>
        <v>22</v>
      </c>
      <c r="E141" s="2" t="str">
        <f>"法学院"</f>
        <v>法学院</v>
      </c>
    </row>
    <row r="142" ht="13.5" hidden="1" spans="1:5">
      <c r="A142" s="2" t="str">
        <f>"牟启维"</f>
        <v>牟启维</v>
      </c>
      <c r="B142" s="2" t="str">
        <f>"B20170201333"</f>
        <v>B20170201333</v>
      </c>
      <c r="C142" s="2" t="str">
        <f>"男"</f>
        <v>男</v>
      </c>
      <c r="D142" s="2" t="str">
        <f t="shared" si="38"/>
        <v>22</v>
      </c>
      <c r="E142" s="2" t="str">
        <f>"机电工程学院"</f>
        <v>机电工程学院</v>
      </c>
    </row>
    <row r="143" ht="13.5" hidden="1" spans="1:5">
      <c r="A143" s="2" t="str">
        <f>"李家祥"</f>
        <v>李家祥</v>
      </c>
      <c r="B143" s="2" t="str">
        <f>"B20230104127"</f>
        <v>B20230104127</v>
      </c>
      <c r="C143" s="2" t="str">
        <f>"男"</f>
        <v>男</v>
      </c>
      <c r="D143" s="2" t="str">
        <f t="shared" si="38"/>
        <v>22</v>
      </c>
      <c r="E143" s="2" t="str">
        <f>"土木工程学院"</f>
        <v>土木工程学院</v>
      </c>
    </row>
    <row r="144" ht="13.5" hidden="1" spans="1:5">
      <c r="A144" s="2" t="str">
        <f>"卿永华"</f>
        <v>卿永华</v>
      </c>
      <c r="B144" s="2" t="str">
        <f>"B20200503108"</f>
        <v>B20200503108</v>
      </c>
      <c r="C144" s="2" t="str">
        <f>"男"</f>
        <v>男</v>
      </c>
      <c r="D144" s="2" t="str">
        <f t="shared" si="38"/>
        <v>22</v>
      </c>
      <c r="E144" s="2" t="str">
        <f>"生物与环境工程学院"</f>
        <v>生物与环境工程学院</v>
      </c>
    </row>
    <row r="145" ht="13.5" hidden="1" spans="1:5">
      <c r="A145" s="2" t="str">
        <f>"刘珊"</f>
        <v>刘珊</v>
      </c>
      <c r="B145" s="2" t="str">
        <f>"B20201111109"</f>
        <v>B20201111109</v>
      </c>
      <c r="C145" s="2" t="str">
        <f>"女"</f>
        <v>女</v>
      </c>
      <c r="D145" s="2" t="str">
        <f t="shared" si="38"/>
        <v>22</v>
      </c>
      <c r="E145" s="2" t="str">
        <f>"音乐学院"</f>
        <v>音乐学院</v>
      </c>
    </row>
    <row r="146" ht="13.5" hidden="1" spans="1:5">
      <c r="A146" s="2" t="str">
        <f>"胡雅轩"</f>
        <v>胡雅轩</v>
      </c>
      <c r="B146" s="2" t="str">
        <f>"B20200703210"</f>
        <v>B20200703210</v>
      </c>
      <c r="C146" s="2" t="str">
        <f>"女"</f>
        <v>女</v>
      </c>
      <c r="D146" s="2" t="str">
        <f t="shared" si="38"/>
        <v>22</v>
      </c>
      <c r="E146" s="2" t="str">
        <f>"马栏山新媒体学院"</f>
        <v>马栏山新媒体学院</v>
      </c>
    </row>
    <row r="147" ht="13.5" hidden="1" spans="1:5">
      <c r="A147" s="2" t="str">
        <f>"孟祥康"</f>
        <v>孟祥康</v>
      </c>
      <c r="B147" s="2" t="str">
        <f>"B20200505201"</f>
        <v>B20200505201</v>
      </c>
      <c r="C147" s="2" t="str">
        <f>"男"</f>
        <v>男</v>
      </c>
      <c r="D147" s="2" t="str">
        <f t="shared" si="38"/>
        <v>22</v>
      </c>
      <c r="E147" s="2" t="str">
        <f>"生物与环境工程学院"</f>
        <v>生物与环境工程学院</v>
      </c>
    </row>
    <row r="148" ht="13.5" hidden="1" spans="1:5">
      <c r="A148" s="2" t="str">
        <f>"曾湘景"</f>
        <v>曾湘景</v>
      </c>
      <c r="B148" s="2" t="str">
        <f>"B20220803114"</f>
        <v>B20220803114</v>
      </c>
      <c r="C148" s="2" t="str">
        <f>"男"</f>
        <v>男</v>
      </c>
      <c r="D148" s="2" t="str">
        <f t="shared" si="38"/>
        <v>22</v>
      </c>
      <c r="E148" s="2" t="str">
        <f>"外国语学院"</f>
        <v>外国语学院</v>
      </c>
    </row>
    <row r="149" ht="13.5" hidden="1" spans="1:5">
      <c r="A149" s="2" t="str">
        <f>"王辰浩洋"</f>
        <v>王辰浩洋</v>
      </c>
      <c r="B149" s="2" t="str">
        <f>"B20230502116"</f>
        <v>B20230502116</v>
      </c>
      <c r="C149" s="2" t="str">
        <f>"男"</f>
        <v>男</v>
      </c>
      <c r="D149" s="2" t="str">
        <f t="shared" si="38"/>
        <v>22</v>
      </c>
      <c r="E149" s="2" t="str">
        <f>"生物与化学工程学院"</f>
        <v>生物与化学工程学院</v>
      </c>
    </row>
    <row r="150" ht="13.5" hidden="1" spans="1:5">
      <c r="A150" s="2" t="str">
        <f>"肖翠婷"</f>
        <v>肖翠婷</v>
      </c>
      <c r="B150" s="2" t="str">
        <f>"B20210703220"</f>
        <v>B20210703220</v>
      </c>
      <c r="C150" s="2" t="str">
        <f>"女"</f>
        <v>女</v>
      </c>
      <c r="D150" s="2" t="str">
        <f t="shared" si="38"/>
        <v>22</v>
      </c>
      <c r="E150" s="2" t="str">
        <f>"马栏山新媒体学院"</f>
        <v>马栏山新媒体学院</v>
      </c>
    </row>
    <row r="151" ht="13.5" hidden="1" spans="1:5">
      <c r="A151" s="2" t="str">
        <f>"阳淑"</f>
        <v>阳淑</v>
      </c>
      <c r="B151" s="2" t="str">
        <f>"B20230702126"</f>
        <v>B20230702126</v>
      </c>
      <c r="C151" s="2" t="str">
        <f>"女"</f>
        <v>女</v>
      </c>
      <c r="D151" s="2" t="str">
        <f t="shared" si="38"/>
        <v>22</v>
      </c>
      <c r="E151" s="2" t="str">
        <f>"马栏山新媒体学院"</f>
        <v>马栏山新媒体学院</v>
      </c>
    </row>
    <row r="152" ht="13.5" hidden="1" spans="1:5">
      <c r="A152" s="2" t="str">
        <f>"罗文杰"</f>
        <v>罗文杰</v>
      </c>
      <c r="B152" s="2" t="str">
        <f>"B20200402122"</f>
        <v>B20200402122</v>
      </c>
      <c r="C152" s="2" t="str">
        <f t="shared" ref="C152:C155" si="40">"男"</f>
        <v>男</v>
      </c>
      <c r="D152" s="2" t="str">
        <f t="shared" si="38"/>
        <v>22</v>
      </c>
      <c r="E152" s="2" t="str">
        <f>"电子信息与电气工程学院"</f>
        <v>电子信息与电气工程学院</v>
      </c>
    </row>
    <row r="153" ht="13.5" hidden="1" spans="1:5">
      <c r="A153" s="2" t="str">
        <f>"龙吉石"</f>
        <v>龙吉石</v>
      </c>
      <c r="B153" s="2" t="str">
        <f>"B20210701314"</f>
        <v>B20210701314</v>
      </c>
      <c r="C153" s="2" t="str">
        <f t="shared" si="40"/>
        <v>男</v>
      </c>
      <c r="D153" s="2" t="str">
        <f t="shared" si="38"/>
        <v>22</v>
      </c>
      <c r="E153" s="2" t="str">
        <f>"马栏山新媒体学院"</f>
        <v>马栏山新媒体学院</v>
      </c>
    </row>
    <row r="154" ht="13.5" hidden="1" spans="1:5">
      <c r="A154" s="2" t="str">
        <f>"张世贸"</f>
        <v>张世贸</v>
      </c>
      <c r="B154" s="2" t="str">
        <f>"B20200502230"</f>
        <v>B20200502230</v>
      </c>
      <c r="C154" s="2" t="str">
        <f t="shared" si="40"/>
        <v>男</v>
      </c>
      <c r="D154" s="2" t="str">
        <f t="shared" si="38"/>
        <v>22</v>
      </c>
      <c r="E154" s="2" t="str">
        <f>"生物与环境工程学院"</f>
        <v>生物与环境工程学院</v>
      </c>
    </row>
    <row r="155" ht="13.5" hidden="1" spans="1:5">
      <c r="A155" s="2" t="str">
        <f>"马文照"</f>
        <v>马文照</v>
      </c>
      <c r="B155" s="2" t="str">
        <f>"B20201004122"</f>
        <v>B20201004122</v>
      </c>
      <c r="C155" s="2" t="str">
        <f t="shared" si="40"/>
        <v>男</v>
      </c>
      <c r="D155" s="2" t="str">
        <f t="shared" si="38"/>
        <v>22</v>
      </c>
      <c r="E155" s="2" t="str">
        <f>"艺术设计学院"</f>
        <v>艺术设计学院</v>
      </c>
    </row>
    <row r="156" ht="13.5" hidden="1" spans="1:5">
      <c r="A156" s="2" t="str">
        <f>"黄宇宣"</f>
        <v>黄宇宣</v>
      </c>
      <c r="B156" s="2" t="str">
        <f>"B20200904113"</f>
        <v>B20200904113</v>
      </c>
      <c r="C156" s="2" t="str">
        <f t="shared" ref="C156:C160" si="41">"女"</f>
        <v>女</v>
      </c>
      <c r="D156" s="2" t="str">
        <f t="shared" ref="D156:D177" si="42">"21"</f>
        <v>21</v>
      </c>
      <c r="E156" s="2" t="str">
        <f>"经济与管理学院"</f>
        <v>经济与管理学院</v>
      </c>
    </row>
    <row r="157" ht="13.5" hidden="1" spans="1:5">
      <c r="A157" s="2" t="str">
        <f>"陈杰"</f>
        <v>陈杰</v>
      </c>
      <c r="B157" s="2" t="str">
        <f>"B20230502111"</f>
        <v>B20230502111</v>
      </c>
      <c r="C157" s="2" t="str">
        <f t="shared" ref="C157:C161" si="43">"男"</f>
        <v>男</v>
      </c>
      <c r="D157" s="2" t="str">
        <f t="shared" si="42"/>
        <v>21</v>
      </c>
      <c r="E157" s="2" t="str">
        <f>"生物与化学工程学院"</f>
        <v>生物与化学工程学院</v>
      </c>
    </row>
    <row r="158" ht="13.5" hidden="1" spans="1:5">
      <c r="A158" s="2" t="str">
        <f>"唐毅泽"</f>
        <v>唐毅泽</v>
      </c>
      <c r="B158" s="2" t="str">
        <f>"B20220202115"</f>
        <v>B20220202115</v>
      </c>
      <c r="C158" s="2" t="str">
        <f t="shared" si="43"/>
        <v>男</v>
      </c>
      <c r="D158" s="2" t="str">
        <f t="shared" si="42"/>
        <v>21</v>
      </c>
      <c r="E158" s="2" t="str">
        <f>"机电工程学院"</f>
        <v>机电工程学院</v>
      </c>
    </row>
    <row r="159" ht="13.5" hidden="1" spans="1:5">
      <c r="A159" s="2" t="str">
        <f>"王一朱"</f>
        <v>王一朱</v>
      </c>
      <c r="B159" s="2" t="str">
        <f>"B20231101215"</f>
        <v>B20231101215</v>
      </c>
      <c r="C159" s="2" t="str">
        <f t="shared" si="41"/>
        <v>女</v>
      </c>
      <c r="D159" s="2" t="str">
        <f t="shared" si="42"/>
        <v>21</v>
      </c>
      <c r="E159" s="2" t="str">
        <f>"音乐学院"</f>
        <v>音乐学院</v>
      </c>
    </row>
    <row r="160" ht="13.5" hidden="1" spans="1:5">
      <c r="A160" s="2" t="str">
        <f>"吴晓霞"</f>
        <v>吴晓霞</v>
      </c>
      <c r="B160" s="2" t="str">
        <f>"B20210701206"</f>
        <v>B20210701206</v>
      </c>
      <c r="C160" s="2" t="str">
        <f t="shared" si="41"/>
        <v>女</v>
      </c>
      <c r="D160" s="2" t="str">
        <f t="shared" si="42"/>
        <v>21</v>
      </c>
      <c r="E160" s="2" t="str">
        <f t="shared" ref="E160:E163" si="44">"马栏山新媒体学院"</f>
        <v>马栏山新媒体学院</v>
      </c>
    </row>
    <row r="161" ht="13.5" hidden="1" spans="1:5">
      <c r="A161" s="2" t="str">
        <f>"肖迪琨"</f>
        <v>肖迪琨</v>
      </c>
      <c r="B161" s="2" t="str">
        <f>"B20200102119"</f>
        <v>B20200102119</v>
      </c>
      <c r="C161" s="2" t="str">
        <f t="shared" si="43"/>
        <v>男</v>
      </c>
      <c r="D161" s="2" t="str">
        <f t="shared" si="42"/>
        <v>21</v>
      </c>
      <c r="E161" s="2" t="str">
        <f>"土木工程学院"</f>
        <v>土木工程学院</v>
      </c>
    </row>
    <row r="162" ht="13.5" hidden="1" spans="1:5">
      <c r="A162" s="2" t="str">
        <f>"罗贻琳"</f>
        <v>罗贻琳</v>
      </c>
      <c r="B162" s="2" t="str">
        <f>"B20200704414"</f>
        <v>B20200704414</v>
      </c>
      <c r="C162" s="2" t="str">
        <f t="shared" ref="C162:C165" si="45">"女"</f>
        <v>女</v>
      </c>
      <c r="D162" s="2" t="str">
        <f t="shared" si="42"/>
        <v>21</v>
      </c>
      <c r="E162" s="2" t="str">
        <f t="shared" si="44"/>
        <v>马栏山新媒体学院</v>
      </c>
    </row>
    <row r="163" ht="13.5" hidden="1" spans="1:5">
      <c r="A163" s="2" t="str">
        <f>"彭润泽"</f>
        <v>彭润泽</v>
      </c>
      <c r="B163" s="2" t="str">
        <f>"B20200901422"</f>
        <v>B20200901422</v>
      </c>
      <c r="C163" s="2" t="str">
        <f>"男"</f>
        <v>男</v>
      </c>
      <c r="D163" s="2" t="str">
        <f t="shared" si="42"/>
        <v>21</v>
      </c>
      <c r="E163" s="2" t="str">
        <f t="shared" si="44"/>
        <v>马栏山新媒体学院</v>
      </c>
    </row>
    <row r="164" ht="13.5" hidden="1" spans="1:5">
      <c r="A164" s="2" t="str">
        <f>"吕汶洁"</f>
        <v>吕汶洁</v>
      </c>
      <c r="B164" s="2" t="str">
        <f>"B20220803208"</f>
        <v>B20220803208</v>
      </c>
      <c r="C164" s="2" t="str">
        <f t="shared" si="45"/>
        <v>女</v>
      </c>
      <c r="D164" s="2" t="str">
        <f t="shared" si="42"/>
        <v>21</v>
      </c>
      <c r="E164" s="2" t="str">
        <f>"外国语学院"</f>
        <v>外国语学院</v>
      </c>
    </row>
    <row r="165" ht="13.5" hidden="1" spans="1:5">
      <c r="A165" s="2" t="str">
        <f>"刘欣"</f>
        <v>刘欣</v>
      </c>
      <c r="B165" s="2" t="str">
        <f>"B20200902111"</f>
        <v>B20200902111</v>
      </c>
      <c r="C165" s="2" t="str">
        <f t="shared" si="45"/>
        <v>女</v>
      </c>
      <c r="D165" s="2" t="str">
        <f t="shared" si="42"/>
        <v>21</v>
      </c>
      <c r="E165" s="2" t="str">
        <f>"经济与管理学院"</f>
        <v>经济与管理学院</v>
      </c>
    </row>
    <row r="166" ht="13.5" hidden="1" spans="1:5">
      <c r="A166" s="2" t="str">
        <f>"龙洪安"</f>
        <v>龙洪安</v>
      </c>
      <c r="B166" s="2" t="str">
        <f>"B20180402229"</f>
        <v>B20180402229</v>
      </c>
      <c r="C166" s="2" t="str">
        <f>"男"</f>
        <v>男</v>
      </c>
      <c r="D166" s="2" t="str">
        <f t="shared" si="42"/>
        <v>21</v>
      </c>
      <c r="E166" s="2" t="str">
        <f>"电子信息与电气工程学院"</f>
        <v>电子信息与电气工程学院</v>
      </c>
    </row>
    <row r="167" ht="13.5" hidden="1" spans="1:5">
      <c r="A167" s="2" t="str">
        <f>"瞿紫微"</f>
        <v>瞿紫微</v>
      </c>
      <c r="B167" s="2" t="str">
        <f>"B20210904210"</f>
        <v>B20210904210</v>
      </c>
      <c r="C167" s="2" t="str">
        <f>"女"</f>
        <v>女</v>
      </c>
      <c r="D167" s="2" t="str">
        <f t="shared" si="42"/>
        <v>21</v>
      </c>
      <c r="E167" s="2" t="str">
        <f>"经济与管理学院"</f>
        <v>经济与管理学院</v>
      </c>
    </row>
    <row r="168" ht="13.5" hidden="1" spans="1:5">
      <c r="A168" s="2" t="str">
        <f>"李靓颖"</f>
        <v>李靓颖</v>
      </c>
      <c r="B168" s="2" t="str">
        <f>"B20230904104"</f>
        <v>B20230904104</v>
      </c>
      <c r="C168" s="2" t="str">
        <f>"女"</f>
        <v>女</v>
      </c>
      <c r="D168" s="2" t="str">
        <f t="shared" si="42"/>
        <v>21</v>
      </c>
      <c r="E168" s="2" t="str">
        <f>"经济与管理学院"</f>
        <v>经济与管理学院</v>
      </c>
    </row>
    <row r="169" ht="13.5" hidden="1" spans="1:5">
      <c r="A169" s="2" t="str">
        <f>"黄琳"</f>
        <v>黄琳</v>
      </c>
      <c r="B169" s="2" t="str">
        <f>"B20230701302"</f>
        <v>B20230701302</v>
      </c>
      <c r="C169" s="2" t="str">
        <f>"女"</f>
        <v>女</v>
      </c>
      <c r="D169" s="2" t="str">
        <f t="shared" si="42"/>
        <v>21</v>
      </c>
      <c r="E169" s="2" t="str">
        <f>"马栏山新媒体学院"</f>
        <v>马栏山新媒体学院</v>
      </c>
    </row>
    <row r="170" ht="13.5" hidden="1" spans="1:5">
      <c r="A170" s="2" t="str">
        <f>"邓志强"</f>
        <v>邓志强</v>
      </c>
      <c r="B170" s="2" t="str">
        <f>"B20220802219"</f>
        <v>B20220802219</v>
      </c>
      <c r="C170" s="2" t="str">
        <f>"男"</f>
        <v>男</v>
      </c>
      <c r="D170" s="2" t="str">
        <f t="shared" si="42"/>
        <v>21</v>
      </c>
      <c r="E170" s="2" t="str">
        <f>"外国语学院"</f>
        <v>外国语学院</v>
      </c>
    </row>
    <row r="171" ht="13.5" hidden="1" spans="1:5">
      <c r="A171" s="2" t="str">
        <f>"何泉姗"</f>
        <v>何泉姗</v>
      </c>
      <c r="B171" s="2" t="str">
        <f>"B20201004211"</f>
        <v>B20201004211</v>
      </c>
      <c r="C171" s="2" t="str">
        <f t="shared" ref="C171:C176" si="46">"女"</f>
        <v>女</v>
      </c>
      <c r="D171" s="2" t="str">
        <f t="shared" si="42"/>
        <v>21</v>
      </c>
      <c r="E171" s="2" t="str">
        <f>"艺术设计学院"</f>
        <v>艺术设计学院</v>
      </c>
    </row>
    <row r="172" ht="13.5" hidden="1" spans="1:5">
      <c r="A172" s="2" t="str">
        <f>"曾振洪"</f>
        <v>曾振洪</v>
      </c>
      <c r="B172" s="2" t="str">
        <f>"B20200903115"</f>
        <v>B20200903115</v>
      </c>
      <c r="C172" s="2" t="str">
        <f>"男"</f>
        <v>男</v>
      </c>
      <c r="D172" s="2" t="str">
        <f t="shared" si="42"/>
        <v>21</v>
      </c>
      <c r="E172" s="2" t="str">
        <f t="shared" ref="E172:E176" si="47">"经济与管理学院"</f>
        <v>经济与管理学院</v>
      </c>
    </row>
    <row r="173" ht="13.5" hidden="1" spans="1:5">
      <c r="A173" s="2" t="str">
        <f>"贺滨"</f>
        <v>贺滨</v>
      </c>
      <c r="B173" s="2" t="str">
        <f>"B20200101111"</f>
        <v>B20200101111</v>
      </c>
      <c r="C173" s="2" t="str">
        <f>"男"</f>
        <v>男</v>
      </c>
      <c r="D173" s="2" t="str">
        <f t="shared" si="42"/>
        <v>21</v>
      </c>
      <c r="E173" s="2" t="str">
        <f>"土木工程学院"</f>
        <v>土木工程学院</v>
      </c>
    </row>
    <row r="174" ht="13.5" hidden="1" spans="1:5">
      <c r="A174" s="2" t="str">
        <f>"张梦腾"</f>
        <v>张梦腾</v>
      </c>
      <c r="B174" s="2" t="str">
        <f>"B20200905223"</f>
        <v>B20200905223</v>
      </c>
      <c r="C174" s="2" t="str">
        <f t="shared" si="46"/>
        <v>女</v>
      </c>
      <c r="D174" s="2" t="str">
        <f t="shared" si="42"/>
        <v>21</v>
      </c>
      <c r="E174" s="2" t="str">
        <f t="shared" si="47"/>
        <v>经济与管理学院</v>
      </c>
    </row>
    <row r="175" ht="13.5" hidden="1" spans="1:5">
      <c r="A175" s="2" t="str">
        <f>"宁帅"</f>
        <v>宁帅</v>
      </c>
      <c r="B175" s="2" t="str">
        <f>"B20230601124"</f>
        <v>B20230601124</v>
      </c>
      <c r="C175" s="2" t="str">
        <f>"男"</f>
        <v>男</v>
      </c>
      <c r="D175" s="2" t="str">
        <f t="shared" si="42"/>
        <v>21</v>
      </c>
      <c r="E175" s="2" t="str">
        <f>"法学院"</f>
        <v>法学院</v>
      </c>
    </row>
    <row r="176" ht="13.5" hidden="1" spans="1:5">
      <c r="A176" s="2" t="str">
        <f>"杨琴"</f>
        <v>杨琴</v>
      </c>
      <c r="B176" s="2" t="str">
        <f>"B20230904112"</f>
        <v>B20230904112</v>
      </c>
      <c r="C176" s="2" t="str">
        <f t="shared" si="46"/>
        <v>女</v>
      </c>
      <c r="D176" s="2" t="str">
        <f t="shared" si="42"/>
        <v>21</v>
      </c>
      <c r="E176" s="2" t="str">
        <f t="shared" si="47"/>
        <v>经济与管理学院</v>
      </c>
    </row>
    <row r="177" ht="13.5" hidden="1" spans="1:5">
      <c r="A177" s="2" t="str">
        <f>"李鑫宝"</f>
        <v>李鑫宝</v>
      </c>
      <c r="B177" s="2" t="str">
        <f>"B20200201101"</f>
        <v>B20200201101</v>
      </c>
      <c r="C177" s="2" t="str">
        <f>"男"</f>
        <v>男</v>
      </c>
      <c r="D177" s="2" t="str">
        <f t="shared" si="42"/>
        <v>21</v>
      </c>
      <c r="E177" s="2" t="str">
        <f>"机电工程学院"</f>
        <v>机电工程学院</v>
      </c>
    </row>
    <row r="178" ht="13.5" hidden="1" spans="1:5">
      <c r="A178" s="2" t="str">
        <f>"韩立辉"</f>
        <v>韩立辉</v>
      </c>
      <c r="B178" s="2" t="str">
        <f>"B20201004202"</f>
        <v>B20201004202</v>
      </c>
      <c r="C178" s="2" t="str">
        <f>"男"</f>
        <v>男</v>
      </c>
      <c r="D178" s="2" t="str">
        <f t="shared" ref="D178:D196" si="48">"21"</f>
        <v>21</v>
      </c>
      <c r="E178" s="2" t="str">
        <f>"艺术设计学院"</f>
        <v>艺术设计学院</v>
      </c>
    </row>
    <row r="179" ht="13.5" hidden="1" spans="1:5">
      <c r="A179" s="2" t="str">
        <f>"欧艺华"</f>
        <v>欧艺华</v>
      </c>
      <c r="B179" s="2" t="str">
        <f>"B20201004212"</f>
        <v>B20201004212</v>
      </c>
      <c r="C179" s="2" t="str">
        <f t="shared" ref="C179:C188" si="49">"女"</f>
        <v>女</v>
      </c>
      <c r="D179" s="2" t="str">
        <f t="shared" si="48"/>
        <v>21</v>
      </c>
      <c r="E179" s="2" t="str">
        <f>"艺术设计学院"</f>
        <v>艺术设计学院</v>
      </c>
    </row>
    <row r="180" ht="13.5" hidden="1" spans="1:5">
      <c r="A180" s="2" t="str">
        <f>"丁彦丞"</f>
        <v>丁彦丞</v>
      </c>
      <c r="B180" s="2" t="str">
        <f>"B20200101630"</f>
        <v>B20200101630</v>
      </c>
      <c r="C180" s="2" t="str">
        <f>"男"</f>
        <v>男</v>
      </c>
      <c r="D180" s="2" t="str">
        <f t="shared" si="48"/>
        <v>21</v>
      </c>
      <c r="E180" s="2" t="str">
        <f>"土木工程学院"</f>
        <v>土木工程学院</v>
      </c>
    </row>
    <row r="181" ht="13.5" hidden="1" spans="1:5">
      <c r="A181" s="2" t="str">
        <f>"王宇"</f>
        <v>王宇</v>
      </c>
      <c r="B181" s="2" t="str">
        <f>"B20230402110"</f>
        <v>B20230402110</v>
      </c>
      <c r="C181" s="2" t="str">
        <f t="shared" si="49"/>
        <v>女</v>
      </c>
      <c r="D181" s="2" t="str">
        <f t="shared" si="48"/>
        <v>21</v>
      </c>
      <c r="E181" s="2" t="str">
        <f>"电子信息与电气工程学院"</f>
        <v>电子信息与电气工程学院</v>
      </c>
    </row>
    <row r="182" ht="13.5" hidden="1" spans="1:5">
      <c r="A182" s="2" t="str">
        <f>"张骏豪"</f>
        <v>张骏豪</v>
      </c>
      <c r="B182" s="2" t="str">
        <f>"B20200501203"</f>
        <v>B20200501203</v>
      </c>
      <c r="C182" s="2" t="str">
        <f>"男"</f>
        <v>男</v>
      </c>
      <c r="D182" s="2" t="str">
        <f t="shared" si="48"/>
        <v>21</v>
      </c>
      <c r="E182" s="2" t="str">
        <f>"生物与环境工程学院"</f>
        <v>生物与环境工程学院</v>
      </c>
    </row>
    <row r="183" ht="13.5" hidden="1" spans="1:5">
      <c r="A183" s="2" t="str">
        <f>"崔书琴"</f>
        <v>崔书琴</v>
      </c>
      <c r="B183" s="2" t="str">
        <f>"B20220801424"</f>
        <v>B20220801424</v>
      </c>
      <c r="C183" s="2" t="str">
        <f t="shared" si="49"/>
        <v>女</v>
      </c>
      <c r="D183" s="2" t="str">
        <f t="shared" si="48"/>
        <v>21</v>
      </c>
      <c r="E183" s="2" t="str">
        <f>"外国语学院"</f>
        <v>外国语学院</v>
      </c>
    </row>
    <row r="184" ht="13.5" hidden="1" spans="1:5">
      <c r="A184" s="2" t="str">
        <f>"于诗璇"</f>
        <v>于诗璇</v>
      </c>
      <c r="B184" s="2" t="str">
        <f>"B20201003211"</f>
        <v>B20201003211</v>
      </c>
      <c r="C184" s="2" t="str">
        <f t="shared" si="49"/>
        <v>女</v>
      </c>
      <c r="D184" s="2" t="str">
        <f t="shared" si="48"/>
        <v>21</v>
      </c>
      <c r="E184" s="2" t="str">
        <f>"艺术设计学院"</f>
        <v>艺术设计学院</v>
      </c>
    </row>
    <row r="185" ht="13.5" hidden="1" spans="1:5">
      <c r="A185" s="2" t="str">
        <f>"邹佳桓"</f>
        <v>邹佳桓</v>
      </c>
      <c r="B185" s="2" t="str">
        <f>"B20200904206"</f>
        <v>B20200904206</v>
      </c>
      <c r="C185" s="2" t="str">
        <f t="shared" si="49"/>
        <v>女</v>
      </c>
      <c r="D185" s="2" t="str">
        <f t="shared" si="48"/>
        <v>21</v>
      </c>
      <c r="E185" s="2" t="str">
        <f>"经济与管理学院"</f>
        <v>经济与管理学院</v>
      </c>
    </row>
    <row r="186" ht="13.5" hidden="1" spans="1:5">
      <c r="A186" s="2" t="str">
        <f>"曾伊"</f>
        <v>曾伊</v>
      </c>
      <c r="B186" s="2" t="str">
        <f>"B20200703310"</f>
        <v>B20200703310</v>
      </c>
      <c r="C186" s="2" t="str">
        <f t="shared" si="49"/>
        <v>女</v>
      </c>
      <c r="D186" s="2" t="str">
        <f t="shared" si="48"/>
        <v>21</v>
      </c>
      <c r="E186" s="2" t="str">
        <f t="shared" ref="E186:E191" si="50">"马栏山新媒体学院"</f>
        <v>马栏山新媒体学院</v>
      </c>
    </row>
    <row r="187" ht="13.5" hidden="1" spans="1:5">
      <c r="A187" s="2" t="str">
        <f>"赵雯婷"</f>
        <v>赵雯婷</v>
      </c>
      <c r="B187" s="2" t="str">
        <f>"B20220501101"</f>
        <v>B20220501101</v>
      </c>
      <c r="C187" s="2" t="str">
        <f t="shared" si="49"/>
        <v>女</v>
      </c>
      <c r="D187" s="2" t="str">
        <f t="shared" si="48"/>
        <v>21</v>
      </c>
      <c r="E187" s="2" t="str">
        <f>"生物与化学工程学院"</f>
        <v>生物与化学工程学院</v>
      </c>
    </row>
    <row r="188" ht="13.5" hidden="1" spans="1:5">
      <c r="A188" s="2" t="str">
        <f>"唐红娟"</f>
        <v>唐红娟</v>
      </c>
      <c r="B188" s="2" t="str">
        <f>"B20210702116"</f>
        <v>B20210702116</v>
      </c>
      <c r="C188" s="2" t="str">
        <f t="shared" si="49"/>
        <v>女</v>
      </c>
      <c r="D188" s="2" t="str">
        <f t="shared" si="48"/>
        <v>21</v>
      </c>
      <c r="E188" s="2" t="str">
        <f t="shared" si="50"/>
        <v>马栏山新媒体学院</v>
      </c>
    </row>
    <row r="189" ht="13.5" hidden="1" spans="1:5">
      <c r="A189" s="2" t="str">
        <f>"沈俞杰"</f>
        <v>沈俞杰</v>
      </c>
      <c r="B189" s="2" t="str">
        <f>"B20220801229"</f>
        <v>B20220801229</v>
      </c>
      <c r="C189" s="2" t="str">
        <f>"男"</f>
        <v>男</v>
      </c>
      <c r="D189" s="2" t="str">
        <f t="shared" si="48"/>
        <v>21</v>
      </c>
      <c r="E189" s="2" t="str">
        <f>"外国语学院"</f>
        <v>外国语学院</v>
      </c>
    </row>
    <row r="190" ht="13.5" hidden="1" spans="1:5">
      <c r="A190" s="2" t="str">
        <f>"林长坤"</f>
        <v>林长坤</v>
      </c>
      <c r="B190" s="2" t="str">
        <f>"B20230904212"</f>
        <v>B20230904212</v>
      </c>
      <c r="C190" s="2" t="str">
        <f t="shared" ref="C190:C194" si="51">"女"</f>
        <v>女</v>
      </c>
      <c r="D190" s="2" t="str">
        <f t="shared" si="48"/>
        <v>21</v>
      </c>
      <c r="E190" s="2" t="str">
        <f>"经济与管理学院"</f>
        <v>经济与管理学院</v>
      </c>
    </row>
    <row r="191" ht="13.5" hidden="1" spans="1:5">
      <c r="A191" s="2" t="str">
        <f>"何倩"</f>
        <v>何倩</v>
      </c>
      <c r="B191" s="2" t="str">
        <f>"B20210702108"</f>
        <v>B20210702108</v>
      </c>
      <c r="C191" s="2" t="str">
        <f t="shared" si="51"/>
        <v>女</v>
      </c>
      <c r="D191" s="2" t="str">
        <f t="shared" si="48"/>
        <v>21</v>
      </c>
      <c r="E191" s="2" t="str">
        <f t="shared" si="50"/>
        <v>马栏山新媒体学院</v>
      </c>
    </row>
    <row r="192" ht="13.5" hidden="1" spans="1:5">
      <c r="A192" s="2" t="str">
        <f>"陈啸"</f>
        <v>陈啸</v>
      </c>
      <c r="B192" s="2" t="str">
        <f>"B20200101334"</f>
        <v>B20200101334</v>
      </c>
      <c r="C192" s="2" t="str">
        <f>"男"</f>
        <v>男</v>
      </c>
      <c r="D192" s="2" t="str">
        <f t="shared" si="48"/>
        <v>21</v>
      </c>
      <c r="E192" s="2" t="str">
        <f>"土木工程学院"</f>
        <v>土木工程学院</v>
      </c>
    </row>
    <row r="193" ht="13.5" hidden="1" spans="1:5">
      <c r="A193" s="2" t="str">
        <f>"叶佳敏"</f>
        <v>叶佳敏</v>
      </c>
      <c r="B193" s="2" t="str">
        <f>"B20201101126"</f>
        <v>B20201101126</v>
      </c>
      <c r="C193" s="2" t="str">
        <f t="shared" si="51"/>
        <v>女</v>
      </c>
      <c r="D193" s="2" t="str">
        <f t="shared" si="48"/>
        <v>21</v>
      </c>
      <c r="E193" s="2" t="str">
        <f>"音乐学院"</f>
        <v>音乐学院</v>
      </c>
    </row>
    <row r="194" ht="13.5" hidden="1" spans="1:5">
      <c r="A194" s="2" t="str">
        <f>"肖海利"</f>
        <v>肖海利</v>
      </c>
      <c r="B194" s="2" t="str">
        <f>"B20230504109"</f>
        <v>B20230504109</v>
      </c>
      <c r="C194" s="2" t="str">
        <f t="shared" si="51"/>
        <v>女</v>
      </c>
      <c r="D194" s="2" t="str">
        <f t="shared" si="48"/>
        <v>21</v>
      </c>
      <c r="E194" s="2" t="str">
        <f>"生物与化学工程学院"</f>
        <v>生物与化学工程学院</v>
      </c>
    </row>
    <row r="195" ht="13.5" hidden="1" spans="1:5">
      <c r="A195" s="2" t="str">
        <f>"何琪然"</f>
        <v>何琪然</v>
      </c>
      <c r="B195" s="2" t="str">
        <f>"B20200505136"</f>
        <v>B20200505136</v>
      </c>
      <c r="C195" s="2" t="str">
        <f>"男"</f>
        <v>男</v>
      </c>
      <c r="D195" s="2" t="str">
        <f t="shared" si="48"/>
        <v>21</v>
      </c>
      <c r="E195" s="2" t="str">
        <f>"生物与环境工程学院"</f>
        <v>生物与环境工程学院</v>
      </c>
    </row>
    <row r="196" ht="13.5" hidden="1" spans="1:5">
      <c r="A196" s="2" t="str">
        <f>"虞兆涵"</f>
        <v>虞兆涵</v>
      </c>
      <c r="B196" s="2" t="str">
        <f>"B20220801426"</f>
        <v>B20220801426</v>
      </c>
      <c r="C196" s="2" t="str">
        <f>"女"</f>
        <v>女</v>
      </c>
      <c r="D196" s="2" t="str">
        <f t="shared" si="48"/>
        <v>21</v>
      </c>
      <c r="E196" s="2" t="str">
        <f>"外国语学院"</f>
        <v>外国语学院</v>
      </c>
    </row>
    <row r="197" ht="13.5" hidden="1" spans="1:5">
      <c r="A197" s="2" t="str">
        <f>"向栩征"</f>
        <v>向栩征</v>
      </c>
      <c r="B197" s="2" t="str">
        <f>"B20200204202"</f>
        <v>B20200204202</v>
      </c>
      <c r="C197" s="2" t="str">
        <f>"男"</f>
        <v>男</v>
      </c>
      <c r="D197" s="2" t="str">
        <f t="shared" ref="D197:D233" si="52">"20"</f>
        <v>20</v>
      </c>
      <c r="E197" s="2" t="str">
        <f>"机电工程学院"</f>
        <v>机电工程学院</v>
      </c>
    </row>
    <row r="198" ht="13.5" hidden="1" spans="1:5">
      <c r="A198" s="2" t="str">
        <f>"孙晴"</f>
        <v>孙晴</v>
      </c>
      <c r="B198" s="2" t="str">
        <f>"B20200904109"</f>
        <v>B20200904109</v>
      </c>
      <c r="C198" s="2" t="str">
        <f>"女"</f>
        <v>女</v>
      </c>
      <c r="D198" s="2" t="str">
        <f t="shared" si="52"/>
        <v>20</v>
      </c>
      <c r="E198" s="2" t="str">
        <f>"经济与管理学院"</f>
        <v>经济与管理学院</v>
      </c>
    </row>
    <row r="199" ht="13.5" hidden="1" spans="1:5">
      <c r="A199" s="2" t="str">
        <f>"何娅婷"</f>
        <v>何娅婷</v>
      </c>
      <c r="B199" s="2" t="str">
        <f>"B20200904135"</f>
        <v>B20200904135</v>
      </c>
      <c r="C199" s="2" t="str">
        <f t="shared" ref="C199:C203" si="53">"女"</f>
        <v>女</v>
      </c>
      <c r="D199" s="2" t="str">
        <f t="shared" si="52"/>
        <v>20</v>
      </c>
      <c r="E199" s="2" t="str">
        <f>"经济与管理学院"</f>
        <v>经济与管理学院</v>
      </c>
    </row>
    <row r="200" ht="13.5" hidden="1" spans="1:5">
      <c r="A200" s="2" t="str">
        <f>"朱明晓"</f>
        <v>朱明晓</v>
      </c>
      <c r="B200" s="2" t="str">
        <f>"B20201003117"</f>
        <v>B20201003117</v>
      </c>
      <c r="C200" s="2" t="str">
        <f t="shared" si="53"/>
        <v>女</v>
      </c>
      <c r="D200" s="2" t="str">
        <f t="shared" si="52"/>
        <v>20</v>
      </c>
      <c r="E200" s="2" t="str">
        <f>"艺术设计学院"</f>
        <v>艺术设计学院</v>
      </c>
    </row>
    <row r="201" ht="13.5" hidden="1" spans="1:5">
      <c r="A201" s="2" t="str">
        <f>"吴可非"</f>
        <v>吴可非</v>
      </c>
      <c r="B201" s="2" t="str">
        <f>"B20190704319"</f>
        <v>B20190704319</v>
      </c>
      <c r="C201" s="2" t="str">
        <f t="shared" si="53"/>
        <v>女</v>
      </c>
      <c r="D201" s="2" t="str">
        <f t="shared" si="52"/>
        <v>20</v>
      </c>
      <c r="E201" s="2" t="str">
        <f>"影视艺术与文化传播学院"</f>
        <v>影视艺术与文化传播学院</v>
      </c>
    </row>
    <row r="202" ht="13.5" hidden="1" spans="1:5">
      <c r="A202" s="2" t="str">
        <f>"陈美静"</f>
        <v>陈美静</v>
      </c>
      <c r="B202" s="2" t="str">
        <f>"B20201003116"</f>
        <v>B20201003116</v>
      </c>
      <c r="C202" s="2" t="str">
        <f t="shared" si="53"/>
        <v>女</v>
      </c>
      <c r="D202" s="2" t="str">
        <f t="shared" si="52"/>
        <v>20</v>
      </c>
      <c r="E202" s="2" t="str">
        <f>"艺术设计学院"</f>
        <v>艺术设计学院</v>
      </c>
    </row>
    <row r="203" ht="13.5" hidden="1" spans="1:5">
      <c r="A203" s="2" t="str">
        <f>"林芷涵"</f>
        <v>林芷涵</v>
      </c>
      <c r="B203" s="2" t="str">
        <f>"B20191003125"</f>
        <v>B20191003125</v>
      </c>
      <c r="C203" s="2" t="str">
        <f t="shared" si="53"/>
        <v>女</v>
      </c>
      <c r="D203" s="2" t="str">
        <f t="shared" si="52"/>
        <v>20</v>
      </c>
      <c r="E203" s="2" t="str">
        <f>"艺术设计学院"</f>
        <v>艺术设计学院</v>
      </c>
    </row>
    <row r="204" ht="13.5" hidden="1" spans="1:5">
      <c r="A204" s="2" t="str">
        <f>"杨卓"</f>
        <v>杨卓</v>
      </c>
      <c r="B204" s="2" t="str">
        <f>"B20180101103"</f>
        <v>B20180101103</v>
      </c>
      <c r="C204" s="2" t="str">
        <f>"男"</f>
        <v>男</v>
      </c>
      <c r="D204" s="2" t="str">
        <f t="shared" si="52"/>
        <v>20</v>
      </c>
      <c r="E204" s="2" t="str">
        <f>"土木工程学院"</f>
        <v>土木工程学院</v>
      </c>
    </row>
    <row r="205" ht="13.5" hidden="1" spans="1:5">
      <c r="A205" s="2" t="str">
        <f>"王泽仁"</f>
        <v>王泽仁</v>
      </c>
      <c r="B205" s="2" t="str">
        <f>"B20200201222"</f>
        <v>B20200201222</v>
      </c>
      <c r="C205" s="2" t="str">
        <f>"男"</f>
        <v>男</v>
      </c>
      <c r="D205" s="2" t="str">
        <f t="shared" si="52"/>
        <v>20</v>
      </c>
      <c r="E205" s="2" t="str">
        <f>"机电工程学院"</f>
        <v>机电工程学院</v>
      </c>
    </row>
    <row r="206" ht="13.5" hidden="1" spans="1:5">
      <c r="A206" s="2" t="str">
        <f>"宋榕焘"</f>
        <v>宋榕焘</v>
      </c>
      <c r="B206" s="2" t="str">
        <f>"B20200401222"</f>
        <v>B20200401222</v>
      </c>
      <c r="C206" s="2" t="str">
        <f>"男"</f>
        <v>男</v>
      </c>
      <c r="D206" s="2" t="str">
        <f t="shared" si="52"/>
        <v>20</v>
      </c>
      <c r="E206" s="2" t="str">
        <f>"电子信息与电气工程学院"</f>
        <v>电子信息与电气工程学院</v>
      </c>
    </row>
    <row r="207" ht="13.5" hidden="1" spans="1:5">
      <c r="A207" s="2" t="str">
        <f>"张瀚"</f>
        <v>张瀚</v>
      </c>
      <c r="B207" s="2" t="str">
        <f>"B20200502202"</f>
        <v>B20200502202</v>
      </c>
      <c r="C207" s="2" t="str">
        <f t="shared" ref="C207:C210" si="54">"男"</f>
        <v>男</v>
      </c>
      <c r="D207" s="2" t="str">
        <f t="shared" si="52"/>
        <v>20</v>
      </c>
      <c r="E207" s="2" t="str">
        <f>"生物与环境工程学院"</f>
        <v>生物与环境工程学院</v>
      </c>
    </row>
    <row r="208" ht="13.5" hidden="1" spans="1:5">
      <c r="A208" s="2" t="str">
        <f>"刘志鹏"</f>
        <v>刘志鹏</v>
      </c>
      <c r="B208" s="2" t="str">
        <f>"B20200101331"</f>
        <v>B20200101331</v>
      </c>
      <c r="C208" s="2" t="str">
        <f t="shared" si="54"/>
        <v>男</v>
      </c>
      <c r="D208" s="2" t="str">
        <f t="shared" si="52"/>
        <v>20</v>
      </c>
      <c r="E208" s="2" t="str">
        <f>"土木工程学院"</f>
        <v>土木工程学院</v>
      </c>
    </row>
    <row r="209" ht="13.5" hidden="1" spans="1:5">
      <c r="A209" s="2" t="str">
        <f>"曾柯瑀"</f>
        <v>曾柯瑀</v>
      </c>
      <c r="B209" s="2" t="str">
        <f>"B20210801101"</f>
        <v>B20210801101</v>
      </c>
      <c r="C209" s="2" t="str">
        <f>"女"</f>
        <v>女</v>
      </c>
      <c r="D209" s="2" t="str">
        <f t="shared" si="52"/>
        <v>20</v>
      </c>
      <c r="E209" s="2" t="str">
        <f>"外国语学院"</f>
        <v>外国语学院</v>
      </c>
    </row>
    <row r="210" ht="13.5" hidden="1" spans="1:5">
      <c r="A210" s="2" t="str">
        <f>"刘洋"</f>
        <v>刘洋</v>
      </c>
      <c r="B210" s="2" t="str">
        <f>"B20231302213"</f>
        <v>B20231302213</v>
      </c>
      <c r="C210" s="2" t="str">
        <f t="shared" si="54"/>
        <v>男</v>
      </c>
      <c r="D210" s="2" t="str">
        <f t="shared" si="52"/>
        <v>20</v>
      </c>
      <c r="E210" s="2" t="str">
        <f>"材料与环境工程学院"</f>
        <v>材料与环境工程学院</v>
      </c>
    </row>
    <row r="211" ht="13.5" hidden="1" spans="1:5">
      <c r="A211" s="2" t="str">
        <f>"林依晗"</f>
        <v>林依晗</v>
      </c>
      <c r="B211" s="2" t="str">
        <f>"B20190802116"</f>
        <v>B20190802116</v>
      </c>
      <c r="C211" s="2" t="str">
        <f>"女"</f>
        <v>女</v>
      </c>
      <c r="D211" s="2" t="str">
        <f t="shared" si="52"/>
        <v>20</v>
      </c>
      <c r="E211" s="2" t="str">
        <f>"马栏山新媒体学院"</f>
        <v>马栏山新媒体学院</v>
      </c>
    </row>
    <row r="212" ht="13.5" hidden="1" spans="1:5">
      <c r="A212" s="2" t="str">
        <f>"陈佳伟"</f>
        <v>陈佳伟</v>
      </c>
      <c r="B212" s="2" t="str">
        <f>"B20190101617"</f>
        <v>B20190101617</v>
      </c>
      <c r="C212" s="2" t="str">
        <f t="shared" ref="C212:C216" si="55">"男"</f>
        <v>男</v>
      </c>
      <c r="D212" s="2" t="str">
        <f t="shared" si="52"/>
        <v>20</v>
      </c>
      <c r="E212" s="2" t="str">
        <f>"土木工程学院"</f>
        <v>土木工程学院</v>
      </c>
    </row>
    <row r="213" ht="13.5" hidden="1" spans="1:5">
      <c r="A213" s="2" t="str">
        <f>"杨家琪"</f>
        <v>杨家琪</v>
      </c>
      <c r="B213" s="2" t="str">
        <f>"B20210801417"</f>
        <v>B20210801417</v>
      </c>
      <c r="C213" s="2" t="str">
        <f t="shared" ref="C213:C218" si="56">"女"</f>
        <v>女</v>
      </c>
      <c r="D213" s="2" t="str">
        <f t="shared" si="52"/>
        <v>20</v>
      </c>
      <c r="E213" s="2" t="str">
        <f t="shared" ref="E213:E217" si="57">"外国语学院"</f>
        <v>外国语学院</v>
      </c>
    </row>
    <row r="214" ht="13.5" hidden="1" spans="1:5">
      <c r="A214" s="2" t="str">
        <f>"刘豪杰"</f>
        <v>刘豪杰</v>
      </c>
      <c r="B214" s="2" t="str">
        <f>"B20220204226"</f>
        <v>B20220204226</v>
      </c>
      <c r="C214" s="2" t="str">
        <f t="shared" si="55"/>
        <v>男</v>
      </c>
      <c r="D214" s="2" t="str">
        <f t="shared" si="52"/>
        <v>20</v>
      </c>
      <c r="E214" s="2" t="str">
        <f>"机电工程学院"</f>
        <v>机电工程学院</v>
      </c>
    </row>
    <row r="215" ht="13.5" hidden="1" spans="1:5">
      <c r="A215" s="2" t="str">
        <f>"王思颖"</f>
        <v>王思颖</v>
      </c>
      <c r="B215" s="2" t="str">
        <f>"B20220801406"</f>
        <v>B20220801406</v>
      </c>
      <c r="C215" s="2" t="str">
        <f t="shared" si="56"/>
        <v>女</v>
      </c>
      <c r="D215" s="2" t="str">
        <f t="shared" si="52"/>
        <v>20</v>
      </c>
      <c r="E215" s="2" t="str">
        <f t="shared" si="57"/>
        <v>外国语学院</v>
      </c>
    </row>
    <row r="216" ht="13.5" hidden="1" spans="1:5">
      <c r="A216" s="2" t="str">
        <f>"肖玉强"</f>
        <v>肖玉强</v>
      </c>
      <c r="B216" s="2" t="str">
        <f>"B20180201405"</f>
        <v>B20180201405</v>
      </c>
      <c r="C216" s="2" t="str">
        <f t="shared" si="55"/>
        <v>男</v>
      </c>
      <c r="D216" s="2" t="str">
        <f t="shared" si="52"/>
        <v>20</v>
      </c>
      <c r="E216" s="2" t="str">
        <f>"机电工程学院"</f>
        <v>机电工程学院</v>
      </c>
    </row>
    <row r="217" ht="13.5" hidden="1" spans="1:5">
      <c r="A217" s="2" t="str">
        <f>"吴彤"</f>
        <v>吴彤</v>
      </c>
      <c r="B217" s="2" t="str">
        <f>"B20220801125"</f>
        <v>B20220801125</v>
      </c>
      <c r="C217" s="2" t="str">
        <f t="shared" si="56"/>
        <v>女</v>
      </c>
      <c r="D217" s="2" t="str">
        <f t="shared" si="52"/>
        <v>20</v>
      </c>
      <c r="E217" s="2" t="str">
        <f t="shared" si="57"/>
        <v>外国语学院</v>
      </c>
    </row>
    <row r="218" ht="13.5" hidden="1" spans="1:5">
      <c r="A218" s="2" t="str">
        <f>"许可"</f>
        <v>许可</v>
      </c>
      <c r="B218" s="2" t="str">
        <f>"B20220702431"</f>
        <v>B20220702431</v>
      </c>
      <c r="C218" s="2" t="str">
        <f t="shared" si="56"/>
        <v>女</v>
      </c>
      <c r="D218" s="2" t="str">
        <f t="shared" si="52"/>
        <v>20</v>
      </c>
      <c r="E218" s="2" t="str">
        <f>"马栏山新媒体学院"</f>
        <v>马栏山新媒体学院</v>
      </c>
    </row>
    <row r="219" ht="13.5" hidden="1" spans="1:5">
      <c r="A219" s="2" t="str">
        <f>"唐铧鸿"</f>
        <v>唐铧鸿</v>
      </c>
      <c r="B219" s="2" t="str">
        <f>"B20200704318"</f>
        <v>B20200704318</v>
      </c>
      <c r="C219" s="2" t="str">
        <f>"男"</f>
        <v>男</v>
      </c>
      <c r="D219" s="2" t="str">
        <f t="shared" si="52"/>
        <v>20</v>
      </c>
      <c r="E219" s="2" t="str">
        <f>"马栏山新媒体学院"</f>
        <v>马栏山新媒体学院</v>
      </c>
    </row>
    <row r="220" ht="13.5" hidden="1" spans="1:5">
      <c r="A220" s="2" t="str">
        <f>"林钰芊"</f>
        <v>林钰芊</v>
      </c>
      <c r="B220" s="2" t="str">
        <f>"B20230703220"</f>
        <v>B20230703220</v>
      </c>
      <c r="C220" s="2" t="str">
        <f>"女"</f>
        <v>女</v>
      </c>
      <c r="D220" s="2" t="str">
        <f t="shared" si="52"/>
        <v>20</v>
      </c>
      <c r="E220" s="2" t="str">
        <f>"马栏山新媒体学院"</f>
        <v>马栏山新媒体学院</v>
      </c>
    </row>
    <row r="221" ht="13.5" hidden="1" spans="1:5">
      <c r="A221" s="2" t="str">
        <f>"桂星海"</f>
        <v>桂星海</v>
      </c>
      <c r="B221" s="2" t="str">
        <f>"B20230204109"</f>
        <v>B20230204109</v>
      </c>
      <c r="C221" s="2" t="str">
        <f>"男"</f>
        <v>男</v>
      </c>
      <c r="D221" s="2" t="str">
        <f t="shared" si="52"/>
        <v>20</v>
      </c>
      <c r="E221" s="2" t="str">
        <f>"机电工程学院"</f>
        <v>机电工程学院</v>
      </c>
    </row>
    <row r="222" ht="13.5" hidden="1" spans="1:5">
      <c r="A222" s="2" t="str">
        <f>"冯明珠"</f>
        <v>冯明珠</v>
      </c>
      <c r="B222" s="2" t="str">
        <f>"B20230704421"</f>
        <v>B20230704421</v>
      </c>
      <c r="C222" s="2" t="str">
        <f>"女"</f>
        <v>女</v>
      </c>
      <c r="D222" s="2" t="str">
        <f t="shared" si="52"/>
        <v>20</v>
      </c>
      <c r="E222" s="2" t="str">
        <f>"马栏山新媒体学院"</f>
        <v>马栏山新媒体学院</v>
      </c>
    </row>
    <row r="223" ht="13.5" hidden="1" spans="1:5">
      <c r="A223" s="2" t="str">
        <f>"陈柯宇"</f>
        <v>陈柯宇</v>
      </c>
      <c r="B223" s="2" t="str">
        <f>"B20220204133"</f>
        <v>B20220204133</v>
      </c>
      <c r="C223" s="2" t="str">
        <f>"男"</f>
        <v>男</v>
      </c>
      <c r="D223" s="2" t="str">
        <f t="shared" si="52"/>
        <v>20</v>
      </c>
      <c r="E223" s="2" t="str">
        <f>"机电工程学院"</f>
        <v>机电工程学院</v>
      </c>
    </row>
    <row r="224" ht="13.5" hidden="1" spans="1:5">
      <c r="A224" s="2" t="str">
        <f>"胡凤丹"</f>
        <v>胡凤丹</v>
      </c>
      <c r="B224" s="2" t="str">
        <f>"B20230803202"</f>
        <v>B20230803202</v>
      </c>
      <c r="C224" s="2" t="str">
        <f>"女"</f>
        <v>女</v>
      </c>
      <c r="D224" s="2" t="str">
        <f t="shared" si="52"/>
        <v>20</v>
      </c>
      <c r="E224" s="2" t="str">
        <f>"外国语学院"</f>
        <v>外国语学院</v>
      </c>
    </row>
    <row r="225" ht="13.5" hidden="1" spans="1:5">
      <c r="A225" s="2" t="str">
        <f>"童何蕾"</f>
        <v>童何蕾</v>
      </c>
      <c r="B225" s="2" t="str">
        <f>"B20211004212"</f>
        <v>B20211004212</v>
      </c>
      <c r="C225" s="2" t="str">
        <f>"女"</f>
        <v>女</v>
      </c>
      <c r="D225" s="2" t="str">
        <f t="shared" si="52"/>
        <v>20</v>
      </c>
      <c r="E225" s="2" t="str">
        <f>"艺术设计学院"</f>
        <v>艺术设计学院</v>
      </c>
    </row>
    <row r="226" ht="13.5" hidden="1" spans="1:5">
      <c r="A226" s="2" t="str">
        <f>"陈玖"</f>
        <v>陈玖</v>
      </c>
      <c r="B226" s="2" t="str">
        <f>"B20230101517"</f>
        <v>B20230101517</v>
      </c>
      <c r="C226" s="2" t="str">
        <f>"女"</f>
        <v>女</v>
      </c>
      <c r="D226" s="2" t="str">
        <f t="shared" si="52"/>
        <v>20</v>
      </c>
      <c r="E226" s="2" t="str">
        <f>"土木工程学院"</f>
        <v>土木工程学院</v>
      </c>
    </row>
    <row r="227" ht="13.5" hidden="1" spans="1:5">
      <c r="A227" s="2" t="str">
        <f>"刘欢"</f>
        <v>刘欢</v>
      </c>
      <c r="B227" s="2" t="str">
        <f>"B20200101325"</f>
        <v>B20200101325</v>
      </c>
      <c r="C227" s="2" t="str">
        <f>"女"</f>
        <v>女</v>
      </c>
      <c r="D227" s="2" t="str">
        <f t="shared" si="52"/>
        <v>20</v>
      </c>
      <c r="E227" s="2" t="str">
        <f>"土木工程学院"</f>
        <v>土木工程学院</v>
      </c>
    </row>
    <row r="228" ht="13.5" hidden="1" spans="1:5">
      <c r="A228" s="2" t="str">
        <f>"刘洋"</f>
        <v>刘洋</v>
      </c>
      <c r="B228" s="2" t="str">
        <f>"B20200902428"</f>
        <v>B20200902428</v>
      </c>
      <c r="C228" s="2" t="str">
        <f>"男"</f>
        <v>男</v>
      </c>
      <c r="D228" s="2" t="str">
        <f t="shared" si="52"/>
        <v>20</v>
      </c>
      <c r="E228" s="2" t="str">
        <f>"经济与管理学院"</f>
        <v>经济与管理学院</v>
      </c>
    </row>
    <row r="229" ht="13.5" hidden="1" spans="1:5">
      <c r="A229" s="2" t="str">
        <f>"徐冰"</f>
        <v>徐冰</v>
      </c>
      <c r="B229" s="2" t="str">
        <f>"B20201001215"</f>
        <v>B20201001215</v>
      </c>
      <c r="C229" s="2" t="str">
        <f>"男"</f>
        <v>男</v>
      </c>
      <c r="D229" s="2" t="str">
        <f t="shared" si="52"/>
        <v>20</v>
      </c>
      <c r="E229" s="2" t="str">
        <f>"艺术设计学院"</f>
        <v>艺术设计学院</v>
      </c>
    </row>
    <row r="230" ht="13.5" hidden="1" spans="1:5">
      <c r="A230" s="2" t="str">
        <f>"余俊凯"</f>
        <v>余俊凯</v>
      </c>
      <c r="B230" s="2" t="str">
        <f>"B20170404224"</f>
        <v>B20170404224</v>
      </c>
      <c r="C230" s="2" t="str">
        <f>"男"</f>
        <v>男</v>
      </c>
      <c r="D230" s="2" t="str">
        <f t="shared" si="52"/>
        <v>20</v>
      </c>
      <c r="E230" s="2" t="str">
        <f>"电子信息与电气工程学院"</f>
        <v>电子信息与电气工程学院</v>
      </c>
    </row>
    <row r="231" ht="13.5" hidden="1" spans="1:5">
      <c r="A231" s="2" t="str">
        <f>"赵愿强"</f>
        <v>赵愿强</v>
      </c>
      <c r="B231" s="2" t="str">
        <f>"B20200103107"</f>
        <v>B20200103107</v>
      </c>
      <c r="C231" s="2" t="str">
        <f>"男"</f>
        <v>男</v>
      </c>
      <c r="D231" s="2" t="str">
        <f t="shared" si="52"/>
        <v>20</v>
      </c>
      <c r="E231" s="2" t="str">
        <f>"土木工程学院"</f>
        <v>土木工程学院</v>
      </c>
    </row>
    <row r="232" ht="13.5" hidden="1" spans="1:5">
      <c r="A232" s="2" t="str">
        <f>"田家沧"</f>
        <v>田家沧</v>
      </c>
      <c r="B232" s="2" t="str">
        <f>"B20211101122"</f>
        <v>B20211101122</v>
      </c>
      <c r="C232" s="2" t="str">
        <f>"男"</f>
        <v>男</v>
      </c>
      <c r="D232" s="2" t="str">
        <f t="shared" si="52"/>
        <v>20</v>
      </c>
      <c r="E232" s="2" t="str">
        <f>"音乐学院"</f>
        <v>音乐学院</v>
      </c>
    </row>
    <row r="233" ht="13.5" hidden="1" spans="1:5">
      <c r="A233" s="2" t="str">
        <f>"易心悦"</f>
        <v>易心悦</v>
      </c>
      <c r="B233" s="2" t="str">
        <f>"B20210801226"</f>
        <v>B20210801226</v>
      </c>
      <c r="C233" s="2" t="str">
        <f>"女"</f>
        <v>女</v>
      </c>
      <c r="D233" s="2" t="str">
        <f t="shared" si="52"/>
        <v>20</v>
      </c>
      <c r="E233" s="2" t="str">
        <f>"外国语学院"</f>
        <v>外国语学院</v>
      </c>
    </row>
    <row r="234" ht="13.5" hidden="1" spans="1:5">
      <c r="A234" s="2" t="str">
        <f>"周连妍"</f>
        <v>周连妍</v>
      </c>
      <c r="B234" s="2" t="str">
        <f>"B20230104217"</f>
        <v>B20230104217</v>
      </c>
      <c r="C234" s="2" t="str">
        <f>"女"</f>
        <v>女</v>
      </c>
      <c r="D234" s="2" t="str">
        <f t="shared" ref="D234:D244" si="58">"20"</f>
        <v>20</v>
      </c>
      <c r="E234" s="2" t="str">
        <f>"土木工程学院"</f>
        <v>土木工程学院</v>
      </c>
    </row>
    <row r="235" ht="13.5" hidden="1" spans="1:5">
      <c r="A235" s="2" t="str">
        <f>"盛威"</f>
        <v>盛威</v>
      </c>
      <c r="B235" s="2" t="str">
        <f>"B20190901329"</f>
        <v>B20190901329</v>
      </c>
      <c r="C235" s="2" t="str">
        <f>"男"</f>
        <v>男</v>
      </c>
      <c r="D235" s="2" t="str">
        <f t="shared" si="58"/>
        <v>20</v>
      </c>
      <c r="E235" s="2" t="str">
        <f>"土木工程学院"</f>
        <v>土木工程学院</v>
      </c>
    </row>
    <row r="236" ht="13.5" hidden="1" spans="1:5">
      <c r="A236" s="2" t="str">
        <f>"伍淑云"</f>
        <v>伍淑云</v>
      </c>
      <c r="B236" s="2" t="str">
        <f>"B20230904222"</f>
        <v>B20230904222</v>
      </c>
      <c r="C236" s="2" t="str">
        <f>"女"</f>
        <v>女</v>
      </c>
      <c r="D236" s="2" t="str">
        <f t="shared" si="58"/>
        <v>20</v>
      </c>
      <c r="E236" s="2" t="str">
        <f>"经济与管理学院"</f>
        <v>经济与管理学院</v>
      </c>
    </row>
    <row r="237" ht="13.5" hidden="1" spans="1:5">
      <c r="A237" s="2" t="str">
        <f>"张嘉晨"</f>
        <v>张嘉晨</v>
      </c>
      <c r="B237" s="2" t="str">
        <f>"B20201001319"</f>
        <v>B20201001319</v>
      </c>
      <c r="C237" s="2" t="str">
        <f>"男"</f>
        <v>男</v>
      </c>
      <c r="D237" s="2" t="str">
        <f t="shared" si="58"/>
        <v>20</v>
      </c>
      <c r="E237" s="2" t="str">
        <f>"艺术设计学院"</f>
        <v>艺术设计学院</v>
      </c>
    </row>
    <row r="238" ht="13.5" hidden="1" spans="1:5">
      <c r="A238" s="2" t="str">
        <f>"杨睿轩"</f>
        <v>杨睿轩</v>
      </c>
      <c r="B238" s="2" t="str">
        <f>"B20200703213"</f>
        <v>B20200703213</v>
      </c>
      <c r="C238" s="2" t="str">
        <f>"男"</f>
        <v>男</v>
      </c>
      <c r="D238" s="2" t="str">
        <f t="shared" si="58"/>
        <v>20</v>
      </c>
      <c r="E238" s="2" t="str">
        <f>"马栏山新媒体学院"</f>
        <v>马栏山新媒体学院</v>
      </c>
    </row>
    <row r="239" ht="13.5" hidden="1" spans="1:5">
      <c r="A239" s="2" t="str">
        <f>"肖奕萱"</f>
        <v>肖奕萱</v>
      </c>
      <c r="B239" s="2" t="str">
        <f>"B20230701429"</f>
        <v>B20230701429</v>
      </c>
      <c r="C239" s="2" t="str">
        <f t="shared" ref="C239:C244" si="59">"女"</f>
        <v>女</v>
      </c>
      <c r="D239" s="2" t="str">
        <f t="shared" si="58"/>
        <v>20</v>
      </c>
      <c r="E239" s="2" t="str">
        <f>"马栏山新媒体学院"</f>
        <v>马栏山新媒体学院</v>
      </c>
    </row>
    <row r="240" ht="13.5" hidden="1" spans="1:5">
      <c r="A240" s="2" t="str">
        <f>"陈欣"</f>
        <v>陈欣</v>
      </c>
      <c r="B240" s="2" t="str">
        <f>"B20201111203"</f>
        <v>B20201111203</v>
      </c>
      <c r="C240" s="2" t="str">
        <f t="shared" si="59"/>
        <v>女</v>
      </c>
      <c r="D240" s="2" t="str">
        <f t="shared" si="58"/>
        <v>20</v>
      </c>
      <c r="E240" s="2" t="str">
        <f>"音乐学院"</f>
        <v>音乐学院</v>
      </c>
    </row>
    <row r="241" ht="13.5" hidden="1" spans="1:5">
      <c r="A241" s="2" t="str">
        <f>"邱美凤"</f>
        <v>邱美凤</v>
      </c>
      <c r="B241" s="2" t="str">
        <f>"B20230801304"</f>
        <v>B20230801304</v>
      </c>
      <c r="C241" s="2" t="str">
        <f t="shared" si="59"/>
        <v>女</v>
      </c>
      <c r="D241" s="2" t="str">
        <f t="shared" si="58"/>
        <v>20</v>
      </c>
      <c r="E241" s="2" t="str">
        <f>"外国语学院"</f>
        <v>外国语学院</v>
      </c>
    </row>
    <row r="242" ht="13.5" hidden="1" spans="1:5">
      <c r="A242" s="2" t="str">
        <f>"谭洁"</f>
        <v>谭洁</v>
      </c>
      <c r="B242" s="2" t="str">
        <f>"B20200102202"</f>
        <v>B20200102202</v>
      </c>
      <c r="C242" s="2" t="str">
        <f t="shared" si="59"/>
        <v>女</v>
      </c>
      <c r="D242" s="2" t="str">
        <f t="shared" si="58"/>
        <v>20</v>
      </c>
      <c r="E242" s="2" t="str">
        <f>"土木工程学院"</f>
        <v>土木工程学院</v>
      </c>
    </row>
    <row r="243" ht="13.5" hidden="1" spans="1:5">
      <c r="A243" s="2" t="str">
        <f>"李依群"</f>
        <v>李依群</v>
      </c>
      <c r="B243" s="2" t="str">
        <f>"B20210801106"</f>
        <v>B20210801106</v>
      </c>
      <c r="C243" s="2" t="str">
        <f t="shared" si="59"/>
        <v>女</v>
      </c>
      <c r="D243" s="2" t="str">
        <f t="shared" si="58"/>
        <v>20</v>
      </c>
      <c r="E243" s="2" t="str">
        <f>"外国语学院"</f>
        <v>外国语学院</v>
      </c>
    </row>
    <row r="244" ht="13.5" hidden="1" spans="1:5">
      <c r="A244" s="2" t="str">
        <f>"李杨"</f>
        <v>李杨</v>
      </c>
      <c r="B244" s="2" t="str">
        <f>"B20230702326"</f>
        <v>B20230702326</v>
      </c>
      <c r="C244" s="2" t="str">
        <f t="shared" si="59"/>
        <v>女</v>
      </c>
      <c r="D244" s="2" t="str">
        <f t="shared" si="58"/>
        <v>20</v>
      </c>
      <c r="E244" s="2" t="str">
        <f>"马栏山新媒体学院"</f>
        <v>马栏山新媒体学院</v>
      </c>
    </row>
    <row r="245" ht="13.5" hidden="1" spans="1:5">
      <c r="A245" s="2" t="str">
        <f>"罗本胜"</f>
        <v>罗本胜</v>
      </c>
      <c r="B245" s="2" t="str">
        <f>"B20200501235"</f>
        <v>B20200501235</v>
      </c>
      <c r="C245" s="2" t="str">
        <f>"男"</f>
        <v>男</v>
      </c>
      <c r="D245" s="2" t="str">
        <f t="shared" ref="D245:D268" si="60">"19"</f>
        <v>19</v>
      </c>
      <c r="E245" s="2" t="str">
        <f>"生物与环境工程学院"</f>
        <v>生物与环境工程学院</v>
      </c>
    </row>
    <row r="246" ht="13.5" hidden="1" spans="1:5">
      <c r="A246" s="2" t="str">
        <f>"周艳齐"</f>
        <v>周艳齐</v>
      </c>
      <c r="B246" s="2" t="str">
        <f>"B20230701111"</f>
        <v>B20230701111</v>
      </c>
      <c r="C246" s="2" t="str">
        <f>"女"</f>
        <v>女</v>
      </c>
      <c r="D246" s="2" t="str">
        <f t="shared" si="60"/>
        <v>19</v>
      </c>
      <c r="E246" s="2" t="str">
        <f>"马栏山新媒体学院"</f>
        <v>马栏山新媒体学院</v>
      </c>
    </row>
    <row r="247" ht="13.5" hidden="1" spans="1:5">
      <c r="A247" s="2" t="str">
        <f>"欧阳欣"</f>
        <v>欧阳欣</v>
      </c>
      <c r="B247" s="2" t="str">
        <f>"B20220904218"</f>
        <v>B20220904218</v>
      </c>
      <c r="C247" s="2" t="str">
        <f>"女"</f>
        <v>女</v>
      </c>
      <c r="D247" s="2" t="str">
        <f t="shared" si="60"/>
        <v>19</v>
      </c>
      <c r="E247" s="2" t="str">
        <f>"经济与管理学院"</f>
        <v>经济与管理学院</v>
      </c>
    </row>
    <row r="248" ht="13.5" hidden="1" spans="1:5">
      <c r="A248" s="2" t="str">
        <f>"林文箐"</f>
        <v>林文箐</v>
      </c>
      <c r="B248" s="2" t="str">
        <f>"B20220504406"</f>
        <v>B20220504406</v>
      </c>
      <c r="C248" s="2" t="str">
        <f>"女"</f>
        <v>女</v>
      </c>
      <c r="D248" s="2" t="str">
        <f t="shared" si="60"/>
        <v>19</v>
      </c>
      <c r="E248" s="2" t="str">
        <f>"生物与化学工程学院"</f>
        <v>生物与化学工程学院</v>
      </c>
    </row>
    <row r="249" ht="13.5" hidden="1" spans="1:5">
      <c r="A249" s="2" t="str">
        <f>"谭凯文"</f>
        <v>谭凯文</v>
      </c>
      <c r="B249" s="2" t="str">
        <f>"B20210404112"</f>
        <v>B20210404112</v>
      </c>
      <c r="C249" s="2" t="str">
        <f>"男"</f>
        <v>男</v>
      </c>
      <c r="D249" s="2" t="str">
        <f t="shared" si="60"/>
        <v>19</v>
      </c>
      <c r="E249" s="2" t="str">
        <f>"电子信息与电气工程学院"</f>
        <v>电子信息与电气工程学院</v>
      </c>
    </row>
    <row r="250" ht="13.5" hidden="1" spans="1:5">
      <c r="A250" s="2" t="str">
        <f>"洪淑仪"</f>
        <v>洪淑仪</v>
      </c>
      <c r="B250" s="2" t="str">
        <f>"B20190802301"</f>
        <v>B20190802301</v>
      </c>
      <c r="C250" s="2" t="str">
        <f>"女"</f>
        <v>女</v>
      </c>
      <c r="D250" s="2" t="str">
        <f t="shared" si="60"/>
        <v>19</v>
      </c>
      <c r="E250" s="2" t="str">
        <f>"马栏山新媒体学院"</f>
        <v>马栏山新媒体学院</v>
      </c>
    </row>
    <row r="251" ht="13.5" hidden="1" spans="1:5">
      <c r="A251" s="2" t="str">
        <f>"李英杰"</f>
        <v>李英杰</v>
      </c>
      <c r="B251" s="2" t="str">
        <f>"B20200502216"</f>
        <v>B20200502216</v>
      </c>
      <c r="C251" s="2" t="str">
        <f>"男"</f>
        <v>男</v>
      </c>
      <c r="D251" s="2" t="str">
        <f t="shared" si="60"/>
        <v>19</v>
      </c>
      <c r="E251" s="2" t="str">
        <f>"生物与环境工程学院"</f>
        <v>生物与环境工程学院</v>
      </c>
    </row>
    <row r="252" ht="13.5" hidden="1" spans="1:5">
      <c r="A252" s="2" t="str">
        <f>"吕潇"</f>
        <v>吕潇</v>
      </c>
      <c r="B252" s="2" t="str">
        <f>"B20200101225"</f>
        <v>B20200101225</v>
      </c>
      <c r="C252" s="2" t="str">
        <f>"女"</f>
        <v>女</v>
      </c>
      <c r="D252" s="2" t="str">
        <f t="shared" si="60"/>
        <v>19</v>
      </c>
      <c r="E252" s="2" t="str">
        <f t="shared" ref="E252:E256" si="61">"土木工程学院"</f>
        <v>土木工程学院</v>
      </c>
    </row>
    <row r="253" ht="13.5" hidden="1" spans="1:5">
      <c r="A253" s="2" t="str">
        <f>"郑雨曈"</f>
        <v>郑雨曈</v>
      </c>
      <c r="B253" s="2" t="str">
        <f>"B20200703417"</f>
        <v>B20200703417</v>
      </c>
      <c r="C253" s="2" t="str">
        <f>"女"</f>
        <v>女</v>
      </c>
      <c r="D253" s="2" t="str">
        <f t="shared" si="60"/>
        <v>19</v>
      </c>
      <c r="E253" s="2" t="str">
        <f>"马栏山新媒体学院"</f>
        <v>马栏山新媒体学院</v>
      </c>
    </row>
    <row r="254" ht="13.5" hidden="1" spans="1:5">
      <c r="A254" s="2" t="str">
        <f>"刘金慧"</f>
        <v>刘金慧</v>
      </c>
      <c r="B254" s="2" t="str">
        <f>"B20200101137"</f>
        <v>B20200101137</v>
      </c>
      <c r="C254" s="2" t="str">
        <f>"女"</f>
        <v>女</v>
      </c>
      <c r="D254" s="2" t="str">
        <f t="shared" si="60"/>
        <v>19</v>
      </c>
      <c r="E254" s="2" t="str">
        <f t="shared" si="61"/>
        <v>土木工程学院</v>
      </c>
    </row>
    <row r="255" ht="13.5" hidden="1" spans="1:5">
      <c r="A255" s="2" t="str">
        <f>"王鑫"</f>
        <v>王鑫</v>
      </c>
      <c r="B255" s="2" t="str">
        <f>"B20230904324"</f>
        <v>B20230904324</v>
      </c>
      <c r="C255" s="2" t="str">
        <f>"女"</f>
        <v>女</v>
      </c>
      <c r="D255" s="2" t="str">
        <f t="shared" si="60"/>
        <v>19</v>
      </c>
      <c r="E255" s="2" t="str">
        <f>"经济与管理学院"</f>
        <v>经济与管理学院</v>
      </c>
    </row>
    <row r="256" ht="13.5" hidden="1" spans="1:5">
      <c r="A256" s="2" t="str">
        <f>"刘权"</f>
        <v>刘权</v>
      </c>
      <c r="B256" s="2" t="str">
        <f>"B20200101412"</f>
        <v>B20200101412</v>
      </c>
      <c r="C256" s="2" t="str">
        <f>"男"</f>
        <v>男</v>
      </c>
      <c r="D256" s="2" t="str">
        <f t="shared" si="60"/>
        <v>19</v>
      </c>
      <c r="E256" s="2" t="str">
        <f t="shared" si="61"/>
        <v>土木工程学院</v>
      </c>
    </row>
    <row r="257" ht="13.5" hidden="1" spans="1:5">
      <c r="A257" s="2" t="str">
        <f>"莫佳琳"</f>
        <v>莫佳琳</v>
      </c>
      <c r="B257" s="2" t="str">
        <f>"B20230904318"</f>
        <v>B20230904318</v>
      </c>
      <c r="C257" s="2" t="str">
        <f>"女"</f>
        <v>女</v>
      </c>
      <c r="D257" s="2" t="str">
        <f t="shared" si="60"/>
        <v>19</v>
      </c>
      <c r="E257" s="2" t="str">
        <f>"经济与管理学院"</f>
        <v>经济与管理学院</v>
      </c>
    </row>
    <row r="258" ht="13.5" hidden="1" spans="1:5">
      <c r="A258" s="2" t="str">
        <f>"曾晨"</f>
        <v>曾晨</v>
      </c>
      <c r="B258" s="2" t="str">
        <f>"B20200701218"</f>
        <v>B20200701218</v>
      </c>
      <c r="C258" s="2" t="str">
        <f>"女"</f>
        <v>女</v>
      </c>
      <c r="D258" s="2" t="str">
        <f t="shared" si="60"/>
        <v>19</v>
      </c>
      <c r="E258" s="2" t="str">
        <f>"马栏山新媒体学院"</f>
        <v>马栏山新媒体学院</v>
      </c>
    </row>
    <row r="259" ht="13.5" hidden="1" spans="1:5">
      <c r="A259" s="2" t="str">
        <f>"高诗琪"</f>
        <v>高诗琪</v>
      </c>
      <c r="B259" s="2" t="str">
        <f>"B20200904211"</f>
        <v>B20200904211</v>
      </c>
      <c r="C259" s="2" t="str">
        <f>"女"</f>
        <v>女</v>
      </c>
      <c r="D259" s="2" t="str">
        <f t="shared" si="60"/>
        <v>19</v>
      </c>
      <c r="E259" s="2" t="str">
        <f>"经济与管理学院"</f>
        <v>经济与管理学院</v>
      </c>
    </row>
    <row r="260" ht="13.5" hidden="1" spans="1:5">
      <c r="A260" s="2" t="str">
        <f>"邓朝恒"</f>
        <v>邓朝恒</v>
      </c>
      <c r="B260" s="2" t="str">
        <f>"B20210203224"</f>
        <v>B20210203224</v>
      </c>
      <c r="C260" s="2" t="str">
        <f t="shared" ref="C258:C263" si="62">"男"</f>
        <v>男</v>
      </c>
      <c r="D260" s="2" t="str">
        <f t="shared" si="60"/>
        <v>19</v>
      </c>
      <c r="E260" s="2" t="str">
        <f>"机电工程学院"</f>
        <v>机电工程学院</v>
      </c>
    </row>
    <row r="261" ht="13.5" hidden="1" spans="1:5">
      <c r="A261" s="2" t="str">
        <f>"程奥运"</f>
        <v>程奥运</v>
      </c>
      <c r="B261" s="2" t="str">
        <f>"B20180703405"</f>
        <v>B20180703405</v>
      </c>
      <c r="C261" s="2" t="str">
        <f t="shared" si="62"/>
        <v>男</v>
      </c>
      <c r="D261" s="2" t="str">
        <f t="shared" si="60"/>
        <v>19</v>
      </c>
      <c r="E261" s="2" t="str">
        <f>"马栏山新媒体学院"</f>
        <v>马栏山新媒体学院</v>
      </c>
    </row>
    <row r="262" ht="13.5" hidden="1" spans="1:5">
      <c r="A262" s="2" t="str">
        <f>"杨镇涛"</f>
        <v>杨镇涛</v>
      </c>
      <c r="B262" s="2" t="str">
        <f>"B20200501206"</f>
        <v>B20200501206</v>
      </c>
      <c r="C262" s="2" t="str">
        <f t="shared" si="62"/>
        <v>男</v>
      </c>
      <c r="D262" s="2" t="str">
        <f t="shared" si="60"/>
        <v>19</v>
      </c>
      <c r="E262" s="2" t="str">
        <f>"生物与环境工程学院"</f>
        <v>生物与环境工程学院</v>
      </c>
    </row>
    <row r="263" ht="13.5" hidden="1" spans="1:5">
      <c r="A263" s="2" t="str">
        <f>"黄帅"</f>
        <v>黄帅</v>
      </c>
      <c r="B263" s="2" t="str">
        <f>"B20190202411"</f>
        <v>B20190202411</v>
      </c>
      <c r="C263" s="2" t="str">
        <f t="shared" si="62"/>
        <v>男</v>
      </c>
      <c r="D263" s="2" t="str">
        <f t="shared" si="60"/>
        <v>19</v>
      </c>
      <c r="E263" s="2" t="str">
        <f>"土木工程学院"</f>
        <v>土木工程学院</v>
      </c>
    </row>
    <row r="264" ht="13.5" hidden="1" spans="1:5">
      <c r="A264" s="2" t="str">
        <f>"谭璐"</f>
        <v>谭璐</v>
      </c>
      <c r="B264" s="2" t="str">
        <f>"B20220906222"</f>
        <v>B20220906222</v>
      </c>
      <c r="C264" s="2" t="str">
        <f>"女"</f>
        <v>女</v>
      </c>
      <c r="D264" s="2" t="str">
        <f t="shared" si="60"/>
        <v>19</v>
      </c>
      <c r="E264" s="2" t="str">
        <f t="shared" ref="E264:E268" si="63">"经济与管理学院"</f>
        <v>经济与管理学院</v>
      </c>
    </row>
    <row r="265" ht="13.5" hidden="1" spans="1:5">
      <c r="A265" s="2" t="str">
        <f>"沈茂"</f>
        <v>沈茂</v>
      </c>
      <c r="B265" s="2" t="str">
        <f>"B20200503213"</f>
        <v>B20200503213</v>
      </c>
      <c r="C265" s="2" t="str">
        <f t="shared" ref="C265:C267" si="64">"男"</f>
        <v>男</v>
      </c>
      <c r="D265" s="2" t="str">
        <f t="shared" si="60"/>
        <v>19</v>
      </c>
      <c r="E265" s="2" t="str">
        <f>"生物与环境工程学院"</f>
        <v>生物与环境工程学院</v>
      </c>
    </row>
    <row r="266" ht="13.5" hidden="1" spans="1:5">
      <c r="A266" s="2" t="str">
        <f>"任桂荣"</f>
        <v>任桂荣</v>
      </c>
      <c r="B266" s="2" t="str">
        <f>"B20230502230"</f>
        <v>B20230502230</v>
      </c>
      <c r="C266" s="2" t="str">
        <f t="shared" si="64"/>
        <v>男</v>
      </c>
      <c r="D266" s="2" t="str">
        <f t="shared" si="60"/>
        <v>19</v>
      </c>
      <c r="E266" s="2" t="str">
        <f>"生物与化学工程学院"</f>
        <v>生物与化学工程学院</v>
      </c>
    </row>
    <row r="267" ht="13.5" hidden="1" spans="1:5">
      <c r="A267" s="2" t="str">
        <f>"江达"</f>
        <v>江达</v>
      </c>
      <c r="B267" s="2" t="str">
        <f>"B20230906118"</f>
        <v>B20230906118</v>
      </c>
      <c r="C267" s="2" t="str">
        <f t="shared" si="64"/>
        <v>男</v>
      </c>
      <c r="D267" s="2" t="str">
        <f t="shared" si="60"/>
        <v>19</v>
      </c>
      <c r="E267" s="2" t="str">
        <f t="shared" si="63"/>
        <v>经济与管理学院</v>
      </c>
    </row>
    <row r="268" ht="13.5" hidden="1" spans="1:5">
      <c r="A268" s="2" t="str">
        <f>"龙思羽"</f>
        <v>龙思羽</v>
      </c>
      <c r="B268" s="2" t="str">
        <f>"B20210901206"</f>
        <v>B20210901206</v>
      </c>
      <c r="C268" s="2" t="str">
        <f>"女"</f>
        <v>女</v>
      </c>
      <c r="D268" s="2" t="str">
        <f t="shared" si="60"/>
        <v>19</v>
      </c>
      <c r="E268" s="2" t="str">
        <f t="shared" si="63"/>
        <v>经济与管理学院</v>
      </c>
    </row>
    <row r="269" ht="13.5" hidden="1" spans="1:5">
      <c r="A269" s="2" t="str">
        <f>"闵洋"</f>
        <v>闵洋</v>
      </c>
      <c r="B269" s="2" t="str">
        <f>"B20200101505"</f>
        <v>B20200101505</v>
      </c>
      <c r="C269" s="2" t="str">
        <f t="shared" ref="C269:C274" si="65">"男"</f>
        <v>男</v>
      </c>
      <c r="D269" s="2" t="str">
        <f t="shared" ref="D269:D299" si="66">"19"</f>
        <v>19</v>
      </c>
      <c r="E269" s="2" t="str">
        <f>"土木工程学院"</f>
        <v>土木工程学院</v>
      </c>
    </row>
    <row r="270" ht="13.5" hidden="1" spans="1:5">
      <c r="A270" s="2" t="str">
        <f>"唐青思"</f>
        <v>唐青思</v>
      </c>
      <c r="B270" s="2" t="str">
        <f>"B20220801104"</f>
        <v>B20220801104</v>
      </c>
      <c r="C270" s="2" t="str">
        <f t="shared" ref="C270:C276" si="67">"女"</f>
        <v>女</v>
      </c>
      <c r="D270" s="2" t="str">
        <f t="shared" si="66"/>
        <v>19</v>
      </c>
      <c r="E270" s="2" t="str">
        <f>"外国语学院"</f>
        <v>外国语学院</v>
      </c>
    </row>
    <row r="271" ht="13.5" hidden="1" spans="1:5">
      <c r="A271" s="2" t="str">
        <f>"易可盈"</f>
        <v>易可盈</v>
      </c>
      <c r="B271" s="2" t="str">
        <f>"B20230701313"</f>
        <v>B20230701313</v>
      </c>
      <c r="C271" s="2" t="str">
        <f t="shared" si="67"/>
        <v>女</v>
      </c>
      <c r="D271" s="2" t="str">
        <f t="shared" si="66"/>
        <v>19</v>
      </c>
      <c r="E271" s="2" t="str">
        <f>"马栏山新媒体学院"</f>
        <v>马栏山新媒体学院</v>
      </c>
    </row>
    <row r="272" ht="13.5" hidden="1" spans="1:5">
      <c r="A272" s="2" t="str">
        <f>"刘志鹏"</f>
        <v>刘志鹏</v>
      </c>
      <c r="B272" s="2" t="str">
        <f>"B20230201310"</f>
        <v>B20230201310</v>
      </c>
      <c r="C272" s="2" t="str">
        <f t="shared" si="65"/>
        <v>男</v>
      </c>
      <c r="D272" s="2" t="str">
        <f t="shared" si="66"/>
        <v>19</v>
      </c>
      <c r="E272" s="2" t="str">
        <f>"机电工程学院"</f>
        <v>机电工程学院</v>
      </c>
    </row>
    <row r="273" ht="13.5" hidden="1" spans="1:5">
      <c r="A273" s="2" t="str">
        <f>"王路侠"</f>
        <v>王路侠</v>
      </c>
      <c r="B273" s="2" t="str">
        <f>"B20200201229"</f>
        <v>B20200201229</v>
      </c>
      <c r="C273" s="2" t="str">
        <f t="shared" si="65"/>
        <v>男</v>
      </c>
      <c r="D273" s="2" t="str">
        <f t="shared" si="66"/>
        <v>19</v>
      </c>
      <c r="E273" s="2" t="str">
        <f>"机电工程学院"</f>
        <v>机电工程学院</v>
      </c>
    </row>
    <row r="274" ht="13.5" hidden="1" spans="1:5">
      <c r="A274" s="2" t="str">
        <f>"肖哲浩"</f>
        <v>肖哲浩</v>
      </c>
      <c r="B274" s="2" t="str">
        <f>"B20200401314"</f>
        <v>B20200401314</v>
      </c>
      <c r="C274" s="2" t="str">
        <f t="shared" si="65"/>
        <v>男</v>
      </c>
      <c r="D274" s="2" t="str">
        <f t="shared" si="66"/>
        <v>19</v>
      </c>
      <c r="E274" s="2" t="str">
        <f>"电子信息与电气工程学院"</f>
        <v>电子信息与电气工程学院</v>
      </c>
    </row>
    <row r="275" ht="13.5" hidden="1" spans="1:5">
      <c r="A275" s="2" t="str">
        <f>"苏冷云"</f>
        <v>苏冷云</v>
      </c>
      <c r="B275" s="2" t="str">
        <f>"B20210701302"</f>
        <v>B20210701302</v>
      </c>
      <c r="C275" s="2" t="str">
        <f t="shared" si="67"/>
        <v>女</v>
      </c>
      <c r="D275" s="2" t="str">
        <f t="shared" si="66"/>
        <v>19</v>
      </c>
      <c r="E275" s="2" t="str">
        <f>"马栏山新媒体学院"</f>
        <v>马栏山新媒体学院</v>
      </c>
    </row>
    <row r="276" ht="13.5" hidden="1" spans="1:5">
      <c r="A276" s="2" t="str">
        <f>"虎茵"</f>
        <v>虎茵</v>
      </c>
      <c r="B276" s="2" t="str">
        <f>"B20211004203"</f>
        <v>B20211004203</v>
      </c>
      <c r="C276" s="2" t="str">
        <f t="shared" si="67"/>
        <v>女</v>
      </c>
      <c r="D276" s="2" t="str">
        <f t="shared" si="66"/>
        <v>19</v>
      </c>
      <c r="E276" s="2" t="str">
        <f>"艺术设计学院"</f>
        <v>艺术设计学院</v>
      </c>
    </row>
    <row r="277" ht="13.5" hidden="1" spans="1:5">
      <c r="A277" s="2" t="str">
        <f>"吴晓杰"</f>
        <v>吴晓杰</v>
      </c>
      <c r="B277" s="2" t="str">
        <f>"B20200703322"</f>
        <v>B20200703322</v>
      </c>
      <c r="C277" s="2" t="str">
        <f t="shared" ref="C277:C282" si="68">"男"</f>
        <v>男</v>
      </c>
      <c r="D277" s="2" t="str">
        <f t="shared" si="66"/>
        <v>19</v>
      </c>
      <c r="E277" s="2" t="str">
        <f>"马栏山新媒体学院"</f>
        <v>马栏山新媒体学院</v>
      </c>
    </row>
    <row r="278" ht="13.5" hidden="1" spans="1:5">
      <c r="A278" s="2" t="str">
        <f>"张晨"</f>
        <v>张晨</v>
      </c>
      <c r="B278" s="2" t="str">
        <f>"B20200101335"</f>
        <v>B20200101335</v>
      </c>
      <c r="C278" s="2" t="str">
        <f t="shared" si="68"/>
        <v>男</v>
      </c>
      <c r="D278" s="2" t="str">
        <f t="shared" si="66"/>
        <v>19</v>
      </c>
      <c r="E278" s="2" t="str">
        <f>"土木工程学院"</f>
        <v>土木工程学院</v>
      </c>
    </row>
    <row r="279" ht="13.5" hidden="1" spans="1:5">
      <c r="A279" s="2" t="str">
        <f>"龙海"</f>
        <v>龙海</v>
      </c>
      <c r="B279" s="2" t="str">
        <f>"B20180901209"</f>
        <v>B20180901209</v>
      </c>
      <c r="C279" s="2" t="str">
        <f t="shared" si="68"/>
        <v>男</v>
      </c>
      <c r="D279" s="2" t="str">
        <f t="shared" si="66"/>
        <v>19</v>
      </c>
      <c r="E279" s="2" t="str">
        <f>"经济与管理学院"</f>
        <v>经济与管理学院</v>
      </c>
    </row>
    <row r="280" ht="13.5" hidden="1" spans="1:5">
      <c r="A280" s="2" t="str">
        <f>"时光"</f>
        <v>时光</v>
      </c>
      <c r="B280" s="2" t="str">
        <f>"B20190704102"</f>
        <v>B20190704102</v>
      </c>
      <c r="C280" s="2" t="str">
        <f t="shared" si="68"/>
        <v>男</v>
      </c>
      <c r="D280" s="2" t="str">
        <f t="shared" si="66"/>
        <v>19</v>
      </c>
      <c r="E280" s="2" t="str">
        <f>"影视艺术与文化传播学院"</f>
        <v>影视艺术与文化传播学院</v>
      </c>
    </row>
    <row r="281" ht="13.5" hidden="1" spans="1:5">
      <c r="A281" s="2" t="str">
        <f>"雍俊威"</f>
        <v>雍俊威</v>
      </c>
      <c r="B281" s="2" t="str">
        <f>"B20230704325"</f>
        <v>B20230704325</v>
      </c>
      <c r="C281" s="2" t="str">
        <f t="shared" si="68"/>
        <v>男</v>
      </c>
      <c r="D281" s="2" t="str">
        <f t="shared" si="66"/>
        <v>19</v>
      </c>
      <c r="E281" s="2" t="str">
        <f>"马栏山新媒体学院"</f>
        <v>马栏山新媒体学院</v>
      </c>
    </row>
    <row r="282" ht="13.5" hidden="1" spans="1:5">
      <c r="A282" s="2" t="str">
        <f>"王刘洋"</f>
        <v>王刘洋</v>
      </c>
      <c r="B282" s="2" t="str">
        <f>"B20200201331"</f>
        <v>B20200201331</v>
      </c>
      <c r="C282" s="2" t="str">
        <f t="shared" si="68"/>
        <v>男</v>
      </c>
      <c r="D282" s="2" t="str">
        <f t="shared" si="66"/>
        <v>19</v>
      </c>
      <c r="E282" s="2" t="str">
        <f>"机电工程学院"</f>
        <v>机电工程学院</v>
      </c>
    </row>
    <row r="283" ht="13.5" hidden="1" spans="1:5">
      <c r="A283" s="2" t="str">
        <f>"王佳期"</f>
        <v>王佳期</v>
      </c>
      <c r="B283" s="2" t="str">
        <f>"B20220601416"</f>
        <v>B20220601416</v>
      </c>
      <c r="C283" s="2" t="str">
        <f t="shared" ref="C283:C286" si="69">"女"</f>
        <v>女</v>
      </c>
      <c r="D283" s="2" t="str">
        <f t="shared" si="66"/>
        <v>19</v>
      </c>
      <c r="E283" s="2" t="str">
        <f>"法学院"</f>
        <v>法学院</v>
      </c>
    </row>
    <row r="284" ht="13.5" hidden="1" spans="1:5">
      <c r="A284" s="2" t="str">
        <f>"卯杰"</f>
        <v>卯杰</v>
      </c>
      <c r="B284" s="2" t="str">
        <f>"B20201001407"</f>
        <v>B20201001407</v>
      </c>
      <c r="C284" s="2" t="str">
        <f>"男"</f>
        <v>男</v>
      </c>
      <c r="D284" s="2" t="str">
        <f t="shared" si="66"/>
        <v>19</v>
      </c>
      <c r="E284" s="2" t="str">
        <f>"艺术设计学院"</f>
        <v>艺术设计学院</v>
      </c>
    </row>
    <row r="285" ht="13.5" hidden="1" spans="1:5">
      <c r="A285" s="2" t="str">
        <f>"王春杰"</f>
        <v>王春杰</v>
      </c>
      <c r="B285" s="2" t="str">
        <f>"B20230904210"</f>
        <v>B20230904210</v>
      </c>
      <c r="C285" s="2" t="str">
        <f t="shared" si="69"/>
        <v>女</v>
      </c>
      <c r="D285" s="2" t="str">
        <f t="shared" si="66"/>
        <v>19</v>
      </c>
      <c r="E285" s="2" t="str">
        <f>"经济与管理学院"</f>
        <v>经济与管理学院</v>
      </c>
    </row>
    <row r="286" ht="13.5" hidden="1" spans="1:5">
      <c r="A286" s="2" t="str">
        <f>"刘王广"</f>
        <v>刘王广</v>
      </c>
      <c r="B286" s="2" t="str">
        <f>"B20210801510"</f>
        <v>B20210801510</v>
      </c>
      <c r="C286" s="2" t="str">
        <f t="shared" si="69"/>
        <v>女</v>
      </c>
      <c r="D286" s="2" t="str">
        <f t="shared" si="66"/>
        <v>19</v>
      </c>
      <c r="E286" s="2" t="str">
        <f>"外国语学院"</f>
        <v>外国语学院</v>
      </c>
    </row>
    <row r="287" ht="13.5" hidden="1" spans="1:5">
      <c r="A287" s="2" t="str">
        <f>"屈明哲"</f>
        <v>屈明哲</v>
      </c>
      <c r="B287" s="2" t="str">
        <f>"B20210601127"</f>
        <v>B20210601127</v>
      </c>
      <c r="C287" s="2" t="str">
        <f>"男"</f>
        <v>男</v>
      </c>
      <c r="D287" s="2" t="str">
        <f t="shared" si="66"/>
        <v>19</v>
      </c>
      <c r="E287" s="2" t="str">
        <f>"法学院"</f>
        <v>法学院</v>
      </c>
    </row>
    <row r="288" ht="13.5" hidden="1" spans="1:5">
      <c r="A288" s="2" t="str">
        <f>"聂倩"</f>
        <v>聂倩</v>
      </c>
      <c r="B288" s="2" t="str">
        <f>"B20210702225"</f>
        <v>B20210702225</v>
      </c>
      <c r="C288" s="2" t="str">
        <f>"女"</f>
        <v>女</v>
      </c>
      <c r="D288" s="2" t="str">
        <f t="shared" si="66"/>
        <v>19</v>
      </c>
      <c r="E288" s="2" t="str">
        <f>"马栏山新媒体学院"</f>
        <v>马栏山新媒体学院</v>
      </c>
    </row>
    <row r="289" ht="13.5" hidden="1" spans="1:5">
      <c r="A289" s="2" t="str">
        <f>"杨心微"</f>
        <v>杨心微</v>
      </c>
      <c r="B289" s="2" t="str">
        <f>"B20210905107"</f>
        <v>B20210905107</v>
      </c>
      <c r="C289" s="2" t="str">
        <f>"女"</f>
        <v>女</v>
      </c>
      <c r="D289" s="2" t="str">
        <f t="shared" si="66"/>
        <v>19</v>
      </c>
      <c r="E289" s="2" t="str">
        <f>"经济与管理学院"</f>
        <v>经济与管理学院</v>
      </c>
    </row>
    <row r="290" ht="13.5" hidden="1" spans="1:5">
      <c r="A290" s="2" t="str">
        <f>"蔡诺"</f>
        <v>蔡诺</v>
      </c>
      <c r="B290" s="2" t="str">
        <f>"B20200503233"</f>
        <v>B20200503233</v>
      </c>
      <c r="C290" s="2" t="str">
        <f>"男"</f>
        <v>男</v>
      </c>
      <c r="D290" s="2" t="str">
        <f t="shared" si="66"/>
        <v>19</v>
      </c>
      <c r="E290" s="2" t="str">
        <f>"生物与环境工程学院"</f>
        <v>生物与环境工程学院</v>
      </c>
    </row>
    <row r="291" ht="13.5" hidden="1" spans="1:5">
      <c r="A291" s="2" t="str">
        <f>"丁春凤"</f>
        <v>丁春凤</v>
      </c>
      <c r="B291" s="2" t="str">
        <f>"B20230601207"</f>
        <v>B20230601207</v>
      </c>
      <c r="C291" s="2" t="str">
        <f>"女"</f>
        <v>女</v>
      </c>
      <c r="D291" s="2" t="str">
        <f t="shared" si="66"/>
        <v>19</v>
      </c>
      <c r="E291" s="2" t="str">
        <f>"法学院"</f>
        <v>法学院</v>
      </c>
    </row>
    <row r="292" ht="13.5" hidden="1" spans="1:5">
      <c r="A292" s="2" t="str">
        <f>"董君艺"</f>
        <v>董君艺</v>
      </c>
      <c r="B292" s="2" t="str">
        <f>"B20220704321"</f>
        <v>B20220704321</v>
      </c>
      <c r="C292" s="2" t="str">
        <f t="shared" ref="C292:C297" si="70">"女"</f>
        <v>女</v>
      </c>
      <c r="D292" s="2" t="str">
        <f t="shared" si="66"/>
        <v>19</v>
      </c>
      <c r="E292" s="2" t="str">
        <f>"马栏山新媒体学院"</f>
        <v>马栏山新媒体学院</v>
      </c>
    </row>
    <row r="293" ht="13.5" hidden="1" spans="1:5">
      <c r="A293" s="2" t="str">
        <f>"王相文"</f>
        <v>王相文</v>
      </c>
      <c r="B293" s="2" t="str">
        <f>"B20220801212"</f>
        <v>B20220801212</v>
      </c>
      <c r="C293" s="2" t="str">
        <f>"男"</f>
        <v>男</v>
      </c>
      <c r="D293" s="2" t="str">
        <f t="shared" si="66"/>
        <v>19</v>
      </c>
      <c r="E293" s="2" t="str">
        <f>"外国语学院"</f>
        <v>外国语学院</v>
      </c>
    </row>
    <row r="294" ht="13.5" hidden="1" spans="1:5">
      <c r="A294" s="2" t="str">
        <f>"薛琹"</f>
        <v>薛琹</v>
      </c>
      <c r="B294" s="2" t="str">
        <f>"B20200704101"</f>
        <v>B20200704101</v>
      </c>
      <c r="C294" s="2" t="str">
        <f t="shared" si="70"/>
        <v>女</v>
      </c>
      <c r="D294" s="2" t="str">
        <f t="shared" si="66"/>
        <v>19</v>
      </c>
      <c r="E294" s="2" t="str">
        <f>"马栏山新媒体学院"</f>
        <v>马栏山新媒体学院</v>
      </c>
    </row>
    <row r="295" ht="13.5" hidden="1" spans="1:5">
      <c r="A295" s="2" t="str">
        <f>"杨子歆"</f>
        <v>杨子歆</v>
      </c>
      <c r="B295" s="2" t="str">
        <f>"B20200901324"</f>
        <v>B20200901324</v>
      </c>
      <c r="C295" s="2" t="str">
        <f>"男"</f>
        <v>男</v>
      </c>
      <c r="D295" s="2" t="str">
        <f t="shared" si="66"/>
        <v>19</v>
      </c>
      <c r="E295" s="2" t="str">
        <f>"经济与管理学院"</f>
        <v>经济与管理学院</v>
      </c>
    </row>
    <row r="296" ht="13.5" hidden="1" spans="1:5">
      <c r="A296" s="2" t="str">
        <f>"缪湘程"</f>
        <v>缪湘程</v>
      </c>
      <c r="B296" s="2" t="str">
        <f>"B20200101314"</f>
        <v>B20200101314</v>
      </c>
      <c r="C296" s="2" t="str">
        <f>"男"</f>
        <v>男</v>
      </c>
      <c r="D296" s="2" t="str">
        <f t="shared" si="66"/>
        <v>19</v>
      </c>
      <c r="E296" s="2" t="str">
        <f>"土木工程学院"</f>
        <v>土木工程学院</v>
      </c>
    </row>
    <row r="297" ht="13.5" hidden="1" spans="1:5">
      <c r="A297" s="2" t="str">
        <f>"陈思皖"</f>
        <v>陈思皖</v>
      </c>
      <c r="B297" s="2" t="str">
        <f>"B20230801405"</f>
        <v>B20230801405</v>
      </c>
      <c r="C297" s="2" t="str">
        <f t="shared" si="70"/>
        <v>女</v>
      </c>
      <c r="D297" s="2" t="str">
        <f t="shared" si="66"/>
        <v>19</v>
      </c>
      <c r="E297" s="2" t="str">
        <f>"外国语学院"</f>
        <v>外国语学院</v>
      </c>
    </row>
    <row r="298" ht="13.5" hidden="1" spans="1:5">
      <c r="A298" s="2" t="str">
        <f>"张乐男"</f>
        <v>张乐男</v>
      </c>
      <c r="B298" s="2" t="str">
        <f>"B20200505233"</f>
        <v>B20200505233</v>
      </c>
      <c r="C298" s="2" t="str">
        <f>"男"</f>
        <v>男</v>
      </c>
      <c r="D298" s="2" t="str">
        <f t="shared" si="66"/>
        <v>19</v>
      </c>
      <c r="E298" s="2" t="str">
        <f>"生物与环境工程学院"</f>
        <v>生物与环境工程学院</v>
      </c>
    </row>
    <row r="299" ht="13.5" hidden="1" spans="1:5">
      <c r="A299" s="2" t="str">
        <f>"仇浩"</f>
        <v>仇浩</v>
      </c>
      <c r="B299" s="2" t="str">
        <f>"B20200503119"</f>
        <v>B20200503119</v>
      </c>
      <c r="C299" s="2" t="str">
        <f>"男"</f>
        <v>男</v>
      </c>
      <c r="D299" s="2" t="str">
        <f t="shared" si="66"/>
        <v>19</v>
      </c>
      <c r="E299" s="2" t="str">
        <f>"生物与环境工程学院"</f>
        <v>生物与环境工程学院</v>
      </c>
    </row>
    <row r="300" ht="13.5" hidden="1" spans="1:5">
      <c r="A300" s="2" t="str">
        <f>"苏洪标"</f>
        <v>苏洪标</v>
      </c>
      <c r="B300" s="2" t="str">
        <f>"B20200404203"</f>
        <v>B20200404203</v>
      </c>
      <c r="C300" s="2" t="str">
        <f>"男"</f>
        <v>男</v>
      </c>
      <c r="D300" s="2" t="str">
        <f t="shared" ref="D300:D330" si="71">"18"</f>
        <v>18</v>
      </c>
      <c r="E300" s="2" t="str">
        <f>"电子信息与电气工程学院"</f>
        <v>电子信息与电气工程学院</v>
      </c>
    </row>
    <row r="301" ht="13.5" hidden="1" spans="1:5">
      <c r="A301" s="2" t="str">
        <f>"陈博"</f>
        <v>陈博</v>
      </c>
      <c r="B301" s="2" t="str">
        <f>"B20220904113"</f>
        <v>B20220904113</v>
      </c>
      <c r="C301" s="2" t="str">
        <f t="shared" ref="C301:C306" si="72">"女"</f>
        <v>女</v>
      </c>
      <c r="D301" s="2" t="str">
        <f t="shared" si="71"/>
        <v>18</v>
      </c>
      <c r="E301" s="2" t="str">
        <f t="shared" ref="E301:E306" si="73">"经济与管理学院"</f>
        <v>经济与管理学院</v>
      </c>
    </row>
    <row r="302" ht="13.5" hidden="1" spans="1:5">
      <c r="A302" s="2" t="str">
        <f>"杨欣芮"</f>
        <v>杨欣芮</v>
      </c>
      <c r="B302" s="2" t="str">
        <f>"B20201003124"</f>
        <v>B20201003124</v>
      </c>
      <c r="C302" s="2" t="str">
        <f t="shared" si="72"/>
        <v>女</v>
      </c>
      <c r="D302" s="2" t="str">
        <f t="shared" si="71"/>
        <v>18</v>
      </c>
      <c r="E302" s="2" t="str">
        <f>"艺术设计学院"</f>
        <v>艺术设计学院</v>
      </c>
    </row>
    <row r="303" ht="13.5" hidden="1" spans="1:5">
      <c r="A303" s="2" t="str">
        <f>"邓秀珍"</f>
        <v>邓秀珍</v>
      </c>
      <c r="B303" s="2" t="str">
        <f>"B20210803223"</f>
        <v>B20210803223</v>
      </c>
      <c r="C303" s="2" t="str">
        <f t="shared" si="72"/>
        <v>女</v>
      </c>
      <c r="D303" s="2" t="str">
        <f t="shared" si="71"/>
        <v>18</v>
      </c>
      <c r="E303" s="2" t="str">
        <f>"外国语学院"</f>
        <v>外国语学院</v>
      </c>
    </row>
    <row r="304" ht="13.5" hidden="1" spans="1:5">
      <c r="A304" s="2" t="str">
        <f>"张紫璇"</f>
        <v>张紫璇</v>
      </c>
      <c r="B304" s="2" t="str">
        <f>"B20200904118"</f>
        <v>B20200904118</v>
      </c>
      <c r="C304" s="2" t="str">
        <f t="shared" si="72"/>
        <v>女</v>
      </c>
      <c r="D304" s="2" t="str">
        <f t="shared" si="71"/>
        <v>18</v>
      </c>
      <c r="E304" s="2" t="str">
        <f t="shared" si="73"/>
        <v>经济与管理学院</v>
      </c>
    </row>
    <row r="305" ht="13.5" hidden="1" spans="1:5">
      <c r="A305" s="2" t="str">
        <f>"田盈"</f>
        <v>田盈</v>
      </c>
      <c r="B305" s="2" t="str">
        <f>"B20201003204"</f>
        <v>B20201003204</v>
      </c>
      <c r="C305" s="2" t="str">
        <f t="shared" si="72"/>
        <v>女</v>
      </c>
      <c r="D305" s="2" t="str">
        <f t="shared" si="71"/>
        <v>18</v>
      </c>
      <c r="E305" s="2" t="str">
        <f>"艺术设计学院"</f>
        <v>艺术设计学院</v>
      </c>
    </row>
    <row r="306" ht="13.5" hidden="1" spans="1:5">
      <c r="A306" s="2" t="str">
        <f>"刘婉欣"</f>
        <v>刘婉欣</v>
      </c>
      <c r="B306" s="2" t="str">
        <f>"B20220902118"</f>
        <v>B20220902118</v>
      </c>
      <c r="C306" s="2" t="str">
        <f t="shared" si="72"/>
        <v>女</v>
      </c>
      <c r="D306" s="2" t="str">
        <f t="shared" si="71"/>
        <v>18</v>
      </c>
      <c r="E306" s="2" t="str">
        <f t="shared" si="73"/>
        <v>经济与管理学院</v>
      </c>
    </row>
    <row r="307" ht="13.5" hidden="1" spans="1:5">
      <c r="A307" s="2" t="str">
        <f>"夏天豪"</f>
        <v>夏天豪</v>
      </c>
      <c r="B307" s="2" t="str">
        <f>"B20180403134"</f>
        <v>B20180403134</v>
      </c>
      <c r="C307" s="2" t="str">
        <f>"男"</f>
        <v>男</v>
      </c>
      <c r="D307" s="2" t="str">
        <f t="shared" si="71"/>
        <v>18</v>
      </c>
      <c r="E307" s="2" t="str">
        <f>"电子信息与电气工程学院"</f>
        <v>电子信息与电气工程学院</v>
      </c>
    </row>
    <row r="308" ht="13.5" hidden="1" spans="1:5">
      <c r="A308" s="2" t="str">
        <f>"黄雨欣"</f>
        <v>黄雨欣</v>
      </c>
      <c r="B308" s="2" t="str">
        <f>"B20200703219"</f>
        <v>B20200703219</v>
      </c>
      <c r="C308" s="2" t="str">
        <f>"女"</f>
        <v>女</v>
      </c>
      <c r="D308" s="2" t="str">
        <f t="shared" si="71"/>
        <v>18</v>
      </c>
      <c r="E308" s="2" t="str">
        <f>"马栏山新媒体学院"</f>
        <v>马栏山新媒体学院</v>
      </c>
    </row>
    <row r="309" ht="13.5" hidden="1" spans="1:5">
      <c r="A309" s="2" t="str">
        <f>"周颖"</f>
        <v>周颖</v>
      </c>
      <c r="B309" s="2" t="str">
        <f>"B20220801412"</f>
        <v>B20220801412</v>
      </c>
      <c r="C309" s="2" t="str">
        <f>"女"</f>
        <v>女</v>
      </c>
      <c r="D309" s="2" t="str">
        <f t="shared" si="71"/>
        <v>18</v>
      </c>
      <c r="E309" s="2" t="str">
        <f>"外国语学院"</f>
        <v>外国语学院</v>
      </c>
    </row>
    <row r="310" ht="13.5" hidden="1" spans="1:5">
      <c r="A310" s="2" t="str">
        <f>"冯轩杰"</f>
        <v>冯轩杰</v>
      </c>
      <c r="B310" s="2" t="str">
        <f>"B20210101115"</f>
        <v>B20210101115</v>
      </c>
      <c r="C310" s="2" t="str">
        <f>"男"</f>
        <v>男</v>
      </c>
      <c r="D310" s="2" t="str">
        <f t="shared" si="71"/>
        <v>18</v>
      </c>
      <c r="E310" s="2" t="str">
        <f>"土木工程学院"</f>
        <v>土木工程学院</v>
      </c>
    </row>
    <row r="311" ht="13.5" hidden="1" spans="1:5">
      <c r="A311" s="2" t="str">
        <f>"容一菲"</f>
        <v>容一菲</v>
      </c>
      <c r="B311" s="2" t="str">
        <f>"B20200901115"</f>
        <v>B20200901115</v>
      </c>
      <c r="C311" s="2" t="str">
        <f>"女"</f>
        <v>女</v>
      </c>
      <c r="D311" s="2" t="str">
        <f t="shared" si="71"/>
        <v>18</v>
      </c>
      <c r="E311" s="2" t="str">
        <f>"马栏山新媒体学院"</f>
        <v>马栏山新媒体学院</v>
      </c>
    </row>
    <row r="312" ht="13.5" hidden="1" spans="1:5">
      <c r="A312" s="2" t="str">
        <f>"谭尚锋"</f>
        <v>谭尚锋</v>
      </c>
      <c r="B312" s="2" t="str">
        <f>"B20200204128"</f>
        <v>B20200204128</v>
      </c>
      <c r="C312" s="2" t="str">
        <f t="shared" ref="C312:C314" si="74">"男"</f>
        <v>男</v>
      </c>
      <c r="D312" s="2" t="str">
        <f t="shared" si="71"/>
        <v>18</v>
      </c>
      <c r="E312" s="2" t="str">
        <f>"机电工程学院"</f>
        <v>机电工程学院</v>
      </c>
    </row>
    <row r="313" ht="13.5" hidden="1" spans="1:5">
      <c r="A313" s="2" t="str">
        <f>"罗宇栋"</f>
        <v>罗宇栋</v>
      </c>
      <c r="B313" s="2" t="str">
        <f>"B20200801119"</f>
        <v>B20200801119</v>
      </c>
      <c r="C313" s="2" t="str">
        <f t="shared" si="74"/>
        <v>男</v>
      </c>
      <c r="D313" s="2" t="str">
        <f t="shared" si="71"/>
        <v>18</v>
      </c>
      <c r="E313" s="2" t="str">
        <f>"外国语学院"</f>
        <v>外国语学院</v>
      </c>
    </row>
    <row r="314" ht="13.5" hidden="1" spans="1:5">
      <c r="A314" s="2" t="str">
        <f>"欧翰通"</f>
        <v>欧翰通</v>
      </c>
      <c r="B314" s="2" t="str">
        <f>"B20210503206"</f>
        <v>B20210503206</v>
      </c>
      <c r="C314" s="2" t="str">
        <f t="shared" si="74"/>
        <v>男</v>
      </c>
      <c r="D314" s="2" t="str">
        <f t="shared" si="71"/>
        <v>18</v>
      </c>
      <c r="E314" s="2" t="str">
        <f>"材料与环境工程学院"</f>
        <v>材料与环境工程学院</v>
      </c>
    </row>
    <row r="315" ht="13.5" hidden="1" spans="1:5">
      <c r="A315" s="2" t="str">
        <f>"汤嘉琪"</f>
        <v>汤嘉琪</v>
      </c>
      <c r="B315" s="2" t="str">
        <f>"B20200504123"</f>
        <v>B20200504123</v>
      </c>
      <c r="C315" s="2" t="str">
        <f>"女"</f>
        <v>女</v>
      </c>
      <c r="D315" s="2" t="str">
        <f t="shared" si="71"/>
        <v>18</v>
      </c>
      <c r="E315" s="2" t="str">
        <f>"生物与环境工程学院"</f>
        <v>生物与环境工程学院</v>
      </c>
    </row>
    <row r="316" ht="13.5" hidden="1" spans="1:5">
      <c r="A316" s="2" t="str">
        <f>"丁宏"</f>
        <v>丁宏</v>
      </c>
      <c r="B316" s="2" t="str">
        <f>"B20230201209"</f>
        <v>B20230201209</v>
      </c>
      <c r="C316" s="2" t="str">
        <f>"男"</f>
        <v>男</v>
      </c>
      <c r="D316" s="2" t="str">
        <f t="shared" si="71"/>
        <v>18</v>
      </c>
      <c r="E316" s="2" t="str">
        <f>"机电工程学院"</f>
        <v>机电工程学院</v>
      </c>
    </row>
    <row r="317" ht="13.5" hidden="1" spans="1:5">
      <c r="A317" s="2" t="str">
        <f>"胡志勇"</f>
        <v>胡志勇</v>
      </c>
      <c r="B317" s="2" t="str">
        <f>"B20200101213"</f>
        <v>B20200101213</v>
      </c>
      <c r="C317" s="2" t="str">
        <f>"男"</f>
        <v>男</v>
      </c>
      <c r="D317" s="2" t="str">
        <f t="shared" si="71"/>
        <v>18</v>
      </c>
      <c r="E317" s="2" t="str">
        <f>"土木工程学院"</f>
        <v>土木工程学院</v>
      </c>
    </row>
    <row r="318" ht="13.5" hidden="1" spans="1:5">
      <c r="A318" s="2" t="str">
        <f>"吴淑珍"</f>
        <v>吴淑珍</v>
      </c>
      <c r="B318" s="2" t="str">
        <f>"B20221101309"</f>
        <v>B20221101309</v>
      </c>
      <c r="C318" s="2" t="str">
        <f>"女"</f>
        <v>女</v>
      </c>
      <c r="D318" s="2" t="str">
        <f t="shared" si="71"/>
        <v>18</v>
      </c>
      <c r="E318" s="2" t="str">
        <f>"音乐学院"</f>
        <v>音乐学院</v>
      </c>
    </row>
    <row r="319" ht="13.5" hidden="1" spans="1:5">
      <c r="A319" s="2" t="str">
        <f>"彭跃辉"</f>
        <v>彭跃辉</v>
      </c>
      <c r="B319" s="2" t="str">
        <f>"B20230405119"</f>
        <v>B20230405119</v>
      </c>
      <c r="C319" s="2" t="str">
        <f t="shared" ref="C319:C324" si="75">"男"</f>
        <v>男</v>
      </c>
      <c r="D319" s="2" t="str">
        <f t="shared" si="71"/>
        <v>18</v>
      </c>
      <c r="E319" s="2" t="str">
        <f>"电子信息与电气工程学院"</f>
        <v>电子信息与电气工程学院</v>
      </c>
    </row>
    <row r="320" ht="13.5" hidden="1" spans="1:5">
      <c r="A320" s="2" t="str">
        <f>"陆昱霖"</f>
        <v>陆昱霖</v>
      </c>
      <c r="B320" s="2" t="str">
        <f>"B20200403204"</f>
        <v>B20200403204</v>
      </c>
      <c r="C320" s="2" t="str">
        <f t="shared" si="75"/>
        <v>男</v>
      </c>
      <c r="D320" s="2" t="str">
        <f t="shared" si="71"/>
        <v>18</v>
      </c>
      <c r="E320" s="2" t="str">
        <f>"电子信息与电气工程学院"</f>
        <v>电子信息与电气工程学院</v>
      </c>
    </row>
    <row r="321" ht="13.5" hidden="1" spans="1:5">
      <c r="A321" s="2" t="str">
        <f>"石建成"</f>
        <v>石建成</v>
      </c>
      <c r="B321" s="2" t="str">
        <f>"B20211101109"</f>
        <v>B20211101109</v>
      </c>
      <c r="C321" s="2" t="str">
        <f t="shared" si="75"/>
        <v>男</v>
      </c>
      <c r="D321" s="2" t="str">
        <f t="shared" si="71"/>
        <v>18</v>
      </c>
      <c r="E321" s="2" t="str">
        <f>"音乐学院"</f>
        <v>音乐学院</v>
      </c>
    </row>
    <row r="322" ht="13.5" hidden="1" spans="1:5">
      <c r="A322" s="2" t="str">
        <f>"王超凡"</f>
        <v>王超凡</v>
      </c>
      <c r="B322" s="2" t="str">
        <f>"B20200101204"</f>
        <v>B20200101204</v>
      </c>
      <c r="C322" s="2" t="str">
        <f t="shared" si="75"/>
        <v>男</v>
      </c>
      <c r="D322" s="2" t="str">
        <f t="shared" si="71"/>
        <v>18</v>
      </c>
      <c r="E322" s="2" t="str">
        <f>"土木工程学院"</f>
        <v>土木工程学院</v>
      </c>
    </row>
    <row r="323" ht="13.5" hidden="1" spans="1:5">
      <c r="A323" s="2" t="str">
        <f>"刘飞扬"</f>
        <v>刘飞扬</v>
      </c>
      <c r="B323" s="2" t="str">
        <f>"B20200901132"</f>
        <v>B20200901132</v>
      </c>
      <c r="C323" s="2" t="str">
        <f t="shared" si="75"/>
        <v>男</v>
      </c>
      <c r="D323" s="2" t="str">
        <f t="shared" si="71"/>
        <v>18</v>
      </c>
      <c r="E323" s="2" t="str">
        <f>"经济与管理学院"</f>
        <v>经济与管理学院</v>
      </c>
    </row>
    <row r="324" ht="13.5" hidden="1" spans="1:5">
      <c r="A324" s="2" t="str">
        <f>"黄康宁"</f>
        <v>黄康宁</v>
      </c>
      <c r="B324" s="2" t="str">
        <f>"B20200103206"</f>
        <v>B20200103206</v>
      </c>
      <c r="C324" s="2" t="str">
        <f t="shared" si="75"/>
        <v>男</v>
      </c>
      <c r="D324" s="2" t="str">
        <f t="shared" si="71"/>
        <v>18</v>
      </c>
      <c r="E324" s="2" t="str">
        <f>"土木工程学院"</f>
        <v>土木工程学院</v>
      </c>
    </row>
    <row r="325" ht="13.5" hidden="1" spans="1:5">
      <c r="A325" s="2" t="str">
        <f>"何静"</f>
        <v>何静</v>
      </c>
      <c r="B325" s="2" t="str">
        <f>"B20230701417"</f>
        <v>B20230701417</v>
      </c>
      <c r="C325" s="2" t="str">
        <f>"女"</f>
        <v>女</v>
      </c>
      <c r="D325" s="2" t="str">
        <f t="shared" si="71"/>
        <v>18</v>
      </c>
      <c r="E325" s="2" t="str">
        <f>"马栏山新媒体学院"</f>
        <v>马栏山新媒体学院</v>
      </c>
    </row>
    <row r="326" ht="13.5" hidden="1" spans="1:5">
      <c r="A326" s="2" t="str">
        <f>"张华雨"</f>
        <v>张华雨</v>
      </c>
      <c r="B326" s="2" t="str">
        <f>"B20220403324"</f>
        <v>B20220403324</v>
      </c>
      <c r="C326" s="2" t="str">
        <f>"女"</f>
        <v>女</v>
      </c>
      <c r="D326" s="2" t="str">
        <f t="shared" si="71"/>
        <v>18</v>
      </c>
      <c r="E326" s="2" t="str">
        <f>"电子信息与电气工程学院"</f>
        <v>电子信息与电气工程学院</v>
      </c>
    </row>
    <row r="327" ht="13.5" hidden="1" spans="1:5">
      <c r="A327" s="2" t="str">
        <f>"王锦豪"</f>
        <v>王锦豪</v>
      </c>
      <c r="B327" s="2" t="str">
        <f>"B20200505117"</f>
        <v>B20200505117</v>
      </c>
      <c r="C327" s="2" t="str">
        <f>"男"</f>
        <v>男</v>
      </c>
      <c r="D327" s="2" t="str">
        <f t="shared" si="71"/>
        <v>18</v>
      </c>
      <c r="E327" s="2" t="str">
        <f>"生物与环境工程学院"</f>
        <v>生物与环境工程学院</v>
      </c>
    </row>
    <row r="328" ht="13.5" hidden="1" spans="1:5">
      <c r="A328" s="2" t="str">
        <f>"易伟"</f>
        <v>易伟</v>
      </c>
      <c r="B328" s="2" t="str">
        <f>"B20200202106"</f>
        <v>B20200202106</v>
      </c>
      <c r="C328" s="2" t="str">
        <f>"男"</f>
        <v>男</v>
      </c>
      <c r="D328" s="2" t="str">
        <f t="shared" si="71"/>
        <v>18</v>
      </c>
      <c r="E328" s="2" t="str">
        <f>"机电工程学院"</f>
        <v>机电工程学院</v>
      </c>
    </row>
    <row r="329" ht="13.5" hidden="1" spans="1:5">
      <c r="A329" s="2" t="str">
        <f>"范启超"</f>
        <v>范启超</v>
      </c>
      <c r="B329" s="2" t="str">
        <f>"B20200101216"</f>
        <v>B20200101216</v>
      </c>
      <c r="C329" s="2" t="str">
        <f>"男"</f>
        <v>男</v>
      </c>
      <c r="D329" s="2" t="str">
        <f t="shared" si="71"/>
        <v>18</v>
      </c>
      <c r="E329" s="2" t="str">
        <f>"土木工程学院"</f>
        <v>土木工程学院</v>
      </c>
    </row>
    <row r="330" ht="13.5" hidden="1" spans="1:5">
      <c r="A330" s="2" t="str">
        <f>"王怡淑"</f>
        <v>王怡淑</v>
      </c>
      <c r="B330" s="2" t="str">
        <f>"B20230905134"</f>
        <v>B20230905134</v>
      </c>
      <c r="C330" s="2" t="str">
        <f>"女"</f>
        <v>女</v>
      </c>
      <c r="D330" s="2" t="str">
        <f t="shared" si="71"/>
        <v>18</v>
      </c>
      <c r="E330" s="2" t="str">
        <f>"经济与管理学院"</f>
        <v>经济与管理学院</v>
      </c>
    </row>
    <row r="331" ht="13.5" hidden="1" spans="1:5">
      <c r="A331" s="2" t="str">
        <f>"叶子"</f>
        <v>叶子</v>
      </c>
      <c r="B331" s="2" t="str">
        <f>"B20230501233"</f>
        <v>B20230501233</v>
      </c>
      <c r="C331" s="2" t="str">
        <f>"女"</f>
        <v>女</v>
      </c>
      <c r="D331" s="2" t="str">
        <f t="shared" ref="D331:D362" si="76">"18"</f>
        <v>18</v>
      </c>
      <c r="E331" s="2" t="str">
        <f>"生物与化学工程学院"</f>
        <v>生物与化学工程学院</v>
      </c>
    </row>
    <row r="332" ht="13.5" hidden="1" spans="1:5">
      <c r="A332" s="2" t="str">
        <f>"朱鑫"</f>
        <v>朱鑫</v>
      </c>
      <c r="B332" s="2" t="str">
        <f>"B20210801208"</f>
        <v>B20210801208</v>
      </c>
      <c r="C332" s="2" t="str">
        <f>"女"</f>
        <v>女</v>
      </c>
      <c r="D332" s="2" t="str">
        <f t="shared" si="76"/>
        <v>18</v>
      </c>
      <c r="E332" s="2" t="str">
        <f>"外国语学院"</f>
        <v>外国语学院</v>
      </c>
    </row>
    <row r="333" ht="13.5" hidden="1" spans="1:5">
      <c r="A333" s="2" t="str">
        <f>"罗嘉豪"</f>
        <v>罗嘉豪</v>
      </c>
      <c r="B333" s="2" t="str">
        <f>"B20220702321"</f>
        <v>B20220702321</v>
      </c>
      <c r="C333" s="2" t="str">
        <f t="shared" ref="C333:C336" si="77">"男"</f>
        <v>男</v>
      </c>
      <c r="D333" s="2" t="str">
        <f t="shared" si="76"/>
        <v>18</v>
      </c>
      <c r="E333" s="2" t="str">
        <f>"马栏山新媒体学院"</f>
        <v>马栏山新媒体学院</v>
      </c>
    </row>
    <row r="334" ht="13.5" hidden="1" spans="1:5">
      <c r="A334" s="2" t="str">
        <f>"邱梦玲"</f>
        <v>邱梦玲</v>
      </c>
      <c r="B334" s="2" t="str">
        <f>"B20220904321"</f>
        <v>B20220904321</v>
      </c>
      <c r="C334" s="2" t="str">
        <f>"女"</f>
        <v>女</v>
      </c>
      <c r="D334" s="2" t="str">
        <f t="shared" si="76"/>
        <v>18</v>
      </c>
      <c r="E334" s="2" t="str">
        <f>"经济与管理学院"</f>
        <v>经济与管理学院</v>
      </c>
    </row>
    <row r="335" ht="13.5" hidden="1" spans="1:5">
      <c r="A335" s="2" t="str">
        <f>"谢橡兴"</f>
        <v>谢橡兴</v>
      </c>
      <c r="B335" s="2" t="str">
        <f>"B20231302431"</f>
        <v>B20231302431</v>
      </c>
      <c r="C335" s="2" t="str">
        <f t="shared" si="77"/>
        <v>男</v>
      </c>
      <c r="D335" s="2" t="str">
        <f t="shared" si="76"/>
        <v>18</v>
      </c>
      <c r="E335" s="2" t="str">
        <f>"材料与环境工程学院"</f>
        <v>材料与环境工程学院</v>
      </c>
    </row>
    <row r="336" ht="13.5" hidden="1" spans="1:5">
      <c r="A336" s="2" t="str">
        <f>"金添威"</f>
        <v>金添威</v>
      </c>
      <c r="B336" s="2" t="str">
        <f>"B20200101402"</f>
        <v>B20200101402</v>
      </c>
      <c r="C336" s="2" t="str">
        <f t="shared" si="77"/>
        <v>男</v>
      </c>
      <c r="D336" s="2" t="str">
        <f t="shared" si="76"/>
        <v>18</v>
      </c>
      <c r="E336" s="2" t="str">
        <f>"土木工程学院"</f>
        <v>土木工程学院</v>
      </c>
    </row>
    <row r="337" ht="13.5" hidden="1" spans="1:5">
      <c r="A337" s="2" t="str">
        <f>"聂雨皓"</f>
        <v>聂雨皓</v>
      </c>
      <c r="B337" s="2" t="str">
        <f>"B20180102127"</f>
        <v>B20180102127</v>
      </c>
      <c r="C337" s="2" t="str">
        <f>"女"</f>
        <v>女</v>
      </c>
      <c r="D337" s="2" t="str">
        <f t="shared" si="76"/>
        <v>18</v>
      </c>
      <c r="E337" s="2" t="str">
        <f>"土木工程学院"</f>
        <v>土木工程学院</v>
      </c>
    </row>
    <row r="338" ht="13.5" hidden="1" spans="1:5">
      <c r="A338" s="2" t="str">
        <f>"朱运熙"</f>
        <v>朱运熙</v>
      </c>
      <c r="B338" s="2" t="str">
        <f>"B20230504421"</f>
        <v>B20230504421</v>
      </c>
      <c r="C338" s="2" t="str">
        <f t="shared" ref="C338:C343" si="78">"男"</f>
        <v>男</v>
      </c>
      <c r="D338" s="2" t="str">
        <f t="shared" si="76"/>
        <v>18</v>
      </c>
      <c r="E338" s="2" t="str">
        <f>"生物与化学工程学院"</f>
        <v>生物与化学工程学院</v>
      </c>
    </row>
    <row r="339" ht="13.5" hidden="1" spans="1:5">
      <c r="A339" s="2" t="str">
        <f>"陈文碧"</f>
        <v>陈文碧</v>
      </c>
      <c r="B339" s="2" t="str">
        <f>"B20230903219"</f>
        <v>B20230903219</v>
      </c>
      <c r="C339" s="2" t="str">
        <f t="shared" si="78"/>
        <v>男</v>
      </c>
      <c r="D339" s="2" t="str">
        <f t="shared" si="76"/>
        <v>18</v>
      </c>
      <c r="E339" s="2" t="str">
        <f>"经济与管理学院"</f>
        <v>经济与管理学院</v>
      </c>
    </row>
    <row r="340" ht="13.5" hidden="1" spans="1:5">
      <c r="A340" s="2" t="str">
        <f>"张洪略"</f>
        <v>张洪略</v>
      </c>
      <c r="B340" s="2" t="str">
        <f>"B20230201131"</f>
        <v>B20230201131</v>
      </c>
      <c r="C340" s="2" t="str">
        <f t="shared" si="78"/>
        <v>男</v>
      </c>
      <c r="D340" s="2" t="str">
        <f t="shared" si="76"/>
        <v>18</v>
      </c>
      <c r="E340" s="2" t="str">
        <f>"机电工程学院"</f>
        <v>机电工程学院</v>
      </c>
    </row>
    <row r="341" ht="13.5" hidden="1" spans="1:5">
      <c r="A341" s="2" t="str">
        <f>"谷林"</f>
        <v>谷林</v>
      </c>
      <c r="B341" s="2" t="str">
        <f>"B20200703117"</f>
        <v>B20200703117</v>
      </c>
      <c r="C341" s="2" t="str">
        <f t="shared" si="78"/>
        <v>男</v>
      </c>
      <c r="D341" s="2" t="str">
        <f t="shared" si="76"/>
        <v>18</v>
      </c>
      <c r="E341" s="2" t="str">
        <f>"马栏山新媒体学院"</f>
        <v>马栏山新媒体学院</v>
      </c>
    </row>
    <row r="342" ht="13.5" hidden="1" spans="1:5">
      <c r="A342" s="2" t="str">
        <f>"袁星蒙"</f>
        <v>袁星蒙</v>
      </c>
      <c r="B342" s="2" t="str">
        <f>"B20200501130"</f>
        <v>B20200501130</v>
      </c>
      <c r="C342" s="2" t="str">
        <f t="shared" si="78"/>
        <v>男</v>
      </c>
      <c r="D342" s="2" t="str">
        <f t="shared" si="76"/>
        <v>18</v>
      </c>
      <c r="E342" s="2" t="str">
        <f>"生物与环境工程学院"</f>
        <v>生物与环境工程学院</v>
      </c>
    </row>
    <row r="343" ht="13.5" hidden="1" spans="1:5">
      <c r="A343" s="2" t="str">
        <f>"谷景轩"</f>
        <v>谷景轩</v>
      </c>
      <c r="B343" s="2" t="str">
        <f>"B20210503114"</f>
        <v>B20210503114</v>
      </c>
      <c r="C343" s="2" t="str">
        <f t="shared" si="78"/>
        <v>男</v>
      </c>
      <c r="D343" s="2" t="str">
        <f t="shared" si="76"/>
        <v>18</v>
      </c>
      <c r="E343" s="2" t="str">
        <f>"材料与环境工程学院"</f>
        <v>材料与环境工程学院</v>
      </c>
    </row>
    <row r="344" ht="13.5" hidden="1" spans="1:5">
      <c r="A344" s="2" t="str">
        <f>"穆俊蓉"</f>
        <v>穆俊蓉</v>
      </c>
      <c r="B344" s="2" t="str">
        <f>"B20200704202"</f>
        <v>B20200704202</v>
      </c>
      <c r="C344" s="2" t="str">
        <f>"女"</f>
        <v>女</v>
      </c>
      <c r="D344" s="2" t="str">
        <f t="shared" si="76"/>
        <v>18</v>
      </c>
      <c r="E344" s="2" t="str">
        <f>"马栏山新媒体学院"</f>
        <v>马栏山新媒体学院</v>
      </c>
    </row>
    <row r="345" ht="13.5" hidden="1" spans="1:5">
      <c r="A345" s="2" t="str">
        <f>"陈烨淼"</f>
        <v>陈烨淼</v>
      </c>
      <c r="B345" s="2" t="str">
        <f>"B20230202219"</f>
        <v>B20230202219</v>
      </c>
      <c r="C345" s="2" t="str">
        <f>"女"</f>
        <v>女</v>
      </c>
      <c r="D345" s="2" t="str">
        <f t="shared" si="76"/>
        <v>18</v>
      </c>
      <c r="E345" s="2" t="str">
        <f>"机电工程学院"</f>
        <v>机电工程学院</v>
      </c>
    </row>
    <row r="346" ht="13.5" hidden="1" spans="1:5">
      <c r="A346" s="2" t="str">
        <f>"刘飞"</f>
        <v>刘飞</v>
      </c>
      <c r="B346" s="2" t="str">
        <f>"B20200503203"</f>
        <v>B20200503203</v>
      </c>
      <c r="C346" s="2" t="str">
        <f>"男"</f>
        <v>男</v>
      </c>
      <c r="D346" s="2" t="str">
        <f t="shared" si="76"/>
        <v>18</v>
      </c>
      <c r="E346" s="2" t="str">
        <f>"生物与环境工程学院"</f>
        <v>生物与环境工程学院</v>
      </c>
    </row>
    <row r="347" ht="13.5" hidden="1" spans="1:5">
      <c r="A347" s="2" t="str">
        <f>"隆萧萧"</f>
        <v>隆萧萧</v>
      </c>
      <c r="B347" s="2" t="str">
        <f>"B20210902233"</f>
        <v>B20210902233</v>
      </c>
      <c r="C347" s="2" t="str">
        <f>"女"</f>
        <v>女</v>
      </c>
      <c r="D347" s="2" t="str">
        <f t="shared" si="76"/>
        <v>18</v>
      </c>
      <c r="E347" s="2" t="str">
        <f>"经济与管理学院"</f>
        <v>经济与管理学院</v>
      </c>
    </row>
    <row r="348" ht="13.5" hidden="1" spans="1:5">
      <c r="A348" s="2" t="str">
        <f>"黄麟"</f>
        <v>黄麟</v>
      </c>
      <c r="B348" s="2" t="str">
        <f>"B20201002421"</f>
        <v>B20201002421</v>
      </c>
      <c r="C348" s="2" t="str">
        <f>"男"</f>
        <v>男</v>
      </c>
      <c r="D348" s="2" t="str">
        <f t="shared" si="76"/>
        <v>18</v>
      </c>
      <c r="E348" s="2" t="str">
        <f>"艺术设计学院"</f>
        <v>艺术设计学院</v>
      </c>
    </row>
    <row r="349" ht="13.5" hidden="1" spans="1:5">
      <c r="A349" s="2" t="str">
        <f>"欧阳勤"</f>
        <v>欧阳勤</v>
      </c>
      <c r="B349" s="2" t="str">
        <f>"B20220701307"</f>
        <v>B20220701307</v>
      </c>
      <c r="C349" s="2" t="str">
        <f>"女"</f>
        <v>女</v>
      </c>
      <c r="D349" s="2" t="str">
        <f t="shared" si="76"/>
        <v>18</v>
      </c>
      <c r="E349" s="2" t="str">
        <f>"马栏山新媒体学院"</f>
        <v>马栏山新媒体学院</v>
      </c>
    </row>
    <row r="350" ht="13.5" hidden="1" spans="1:5">
      <c r="A350" s="2" t="str">
        <f>"熊添宇"</f>
        <v>熊添宇</v>
      </c>
      <c r="B350" s="2" t="str">
        <f>"B20200901234"</f>
        <v>B20200901234</v>
      </c>
      <c r="C350" s="2" t="str">
        <f>"女"</f>
        <v>女</v>
      </c>
      <c r="D350" s="2" t="str">
        <f t="shared" si="76"/>
        <v>18</v>
      </c>
      <c r="E350" s="2" t="str">
        <f t="shared" ref="E350:E354" si="79">"经济与管理学院"</f>
        <v>经济与管理学院</v>
      </c>
    </row>
    <row r="351" ht="13.5" hidden="1" spans="1:5">
      <c r="A351" s="2" t="str">
        <f>"申荣祁"</f>
        <v>申荣祁</v>
      </c>
      <c r="B351" s="2" t="str">
        <f>"B20200402119"</f>
        <v>B20200402119</v>
      </c>
      <c r="C351" s="2" t="str">
        <f>"男"</f>
        <v>男</v>
      </c>
      <c r="D351" s="2" t="str">
        <f t="shared" si="76"/>
        <v>18</v>
      </c>
      <c r="E351" s="2" t="str">
        <f>"电子信息与电气工程学院"</f>
        <v>电子信息与电气工程学院</v>
      </c>
    </row>
    <row r="352" ht="13.5" hidden="1" spans="1:5">
      <c r="A352" s="2" t="str">
        <f>"冯雨桐"</f>
        <v>冯雨桐</v>
      </c>
      <c r="B352" s="2" t="str">
        <f>"B20200901319"</f>
        <v>B20200901319</v>
      </c>
      <c r="C352" s="2" t="str">
        <f t="shared" ref="C352:C358" si="80">"女"</f>
        <v>女</v>
      </c>
      <c r="D352" s="2" t="str">
        <f t="shared" si="76"/>
        <v>18</v>
      </c>
      <c r="E352" s="2" t="str">
        <f t="shared" si="79"/>
        <v>经济与管理学院</v>
      </c>
    </row>
    <row r="353" ht="13.5" hidden="1" spans="1:5">
      <c r="A353" s="2" t="str">
        <f>"蔡苑怡"</f>
        <v>蔡苑怡</v>
      </c>
      <c r="B353" s="2" t="str">
        <f>"B20200902202"</f>
        <v>B20200902202</v>
      </c>
      <c r="C353" s="2" t="str">
        <f t="shared" si="80"/>
        <v>女</v>
      </c>
      <c r="D353" s="2" t="str">
        <f t="shared" si="76"/>
        <v>18</v>
      </c>
      <c r="E353" s="2" t="str">
        <f t="shared" si="79"/>
        <v>经济与管理学院</v>
      </c>
    </row>
    <row r="354" ht="13.5" hidden="1" spans="1:5">
      <c r="A354" s="2" t="str">
        <f>"李佳宜"</f>
        <v>李佳宜</v>
      </c>
      <c r="B354" s="2" t="str">
        <f>"B20220903133"</f>
        <v>B20220903133</v>
      </c>
      <c r="C354" s="2" t="str">
        <f t="shared" si="80"/>
        <v>女</v>
      </c>
      <c r="D354" s="2" t="str">
        <f t="shared" si="76"/>
        <v>18</v>
      </c>
      <c r="E354" s="2" t="str">
        <f t="shared" si="79"/>
        <v>经济与管理学院</v>
      </c>
    </row>
    <row r="355" ht="13.5" hidden="1" spans="1:5">
      <c r="A355" s="2" t="str">
        <f>"陈子忻"</f>
        <v>陈子忻</v>
      </c>
      <c r="B355" s="2" t="str">
        <f>"B20220701331"</f>
        <v>B20220701331</v>
      </c>
      <c r="C355" s="2" t="str">
        <f t="shared" si="80"/>
        <v>女</v>
      </c>
      <c r="D355" s="2" t="str">
        <f t="shared" si="76"/>
        <v>18</v>
      </c>
      <c r="E355" s="2" t="str">
        <f>"马栏山新媒体学院"</f>
        <v>马栏山新媒体学院</v>
      </c>
    </row>
    <row r="356" ht="13.5" hidden="1" spans="1:5">
      <c r="A356" s="2" t="str">
        <f>"刘欣梅"</f>
        <v>刘欣梅</v>
      </c>
      <c r="B356" s="2" t="str">
        <f>"B20230601206"</f>
        <v>B20230601206</v>
      </c>
      <c r="C356" s="2" t="str">
        <f t="shared" si="80"/>
        <v>女</v>
      </c>
      <c r="D356" s="2" t="str">
        <f t="shared" si="76"/>
        <v>18</v>
      </c>
      <c r="E356" s="2" t="str">
        <f>"法学院"</f>
        <v>法学院</v>
      </c>
    </row>
    <row r="357" ht="13.5" hidden="1" spans="1:5">
      <c r="A357" s="2" t="str">
        <f>"郑宇璨"</f>
        <v>郑宇璨</v>
      </c>
      <c r="B357" s="2" t="str">
        <f>"B20210902220"</f>
        <v>B20210902220</v>
      </c>
      <c r="C357" s="2" t="str">
        <f t="shared" si="80"/>
        <v>女</v>
      </c>
      <c r="D357" s="2" t="str">
        <f t="shared" si="76"/>
        <v>18</v>
      </c>
      <c r="E357" s="2" t="str">
        <f>"经济与管理学院"</f>
        <v>经济与管理学院</v>
      </c>
    </row>
    <row r="358" ht="13.5" hidden="1" spans="1:5">
      <c r="A358" s="2" t="str">
        <f>"夏婧"</f>
        <v>夏婧</v>
      </c>
      <c r="B358" s="2" t="str">
        <f>"B20220702314"</f>
        <v>B20220702314</v>
      </c>
      <c r="C358" s="2" t="str">
        <f t="shared" si="80"/>
        <v>女</v>
      </c>
      <c r="D358" s="2" t="str">
        <f t="shared" si="76"/>
        <v>18</v>
      </c>
      <c r="E358" s="2" t="str">
        <f>"马栏山新媒体学院"</f>
        <v>马栏山新媒体学院</v>
      </c>
    </row>
    <row r="359" ht="13.5" hidden="1" spans="1:5">
      <c r="A359" s="2" t="str">
        <f>"张智"</f>
        <v>张智</v>
      </c>
      <c r="B359" s="2" t="str">
        <f>"B20200503106"</f>
        <v>B20200503106</v>
      </c>
      <c r="C359" s="2" t="str">
        <f>"男"</f>
        <v>男</v>
      </c>
      <c r="D359" s="2" t="str">
        <f t="shared" si="76"/>
        <v>18</v>
      </c>
      <c r="E359" s="2" t="str">
        <f>"生物与环境工程学院"</f>
        <v>生物与环境工程学院</v>
      </c>
    </row>
    <row r="360" ht="13.5" hidden="1" spans="1:5">
      <c r="A360" s="2" t="str">
        <f>"戴思璇"</f>
        <v>戴思璇</v>
      </c>
      <c r="B360" s="2" t="str">
        <f>"B20220701408"</f>
        <v>B20220701408</v>
      </c>
      <c r="C360" s="2" t="str">
        <f>"女"</f>
        <v>女</v>
      </c>
      <c r="D360" s="2" t="str">
        <f t="shared" si="76"/>
        <v>18</v>
      </c>
      <c r="E360" s="2" t="str">
        <f>"马栏山新媒体学院"</f>
        <v>马栏山新媒体学院</v>
      </c>
    </row>
    <row r="361" ht="13.5" hidden="1" spans="1:5">
      <c r="A361" s="2" t="str">
        <f>"彭杰"</f>
        <v>彭杰</v>
      </c>
      <c r="B361" s="2" t="str">
        <f>"B20200401110"</f>
        <v>B20200401110</v>
      </c>
      <c r="C361" s="2" t="str">
        <f>"男"</f>
        <v>男</v>
      </c>
      <c r="D361" s="2" t="str">
        <f t="shared" si="76"/>
        <v>18</v>
      </c>
      <c r="E361" s="2" t="str">
        <f>"电子信息与电气工程学院"</f>
        <v>电子信息与电气工程学院</v>
      </c>
    </row>
    <row r="362" ht="13.5" hidden="1" spans="1:5">
      <c r="A362" s="2" t="str">
        <f>"钟杭"</f>
        <v>钟杭</v>
      </c>
      <c r="B362" s="2" t="str">
        <f>"B20200704420"</f>
        <v>B20200704420</v>
      </c>
      <c r="C362" s="2" t="str">
        <f>"女"</f>
        <v>女</v>
      </c>
      <c r="D362" s="2" t="str">
        <f t="shared" si="76"/>
        <v>18</v>
      </c>
      <c r="E362" s="2" t="str">
        <f>"马栏山新媒体学院"</f>
        <v>马栏山新媒体学院</v>
      </c>
    </row>
    <row r="363" ht="13.5" hidden="1" spans="1:5">
      <c r="A363" s="2" t="str">
        <f>"毛凯鑫"</f>
        <v>毛凯鑫</v>
      </c>
      <c r="B363" s="2" t="str">
        <f>"B20231002321"</f>
        <v>B20231002321</v>
      </c>
      <c r="C363" s="2" t="str">
        <f>"女"</f>
        <v>女</v>
      </c>
      <c r="D363" s="2" t="str">
        <f t="shared" ref="D363:D371" si="81">"18"</f>
        <v>18</v>
      </c>
      <c r="E363" s="2" t="str">
        <f>"艺术设计学院"</f>
        <v>艺术设计学院</v>
      </c>
    </row>
    <row r="364" ht="13.5" hidden="1" spans="1:5">
      <c r="A364" s="2" t="str">
        <f>"刘思豪"</f>
        <v>刘思豪</v>
      </c>
      <c r="B364" s="2" t="str">
        <f>"B20200904130"</f>
        <v>B20200904130</v>
      </c>
      <c r="C364" s="2" t="str">
        <f t="shared" ref="C363:C368" si="82">"男"</f>
        <v>男</v>
      </c>
      <c r="D364" s="2" t="str">
        <f t="shared" si="81"/>
        <v>18</v>
      </c>
      <c r="E364" s="2" t="str">
        <f>"经济与管理学院"</f>
        <v>经济与管理学院</v>
      </c>
    </row>
    <row r="365" ht="13.5" hidden="1" spans="1:5">
      <c r="A365" s="2" t="str">
        <f>"胡冬杰"</f>
        <v>胡冬杰</v>
      </c>
      <c r="B365" s="2" t="str">
        <f>"B20220204322"</f>
        <v>B20220204322</v>
      </c>
      <c r="C365" s="2" t="str">
        <f t="shared" si="82"/>
        <v>男</v>
      </c>
      <c r="D365" s="2" t="str">
        <f t="shared" si="81"/>
        <v>18</v>
      </c>
      <c r="E365" s="2" t="str">
        <f>"机电工程学院"</f>
        <v>机电工程学院</v>
      </c>
    </row>
    <row r="366" ht="13.5" hidden="1" spans="1:5">
      <c r="A366" s="2" t="str">
        <f>"王佳旭"</f>
        <v>王佳旭</v>
      </c>
      <c r="B366" s="2" t="str">
        <f>"B20220801518"</f>
        <v>B20220801518</v>
      </c>
      <c r="C366" s="2" t="str">
        <f t="shared" si="82"/>
        <v>男</v>
      </c>
      <c r="D366" s="2" t="str">
        <f t="shared" si="81"/>
        <v>18</v>
      </c>
      <c r="E366" s="2" t="str">
        <f>"外国语学院"</f>
        <v>外国语学院</v>
      </c>
    </row>
    <row r="367" ht="13.5" hidden="1" spans="1:5">
      <c r="A367" s="2" t="str">
        <f>"彭杰佳"</f>
        <v>彭杰佳</v>
      </c>
      <c r="B367" s="2" t="str">
        <f>"B20200703203"</f>
        <v>B20200703203</v>
      </c>
      <c r="C367" s="2" t="str">
        <f t="shared" si="82"/>
        <v>男</v>
      </c>
      <c r="D367" s="2" t="str">
        <f t="shared" si="81"/>
        <v>18</v>
      </c>
      <c r="E367" s="2" t="str">
        <f>"马栏山新媒体学院"</f>
        <v>马栏山新媒体学院</v>
      </c>
    </row>
    <row r="368" ht="13.5" hidden="1" spans="1:5">
      <c r="A368" s="2" t="str">
        <f>"刘言"</f>
        <v>刘言</v>
      </c>
      <c r="B368" s="2" t="str">
        <f>"B20200502221"</f>
        <v>B20200502221</v>
      </c>
      <c r="C368" s="2" t="str">
        <f t="shared" si="82"/>
        <v>男</v>
      </c>
      <c r="D368" s="2" t="str">
        <f t="shared" si="81"/>
        <v>18</v>
      </c>
      <c r="E368" s="2" t="str">
        <f>"生物与环境工程学院"</f>
        <v>生物与环境工程学院</v>
      </c>
    </row>
    <row r="369" ht="13.5" hidden="1" spans="1:5">
      <c r="A369" s="2" t="str">
        <f>"李雅轩"</f>
        <v>李雅轩</v>
      </c>
      <c r="B369" s="2" t="str">
        <f>"B20200802309"</f>
        <v>B20200802309</v>
      </c>
      <c r="C369" s="2" t="str">
        <f>"女"</f>
        <v>女</v>
      </c>
      <c r="D369" s="2" t="str">
        <f t="shared" si="81"/>
        <v>18</v>
      </c>
      <c r="E369" s="2" t="str">
        <f>"外国语学院"</f>
        <v>外国语学院</v>
      </c>
    </row>
    <row r="370" ht="13.5" hidden="1" spans="1:5">
      <c r="A370" s="2" t="str">
        <f>"徐田"</f>
        <v>徐田</v>
      </c>
      <c r="B370" s="2" t="str">
        <f>"B20200101234"</f>
        <v>B20200101234</v>
      </c>
      <c r="C370" s="2" t="str">
        <f>"女"</f>
        <v>女</v>
      </c>
      <c r="D370" s="2" t="str">
        <f t="shared" si="81"/>
        <v>18</v>
      </c>
      <c r="E370" s="2" t="str">
        <f>"土木工程学院"</f>
        <v>土木工程学院</v>
      </c>
    </row>
    <row r="371" ht="13.5" hidden="1" spans="1:5">
      <c r="A371" s="2" t="str">
        <f>"陈泽君"</f>
        <v>陈泽君</v>
      </c>
      <c r="B371" s="2" t="str">
        <f>"B20200901343"</f>
        <v>B20200901343</v>
      </c>
      <c r="C371" s="2" t="str">
        <f>"男"</f>
        <v>男</v>
      </c>
      <c r="D371" s="2" t="str">
        <f t="shared" si="81"/>
        <v>18</v>
      </c>
      <c r="E371" s="2" t="str">
        <f>"经济与管理学院"</f>
        <v>经济与管理学院</v>
      </c>
    </row>
    <row r="372" ht="13.5" hidden="1" spans="1:5">
      <c r="A372" s="2" t="str">
        <f>"胡嘉丽"</f>
        <v>胡嘉丽</v>
      </c>
      <c r="B372" s="2" t="str">
        <f>"B20220701224"</f>
        <v>B20220701224</v>
      </c>
      <c r="C372" s="2" t="str">
        <f t="shared" ref="C372:C380" si="83">"女"</f>
        <v>女</v>
      </c>
      <c r="D372" s="2" t="str">
        <f t="shared" ref="D372:D407" si="84">"17"</f>
        <v>17</v>
      </c>
      <c r="E372" s="2" t="str">
        <f>"马栏山新媒体学院"</f>
        <v>马栏山新媒体学院</v>
      </c>
    </row>
    <row r="373" ht="13.5" hidden="1" spans="1:5">
      <c r="A373" s="2" t="str">
        <f>"曹雅靖"</f>
        <v>曹雅靖</v>
      </c>
      <c r="B373" s="2" t="str">
        <f>"B20230801204"</f>
        <v>B20230801204</v>
      </c>
      <c r="C373" s="2" t="str">
        <f t="shared" si="83"/>
        <v>女</v>
      </c>
      <c r="D373" s="2" t="str">
        <f t="shared" si="84"/>
        <v>17</v>
      </c>
      <c r="E373" s="2" t="str">
        <f>"外国语学院"</f>
        <v>外国语学院</v>
      </c>
    </row>
    <row r="374" ht="13.5" hidden="1" spans="1:5">
      <c r="A374" s="2" t="str">
        <f>"李文烁"</f>
        <v>李文烁</v>
      </c>
      <c r="B374" s="2" t="str">
        <f>"B20200502205"</f>
        <v>B20200502205</v>
      </c>
      <c r="C374" s="2" t="str">
        <f>"男"</f>
        <v>男</v>
      </c>
      <c r="D374" s="2" t="str">
        <f t="shared" si="84"/>
        <v>17</v>
      </c>
      <c r="E374" s="2" t="str">
        <f>"生物与环境工程学院"</f>
        <v>生物与环境工程学院</v>
      </c>
    </row>
    <row r="375" ht="13.5" hidden="1" spans="1:5">
      <c r="A375" s="2" t="str">
        <f>"杨雨康"</f>
        <v>杨雨康</v>
      </c>
      <c r="B375" s="2" t="str">
        <f>"B20200201424"</f>
        <v>B20200201424</v>
      </c>
      <c r="C375" s="2" t="str">
        <f>"男"</f>
        <v>男</v>
      </c>
      <c r="D375" s="2" t="str">
        <f t="shared" si="84"/>
        <v>17</v>
      </c>
      <c r="E375" s="2" t="str">
        <f>"机电工程学院"</f>
        <v>机电工程学院</v>
      </c>
    </row>
    <row r="376" ht="13.5" hidden="1" spans="1:5">
      <c r="A376" s="2" t="str">
        <f>"管娜"</f>
        <v>管娜</v>
      </c>
      <c r="B376" s="2" t="str">
        <f>"B20200801427"</f>
        <v>B20200801427</v>
      </c>
      <c r="C376" s="2" t="str">
        <f t="shared" si="83"/>
        <v>女</v>
      </c>
      <c r="D376" s="2" t="str">
        <f t="shared" si="84"/>
        <v>17</v>
      </c>
      <c r="E376" s="2" t="str">
        <f>"外国语学院"</f>
        <v>外国语学院</v>
      </c>
    </row>
    <row r="377" ht="13.5" hidden="1" spans="1:5">
      <c r="A377" s="2" t="str">
        <f>"李珊"</f>
        <v>李珊</v>
      </c>
      <c r="B377" s="2" t="str">
        <f>"B20230504131"</f>
        <v>B20230504131</v>
      </c>
      <c r="C377" s="2" t="str">
        <f t="shared" si="83"/>
        <v>女</v>
      </c>
      <c r="D377" s="2" t="str">
        <f t="shared" si="84"/>
        <v>17</v>
      </c>
      <c r="E377" s="2" t="str">
        <f>"生物与化学工程学院"</f>
        <v>生物与化学工程学院</v>
      </c>
    </row>
    <row r="378" ht="13.5" hidden="1" spans="1:5">
      <c r="A378" s="2" t="str">
        <f>"贺双丽"</f>
        <v>贺双丽</v>
      </c>
      <c r="B378" s="2" t="str">
        <f>"B20230502223"</f>
        <v>B20230502223</v>
      </c>
      <c r="C378" s="2" t="str">
        <f t="shared" si="83"/>
        <v>女</v>
      </c>
      <c r="D378" s="2" t="str">
        <f t="shared" si="84"/>
        <v>17</v>
      </c>
      <c r="E378" s="2" t="str">
        <f>"生物与化学工程学院"</f>
        <v>生物与化学工程学院</v>
      </c>
    </row>
    <row r="379" ht="13.5" hidden="1" spans="1:5">
      <c r="A379" s="2" t="str">
        <f>"张怡岚"</f>
        <v>张怡岚</v>
      </c>
      <c r="B379" s="2" t="str">
        <f>"B20210903223"</f>
        <v>B20210903223</v>
      </c>
      <c r="C379" s="2" t="str">
        <f t="shared" si="83"/>
        <v>女</v>
      </c>
      <c r="D379" s="2" t="str">
        <f t="shared" si="84"/>
        <v>17</v>
      </c>
      <c r="E379" s="2" t="str">
        <f>"经济与管理学院"</f>
        <v>经济与管理学院</v>
      </c>
    </row>
    <row r="380" ht="13.5" hidden="1" spans="1:5">
      <c r="A380" s="2" t="str">
        <f>"杨腊梅"</f>
        <v>杨腊梅</v>
      </c>
      <c r="B380" s="2" t="str">
        <f>"B20231401125"</f>
        <v>B20231401125</v>
      </c>
      <c r="C380" s="2" t="str">
        <f t="shared" si="83"/>
        <v>女</v>
      </c>
      <c r="D380" s="2" t="str">
        <f t="shared" si="84"/>
        <v>17</v>
      </c>
      <c r="E380" s="2" t="str">
        <f>"马克思主义学院"</f>
        <v>马克思主义学院</v>
      </c>
    </row>
    <row r="381" ht="13.5" hidden="1" spans="1:5">
      <c r="A381" s="2" t="str">
        <f>"蒋子辉"</f>
        <v>蒋子辉</v>
      </c>
      <c r="B381" s="2" t="str">
        <f>"B20200101319"</f>
        <v>B20200101319</v>
      </c>
      <c r="C381" s="2" t="str">
        <f>"男"</f>
        <v>男</v>
      </c>
      <c r="D381" s="2" t="str">
        <f t="shared" si="84"/>
        <v>17</v>
      </c>
      <c r="E381" s="2" t="str">
        <f>"土木工程学院"</f>
        <v>土木工程学院</v>
      </c>
    </row>
    <row r="382" ht="13.5" hidden="1" spans="1:5">
      <c r="A382" s="2" t="str">
        <f>"欧阳君怡"</f>
        <v>欧阳君怡</v>
      </c>
      <c r="B382" s="2" t="str">
        <f>"B20210801503"</f>
        <v>B20210801503</v>
      </c>
      <c r="C382" s="2" t="str">
        <f>"女"</f>
        <v>女</v>
      </c>
      <c r="D382" s="2" t="str">
        <f t="shared" si="84"/>
        <v>17</v>
      </c>
      <c r="E382" s="2" t="str">
        <f>"外国语学院"</f>
        <v>外国语学院</v>
      </c>
    </row>
    <row r="383" ht="13.5" hidden="1" spans="1:5">
      <c r="A383" s="2" t="str">
        <f>"曹岳"</f>
        <v>曹岳</v>
      </c>
      <c r="B383" s="2" t="str">
        <f>"B20230701301"</f>
        <v>B20230701301</v>
      </c>
      <c r="C383" s="2" t="str">
        <f>"女"</f>
        <v>女</v>
      </c>
      <c r="D383" s="2" t="str">
        <f t="shared" si="84"/>
        <v>17</v>
      </c>
      <c r="E383" s="2" t="str">
        <f>"马栏山新媒体学院"</f>
        <v>马栏山新媒体学院</v>
      </c>
    </row>
    <row r="384" ht="13.5" hidden="1" spans="1:5">
      <c r="A384" s="2" t="str">
        <f>"邓豪华"</f>
        <v>邓豪华</v>
      </c>
      <c r="B384" s="2" t="str">
        <f>"B20200104115"</f>
        <v>B20200104115</v>
      </c>
      <c r="C384" s="2" t="str">
        <f>"男"</f>
        <v>男</v>
      </c>
      <c r="D384" s="2" t="str">
        <f t="shared" si="84"/>
        <v>17</v>
      </c>
      <c r="E384" s="2" t="str">
        <f>"土木工程学院"</f>
        <v>土木工程学院</v>
      </c>
    </row>
    <row r="385" ht="13.5" hidden="1" spans="1:5">
      <c r="A385" s="2" t="str">
        <f>"胡诚旺"</f>
        <v>胡诚旺</v>
      </c>
      <c r="B385" s="2" t="str">
        <f>"B20231301122"</f>
        <v>B20231301122</v>
      </c>
      <c r="C385" s="2" t="str">
        <f>"男"</f>
        <v>男</v>
      </c>
      <c r="D385" s="2" t="str">
        <f t="shared" si="84"/>
        <v>17</v>
      </c>
      <c r="E385" s="2" t="str">
        <f>"材料与环境工程学院"</f>
        <v>材料与环境工程学院</v>
      </c>
    </row>
    <row r="386" ht="13.5" hidden="1" spans="1:5">
      <c r="A386" s="2" t="str">
        <f>"刘灿阳"</f>
        <v>刘灿阳</v>
      </c>
      <c r="B386" s="2" t="str">
        <f>"B20230902134"</f>
        <v>B20230902134</v>
      </c>
      <c r="C386" s="2" t="str">
        <f>"女"</f>
        <v>女</v>
      </c>
      <c r="D386" s="2" t="str">
        <f t="shared" si="84"/>
        <v>17</v>
      </c>
      <c r="E386" s="2" t="str">
        <f>"经济与管理学院"</f>
        <v>经济与管理学院</v>
      </c>
    </row>
    <row r="387" ht="13.5" hidden="1" spans="1:5">
      <c r="A387" s="2" t="str">
        <f>"李慧君"</f>
        <v>李慧君</v>
      </c>
      <c r="B387" s="2" t="str">
        <f>"B20210903141"</f>
        <v>B20210903141</v>
      </c>
      <c r="C387" s="2" t="str">
        <f>"女"</f>
        <v>女</v>
      </c>
      <c r="D387" s="2" t="str">
        <f t="shared" si="84"/>
        <v>17</v>
      </c>
      <c r="E387" s="2" t="str">
        <f>"经济与管理学院"</f>
        <v>经济与管理学院</v>
      </c>
    </row>
    <row r="388" ht="13.5" hidden="1" spans="1:5">
      <c r="A388" s="2" t="str">
        <f>"肖霞"</f>
        <v>肖霞</v>
      </c>
      <c r="B388" s="2" t="str">
        <f>"B20231004211"</f>
        <v>B20231004211</v>
      </c>
      <c r="C388" s="2" t="str">
        <f>"女"</f>
        <v>女</v>
      </c>
      <c r="D388" s="2" t="str">
        <f t="shared" si="84"/>
        <v>17</v>
      </c>
      <c r="E388" s="2" t="str">
        <f>"艺术设计学院"</f>
        <v>艺术设计学院</v>
      </c>
    </row>
    <row r="389" ht="13.5" hidden="1" spans="1:5">
      <c r="A389" s="2" t="str">
        <f>"孙影祁"</f>
        <v>孙影祁</v>
      </c>
      <c r="B389" s="2" t="str">
        <f>"B20210101618"</f>
        <v>B20210101618</v>
      </c>
      <c r="C389" s="2" t="str">
        <f>"女"</f>
        <v>女</v>
      </c>
      <c r="D389" s="2" t="str">
        <f t="shared" si="84"/>
        <v>17</v>
      </c>
      <c r="E389" s="2" t="str">
        <f>"土木工程学院"</f>
        <v>土木工程学院</v>
      </c>
    </row>
    <row r="390" ht="13.5" hidden="1" spans="1:5">
      <c r="A390" s="2" t="str">
        <f>"黄春润"</f>
        <v>黄春润</v>
      </c>
      <c r="B390" s="2" t="str">
        <f>"B20201001120"</f>
        <v>B20201001120</v>
      </c>
      <c r="C390" s="2" t="str">
        <f t="shared" ref="C388:C395" si="85">"男"</f>
        <v>男</v>
      </c>
      <c r="D390" s="2" t="str">
        <f t="shared" si="84"/>
        <v>17</v>
      </c>
      <c r="E390" s="2" t="str">
        <f>"艺术设计学院"</f>
        <v>艺术设计学院</v>
      </c>
    </row>
    <row r="391" ht="13.5" hidden="1" spans="1:5">
      <c r="A391" s="2" t="str">
        <f>"陈领"</f>
        <v>陈领</v>
      </c>
      <c r="B391" s="2" t="str">
        <f>"B20200503225"</f>
        <v>B20200503225</v>
      </c>
      <c r="C391" s="2" t="str">
        <f>"女"</f>
        <v>女</v>
      </c>
      <c r="D391" s="2" t="str">
        <f t="shared" si="84"/>
        <v>17</v>
      </c>
      <c r="E391" s="2" t="str">
        <f>"生物与环境工程学院"</f>
        <v>生物与环境工程学院</v>
      </c>
    </row>
    <row r="392" ht="13.5" hidden="1" spans="1:5">
      <c r="A392" s="2" t="str">
        <f>"旷灿"</f>
        <v>旷灿</v>
      </c>
      <c r="B392" s="2" t="str">
        <f>"B20200101318"</f>
        <v>B20200101318</v>
      </c>
      <c r="C392" s="2" t="str">
        <f t="shared" si="85"/>
        <v>男</v>
      </c>
      <c r="D392" s="2" t="str">
        <f t="shared" si="84"/>
        <v>17</v>
      </c>
      <c r="E392" s="2" t="str">
        <f>"土木工程学院"</f>
        <v>土木工程学院</v>
      </c>
    </row>
    <row r="393" ht="13.5" hidden="1" spans="1:5">
      <c r="A393" s="2" t="str">
        <f>"李昌政"</f>
        <v>李昌政</v>
      </c>
      <c r="B393" s="2" t="str">
        <f>"B20210801217"</f>
        <v>B20210801217</v>
      </c>
      <c r="C393" s="2" t="str">
        <f t="shared" si="85"/>
        <v>男</v>
      </c>
      <c r="D393" s="2" t="str">
        <f t="shared" si="84"/>
        <v>17</v>
      </c>
      <c r="E393" s="2" t="str">
        <f>"外国语学院"</f>
        <v>外国语学院</v>
      </c>
    </row>
    <row r="394" ht="13.5" hidden="1" spans="1:5">
      <c r="A394" s="2" t="str">
        <f>"张海根"</f>
        <v>张海根</v>
      </c>
      <c r="B394" s="2" t="str">
        <f>"B20230901238"</f>
        <v>B20230901238</v>
      </c>
      <c r="C394" s="2" t="str">
        <f t="shared" si="85"/>
        <v>男</v>
      </c>
      <c r="D394" s="2" t="str">
        <f t="shared" si="84"/>
        <v>17</v>
      </c>
      <c r="E394" s="2" t="str">
        <f>"经济与管理学院"</f>
        <v>经济与管理学院</v>
      </c>
    </row>
    <row r="395" ht="13.5" hidden="1" spans="1:5">
      <c r="A395" s="2" t="str">
        <f>"陈俊"</f>
        <v>陈俊</v>
      </c>
      <c r="B395" s="2" t="str">
        <f>"B20220201211"</f>
        <v>B20220201211</v>
      </c>
      <c r="C395" s="2" t="str">
        <f t="shared" si="85"/>
        <v>男</v>
      </c>
      <c r="D395" s="2" t="str">
        <f t="shared" si="84"/>
        <v>17</v>
      </c>
      <c r="E395" s="2" t="str">
        <f>"机电工程学院"</f>
        <v>机电工程学院</v>
      </c>
    </row>
    <row r="396" ht="13.5" hidden="1" spans="1:5">
      <c r="A396" s="2" t="str">
        <f>"戴铂雅"</f>
        <v>戴铂雅</v>
      </c>
      <c r="B396" s="2" t="str">
        <f>"B20200904226"</f>
        <v>B20200904226</v>
      </c>
      <c r="C396" s="2" t="str">
        <f>"女"</f>
        <v>女</v>
      </c>
      <c r="D396" s="2" t="str">
        <f t="shared" si="84"/>
        <v>17</v>
      </c>
      <c r="E396" s="2" t="str">
        <f>"经济与管理学院"</f>
        <v>经济与管理学院</v>
      </c>
    </row>
    <row r="397" ht="13.5" hidden="1" spans="1:5">
      <c r="A397" s="2" t="str">
        <f>"谷倪"</f>
        <v>谷倪</v>
      </c>
      <c r="B397" s="2" t="str">
        <f>"B20211004108"</f>
        <v>B20211004108</v>
      </c>
      <c r="C397" s="2" t="str">
        <f t="shared" ref="C397:C403" si="86">"女"</f>
        <v>女</v>
      </c>
      <c r="D397" s="2" t="str">
        <f t="shared" si="84"/>
        <v>17</v>
      </c>
      <c r="E397" s="2" t="str">
        <f>"艺术设计学院"</f>
        <v>艺术设计学院</v>
      </c>
    </row>
    <row r="398" ht="13.5" hidden="1" spans="1:5">
      <c r="A398" s="2" t="str">
        <f>"石燕香"</f>
        <v>石燕香</v>
      </c>
      <c r="B398" s="2" t="str">
        <f>"B20230904116"</f>
        <v>B20230904116</v>
      </c>
      <c r="C398" s="2" t="str">
        <f t="shared" si="86"/>
        <v>女</v>
      </c>
      <c r="D398" s="2" t="str">
        <f t="shared" si="84"/>
        <v>17</v>
      </c>
      <c r="E398" s="2" t="str">
        <f>"经济与管理学院"</f>
        <v>经济与管理学院</v>
      </c>
    </row>
    <row r="399" ht="13.5" hidden="1" spans="1:5">
      <c r="A399" s="2" t="str">
        <f>"周语晨"</f>
        <v>周语晨</v>
      </c>
      <c r="B399" s="2" t="str">
        <f>"B20230803205"</f>
        <v>B20230803205</v>
      </c>
      <c r="C399" s="2" t="str">
        <f t="shared" si="86"/>
        <v>女</v>
      </c>
      <c r="D399" s="2" t="str">
        <f t="shared" si="84"/>
        <v>17</v>
      </c>
      <c r="E399" s="2" t="str">
        <f>"外国语学院"</f>
        <v>外国语学院</v>
      </c>
    </row>
    <row r="400" ht="13.5" hidden="1" spans="1:5">
      <c r="A400" s="2" t="str">
        <f>"王晶晶"</f>
        <v>王晶晶</v>
      </c>
      <c r="B400" s="2" t="str">
        <f>"B20220801227"</f>
        <v>B20220801227</v>
      </c>
      <c r="C400" s="2" t="str">
        <f t="shared" si="86"/>
        <v>女</v>
      </c>
      <c r="D400" s="2" t="str">
        <f t="shared" si="84"/>
        <v>17</v>
      </c>
      <c r="E400" s="2" t="str">
        <f>"外国语学院"</f>
        <v>外国语学院</v>
      </c>
    </row>
    <row r="401" ht="13.5" hidden="1" spans="1:5">
      <c r="A401" s="2" t="str">
        <f>"王瑜"</f>
        <v>王瑜</v>
      </c>
      <c r="B401" s="2" t="str">
        <f>"B20220701308"</f>
        <v>B20220701308</v>
      </c>
      <c r="C401" s="2" t="str">
        <f t="shared" si="86"/>
        <v>女</v>
      </c>
      <c r="D401" s="2" t="str">
        <f t="shared" si="84"/>
        <v>17</v>
      </c>
      <c r="E401" s="2" t="str">
        <f>"马栏山新媒体学院"</f>
        <v>马栏山新媒体学院</v>
      </c>
    </row>
    <row r="402" ht="13.5" hidden="1" spans="1:5">
      <c r="A402" s="2" t="str">
        <f>"黄格"</f>
        <v>黄格</v>
      </c>
      <c r="B402" s="2" t="str">
        <f>"B20230901201"</f>
        <v>B20230901201</v>
      </c>
      <c r="C402" s="2" t="str">
        <f t="shared" si="86"/>
        <v>女</v>
      </c>
      <c r="D402" s="2" t="str">
        <f t="shared" si="84"/>
        <v>17</v>
      </c>
      <c r="E402" s="2" t="str">
        <f>"经济与管理学院"</f>
        <v>经济与管理学院</v>
      </c>
    </row>
    <row r="403" ht="13.5" hidden="1" spans="1:5">
      <c r="A403" s="2" t="str">
        <f>"沙睿琦"</f>
        <v>沙睿琦</v>
      </c>
      <c r="B403" s="2" t="str">
        <f>"B20211004109"</f>
        <v>B20211004109</v>
      </c>
      <c r="C403" s="2" t="str">
        <f t="shared" si="86"/>
        <v>女</v>
      </c>
      <c r="D403" s="2" t="str">
        <f t="shared" si="84"/>
        <v>17</v>
      </c>
      <c r="E403" s="2" t="str">
        <f>"艺术设计学院"</f>
        <v>艺术设计学院</v>
      </c>
    </row>
    <row r="404" ht="13.5" hidden="1" spans="1:5">
      <c r="A404" s="2" t="str">
        <f>"张鹏程"</f>
        <v>张鹏程</v>
      </c>
      <c r="B404" s="2" t="str">
        <f>"B20230201121"</f>
        <v>B20230201121</v>
      </c>
      <c r="C404" s="2" t="str">
        <f>"男"</f>
        <v>男</v>
      </c>
      <c r="D404" s="2" t="str">
        <f t="shared" si="84"/>
        <v>17</v>
      </c>
      <c r="E404" s="2" t="str">
        <f>"机电工程学院"</f>
        <v>机电工程学院</v>
      </c>
    </row>
    <row r="405" ht="13.5" hidden="1" spans="1:5">
      <c r="A405" s="2" t="str">
        <f>"宋御"</f>
        <v>宋御</v>
      </c>
      <c r="B405" s="2" t="str">
        <f>"B20220801228"</f>
        <v>B20220801228</v>
      </c>
      <c r="C405" s="2" t="str">
        <f>"女"</f>
        <v>女</v>
      </c>
      <c r="D405" s="2" t="str">
        <f t="shared" si="84"/>
        <v>17</v>
      </c>
      <c r="E405" s="2" t="str">
        <f>"外国语学院"</f>
        <v>外国语学院</v>
      </c>
    </row>
    <row r="406" ht="13.5" hidden="1" spans="1:5">
      <c r="A406" s="2" t="str">
        <f>"胡超雄"</f>
        <v>胡超雄</v>
      </c>
      <c r="B406" s="2" t="str">
        <f>"B20200906129"</f>
        <v>B20200906129</v>
      </c>
      <c r="C406" s="2" t="str">
        <f t="shared" ref="C406:C411" si="87">"男"</f>
        <v>男</v>
      </c>
      <c r="D406" s="2" t="str">
        <f t="shared" si="84"/>
        <v>17</v>
      </c>
      <c r="E406" s="2" t="str">
        <f>"经济与管理学院"</f>
        <v>经济与管理学院</v>
      </c>
    </row>
    <row r="407" ht="13.5" hidden="1" spans="1:5">
      <c r="A407" s="2" t="str">
        <f>"罗样"</f>
        <v>罗样</v>
      </c>
      <c r="B407" s="2" t="str">
        <f>"B20230601218"</f>
        <v>B20230601218</v>
      </c>
      <c r="C407" s="2" t="str">
        <f t="shared" si="87"/>
        <v>男</v>
      </c>
      <c r="D407" s="2" t="str">
        <f t="shared" si="84"/>
        <v>17</v>
      </c>
      <c r="E407" s="2" t="str">
        <f>"法学院"</f>
        <v>法学院</v>
      </c>
    </row>
    <row r="408" ht="13.5" hidden="1" spans="1:5">
      <c r="A408" s="2" t="str">
        <f>"韩雨杰"</f>
        <v>韩雨杰</v>
      </c>
      <c r="B408" s="2" t="str">
        <f>"B20201101307"</f>
        <v>B20201101307</v>
      </c>
      <c r="C408" s="2" t="str">
        <f t="shared" si="87"/>
        <v>男</v>
      </c>
      <c r="D408" s="2" t="str">
        <f t="shared" ref="D408:D438" si="88">"17"</f>
        <v>17</v>
      </c>
      <c r="E408" s="2" t="str">
        <f>"音乐学院"</f>
        <v>音乐学院</v>
      </c>
    </row>
    <row r="409" ht="13.5" hidden="1" spans="1:5">
      <c r="A409" s="2" t="str">
        <f>"易裕民"</f>
        <v>易裕民</v>
      </c>
      <c r="B409" s="2" t="str">
        <f>"B20230402107"</f>
        <v>B20230402107</v>
      </c>
      <c r="C409" s="2" t="str">
        <f t="shared" si="87"/>
        <v>男</v>
      </c>
      <c r="D409" s="2" t="str">
        <f t="shared" si="88"/>
        <v>17</v>
      </c>
      <c r="E409" s="2" t="str">
        <f>"电子信息与电气工程学院"</f>
        <v>电子信息与电气工程学院</v>
      </c>
    </row>
    <row r="410" ht="13.5" hidden="1" spans="1:5">
      <c r="A410" s="2" t="str">
        <f>"厉铠宁"</f>
        <v>厉铠宁</v>
      </c>
      <c r="B410" s="2" t="str">
        <f>"B20230601505"</f>
        <v>B20230601505</v>
      </c>
      <c r="C410" s="2" t="str">
        <f t="shared" si="87"/>
        <v>男</v>
      </c>
      <c r="D410" s="2" t="str">
        <f t="shared" si="88"/>
        <v>17</v>
      </c>
      <c r="E410" s="2" t="str">
        <f>"法学院"</f>
        <v>法学院</v>
      </c>
    </row>
    <row r="411" ht="13.5" hidden="1" spans="1:5">
      <c r="A411" s="2" t="str">
        <f>"银潘"</f>
        <v>银潘</v>
      </c>
      <c r="B411" s="2" t="str">
        <f>"B20200101311"</f>
        <v>B20200101311</v>
      </c>
      <c r="C411" s="2" t="str">
        <f t="shared" si="87"/>
        <v>男</v>
      </c>
      <c r="D411" s="2" t="str">
        <f t="shared" si="88"/>
        <v>17</v>
      </c>
      <c r="E411" s="2" t="str">
        <f>"土木工程学院"</f>
        <v>土木工程学院</v>
      </c>
    </row>
    <row r="412" ht="13.5" hidden="1" spans="1:5">
      <c r="A412" s="2" t="str">
        <f>"李灵秀"</f>
        <v>李灵秀</v>
      </c>
      <c r="B412" s="2" t="str">
        <f>"B20230701109"</f>
        <v>B20230701109</v>
      </c>
      <c r="C412" s="2" t="str">
        <f t="shared" ref="C412:C418" si="89">"女"</f>
        <v>女</v>
      </c>
      <c r="D412" s="2" t="str">
        <f t="shared" si="88"/>
        <v>17</v>
      </c>
      <c r="E412" s="2" t="str">
        <f>"马栏山新媒体学院"</f>
        <v>马栏山新媒体学院</v>
      </c>
    </row>
    <row r="413" ht="13.5" hidden="1" spans="1:5">
      <c r="A413" s="2" t="str">
        <f>"胡智鑫"</f>
        <v>胡智鑫</v>
      </c>
      <c r="B413" s="2" t="str">
        <f>"B20230904208"</f>
        <v>B20230904208</v>
      </c>
      <c r="C413" s="2" t="str">
        <f t="shared" ref="C413:C416" si="90">"男"</f>
        <v>男</v>
      </c>
      <c r="D413" s="2" t="str">
        <f t="shared" si="88"/>
        <v>17</v>
      </c>
      <c r="E413" s="2" t="str">
        <f>"经济与管理学院"</f>
        <v>经济与管理学院</v>
      </c>
    </row>
    <row r="414" ht="13.5" hidden="1" spans="1:5">
      <c r="A414" s="2" t="str">
        <f>"张莉"</f>
        <v>张莉</v>
      </c>
      <c r="B414" s="2" t="str">
        <f>"B20230601115"</f>
        <v>B20230601115</v>
      </c>
      <c r="C414" s="2" t="str">
        <f t="shared" si="89"/>
        <v>女</v>
      </c>
      <c r="D414" s="2" t="str">
        <f t="shared" si="88"/>
        <v>17</v>
      </c>
      <c r="E414" s="2" t="str">
        <f>"法学院"</f>
        <v>法学院</v>
      </c>
    </row>
    <row r="415" ht="13.5" hidden="1" spans="1:5">
      <c r="A415" s="2" t="str">
        <f>"彭洪果"</f>
        <v>彭洪果</v>
      </c>
      <c r="B415" s="2" t="str">
        <f>"B20231004104"</f>
        <v>B20231004104</v>
      </c>
      <c r="C415" s="2" t="str">
        <f t="shared" si="90"/>
        <v>男</v>
      </c>
      <c r="D415" s="2" t="str">
        <f t="shared" si="88"/>
        <v>17</v>
      </c>
      <c r="E415" s="2" t="str">
        <f>"艺术设计学院"</f>
        <v>艺术设计学院</v>
      </c>
    </row>
    <row r="416" ht="13.5" hidden="1" spans="1:5">
      <c r="A416" s="2" t="str">
        <f>"文俊杰"</f>
        <v>文俊杰</v>
      </c>
      <c r="B416" s="2" t="str">
        <f>"B20231301126"</f>
        <v>B20231301126</v>
      </c>
      <c r="C416" s="2" t="str">
        <f t="shared" si="90"/>
        <v>男</v>
      </c>
      <c r="D416" s="2" t="str">
        <f t="shared" si="88"/>
        <v>17</v>
      </c>
      <c r="E416" s="2" t="str">
        <f>"材料与环境工程学院"</f>
        <v>材料与环境工程学院</v>
      </c>
    </row>
    <row r="417" ht="13.5" hidden="1" spans="1:5">
      <c r="A417" s="2" t="str">
        <f>"杨晶"</f>
        <v>杨晶</v>
      </c>
      <c r="B417" s="2" t="str">
        <f>"B20200905103"</f>
        <v>B20200905103</v>
      </c>
      <c r="C417" s="2" t="str">
        <f t="shared" si="89"/>
        <v>女</v>
      </c>
      <c r="D417" s="2" t="str">
        <f t="shared" si="88"/>
        <v>17</v>
      </c>
      <c r="E417" s="2" t="str">
        <f t="shared" ref="E417:E420" si="91">"经济与管理学院"</f>
        <v>经济与管理学院</v>
      </c>
    </row>
    <row r="418" ht="13.5" hidden="1" spans="1:5">
      <c r="A418" s="2" t="str">
        <f>"陶飞宇"</f>
        <v>陶飞宇</v>
      </c>
      <c r="B418" s="2" t="str">
        <f>"B20230702306"</f>
        <v>B20230702306</v>
      </c>
      <c r="C418" s="2" t="str">
        <f t="shared" si="89"/>
        <v>女</v>
      </c>
      <c r="D418" s="2" t="str">
        <f t="shared" si="88"/>
        <v>17</v>
      </c>
      <c r="E418" s="2" t="str">
        <f>"马栏山新媒体学院"</f>
        <v>马栏山新媒体学院</v>
      </c>
    </row>
    <row r="419" ht="13.5" hidden="1" spans="1:5">
      <c r="A419" s="2" t="str">
        <f>"李旭东"</f>
        <v>李旭东</v>
      </c>
      <c r="B419" s="2" t="str">
        <f>"B20220904128"</f>
        <v>B20220904128</v>
      </c>
      <c r="C419" s="2" t="str">
        <f>"男"</f>
        <v>男</v>
      </c>
      <c r="D419" s="2" t="str">
        <f t="shared" si="88"/>
        <v>17</v>
      </c>
      <c r="E419" s="2" t="str">
        <f t="shared" si="91"/>
        <v>经济与管理学院</v>
      </c>
    </row>
    <row r="420" ht="13.5" hidden="1" spans="1:5">
      <c r="A420" s="2" t="str">
        <f>"钟倩"</f>
        <v>钟倩</v>
      </c>
      <c r="B420" s="2" t="str">
        <f>"B20210901143"</f>
        <v>B20210901143</v>
      </c>
      <c r="C420" s="2" t="str">
        <f>"女"</f>
        <v>女</v>
      </c>
      <c r="D420" s="2" t="str">
        <f t="shared" si="88"/>
        <v>17</v>
      </c>
      <c r="E420" s="2" t="str">
        <f t="shared" si="91"/>
        <v>经济与管理学院</v>
      </c>
    </row>
    <row r="421" ht="13.5" hidden="1" spans="1:5">
      <c r="A421" s="2" t="str">
        <f>"申宇"</f>
        <v>申宇</v>
      </c>
      <c r="B421" s="2" t="str">
        <f>"B20210803215"</f>
        <v>B20210803215</v>
      </c>
      <c r="C421" s="2" t="str">
        <f>"女"</f>
        <v>女</v>
      </c>
      <c r="D421" s="2" t="str">
        <f t="shared" si="88"/>
        <v>17</v>
      </c>
      <c r="E421" s="2" t="str">
        <f>"外国语学院"</f>
        <v>外国语学院</v>
      </c>
    </row>
    <row r="422" ht="13.5" hidden="1" spans="1:5">
      <c r="A422" s="2" t="str">
        <f>"黄浩"</f>
        <v>黄浩</v>
      </c>
      <c r="B422" s="2" t="str">
        <f>"B20200703123"</f>
        <v>B20200703123</v>
      </c>
      <c r="C422" s="2" t="str">
        <f>"男"</f>
        <v>男</v>
      </c>
      <c r="D422" s="2" t="str">
        <f t="shared" si="88"/>
        <v>17</v>
      </c>
      <c r="E422" s="2" t="str">
        <f t="shared" ref="E422:E425" si="92">"马栏山新媒体学院"</f>
        <v>马栏山新媒体学院</v>
      </c>
    </row>
    <row r="423" ht="13.5" hidden="1" spans="1:5">
      <c r="A423" s="2" t="str">
        <f>"张子彬"</f>
        <v>张子彬</v>
      </c>
      <c r="B423" s="2" t="str">
        <f>"B20230803123"</f>
        <v>B20230803123</v>
      </c>
      <c r="C423" s="2" t="str">
        <f t="shared" ref="C423:C428" si="93">"女"</f>
        <v>女</v>
      </c>
      <c r="D423" s="2" t="str">
        <f t="shared" si="88"/>
        <v>17</v>
      </c>
      <c r="E423" s="2" t="str">
        <f>"外国语学院"</f>
        <v>外国语学院</v>
      </c>
    </row>
    <row r="424" ht="13.5" hidden="1" spans="1:5">
      <c r="A424" s="2" t="str">
        <f>"张婵"</f>
        <v>张婵</v>
      </c>
      <c r="B424" s="2" t="str">
        <f>"B20230702409"</f>
        <v>B20230702409</v>
      </c>
      <c r="C424" s="2" t="str">
        <f t="shared" si="93"/>
        <v>女</v>
      </c>
      <c r="D424" s="2" t="str">
        <f t="shared" si="88"/>
        <v>17</v>
      </c>
      <c r="E424" s="2" t="str">
        <f t="shared" si="92"/>
        <v>马栏山新媒体学院</v>
      </c>
    </row>
    <row r="425" ht="13.5" hidden="1" spans="1:5">
      <c r="A425" s="2" t="str">
        <f>"段婉婷"</f>
        <v>段婉婷</v>
      </c>
      <c r="B425" s="2" t="str">
        <f>"B20200701139"</f>
        <v>B20200701139</v>
      </c>
      <c r="C425" s="2" t="str">
        <f t="shared" si="93"/>
        <v>女</v>
      </c>
      <c r="D425" s="2" t="str">
        <f t="shared" si="88"/>
        <v>17</v>
      </c>
      <c r="E425" s="2" t="str">
        <f t="shared" si="92"/>
        <v>马栏山新媒体学院</v>
      </c>
    </row>
    <row r="426" ht="13.5" hidden="1" spans="1:5">
      <c r="A426" s="2" t="str">
        <f>"黄载真"</f>
        <v>黄载真</v>
      </c>
      <c r="B426" s="2" t="str">
        <f>"B20220803128"</f>
        <v>B20220803128</v>
      </c>
      <c r="C426" s="2" t="str">
        <f t="shared" si="93"/>
        <v>女</v>
      </c>
      <c r="D426" s="2" t="str">
        <f t="shared" si="88"/>
        <v>17</v>
      </c>
      <c r="E426" s="2" t="str">
        <f>"外国语学院"</f>
        <v>外国语学院</v>
      </c>
    </row>
    <row r="427" ht="13.5" hidden="1" spans="1:5">
      <c r="A427" s="2" t="str">
        <f>"张佳颍"</f>
        <v>张佳颍</v>
      </c>
      <c r="B427" s="2" t="str">
        <f>"B20230202425"</f>
        <v>B20230202425</v>
      </c>
      <c r="C427" s="2" t="str">
        <f t="shared" si="93"/>
        <v>女</v>
      </c>
      <c r="D427" s="2" t="str">
        <f t="shared" si="88"/>
        <v>17</v>
      </c>
      <c r="E427" s="2" t="str">
        <f>"机电工程学院"</f>
        <v>机电工程学院</v>
      </c>
    </row>
    <row r="428" ht="13.5" hidden="1" spans="1:5">
      <c r="A428" s="2" t="str">
        <f>"郭曼玉"</f>
        <v>郭曼玉</v>
      </c>
      <c r="B428" s="2" t="str">
        <f>"B20210904202"</f>
        <v>B20210904202</v>
      </c>
      <c r="C428" s="2" t="str">
        <f t="shared" si="93"/>
        <v>女</v>
      </c>
      <c r="D428" s="2" t="str">
        <f t="shared" si="88"/>
        <v>17</v>
      </c>
      <c r="E428" s="2" t="str">
        <f>"经济与管理学院"</f>
        <v>经济与管理学院</v>
      </c>
    </row>
    <row r="429" ht="13.5" hidden="1" spans="1:5">
      <c r="A429" s="2" t="str">
        <f>"郑文杰"</f>
        <v>郑文杰</v>
      </c>
      <c r="B429" s="2" t="str">
        <f>"B20220202316"</f>
        <v>B20220202316</v>
      </c>
      <c r="C429" s="2" t="str">
        <f>"男"</f>
        <v>男</v>
      </c>
      <c r="D429" s="2" t="str">
        <f t="shared" si="88"/>
        <v>17</v>
      </c>
      <c r="E429" s="2" t="str">
        <f>"机电工程学院"</f>
        <v>机电工程学院</v>
      </c>
    </row>
    <row r="430" ht="13.5" hidden="1" spans="1:5">
      <c r="A430" s="2" t="str">
        <f>"汤畅"</f>
        <v>汤畅</v>
      </c>
      <c r="B430" s="2" t="str">
        <f>"B20180601126"</f>
        <v>B20180601126</v>
      </c>
      <c r="C430" s="2" t="str">
        <f>"男"</f>
        <v>男</v>
      </c>
      <c r="D430" s="2" t="str">
        <f t="shared" si="88"/>
        <v>17</v>
      </c>
      <c r="E430" s="2" t="str">
        <f>"法学院"</f>
        <v>法学院</v>
      </c>
    </row>
    <row r="431" ht="13.5" hidden="1" spans="1:5">
      <c r="A431" s="2" t="str">
        <f>"李鸿"</f>
        <v>李鸿</v>
      </c>
      <c r="B431" s="2" t="str">
        <f>"B20220905127"</f>
        <v>B20220905127</v>
      </c>
      <c r="C431" s="2" t="str">
        <f>"女"</f>
        <v>女</v>
      </c>
      <c r="D431" s="2" t="str">
        <f t="shared" si="88"/>
        <v>17</v>
      </c>
      <c r="E431" s="2" t="str">
        <f>"经济与管理学院"</f>
        <v>经济与管理学院</v>
      </c>
    </row>
    <row r="432" ht="13.5" hidden="1" spans="1:5">
      <c r="A432" s="2" t="str">
        <f>"付圣珂"</f>
        <v>付圣珂</v>
      </c>
      <c r="B432" s="2" t="str">
        <f>"B20221002321"</f>
        <v>B20221002321</v>
      </c>
      <c r="C432" s="2" t="str">
        <f>"男"</f>
        <v>男</v>
      </c>
      <c r="D432" s="2" t="str">
        <f t="shared" si="88"/>
        <v>17</v>
      </c>
      <c r="E432" s="2" t="str">
        <f>"艺术设计学院"</f>
        <v>艺术设计学院</v>
      </c>
    </row>
    <row r="433" ht="13.5" hidden="1" spans="1:5">
      <c r="A433" s="2" t="str">
        <f>"廖静"</f>
        <v>廖静</v>
      </c>
      <c r="B433" s="2" t="str">
        <f>"B20220701312"</f>
        <v>B20220701312</v>
      </c>
      <c r="C433" s="2" t="str">
        <f>"女"</f>
        <v>女</v>
      </c>
      <c r="D433" s="2" t="str">
        <f t="shared" si="88"/>
        <v>17</v>
      </c>
      <c r="E433" s="2" t="str">
        <f>"马栏山新媒体学院"</f>
        <v>马栏山新媒体学院</v>
      </c>
    </row>
    <row r="434" ht="13.5" hidden="1" spans="1:5">
      <c r="A434" s="2" t="str">
        <f>"赵峻驰"</f>
        <v>赵峻驰</v>
      </c>
      <c r="B434" s="2" t="str">
        <f>"B20220502134"</f>
        <v>B20220502134</v>
      </c>
      <c r="C434" s="2" t="str">
        <f>"男"</f>
        <v>男</v>
      </c>
      <c r="D434" s="2" t="str">
        <f t="shared" si="88"/>
        <v>17</v>
      </c>
      <c r="E434" s="2" t="str">
        <f>"生物与化学工程学院"</f>
        <v>生物与化学工程学院</v>
      </c>
    </row>
    <row r="435" ht="13.5" hidden="1" spans="1:5">
      <c r="A435" s="2" t="str">
        <f>"羿健敏"</f>
        <v>羿健敏</v>
      </c>
      <c r="B435" s="2" t="str">
        <f>"B20210801102"</f>
        <v>B20210801102</v>
      </c>
      <c r="C435" s="2" t="str">
        <f>"女"</f>
        <v>女</v>
      </c>
      <c r="D435" s="2" t="str">
        <f t="shared" si="88"/>
        <v>17</v>
      </c>
      <c r="E435" s="2" t="str">
        <f>"外国语学院"</f>
        <v>外国语学院</v>
      </c>
    </row>
    <row r="436" ht="13.5" hidden="1" spans="1:5">
      <c r="A436" s="2" t="str">
        <f>"李迎"</f>
        <v>李迎</v>
      </c>
      <c r="B436" s="2" t="str">
        <f>"B20210906231"</f>
        <v>B20210906231</v>
      </c>
      <c r="C436" s="2" t="str">
        <f>"女"</f>
        <v>女</v>
      </c>
      <c r="D436" s="2" t="str">
        <f t="shared" si="88"/>
        <v>17</v>
      </c>
      <c r="E436" s="2" t="str">
        <f>"经济与管理学院"</f>
        <v>经济与管理学院</v>
      </c>
    </row>
    <row r="437" ht="13.5" hidden="1" spans="1:5">
      <c r="A437" s="2" t="str">
        <f>"宁红静"</f>
        <v>宁红静</v>
      </c>
      <c r="B437" s="2" t="str">
        <f>"B20210902426"</f>
        <v>B20210902426</v>
      </c>
      <c r="C437" s="2" t="str">
        <f>"女"</f>
        <v>女</v>
      </c>
      <c r="D437" s="2" t="str">
        <f t="shared" si="88"/>
        <v>17</v>
      </c>
      <c r="E437" s="2" t="str">
        <f>"经济与管理学院"</f>
        <v>经济与管理学院</v>
      </c>
    </row>
    <row r="438" ht="13.5" hidden="1" spans="1:5">
      <c r="A438" s="2" t="str">
        <f>"张靓"</f>
        <v>张靓</v>
      </c>
      <c r="B438" s="2" t="str">
        <f>"B20230601212"</f>
        <v>B20230601212</v>
      </c>
      <c r="C438" s="2" t="str">
        <f>"女"</f>
        <v>女</v>
      </c>
      <c r="D438" s="2" t="str">
        <f t="shared" si="88"/>
        <v>17</v>
      </c>
      <c r="E438" s="2" t="str">
        <f>"法学院"</f>
        <v>法学院</v>
      </c>
    </row>
    <row r="439" ht="13.5" hidden="1" spans="1:5">
      <c r="A439" s="2" t="str">
        <f>"范继城"</f>
        <v>范继城</v>
      </c>
      <c r="B439" s="2" t="str">
        <f>"B20220904333"</f>
        <v>B20220904333</v>
      </c>
      <c r="C439" s="2" t="str">
        <f t="shared" ref="C439:C443" si="94">"男"</f>
        <v>男</v>
      </c>
      <c r="D439" s="2" t="str">
        <f t="shared" ref="D439:D446" si="95">"17"</f>
        <v>17</v>
      </c>
      <c r="E439" s="2" t="str">
        <f>"经济与管理学院"</f>
        <v>经济与管理学院</v>
      </c>
    </row>
    <row r="440" ht="13.5" hidden="1" spans="1:5">
      <c r="A440" s="2" t="str">
        <f>"邵飞"</f>
        <v>邵飞</v>
      </c>
      <c r="B440" s="2" t="str">
        <f>"B20230902210"</f>
        <v>B20230902210</v>
      </c>
      <c r="C440" s="2" t="str">
        <f t="shared" si="94"/>
        <v>男</v>
      </c>
      <c r="D440" s="2" t="str">
        <f t="shared" si="95"/>
        <v>17</v>
      </c>
      <c r="E440" s="2" t="str">
        <f>"经济与管理学院"</f>
        <v>经济与管理学院</v>
      </c>
    </row>
    <row r="441" ht="13.5" hidden="1" spans="1:5">
      <c r="A441" s="2" t="str">
        <f>"邓琳"</f>
        <v>邓琳</v>
      </c>
      <c r="B441" s="2" t="str">
        <f>"B20220502123"</f>
        <v>B20220502123</v>
      </c>
      <c r="C441" s="2" t="str">
        <f t="shared" ref="C441:C447" si="96">"女"</f>
        <v>女</v>
      </c>
      <c r="D441" s="2" t="str">
        <f t="shared" si="95"/>
        <v>17</v>
      </c>
      <c r="E441" s="2" t="str">
        <f>"生物与化学工程学院"</f>
        <v>生物与化学工程学院</v>
      </c>
    </row>
    <row r="442" ht="13.5" hidden="1" spans="1:5">
      <c r="A442" s="2" t="str">
        <f>"陈炳臻"</f>
        <v>陈炳臻</v>
      </c>
      <c r="B442" s="2" t="str">
        <f>"B20200201426"</f>
        <v>B20200201426</v>
      </c>
      <c r="C442" s="2" t="str">
        <f t="shared" si="94"/>
        <v>男</v>
      </c>
      <c r="D442" s="2" t="str">
        <f t="shared" si="95"/>
        <v>17</v>
      </c>
      <c r="E442" s="2" t="str">
        <f>"机电工程学院"</f>
        <v>机电工程学院</v>
      </c>
    </row>
    <row r="443" ht="13.5" hidden="1" spans="1:5">
      <c r="A443" s="2" t="str">
        <f>"刘家初"</f>
        <v>刘家初</v>
      </c>
      <c r="B443" s="2" t="str">
        <f>"B20211003220"</f>
        <v>B20211003220</v>
      </c>
      <c r="C443" s="2" t="str">
        <f t="shared" si="94"/>
        <v>男</v>
      </c>
      <c r="D443" s="2" t="str">
        <f t="shared" si="95"/>
        <v>17</v>
      </c>
      <c r="E443" s="2" t="str">
        <f>"艺术设计学院"</f>
        <v>艺术设计学院</v>
      </c>
    </row>
    <row r="444" ht="13.5" hidden="1" spans="1:5">
      <c r="A444" s="2" t="str">
        <f>"刘玉琴"</f>
        <v>刘玉琴</v>
      </c>
      <c r="B444" s="2" t="str">
        <f>"B20210901312"</f>
        <v>B20210901312</v>
      </c>
      <c r="C444" s="2" t="str">
        <f t="shared" si="96"/>
        <v>女</v>
      </c>
      <c r="D444" s="2" t="str">
        <f t="shared" si="95"/>
        <v>17</v>
      </c>
      <c r="E444" s="2" t="str">
        <f t="shared" ref="E444:E448" si="97">"经济与管理学院"</f>
        <v>经济与管理学院</v>
      </c>
    </row>
    <row r="445" ht="13.5" hidden="1" spans="1:5">
      <c r="A445" s="2" t="str">
        <f>"孙祝晴"</f>
        <v>孙祝晴</v>
      </c>
      <c r="B445" s="2" t="str">
        <f>"B20220904324"</f>
        <v>B20220904324</v>
      </c>
      <c r="C445" s="2" t="str">
        <f t="shared" si="96"/>
        <v>女</v>
      </c>
      <c r="D445" s="2" t="str">
        <f t="shared" si="95"/>
        <v>17</v>
      </c>
      <c r="E445" s="2" t="str">
        <f t="shared" si="97"/>
        <v>经济与管理学院</v>
      </c>
    </row>
    <row r="446" ht="13.5" hidden="1" spans="1:5">
      <c r="A446" s="2" t="str">
        <f>"刘洁"</f>
        <v>刘洁</v>
      </c>
      <c r="B446" s="2" t="str">
        <f>"B20200401423"</f>
        <v>B20200401423</v>
      </c>
      <c r="C446" s="2" t="str">
        <f t="shared" si="96"/>
        <v>女</v>
      </c>
      <c r="D446" s="2" t="str">
        <f t="shared" si="95"/>
        <v>17</v>
      </c>
      <c r="E446" s="2" t="str">
        <f>"电子信息与电气工程学院"</f>
        <v>电子信息与电气工程学院</v>
      </c>
    </row>
    <row r="447" ht="13.5" hidden="1" spans="1:5">
      <c r="A447" s="2" t="str">
        <f>"吴蓓钰"</f>
        <v>吴蓓钰</v>
      </c>
      <c r="B447" s="2" t="str">
        <f>"B20211004111"</f>
        <v>B20211004111</v>
      </c>
      <c r="C447" s="2" t="str">
        <f t="shared" si="96"/>
        <v>女</v>
      </c>
      <c r="D447" s="2" t="str">
        <f t="shared" ref="D447:D484" si="98">"16"</f>
        <v>16</v>
      </c>
      <c r="E447" s="2" t="str">
        <f>"艺术设计学院"</f>
        <v>艺术设计学院</v>
      </c>
    </row>
    <row r="448" ht="13.5" hidden="1" spans="1:5">
      <c r="A448" s="2" t="str">
        <f>"李梓傲"</f>
        <v>李梓傲</v>
      </c>
      <c r="B448" s="2" t="str">
        <f>"B20210901237"</f>
        <v>B20210901237</v>
      </c>
      <c r="C448" s="2" t="str">
        <f>"男"</f>
        <v>男</v>
      </c>
      <c r="D448" s="2" t="str">
        <f t="shared" si="98"/>
        <v>16</v>
      </c>
      <c r="E448" s="2" t="str">
        <f t="shared" si="97"/>
        <v>经济与管理学院</v>
      </c>
    </row>
    <row r="449" ht="13.5" hidden="1" spans="1:5">
      <c r="A449" s="2" t="str">
        <f>"蒋佳"</f>
        <v>蒋佳</v>
      </c>
      <c r="B449" s="2" t="str">
        <f>"B20230802115"</f>
        <v>B20230802115</v>
      </c>
      <c r="C449" s="2" t="str">
        <f t="shared" ref="C449:C455" si="99">"女"</f>
        <v>女</v>
      </c>
      <c r="D449" s="2" t="str">
        <f t="shared" si="98"/>
        <v>16</v>
      </c>
      <c r="E449" s="2" t="str">
        <f t="shared" ref="E449:E454" si="100">"外国语学院"</f>
        <v>外国语学院</v>
      </c>
    </row>
    <row r="450" ht="13.5" hidden="1" spans="1:5">
      <c r="A450" s="2" t="str">
        <f>"辛宝乐"</f>
        <v>辛宝乐</v>
      </c>
      <c r="B450" s="2" t="str">
        <f>"B20230101606"</f>
        <v>B20230101606</v>
      </c>
      <c r="C450" s="2" t="str">
        <f>"男"</f>
        <v>男</v>
      </c>
      <c r="D450" s="2" t="str">
        <f t="shared" si="98"/>
        <v>16</v>
      </c>
      <c r="E450" s="2" t="str">
        <f>"土木工程学院"</f>
        <v>土木工程学院</v>
      </c>
    </row>
    <row r="451" ht="13.5" hidden="1" spans="1:5">
      <c r="A451" s="2" t="str">
        <f>"刘元昊"</f>
        <v>刘元昊</v>
      </c>
      <c r="B451" s="2" t="str">
        <f>"B20220802115"</f>
        <v>B20220802115</v>
      </c>
      <c r="C451" s="2" t="str">
        <f>"男"</f>
        <v>男</v>
      </c>
      <c r="D451" s="2" t="str">
        <f t="shared" si="98"/>
        <v>16</v>
      </c>
      <c r="E451" s="2" t="str">
        <f t="shared" si="100"/>
        <v>外国语学院</v>
      </c>
    </row>
    <row r="452" ht="13.5" hidden="1" spans="1:5">
      <c r="A452" s="2" t="str">
        <f>"李伟"</f>
        <v>李伟</v>
      </c>
      <c r="B452" s="2" t="str">
        <f>"B20231401115"</f>
        <v>B20231401115</v>
      </c>
      <c r="C452" s="2" t="str">
        <f>"男"</f>
        <v>男</v>
      </c>
      <c r="D452" s="2" t="str">
        <f t="shared" si="98"/>
        <v>16</v>
      </c>
      <c r="E452" s="2" t="str">
        <f>"马克思主义学院"</f>
        <v>马克思主义学院</v>
      </c>
    </row>
    <row r="453" ht="13.5" hidden="1" spans="1:5">
      <c r="A453" s="2" t="str">
        <f>"蒋恋雪"</f>
        <v>蒋恋雪</v>
      </c>
      <c r="B453" s="2" t="str">
        <f>"B20200702221"</f>
        <v>B20200702221</v>
      </c>
      <c r="C453" s="2" t="str">
        <f t="shared" si="99"/>
        <v>女</v>
      </c>
      <c r="D453" s="2" t="str">
        <f t="shared" si="98"/>
        <v>16</v>
      </c>
      <c r="E453" s="2" t="str">
        <f>"马栏山新媒体学院"</f>
        <v>马栏山新媒体学院</v>
      </c>
    </row>
    <row r="454" ht="13.5" hidden="1" spans="1:5">
      <c r="A454" s="2" t="str">
        <f>"曾熠霞"</f>
        <v>曾熠霞</v>
      </c>
      <c r="B454" s="2" t="str">
        <f>"B20210801117"</f>
        <v>B20210801117</v>
      </c>
      <c r="C454" s="2" t="str">
        <f t="shared" si="99"/>
        <v>女</v>
      </c>
      <c r="D454" s="2" t="str">
        <f t="shared" si="98"/>
        <v>16</v>
      </c>
      <c r="E454" s="2" t="str">
        <f t="shared" si="100"/>
        <v>外国语学院</v>
      </c>
    </row>
    <row r="455" ht="13.5" hidden="1" spans="1:5">
      <c r="A455" s="2" t="str">
        <f>"阳凤"</f>
        <v>阳凤</v>
      </c>
      <c r="B455" s="2" t="str">
        <f>"B20210203209"</f>
        <v>B20210203209</v>
      </c>
      <c r="C455" s="2" t="str">
        <f t="shared" si="99"/>
        <v>女</v>
      </c>
      <c r="D455" s="2" t="str">
        <f t="shared" si="98"/>
        <v>16</v>
      </c>
      <c r="E455" s="2" t="str">
        <f>"机电工程学院"</f>
        <v>机电工程学院</v>
      </c>
    </row>
    <row r="456" ht="13.5" hidden="1" spans="1:5">
      <c r="A456" s="2" t="str">
        <f>"丁子豪"</f>
        <v>丁子豪</v>
      </c>
      <c r="B456" s="2" t="str">
        <f>"B20200705129"</f>
        <v>B20200705129</v>
      </c>
      <c r="C456" s="2" t="str">
        <f>"男"</f>
        <v>男</v>
      </c>
      <c r="D456" s="2" t="str">
        <f t="shared" si="98"/>
        <v>16</v>
      </c>
      <c r="E456" s="2" t="str">
        <f>"马栏山新媒体学院"</f>
        <v>马栏山新媒体学院</v>
      </c>
    </row>
    <row r="457" ht="13.5" hidden="1" spans="1:5">
      <c r="A457" s="2" t="str">
        <f>"郑艳民"</f>
        <v>郑艳民</v>
      </c>
      <c r="B457" s="2" t="str">
        <f>"B20220801119"</f>
        <v>B20220801119</v>
      </c>
      <c r="C457" s="2" t="str">
        <f t="shared" ref="C457:C459" si="101">"女"</f>
        <v>女</v>
      </c>
      <c r="D457" s="2" t="str">
        <f t="shared" si="98"/>
        <v>16</v>
      </c>
      <c r="E457" s="2" t="str">
        <f>"外国语学院"</f>
        <v>外国语学院</v>
      </c>
    </row>
    <row r="458" ht="13.5" hidden="1" spans="1:5">
      <c r="A458" s="2" t="str">
        <f>"李奔月"</f>
        <v>李奔月</v>
      </c>
      <c r="B458" s="2" t="str">
        <f>"B20220905211"</f>
        <v>B20220905211</v>
      </c>
      <c r="C458" s="2" t="str">
        <f t="shared" si="101"/>
        <v>女</v>
      </c>
      <c r="D458" s="2" t="str">
        <f t="shared" si="98"/>
        <v>16</v>
      </c>
      <c r="E458" s="2" t="str">
        <f>"经济与管理学院"</f>
        <v>经济与管理学院</v>
      </c>
    </row>
    <row r="459" ht="13.5" hidden="1" spans="1:5">
      <c r="A459" s="2" t="str">
        <f>"李婷"</f>
        <v>李婷</v>
      </c>
      <c r="B459" s="2" t="str">
        <f>"B20220902223"</f>
        <v>B20220902223</v>
      </c>
      <c r="C459" s="2" t="str">
        <f t="shared" si="101"/>
        <v>女</v>
      </c>
      <c r="D459" s="2" t="str">
        <f t="shared" si="98"/>
        <v>16</v>
      </c>
      <c r="E459" s="2" t="str">
        <f>"经济与管理学院"</f>
        <v>经济与管理学院</v>
      </c>
    </row>
    <row r="460" ht="13.5" hidden="1" spans="1:5">
      <c r="A460" s="2" t="str">
        <f>"段思龙"</f>
        <v>段思龙</v>
      </c>
      <c r="B460" s="2" t="str">
        <f>"B20220702318"</f>
        <v>B20220702318</v>
      </c>
      <c r="C460" s="2" t="str">
        <f t="shared" ref="C460:C466" si="102">"女"</f>
        <v>女</v>
      </c>
      <c r="D460" s="2" t="str">
        <f t="shared" si="98"/>
        <v>16</v>
      </c>
      <c r="E460" s="2" t="str">
        <f t="shared" ref="E460:E465" si="103">"马栏山新媒体学院"</f>
        <v>马栏山新媒体学院</v>
      </c>
    </row>
    <row r="461" ht="13.5" hidden="1" spans="1:5">
      <c r="A461" s="2" t="str">
        <f>"李瑾萱"</f>
        <v>李瑾萱</v>
      </c>
      <c r="B461" s="2" t="str">
        <f>"B20200104124"</f>
        <v>B20200104124</v>
      </c>
      <c r="C461" s="2" t="str">
        <f t="shared" si="102"/>
        <v>女</v>
      </c>
      <c r="D461" s="2" t="str">
        <f t="shared" si="98"/>
        <v>16</v>
      </c>
      <c r="E461" s="2" t="str">
        <f>"土木工程学院"</f>
        <v>土木工程学院</v>
      </c>
    </row>
    <row r="462" ht="13.5" hidden="1" spans="1:5">
      <c r="A462" s="2" t="str">
        <f>"伍玥"</f>
        <v>伍玥</v>
      </c>
      <c r="B462" s="2" t="str">
        <f>"B20230702123"</f>
        <v>B20230702123</v>
      </c>
      <c r="C462" s="2" t="str">
        <f t="shared" si="102"/>
        <v>女</v>
      </c>
      <c r="D462" s="2" t="str">
        <f t="shared" si="98"/>
        <v>16</v>
      </c>
      <c r="E462" s="2" t="str">
        <f t="shared" si="103"/>
        <v>马栏山新媒体学院</v>
      </c>
    </row>
    <row r="463" ht="13.5" hidden="1" spans="1:5">
      <c r="A463" s="2" t="str">
        <f>"文登卿"</f>
        <v>文登卿</v>
      </c>
      <c r="B463" s="2" t="str">
        <f>"B20220801413"</f>
        <v>B20220801413</v>
      </c>
      <c r="C463" s="2" t="str">
        <f t="shared" si="102"/>
        <v>女</v>
      </c>
      <c r="D463" s="2" t="str">
        <f t="shared" si="98"/>
        <v>16</v>
      </c>
      <c r="E463" s="2" t="str">
        <f>"外国语学院"</f>
        <v>外国语学院</v>
      </c>
    </row>
    <row r="464" ht="13.5" hidden="1" spans="1:5">
      <c r="A464" s="2" t="str">
        <f>"刘若松"</f>
        <v>刘若松</v>
      </c>
      <c r="B464" s="2" t="str">
        <f>"B20200801413"</f>
        <v>B20200801413</v>
      </c>
      <c r="C464" s="2" t="str">
        <f t="shared" si="102"/>
        <v>女</v>
      </c>
      <c r="D464" s="2" t="str">
        <f t="shared" si="98"/>
        <v>16</v>
      </c>
      <c r="E464" s="2" t="str">
        <f>"外国语学院"</f>
        <v>外国语学院</v>
      </c>
    </row>
    <row r="465" ht="13.5" hidden="1" spans="1:5">
      <c r="A465" s="2" t="str">
        <f>"马佳乐"</f>
        <v>马佳乐</v>
      </c>
      <c r="B465" s="2" t="str">
        <f>"B20200703115"</f>
        <v>B20200703115</v>
      </c>
      <c r="C465" s="2" t="str">
        <f t="shared" si="102"/>
        <v>女</v>
      </c>
      <c r="D465" s="2" t="str">
        <f t="shared" si="98"/>
        <v>16</v>
      </c>
      <c r="E465" s="2" t="str">
        <f t="shared" si="103"/>
        <v>马栏山新媒体学院</v>
      </c>
    </row>
    <row r="466" ht="13.5" hidden="1" spans="1:5">
      <c r="A466" s="2" t="str">
        <f>"秦慧娴"</f>
        <v>秦慧娴</v>
      </c>
      <c r="B466" s="2" t="str">
        <f>"B20230901120"</f>
        <v>B20230901120</v>
      </c>
      <c r="C466" s="2" t="str">
        <f t="shared" si="102"/>
        <v>女</v>
      </c>
      <c r="D466" s="2" t="str">
        <f t="shared" si="98"/>
        <v>16</v>
      </c>
      <c r="E466" s="2" t="str">
        <f>"经济与管理学院"</f>
        <v>经济与管理学院</v>
      </c>
    </row>
    <row r="467" ht="13.5" hidden="1" spans="1:5">
      <c r="A467" s="2" t="str">
        <f>"张满银"</f>
        <v>张满银</v>
      </c>
      <c r="B467" s="2" t="str">
        <f>"B20220204232"</f>
        <v>B20220204232</v>
      </c>
      <c r="C467" s="2" t="str">
        <f t="shared" ref="C467:C470" si="104">"男"</f>
        <v>男</v>
      </c>
      <c r="D467" s="2" t="str">
        <f t="shared" si="98"/>
        <v>16</v>
      </c>
      <c r="E467" s="2" t="str">
        <f>"机电工程学院"</f>
        <v>机电工程学院</v>
      </c>
    </row>
    <row r="468" ht="13.5" hidden="1" spans="1:5">
      <c r="A468" s="2" t="str">
        <f>"李婉珠"</f>
        <v>李婉珠</v>
      </c>
      <c r="B468" s="2" t="str">
        <f>"B20220906131"</f>
        <v>B20220906131</v>
      </c>
      <c r="C468" s="2" t="str">
        <f t="shared" ref="C468:C474" si="105">"女"</f>
        <v>女</v>
      </c>
      <c r="D468" s="2" t="str">
        <f t="shared" si="98"/>
        <v>16</v>
      </c>
      <c r="E468" s="2" t="str">
        <f>"经济与管理学院"</f>
        <v>经济与管理学院</v>
      </c>
    </row>
    <row r="469" ht="13.5" hidden="1" spans="1:5">
      <c r="A469" s="2" t="str">
        <f>"马锐淇"</f>
        <v>马锐淇</v>
      </c>
      <c r="B469" s="2" t="str">
        <f>"B20201001420"</f>
        <v>B20201001420</v>
      </c>
      <c r="C469" s="2" t="str">
        <f t="shared" si="104"/>
        <v>男</v>
      </c>
      <c r="D469" s="2" t="str">
        <f t="shared" si="98"/>
        <v>16</v>
      </c>
      <c r="E469" s="2" t="str">
        <f>"艺术设计学院"</f>
        <v>艺术设计学院</v>
      </c>
    </row>
    <row r="470" ht="13.5" hidden="1" spans="1:5">
      <c r="A470" s="2" t="str">
        <f>"郭骐源"</f>
        <v>郭骐源</v>
      </c>
      <c r="B470" s="2" t="str">
        <f>"B20201002302"</f>
        <v>B20201002302</v>
      </c>
      <c r="C470" s="2" t="str">
        <f t="shared" si="104"/>
        <v>男</v>
      </c>
      <c r="D470" s="2" t="str">
        <f t="shared" si="98"/>
        <v>16</v>
      </c>
      <c r="E470" s="2" t="str">
        <f>"艺术设计学院"</f>
        <v>艺术设计学院</v>
      </c>
    </row>
    <row r="471" ht="13.5" hidden="1" spans="1:5">
      <c r="A471" s="2" t="str">
        <f>"叶芊蕾"</f>
        <v>叶芊蕾</v>
      </c>
      <c r="B471" s="2" t="str">
        <f>"B20190903101"</f>
        <v>B20190903101</v>
      </c>
      <c r="C471" s="2" t="str">
        <f t="shared" si="105"/>
        <v>女</v>
      </c>
      <c r="D471" s="2" t="str">
        <f t="shared" si="98"/>
        <v>16</v>
      </c>
      <c r="E471" s="2" t="str">
        <f>"马栏山新媒体学院"</f>
        <v>马栏山新媒体学院</v>
      </c>
    </row>
    <row r="472" ht="13.5" hidden="1" spans="1:5">
      <c r="A472" s="2" t="str">
        <f>"李福源"</f>
        <v>李福源</v>
      </c>
      <c r="B472" s="2" t="str">
        <f>"B20200401416"</f>
        <v>B20200401416</v>
      </c>
      <c r="C472" s="2" t="str">
        <f t="shared" ref="C472:C478" si="106">"男"</f>
        <v>男</v>
      </c>
      <c r="D472" s="2" t="str">
        <f t="shared" si="98"/>
        <v>16</v>
      </c>
      <c r="E472" s="2" t="str">
        <f>"电子信息与电气工程学院"</f>
        <v>电子信息与电气工程学院</v>
      </c>
    </row>
    <row r="473" ht="13.5" hidden="1" spans="1:5">
      <c r="A473" s="2" t="str">
        <f>"左薇"</f>
        <v>左薇</v>
      </c>
      <c r="B473" s="2" t="str">
        <f>"B20230801226"</f>
        <v>B20230801226</v>
      </c>
      <c r="C473" s="2" t="str">
        <f t="shared" si="105"/>
        <v>女</v>
      </c>
      <c r="D473" s="2" t="str">
        <f t="shared" si="98"/>
        <v>16</v>
      </c>
      <c r="E473" s="2" t="str">
        <f>"外国语学院"</f>
        <v>外国语学院</v>
      </c>
    </row>
    <row r="474" ht="13.5" hidden="1" spans="1:5">
      <c r="A474" s="2" t="str">
        <f>"余任"</f>
        <v>余任</v>
      </c>
      <c r="B474" s="2" t="str">
        <f>"B20230601506"</f>
        <v>B20230601506</v>
      </c>
      <c r="C474" s="2" t="str">
        <f t="shared" si="105"/>
        <v>女</v>
      </c>
      <c r="D474" s="2" t="str">
        <f t="shared" si="98"/>
        <v>16</v>
      </c>
      <c r="E474" s="2" t="str">
        <f>"法学院"</f>
        <v>法学院</v>
      </c>
    </row>
    <row r="475" ht="13.5" hidden="1" spans="1:5">
      <c r="A475" s="2" t="str">
        <f>"易思源"</f>
        <v>易思源</v>
      </c>
      <c r="B475" s="2" t="str">
        <f>"B20230205231"</f>
        <v>B20230205231</v>
      </c>
      <c r="C475" s="2" t="str">
        <f t="shared" si="106"/>
        <v>男</v>
      </c>
      <c r="D475" s="2" t="str">
        <f t="shared" si="98"/>
        <v>16</v>
      </c>
      <c r="E475" s="2" t="str">
        <f>"机电工程学院"</f>
        <v>机电工程学院</v>
      </c>
    </row>
    <row r="476" ht="13.5" hidden="1" spans="1:5">
      <c r="A476" s="2" t="str">
        <f>"胡雨静"</f>
        <v>胡雨静</v>
      </c>
      <c r="B476" s="2" t="str">
        <f>"B20200502132"</f>
        <v>B20200502132</v>
      </c>
      <c r="C476" s="2" t="str">
        <f t="shared" ref="C476:C480" si="107">"女"</f>
        <v>女</v>
      </c>
      <c r="D476" s="2" t="str">
        <f t="shared" si="98"/>
        <v>16</v>
      </c>
      <c r="E476" s="2" t="str">
        <f>"生物与环境工程学院"</f>
        <v>生物与环境工程学院</v>
      </c>
    </row>
    <row r="477" ht="13.5" hidden="1" spans="1:5">
      <c r="A477" s="2" t="str">
        <f>"彭昱涵"</f>
        <v>彭昱涵</v>
      </c>
      <c r="B477" s="2" t="str">
        <f>"B20220403334"</f>
        <v>B20220403334</v>
      </c>
      <c r="C477" s="2" t="str">
        <f t="shared" si="106"/>
        <v>男</v>
      </c>
      <c r="D477" s="2" t="str">
        <f t="shared" si="98"/>
        <v>16</v>
      </c>
      <c r="E477" s="2" t="str">
        <f>"电子信息与电气工程学院"</f>
        <v>电子信息与电气工程学院</v>
      </c>
    </row>
    <row r="478" ht="13.5" hidden="1" spans="1:5">
      <c r="A478" s="2" t="str">
        <f>"邹志伟"</f>
        <v>邹志伟</v>
      </c>
      <c r="B478" s="2" t="str">
        <f>"B20210101501"</f>
        <v>B20210101501</v>
      </c>
      <c r="C478" s="2" t="str">
        <f t="shared" si="106"/>
        <v>男</v>
      </c>
      <c r="D478" s="2" t="str">
        <f t="shared" si="98"/>
        <v>16</v>
      </c>
      <c r="E478" s="2" t="str">
        <f>"土木工程学院"</f>
        <v>土木工程学院</v>
      </c>
    </row>
    <row r="479" ht="13.5" hidden="1" spans="1:5">
      <c r="A479" s="2" t="str">
        <f>"陈雨丹"</f>
        <v>陈雨丹</v>
      </c>
      <c r="B479" s="2" t="str">
        <f>"B20220801204"</f>
        <v>B20220801204</v>
      </c>
      <c r="C479" s="2" t="str">
        <f t="shared" si="107"/>
        <v>女</v>
      </c>
      <c r="D479" s="2" t="str">
        <f t="shared" si="98"/>
        <v>16</v>
      </c>
      <c r="E479" s="2" t="str">
        <f>"外国语学院"</f>
        <v>外国语学院</v>
      </c>
    </row>
    <row r="480" ht="13.5" hidden="1" spans="1:5">
      <c r="A480" s="2" t="str">
        <f>"汤琼"</f>
        <v>汤琼</v>
      </c>
      <c r="B480" s="2" t="str">
        <f>"B20230904105"</f>
        <v>B20230904105</v>
      </c>
      <c r="C480" s="2" t="str">
        <f t="shared" si="107"/>
        <v>女</v>
      </c>
      <c r="D480" s="2" t="str">
        <f t="shared" si="98"/>
        <v>16</v>
      </c>
      <c r="E480" s="2" t="str">
        <f>"经济与管理学院"</f>
        <v>经济与管理学院</v>
      </c>
    </row>
    <row r="481" ht="13.5" hidden="1" spans="1:5">
      <c r="A481" s="2" t="str">
        <f>"樊继鑫"</f>
        <v>樊继鑫</v>
      </c>
      <c r="B481" s="2" t="str">
        <f>"B20230502203"</f>
        <v>B20230502203</v>
      </c>
      <c r="C481" s="2" t="str">
        <f>"男"</f>
        <v>男</v>
      </c>
      <c r="D481" s="2" t="str">
        <f t="shared" si="98"/>
        <v>16</v>
      </c>
      <c r="E481" s="2" t="str">
        <f>"生物与化学工程学院"</f>
        <v>生物与化学工程学院</v>
      </c>
    </row>
    <row r="482" ht="13.5" hidden="1" spans="1:5">
      <c r="A482" s="2" t="str">
        <f>"罗君涵"</f>
        <v>罗君涵</v>
      </c>
      <c r="B482" s="2" t="str">
        <f>"B20220504121"</f>
        <v>B20220504121</v>
      </c>
      <c r="C482" s="2" t="str">
        <f>"男"</f>
        <v>男</v>
      </c>
      <c r="D482" s="2" t="str">
        <f t="shared" si="98"/>
        <v>16</v>
      </c>
      <c r="E482" s="2" t="str">
        <f>"生物与化学工程学院"</f>
        <v>生物与化学工程学院</v>
      </c>
    </row>
    <row r="483" ht="13.5" hidden="1" spans="1:5">
      <c r="A483" s="2" t="str">
        <f>"赵咏华"</f>
        <v>赵咏华</v>
      </c>
      <c r="B483" s="2" t="str">
        <f>"B20230904109"</f>
        <v>B20230904109</v>
      </c>
      <c r="C483" s="2" t="str">
        <f>"女"</f>
        <v>女</v>
      </c>
      <c r="D483" s="2" t="str">
        <f t="shared" si="98"/>
        <v>16</v>
      </c>
      <c r="E483" s="2" t="str">
        <f>"经济与管理学院"</f>
        <v>经济与管理学院</v>
      </c>
    </row>
    <row r="484" ht="13.5" hidden="1" spans="1:5">
      <c r="A484" s="2" t="str">
        <f>"姚嘉怡"</f>
        <v>姚嘉怡</v>
      </c>
      <c r="B484" s="2" t="str">
        <f>"B20221111217"</f>
        <v>B20221111217</v>
      </c>
      <c r="C484" s="2" t="str">
        <f>"女"</f>
        <v>女</v>
      </c>
      <c r="D484" s="2" t="str">
        <f t="shared" si="98"/>
        <v>16</v>
      </c>
      <c r="E484" s="2" t="str">
        <f>"音乐学院"</f>
        <v>音乐学院</v>
      </c>
    </row>
    <row r="485" ht="13.5" hidden="1" spans="1:5">
      <c r="A485" s="2" t="str">
        <f>"董婷姿"</f>
        <v>董婷姿</v>
      </c>
      <c r="B485" s="2" t="str">
        <f>"B20230502133"</f>
        <v>B20230502133</v>
      </c>
      <c r="C485" s="2" t="str">
        <f>"女"</f>
        <v>女</v>
      </c>
      <c r="D485" s="2" t="str">
        <f t="shared" ref="D485:D526" si="108">"16"</f>
        <v>16</v>
      </c>
      <c r="E485" s="2" t="str">
        <f>"生物与化学工程学院"</f>
        <v>生物与化学工程学院</v>
      </c>
    </row>
    <row r="486" ht="13.5" hidden="1" spans="1:5">
      <c r="A486" s="2" t="str">
        <f>"蒋可雯"</f>
        <v>蒋可雯</v>
      </c>
      <c r="B486" s="2" t="str">
        <f>"B20201003203"</f>
        <v>B20201003203</v>
      </c>
      <c r="C486" s="2" t="str">
        <f>"女"</f>
        <v>女</v>
      </c>
      <c r="D486" s="2" t="str">
        <f t="shared" si="108"/>
        <v>16</v>
      </c>
      <c r="E486" s="2" t="str">
        <f>"艺术设计学院"</f>
        <v>艺术设计学院</v>
      </c>
    </row>
    <row r="487" ht="13.5" hidden="1" spans="1:5">
      <c r="A487" s="2" t="str">
        <f>"陈博"</f>
        <v>陈博</v>
      </c>
      <c r="B487" s="2" t="str">
        <f>"B20220902303"</f>
        <v>B20220902303</v>
      </c>
      <c r="C487" s="2" t="str">
        <f t="shared" ref="C487:C492" si="109">"男"</f>
        <v>男</v>
      </c>
      <c r="D487" s="2" t="str">
        <f t="shared" si="108"/>
        <v>16</v>
      </c>
      <c r="E487" s="2" t="str">
        <f t="shared" ref="E487:E492" si="110">"经济与管理学院"</f>
        <v>经济与管理学院</v>
      </c>
    </row>
    <row r="488" ht="13.5" hidden="1" spans="1:5">
      <c r="A488" s="2" t="str">
        <f>"刘莎"</f>
        <v>刘莎</v>
      </c>
      <c r="B488" s="2" t="str">
        <f>"B20230701303"</f>
        <v>B20230701303</v>
      </c>
      <c r="C488" s="2" t="str">
        <f t="shared" ref="C488:C491" si="111">"女"</f>
        <v>女</v>
      </c>
      <c r="D488" s="2" t="str">
        <f t="shared" si="108"/>
        <v>16</v>
      </c>
      <c r="E488" s="2" t="str">
        <f>"马栏山新媒体学院"</f>
        <v>马栏山新媒体学院</v>
      </c>
    </row>
    <row r="489" ht="13.5" hidden="1" spans="1:5">
      <c r="A489" s="2" t="str">
        <f>"卫沭金"</f>
        <v>卫沭金</v>
      </c>
      <c r="B489" s="2" t="str">
        <f>"B20201004124"</f>
        <v>B20201004124</v>
      </c>
      <c r="C489" s="2" t="str">
        <f t="shared" si="109"/>
        <v>男</v>
      </c>
      <c r="D489" s="2" t="str">
        <f t="shared" si="108"/>
        <v>16</v>
      </c>
      <c r="E489" s="2" t="str">
        <f>"艺术设计学院"</f>
        <v>艺术设计学院</v>
      </c>
    </row>
    <row r="490" ht="13.5" hidden="1" spans="1:5">
      <c r="A490" s="2" t="str">
        <f>"姜亮"</f>
        <v>姜亮</v>
      </c>
      <c r="B490" s="2" t="str">
        <f>"B20220901310"</f>
        <v>B20220901310</v>
      </c>
      <c r="C490" s="2" t="str">
        <f t="shared" si="111"/>
        <v>女</v>
      </c>
      <c r="D490" s="2" t="str">
        <f t="shared" si="108"/>
        <v>16</v>
      </c>
      <c r="E490" s="2" t="str">
        <f t="shared" si="110"/>
        <v>经济与管理学院</v>
      </c>
    </row>
    <row r="491" ht="13.5" hidden="1" spans="1:5">
      <c r="A491" s="2" t="str">
        <f>"曾程玉"</f>
        <v>曾程玉</v>
      </c>
      <c r="B491" s="2" t="str">
        <f>"B20210902134"</f>
        <v>B20210902134</v>
      </c>
      <c r="C491" s="2" t="str">
        <f t="shared" si="111"/>
        <v>女</v>
      </c>
      <c r="D491" s="2" t="str">
        <f t="shared" si="108"/>
        <v>16</v>
      </c>
      <c r="E491" s="2" t="str">
        <f t="shared" si="110"/>
        <v>经济与管理学院</v>
      </c>
    </row>
    <row r="492" ht="13.5" hidden="1" spans="1:5">
      <c r="A492" s="2" t="str">
        <f>"魏泽芃"</f>
        <v>魏泽芃</v>
      </c>
      <c r="B492" s="2" t="str">
        <f>"B20200903220"</f>
        <v>B20200903220</v>
      </c>
      <c r="C492" s="2" t="str">
        <f t="shared" si="109"/>
        <v>男</v>
      </c>
      <c r="D492" s="2" t="str">
        <f t="shared" si="108"/>
        <v>16</v>
      </c>
      <c r="E492" s="2" t="str">
        <f t="shared" si="110"/>
        <v>经济与管理学院</v>
      </c>
    </row>
    <row r="493" ht="13.5" hidden="1" spans="1:5">
      <c r="A493" s="2" t="str">
        <f>"刘淑婷"</f>
        <v>刘淑婷</v>
      </c>
      <c r="B493" s="2" t="str">
        <f>"B20200802318"</f>
        <v>B20200802318</v>
      </c>
      <c r="C493" s="2" t="str">
        <f t="shared" ref="C493:C497" si="112">"女"</f>
        <v>女</v>
      </c>
      <c r="D493" s="2" t="str">
        <f t="shared" si="108"/>
        <v>16</v>
      </c>
      <c r="E493" s="2" t="str">
        <f>"外国语学院"</f>
        <v>外国语学院</v>
      </c>
    </row>
    <row r="494" ht="13.5" hidden="1" spans="1:5">
      <c r="A494" s="2" t="str">
        <f>"陈旺"</f>
        <v>陈旺</v>
      </c>
      <c r="B494" s="2" t="str">
        <f>"B20210203127"</f>
        <v>B20210203127</v>
      </c>
      <c r="C494" s="2" t="str">
        <f t="shared" ref="C494:C499" si="113">"男"</f>
        <v>男</v>
      </c>
      <c r="D494" s="2" t="str">
        <f t="shared" si="108"/>
        <v>16</v>
      </c>
      <c r="E494" s="2" t="str">
        <f>"机电工程学院"</f>
        <v>机电工程学院</v>
      </c>
    </row>
    <row r="495" ht="13.5" hidden="1" spans="1:5">
      <c r="A495" s="2" t="str">
        <f>"瞿晶晶"</f>
        <v>瞿晶晶</v>
      </c>
      <c r="B495" s="2" t="str">
        <f>"B20210801207"</f>
        <v>B20210801207</v>
      </c>
      <c r="C495" s="2" t="str">
        <f t="shared" si="112"/>
        <v>女</v>
      </c>
      <c r="D495" s="2" t="str">
        <f t="shared" si="108"/>
        <v>16</v>
      </c>
      <c r="E495" s="2" t="str">
        <f>"外国语学院"</f>
        <v>外国语学院</v>
      </c>
    </row>
    <row r="496" ht="13.5" hidden="1" spans="1:5">
      <c r="A496" s="2" t="str">
        <f>"张倩"</f>
        <v>张倩</v>
      </c>
      <c r="B496" s="2" t="str">
        <f>"B20230904312"</f>
        <v>B20230904312</v>
      </c>
      <c r="C496" s="2" t="str">
        <f t="shared" si="112"/>
        <v>女</v>
      </c>
      <c r="D496" s="2" t="str">
        <f t="shared" si="108"/>
        <v>16</v>
      </c>
      <c r="E496" s="2" t="str">
        <f t="shared" ref="E496:E500" si="114">"经济与管理学院"</f>
        <v>经济与管理学院</v>
      </c>
    </row>
    <row r="497" ht="13.5" hidden="1" spans="1:5">
      <c r="A497" s="2" t="str">
        <f>"尹湘"</f>
        <v>尹湘</v>
      </c>
      <c r="B497" s="2" t="str">
        <f>"B20220901125"</f>
        <v>B20220901125</v>
      </c>
      <c r="C497" s="2" t="str">
        <f t="shared" si="112"/>
        <v>女</v>
      </c>
      <c r="D497" s="2" t="str">
        <f t="shared" si="108"/>
        <v>16</v>
      </c>
      <c r="E497" s="2" t="str">
        <f t="shared" si="114"/>
        <v>经济与管理学院</v>
      </c>
    </row>
    <row r="498" ht="13.5" hidden="1" spans="1:5">
      <c r="A498" s="2" t="str">
        <f>"李硕"</f>
        <v>李硕</v>
      </c>
      <c r="B498" s="2" t="str">
        <f>"B20200705118"</f>
        <v>B20200705118</v>
      </c>
      <c r="C498" s="2" t="str">
        <f t="shared" si="113"/>
        <v>男</v>
      </c>
      <c r="D498" s="2" t="str">
        <f t="shared" si="108"/>
        <v>16</v>
      </c>
      <c r="E498" s="2" t="str">
        <f>"马栏山新媒体学院"</f>
        <v>马栏山新媒体学院</v>
      </c>
    </row>
    <row r="499" ht="13.5" hidden="1" spans="1:5">
      <c r="A499" s="2" t="str">
        <f>"丁凡"</f>
        <v>丁凡</v>
      </c>
      <c r="B499" s="2" t="str">
        <f>"B20231302122"</f>
        <v>B20231302122</v>
      </c>
      <c r="C499" s="2" t="str">
        <f t="shared" si="113"/>
        <v>男</v>
      </c>
      <c r="D499" s="2" t="str">
        <f t="shared" si="108"/>
        <v>16</v>
      </c>
      <c r="E499" s="2" t="str">
        <f>"材料与环境工程学院"</f>
        <v>材料与环境工程学院</v>
      </c>
    </row>
    <row r="500" ht="13.5" hidden="1" spans="1:5">
      <c r="A500" s="2" t="str">
        <f>"陈彦莎"</f>
        <v>陈彦莎</v>
      </c>
      <c r="B500" s="2" t="str">
        <f>"B20210904117"</f>
        <v>B20210904117</v>
      </c>
      <c r="C500" s="2" t="str">
        <f t="shared" ref="C500:C506" si="115">"女"</f>
        <v>女</v>
      </c>
      <c r="D500" s="2" t="str">
        <f t="shared" si="108"/>
        <v>16</v>
      </c>
      <c r="E500" s="2" t="str">
        <f t="shared" si="114"/>
        <v>经济与管理学院</v>
      </c>
    </row>
    <row r="501" ht="13.5" hidden="1" spans="1:5">
      <c r="A501" s="2" t="str">
        <f>"张铃咚"</f>
        <v>张铃咚</v>
      </c>
      <c r="B501" s="2" t="str">
        <f>"B20220501133"</f>
        <v>B20220501133</v>
      </c>
      <c r="C501" s="2" t="str">
        <f t="shared" ref="C501:C504" si="116">"男"</f>
        <v>男</v>
      </c>
      <c r="D501" s="2" t="str">
        <f t="shared" si="108"/>
        <v>16</v>
      </c>
      <c r="E501" s="2" t="str">
        <f>"生物与化学工程学院"</f>
        <v>生物与化学工程学院</v>
      </c>
    </row>
    <row r="502" ht="13.5" hidden="1" spans="1:5">
      <c r="A502" s="2" t="str">
        <f>"舒睿"</f>
        <v>舒睿</v>
      </c>
      <c r="B502" s="2" t="str">
        <f>"B20230501124"</f>
        <v>B20230501124</v>
      </c>
      <c r="C502" s="2" t="str">
        <f t="shared" si="116"/>
        <v>男</v>
      </c>
      <c r="D502" s="2" t="str">
        <f t="shared" si="108"/>
        <v>16</v>
      </c>
      <c r="E502" s="2" t="str">
        <f>"生物与化学工程学院"</f>
        <v>生物与化学工程学院</v>
      </c>
    </row>
    <row r="503" ht="13.5" hidden="1" spans="1:5">
      <c r="A503" s="2" t="str">
        <f>"邹好妹"</f>
        <v>邹好妹</v>
      </c>
      <c r="B503" s="2" t="str">
        <f>"B20210902408"</f>
        <v>B20210902408</v>
      </c>
      <c r="C503" s="2" t="str">
        <f t="shared" si="115"/>
        <v>女</v>
      </c>
      <c r="D503" s="2" t="str">
        <f t="shared" si="108"/>
        <v>16</v>
      </c>
      <c r="E503" s="2" t="str">
        <f>"经济与管理学院"</f>
        <v>经济与管理学院</v>
      </c>
    </row>
    <row r="504" ht="13.5" hidden="1" spans="1:5">
      <c r="A504" s="2" t="str">
        <f>"曹祥峰"</f>
        <v>曹祥峰</v>
      </c>
      <c r="B504" s="2" t="str">
        <f>"B20200703215"</f>
        <v>B20200703215</v>
      </c>
      <c r="C504" s="2" t="str">
        <f t="shared" si="116"/>
        <v>男</v>
      </c>
      <c r="D504" s="2" t="str">
        <f t="shared" si="108"/>
        <v>16</v>
      </c>
      <c r="E504" s="2" t="str">
        <f>"马栏山新媒体学院"</f>
        <v>马栏山新媒体学院</v>
      </c>
    </row>
    <row r="505" ht="13.5" hidden="1" spans="1:5">
      <c r="A505" s="2" t="str">
        <f>"赵珊"</f>
        <v>赵珊</v>
      </c>
      <c r="B505" s="2" t="str">
        <f>"B20230401112"</f>
        <v>B20230401112</v>
      </c>
      <c r="C505" s="2" t="str">
        <f t="shared" si="115"/>
        <v>女</v>
      </c>
      <c r="D505" s="2" t="str">
        <f t="shared" si="108"/>
        <v>16</v>
      </c>
      <c r="E505" s="2" t="str">
        <f>"电子信息与电气工程学院"</f>
        <v>电子信息与电气工程学院</v>
      </c>
    </row>
    <row r="506" ht="13.5" hidden="1" spans="1:5">
      <c r="A506" s="2" t="str">
        <f>"卿佩瑶"</f>
        <v>卿佩瑶</v>
      </c>
      <c r="B506" s="2" t="str">
        <f>"B20220401430"</f>
        <v>B20220401430</v>
      </c>
      <c r="C506" s="2" t="str">
        <f t="shared" si="115"/>
        <v>女</v>
      </c>
      <c r="D506" s="2" t="str">
        <f t="shared" si="108"/>
        <v>16</v>
      </c>
      <c r="E506" s="2" t="str">
        <f>"电子信息与电气工程学院"</f>
        <v>电子信息与电气工程学院</v>
      </c>
    </row>
    <row r="507" ht="13.5" hidden="1" spans="1:5">
      <c r="A507" s="2" t="str">
        <f>"谭文杰"</f>
        <v>谭文杰</v>
      </c>
      <c r="B507" s="2" t="str">
        <f>"B20231301119"</f>
        <v>B20231301119</v>
      </c>
      <c r="C507" s="2" t="str">
        <f>"男"</f>
        <v>男</v>
      </c>
      <c r="D507" s="2" t="str">
        <f t="shared" si="108"/>
        <v>16</v>
      </c>
      <c r="E507" s="2" t="str">
        <f>"材料与环境工程学院"</f>
        <v>材料与环境工程学院</v>
      </c>
    </row>
    <row r="508" ht="13.5" hidden="1" spans="1:5">
      <c r="A508" s="2" t="str">
        <f>"冯晶晶"</f>
        <v>冯晶晶</v>
      </c>
      <c r="B508" s="2" t="str">
        <f>"B20201001405"</f>
        <v>B20201001405</v>
      </c>
      <c r="C508" s="2" t="str">
        <f>"女"</f>
        <v>女</v>
      </c>
      <c r="D508" s="2" t="str">
        <f t="shared" si="108"/>
        <v>16</v>
      </c>
      <c r="E508" s="2" t="str">
        <f>"艺术设计学院"</f>
        <v>艺术设计学院</v>
      </c>
    </row>
    <row r="509" ht="13.5" hidden="1" spans="1:5">
      <c r="A509" s="2" t="str">
        <f>"赵盼"</f>
        <v>赵盼</v>
      </c>
      <c r="B509" s="2" t="str">
        <f>"B20220902312"</f>
        <v>B20220902312</v>
      </c>
      <c r="C509" s="2" t="str">
        <f>"女"</f>
        <v>女</v>
      </c>
      <c r="D509" s="2" t="str">
        <f t="shared" si="108"/>
        <v>16</v>
      </c>
      <c r="E509" s="2" t="str">
        <f>"经济与管理学院"</f>
        <v>经济与管理学院</v>
      </c>
    </row>
    <row r="510" ht="13.5" hidden="1" spans="1:5">
      <c r="A510" s="2" t="str">
        <f>"付岩"</f>
        <v>付岩</v>
      </c>
      <c r="B510" s="2" t="str">
        <f>"B20230501210"</f>
        <v>B20230501210</v>
      </c>
      <c r="C510" s="2" t="str">
        <f>"男"</f>
        <v>男</v>
      </c>
      <c r="D510" s="2" t="str">
        <f t="shared" si="108"/>
        <v>16</v>
      </c>
      <c r="E510" s="2" t="str">
        <f>"生物与化学工程学院"</f>
        <v>生物与化学工程学院</v>
      </c>
    </row>
    <row r="511" ht="13.5" hidden="1" spans="1:5">
      <c r="A511" s="2" t="str">
        <f>"叶子轩"</f>
        <v>叶子轩</v>
      </c>
      <c r="B511" s="2" t="str">
        <f>"B20220402114"</f>
        <v>B20220402114</v>
      </c>
      <c r="C511" s="2" t="str">
        <f>"男"</f>
        <v>男</v>
      </c>
      <c r="D511" s="2" t="str">
        <f t="shared" si="108"/>
        <v>16</v>
      </c>
      <c r="E511" s="2" t="str">
        <f>"电子信息与电气工程学院"</f>
        <v>电子信息与电气工程学院</v>
      </c>
    </row>
    <row r="512" ht="13.5" hidden="1" spans="1:5">
      <c r="A512" s="2" t="str">
        <f>"沈豪"</f>
        <v>沈豪</v>
      </c>
      <c r="B512" s="2" t="str">
        <f>"B20221101122"</f>
        <v>B20221101122</v>
      </c>
      <c r="C512" s="2" t="str">
        <f>"男"</f>
        <v>男</v>
      </c>
      <c r="D512" s="2" t="str">
        <f t="shared" si="108"/>
        <v>16</v>
      </c>
      <c r="E512" s="2" t="str">
        <f>"音乐学院"</f>
        <v>音乐学院</v>
      </c>
    </row>
    <row r="513" ht="13.5" hidden="1" spans="1:5">
      <c r="A513" s="2" t="str">
        <f>"陈娟"</f>
        <v>陈娟</v>
      </c>
      <c r="B513" s="2" t="str">
        <f>"B20230601313"</f>
        <v>B20230601313</v>
      </c>
      <c r="C513" s="2" t="str">
        <f t="shared" ref="C513:C520" si="117">"女"</f>
        <v>女</v>
      </c>
      <c r="D513" s="2" t="str">
        <f t="shared" si="108"/>
        <v>16</v>
      </c>
      <c r="E513" s="2" t="str">
        <f>"法学院"</f>
        <v>法学院</v>
      </c>
    </row>
    <row r="514" ht="13.5" hidden="1" spans="1:5">
      <c r="A514" s="2" t="str">
        <f>"丁梦瑶"</f>
        <v>丁梦瑶</v>
      </c>
      <c r="B514" s="2" t="str">
        <f>"B20220801326"</f>
        <v>B20220801326</v>
      </c>
      <c r="C514" s="2" t="str">
        <f t="shared" si="117"/>
        <v>女</v>
      </c>
      <c r="D514" s="2" t="str">
        <f t="shared" si="108"/>
        <v>16</v>
      </c>
      <c r="E514" s="2" t="str">
        <f>"外国语学院"</f>
        <v>外国语学院</v>
      </c>
    </row>
    <row r="515" ht="13.5" hidden="1" spans="1:5">
      <c r="A515" s="2" t="str">
        <f>"王湘"</f>
        <v>王湘</v>
      </c>
      <c r="B515" s="2" t="str">
        <f>"B20231401101"</f>
        <v>B20231401101</v>
      </c>
      <c r="C515" s="2" t="str">
        <f t="shared" si="117"/>
        <v>女</v>
      </c>
      <c r="D515" s="2" t="str">
        <f t="shared" si="108"/>
        <v>16</v>
      </c>
      <c r="E515" s="2" t="str">
        <f>"马克思主义学院"</f>
        <v>马克思主义学院</v>
      </c>
    </row>
    <row r="516" ht="13.5" hidden="1" spans="1:5">
      <c r="A516" s="2" t="str">
        <f>"蒲紫绚"</f>
        <v>蒲紫绚</v>
      </c>
      <c r="B516" s="2" t="str">
        <f>"B20220502214"</f>
        <v>B20220502214</v>
      </c>
      <c r="C516" s="2" t="str">
        <f t="shared" si="117"/>
        <v>女</v>
      </c>
      <c r="D516" s="2" t="str">
        <f t="shared" si="108"/>
        <v>16</v>
      </c>
      <c r="E516" s="2" t="str">
        <f>"生物与化学工程学院"</f>
        <v>生物与化学工程学院</v>
      </c>
    </row>
    <row r="517" ht="13.5" hidden="1" spans="1:5">
      <c r="A517" s="2" t="str">
        <f>"王萧钰"</f>
        <v>王萧钰</v>
      </c>
      <c r="B517" s="2" t="str">
        <f>"B20200704402"</f>
        <v>B20200704402</v>
      </c>
      <c r="C517" s="2" t="str">
        <f t="shared" si="117"/>
        <v>女</v>
      </c>
      <c r="D517" s="2" t="str">
        <f t="shared" si="108"/>
        <v>16</v>
      </c>
      <c r="E517" s="2" t="str">
        <f>"马栏山新媒体学院"</f>
        <v>马栏山新媒体学院</v>
      </c>
    </row>
    <row r="518" ht="13.5" hidden="1" spans="1:5">
      <c r="A518" s="2" t="str">
        <f>"刘舒怡"</f>
        <v>刘舒怡</v>
      </c>
      <c r="B518" s="2" t="str">
        <f>"B20201003106"</f>
        <v>B20201003106</v>
      </c>
      <c r="C518" s="2" t="str">
        <f t="shared" si="117"/>
        <v>女</v>
      </c>
      <c r="D518" s="2" t="str">
        <f t="shared" si="108"/>
        <v>16</v>
      </c>
      <c r="E518" s="2" t="str">
        <f>"艺术设计学院"</f>
        <v>艺术设计学院</v>
      </c>
    </row>
    <row r="519" ht="13.5" hidden="1" spans="1:5">
      <c r="A519" s="2" t="str">
        <f>"张心怡"</f>
        <v>张心怡</v>
      </c>
      <c r="B519" s="2" t="str">
        <f>"B20230601528"</f>
        <v>B20230601528</v>
      </c>
      <c r="C519" s="2" t="str">
        <f t="shared" si="117"/>
        <v>女</v>
      </c>
      <c r="D519" s="2" t="str">
        <f t="shared" si="108"/>
        <v>16</v>
      </c>
      <c r="E519" s="2" t="str">
        <f>"法学院"</f>
        <v>法学院</v>
      </c>
    </row>
    <row r="520" ht="13.5" hidden="1" spans="1:5">
      <c r="A520" s="2" t="str">
        <f>"李兰"</f>
        <v>李兰</v>
      </c>
      <c r="B520" s="2" t="str">
        <f>"B20200803129"</f>
        <v>B20200803129</v>
      </c>
      <c r="C520" s="2" t="str">
        <f t="shared" si="117"/>
        <v>女</v>
      </c>
      <c r="D520" s="2" t="str">
        <f t="shared" si="108"/>
        <v>16</v>
      </c>
      <c r="E520" s="2" t="str">
        <f>"外国语学院"</f>
        <v>外国语学院</v>
      </c>
    </row>
    <row r="521" ht="13.5" hidden="1" spans="1:5">
      <c r="A521" s="2" t="str">
        <f>"陈启康"</f>
        <v>陈启康</v>
      </c>
      <c r="B521" s="2" t="str">
        <f>"B20220701329"</f>
        <v>B20220701329</v>
      </c>
      <c r="C521" s="2" t="str">
        <f t="shared" ref="C521:C524" si="118">"男"</f>
        <v>男</v>
      </c>
      <c r="D521" s="2" t="str">
        <f t="shared" si="108"/>
        <v>16</v>
      </c>
      <c r="E521" s="2" t="str">
        <f>"马栏山新媒体学院"</f>
        <v>马栏山新媒体学院</v>
      </c>
    </row>
    <row r="522" ht="13.5" hidden="1" spans="1:5">
      <c r="A522" s="2" t="str">
        <f>"戴旭涵"</f>
        <v>戴旭涵</v>
      </c>
      <c r="B522" s="2" t="str">
        <f>"B20230402305"</f>
        <v>B20230402305</v>
      </c>
      <c r="C522" s="2" t="str">
        <f t="shared" si="118"/>
        <v>男</v>
      </c>
      <c r="D522" s="2" t="str">
        <f t="shared" si="108"/>
        <v>16</v>
      </c>
      <c r="E522" s="2" t="str">
        <f>"电子信息与电气工程学院"</f>
        <v>电子信息与电气工程学院</v>
      </c>
    </row>
    <row r="523" ht="13.5" hidden="1" spans="1:5">
      <c r="A523" s="2" t="str">
        <f>"郑骁"</f>
        <v>郑骁</v>
      </c>
      <c r="B523" s="2" t="str">
        <f>"B20200802108"</f>
        <v>B20200802108</v>
      </c>
      <c r="C523" s="2" t="str">
        <f>"女"</f>
        <v>女</v>
      </c>
      <c r="D523" s="2" t="str">
        <f t="shared" si="108"/>
        <v>16</v>
      </c>
      <c r="E523" s="2" t="str">
        <f>"外国语学院"</f>
        <v>外国语学院</v>
      </c>
    </row>
    <row r="524" ht="13.5" hidden="1" spans="1:5">
      <c r="A524" s="2" t="str">
        <f>"李子靖"</f>
        <v>李子靖</v>
      </c>
      <c r="B524" s="2" t="str">
        <f>"B20200102208"</f>
        <v>B20200102208</v>
      </c>
      <c r="C524" s="2" t="str">
        <f t="shared" si="118"/>
        <v>男</v>
      </c>
      <c r="D524" s="2" t="str">
        <f t="shared" si="108"/>
        <v>16</v>
      </c>
      <c r="E524" s="2" t="str">
        <f>"土木工程学院"</f>
        <v>土木工程学院</v>
      </c>
    </row>
    <row r="525" ht="13.5" hidden="1" spans="1:5">
      <c r="A525" s="2" t="str">
        <f>"张友维"</f>
        <v>张友维</v>
      </c>
      <c r="B525" s="2" t="str">
        <f>"B20200903213"</f>
        <v>B20200903213</v>
      </c>
      <c r="C525" s="2" t="str">
        <f>"女"</f>
        <v>女</v>
      </c>
      <c r="D525" s="2" t="str">
        <f t="shared" si="108"/>
        <v>16</v>
      </c>
      <c r="E525" s="2" t="str">
        <f>"经济与管理学院"</f>
        <v>经济与管理学院</v>
      </c>
    </row>
    <row r="526" ht="13.5" hidden="1" spans="1:5">
      <c r="A526" s="2" t="str">
        <f>"雷福芬"</f>
        <v>雷福芬</v>
      </c>
      <c r="B526" s="2" t="str">
        <f>"B20210906226"</f>
        <v>B20210906226</v>
      </c>
      <c r="C526" s="2" t="str">
        <f>"女"</f>
        <v>女</v>
      </c>
      <c r="D526" s="2" t="str">
        <f t="shared" si="108"/>
        <v>16</v>
      </c>
      <c r="E526" s="2" t="str">
        <f>"经济与管理学院"</f>
        <v>经济与管理学院</v>
      </c>
    </row>
    <row r="527" ht="13.5" hidden="1" spans="1:5">
      <c r="A527" s="2" t="str">
        <f>"王姚明"</f>
        <v>王姚明</v>
      </c>
      <c r="B527" s="2" t="str">
        <f>"B20230801417"</f>
        <v>B20230801417</v>
      </c>
      <c r="C527" s="2" t="str">
        <f>"男"</f>
        <v>男</v>
      </c>
      <c r="D527" s="2" t="str">
        <f t="shared" ref="D527:D540" si="119">"16"</f>
        <v>16</v>
      </c>
      <c r="E527" s="2" t="str">
        <f>"外国语学院"</f>
        <v>外国语学院</v>
      </c>
    </row>
    <row r="528" ht="13.5" hidden="1" spans="1:5">
      <c r="A528" s="2" t="str">
        <f>"张昊炜"</f>
        <v>张昊炜</v>
      </c>
      <c r="B528" s="2" t="str">
        <f>"B20200501234"</f>
        <v>B20200501234</v>
      </c>
      <c r="C528" s="2" t="str">
        <f>"男"</f>
        <v>男</v>
      </c>
      <c r="D528" s="2" t="str">
        <f t="shared" si="119"/>
        <v>16</v>
      </c>
      <c r="E528" s="2" t="str">
        <f>"生物与环境工程学院"</f>
        <v>生物与环境工程学院</v>
      </c>
    </row>
    <row r="529" ht="13.5" hidden="1" spans="1:5">
      <c r="A529" s="2" t="str">
        <f>"杨梦迪"</f>
        <v>杨梦迪</v>
      </c>
      <c r="B529" s="2" t="str">
        <f>"B20201002415"</f>
        <v>B20201002415</v>
      </c>
      <c r="C529" s="2" t="str">
        <f t="shared" ref="C529:C535" si="120">"女"</f>
        <v>女</v>
      </c>
      <c r="D529" s="2" t="str">
        <f t="shared" si="119"/>
        <v>16</v>
      </c>
      <c r="E529" s="2" t="str">
        <f>"艺术设计学院"</f>
        <v>艺术设计学院</v>
      </c>
    </row>
    <row r="530" ht="13.5" hidden="1" spans="1:5">
      <c r="A530" s="2" t="str">
        <f>"杨燕"</f>
        <v>杨燕</v>
      </c>
      <c r="B530" s="2" t="str">
        <f>"B20210906102"</f>
        <v>B20210906102</v>
      </c>
      <c r="C530" s="2" t="str">
        <f t="shared" si="120"/>
        <v>女</v>
      </c>
      <c r="D530" s="2" t="str">
        <f t="shared" si="119"/>
        <v>16</v>
      </c>
      <c r="E530" s="2" t="str">
        <f>"经济与管理学院"</f>
        <v>经济与管理学院</v>
      </c>
    </row>
    <row r="531" ht="13.5" hidden="1" spans="1:5">
      <c r="A531" s="2" t="str">
        <f>"胡椰"</f>
        <v>胡椰</v>
      </c>
      <c r="B531" s="2" t="str">
        <f>"B20220705109"</f>
        <v>B20220705109</v>
      </c>
      <c r="C531" s="2" t="str">
        <f t="shared" si="120"/>
        <v>女</v>
      </c>
      <c r="D531" s="2" t="str">
        <f t="shared" si="119"/>
        <v>16</v>
      </c>
      <c r="E531" s="2" t="str">
        <f>"马栏山新媒体学院"</f>
        <v>马栏山新媒体学院</v>
      </c>
    </row>
    <row r="532" ht="13.5" hidden="1" spans="1:5">
      <c r="A532" s="2" t="str">
        <f>"刘欣欣"</f>
        <v>刘欣欣</v>
      </c>
      <c r="B532" s="2" t="str">
        <f>"B20210802314"</f>
        <v>B20210802314</v>
      </c>
      <c r="C532" s="2" t="str">
        <f t="shared" si="120"/>
        <v>女</v>
      </c>
      <c r="D532" s="2" t="str">
        <f t="shared" si="119"/>
        <v>16</v>
      </c>
      <c r="E532" s="2" t="str">
        <f t="shared" ref="E532:E535" si="121">"外国语学院"</f>
        <v>外国语学院</v>
      </c>
    </row>
    <row r="533" ht="13.5" hidden="1" spans="1:5">
      <c r="A533" s="2" t="str">
        <f>"陈小平"</f>
        <v>陈小平</v>
      </c>
      <c r="B533" s="2" t="str">
        <f>"B20220801201"</f>
        <v>B20220801201</v>
      </c>
      <c r="C533" s="2" t="str">
        <f t="shared" si="120"/>
        <v>女</v>
      </c>
      <c r="D533" s="2" t="str">
        <f t="shared" si="119"/>
        <v>16</v>
      </c>
      <c r="E533" s="2" t="str">
        <f t="shared" si="121"/>
        <v>外国语学院</v>
      </c>
    </row>
    <row r="534" ht="13.5" hidden="1" spans="1:5">
      <c r="A534" s="2" t="str">
        <f>"段萱"</f>
        <v>段萱</v>
      </c>
      <c r="B534" s="2" t="str">
        <f>"B20200803121"</f>
        <v>B20200803121</v>
      </c>
      <c r="C534" s="2" t="str">
        <f t="shared" si="120"/>
        <v>女</v>
      </c>
      <c r="D534" s="2" t="str">
        <f t="shared" si="119"/>
        <v>16</v>
      </c>
      <c r="E534" s="2" t="str">
        <f t="shared" si="121"/>
        <v>外国语学院</v>
      </c>
    </row>
    <row r="535" ht="13.5" hidden="1" spans="1:5">
      <c r="A535" s="2" t="str">
        <f>"吴怡琳"</f>
        <v>吴怡琳</v>
      </c>
      <c r="B535" s="2" t="str">
        <f>"B20220802232"</f>
        <v>B20220802232</v>
      </c>
      <c r="C535" s="2" t="str">
        <f t="shared" si="120"/>
        <v>女</v>
      </c>
      <c r="D535" s="2" t="str">
        <f t="shared" si="119"/>
        <v>16</v>
      </c>
      <c r="E535" s="2" t="str">
        <f t="shared" si="121"/>
        <v>外国语学院</v>
      </c>
    </row>
    <row r="536" ht="13.5" hidden="1" spans="1:5">
      <c r="A536" s="2" t="str">
        <f>"陈君芳"</f>
        <v>陈君芳</v>
      </c>
      <c r="B536" s="2" t="str">
        <f>"B20200904115"</f>
        <v>B20200904115</v>
      </c>
      <c r="C536" s="2" t="str">
        <f>"男"</f>
        <v>男</v>
      </c>
      <c r="D536" s="2" t="str">
        <f t="shared" si="119"/>
        <v>16</v>
      </c>
      <c r="E536" s="2" t="str">
        <f t="shared" ref="E536:E540" si="122">"经济与管理学院"</f>
        <v>经济与管理学院</v>
      </c>
    </row>
    <row r="537" ht="13.5" hidden="1" spans="1:5">
      <c r="A537" s="2" t="str">
        <f>"冯祉依"</f>
        <v>冯祉依</v>
      </c>
      <c r="B537" s="2" t="str">
        <f>"B20201001220"</f>
        <v>B20201001220</v>
      </c>
      <c r="C537" s="2" t="str">
        <f>"女"</f>
        <v>女</v>
      </c>
      <c r="D537" s="2" t="str">
        <f t="shared" si="119"/>
        <v>16</v>
      </c>
      <c r="E537" s="2" t="str">
        <f>"艺术设计学院"</f>
        <v>艺术设计学院</v>
      </c>
    </row>
    <row r="538" ht="13.5" hidden="1" spans="1:5">
      <c r="A538" s="2" t="str">
        <f>"吴程前"</f>
        <v>吴程前</v>
      </c>
      <c r="B538" s="2" t="str">
        <f>"B20200202219"</f>
        <v>B20200202219</v>
      </c>
      <c r="C538" s="2" t="str">
        <f>"男"</f>
        <v>男</v>
      </c>
      <c r="D538" s="2" t="str">
        <f t="shared" si="119"/>
        <v>16</v>
      </c>
      <c r="E538" s="2" t="str">
        <f>"机电工程学院"</f>
        <v>机电工程学院</v>
      </c>
    </row>
    <row r="539" ht="13.5" hidden="1" spans="1:5">
      <c r="A539" s="2" t="str">
        <f>"刘紫萱"</f>
        <v>刘紫萱</v>
      </c>
      <c r="B539" s="2" t="str">
        <f>"B20230905120"</f>
        <v>B20230905120</v>
      </c>
      <c r="C539" s="2" t="str">
        <f>"女"</f>
        <v>女</v>
      </c>
      <c r="D539" s="2" t="str">
        <f t="shared" si="119"/>
        <v>16</v>
      </c>
      <c r="E539" s="2" t="str">
        <f t="shared" si="122"/>
        <v>经济与管理学院</v>
      </c>
    </row>
    <row r="540" ht="13.5" hidden="1" spans="1:5">
      <c r="A540" s="2" t="str">
        <f>"田甜"</f>
        <v>田甜</v>
      </c>
      <c r="B540" s="2" t="str">
        <f>"B20220906119"</f>
        <v>B20220906119</v>
      </c>
      <c r="C540" s="2" t="str">
        <f>"女"</f>
        <v>女</v>
      </c>
      <c r="D540" s="2" t="str">
        <f t="shared" si="119"/>
        <v>16</v>
      </c>
      <c r="E540" s="2" t="str">
        <f t="shared" si="122"/>
        <v>经济与管理学院</v>
      </c>
    </row>
    <row r="541" ht="13.5" hidden="1" spans="1:5">
      <c r="A541" s="2" t="str">
        <f>"黄舣"</f>
        <v>黄舣</v>
      </c>
      <c r="B541" s="2" t="str">
        <f>"B20220501130"</f>
        <v>B20220501130</v>
      </c>
      <c r="C541" s="2" t="str">
        <f>"男"</f>
        <v>男</v>
      </c>
      <c r="D541" s="2" t="str">
        <f t="shared" ref="D541:D585" si="123">"15"</f>
        <v>15</v>
      </c>
      <c r="E541" s="2" t="str">
        <f>"生物与化学工程学院"</f>
        <v>生物与化学工程学院</v>
      </c>
    </row>
    <row r="542" ht="13.5" hidden="1" spans="1:5">
      <c r="A542" s="2" t="str">
        <f>"张佳辉"</f>
        <v>张佳辉</v>
      </c>
      <c r="B542" s="2" t="str">
        <f>"B20230701105"</f>
        <v>B20230701105</v>
      </c>
      <c r="C542" s="2" t="str">
        <f>"男"</f>
        <v>男</v>
      </c>
      <c r="D542" s="2" t="str">
        <f t="shared" si="123"/>
        <v>15</v>
      </c>
      <c r="E542" s="2" t="str">
        <f>"马栏山新媒体学院"</f>
        <v>马栏山新媒体学院</v>
      </c>
    </row>
    <row r="543" ht="13.5" hidden="1" spans="1:5">
      <c r="A543" s="2" t="str">
        <f>"卢幸子"</f>
        <v>卢幸子</v>
      </c>
      <c r="B543" s="2" t="str">
        <f>"B20200703305"</f>
        <v>B20200703305</v>
      </c>
      <c r="C543" s="2" t="str">
        <f>"女"</f>
        <v>女</v>
      </c>
      <c r="D543" s="2" t="str">
        <f t="shared" si="123"/>
        <v>15</v>
      </c>
      <c r="E543" s="2" t="str">
        <f>"马栏山新媒体学院"</f>
        <v>马栏山新媒体学院</v>
      </c>
    </row>
    <row r="544" ht="13.5" hidden="1" spans="1:5">
      <c r="A544" s="2" t="str">
        <f>"廖家军"</f>
        <v>廖家军</v>
      </c>
      <c r="B544" s="2" t="str">
        <f>"B20220101407"</f>
        <v>B20220101407</v>
      </c>
      <c r="C544" s="2" t="str">
        <f>"男"</f>
        <v>男</v>
      </c>
      <c r="D544" s="2" t="str">
        <f t="shared" si="123"/>
        <v>15</v>
      </c>
      <c r="E544" s="2" t="str">
        <f>"土木工程学院"</f>
        <v>土木工程学院</v>
      </c>
    </row>
    <row r="545" ht="13.5" hidden="1" spans="1:5">
      <c r="A545" s="2" t="str">
        <f>"何志平"</f>
        <v>何志平</v>
      </c>
      <c r="B545" s="2" t="str">
        <f>"B20230501219"</f>
        <v>B20230501219</v>
      </c>
      <c r="C545" s="2" t="str">
        <f>"男"</f>
        <v>男</v>
      </c>
      <c r="D545" s="2" t="str">
        <f t="shared" si="123"/>
        <v>15</v>
      </c>
      <c r="E545" s="2" t="str">
        <f>"生物与化学工程学院"</f>
        <v>生物与化学工程学院</v>
      </c>
    </row>
    <row r="546" ht="13.5" hidden="1" spans="1:5">
      <c r="A546" s="2" t="str">
        <f>"唐庆平"</f>
        <v>唐庆平</v>
      </c>
      <c r="B546" s="2" t="str">
        <f>"B20200102231"</f>
        <v>B20200102231</v>
      </c>
      <c r="C546" s="2" t="str">
        <f t="shared" ref="C546:C551" si="124">"男"</f>
        <v>男</v>
      </c>
      <c r="D546" s="2" t="str">
        <f t="shared" si="123"/>
        <v>15</v>
      </c>
      <c r="E546" s="2" t="str">
        <f>"土木工程学院"</f>
        <v>土木工程学院</v>
      </c>
    </row>
    <row r="547" ht="13.5" hidden="1" spans="1:5">
      <c r="A547" s="2" t="str">
        <f>"雷濮榕"</f>
        <v>雷濮榕</v>
      </c>
      <c r="B547" s="2" t="str">
        <f>"B20220402230"</f>
        <v>B20220402230</v>
      </c>
      <c r="C547" s="2" t="str">
        <f>"女"</f>
        <v>女</v>
      </c>
      <c r="D547" s="2" t="str">
        <f t="shared" si="123"/>
        <v>15</v>
      </c>
      <c r="E547" s="2" t="str">
        <f>"电子信息与电气工程学院"</f>
        <v>电子信息与电气工程学院</v>
      </c>
    </row>
    <row r="548" ht="13.5" hidden="1" spans="1:5">
      <c r="A548" s="2" t="str">
        <f>"朱慧"</f>
        <v>朱慧</v>
      </c>
      <c r="B548" s="2" t="str">
        <f>"B20200903212"</f>
        <v>B20200903212</v>
      </c>
      <c r="C548" s="2" t="str">
        <f>"女"</f>
        <v>女</v>
      </c>
      <c r="D548" s="2" t="str">
        <f t="shared" si="123"/>
        <v>15</v>
      </c>
      <c r="E548" s="2" t="str">
        <f>"经济与管理学院"</f>
        <v>经济与管理学院</v>
      </c>
    </row>
    <row r="549" ht="13.5" hidden="1" spans="1:5">
      <c r="A549" s="2" t="str">
        <f>"于锦程"</f>
        <v>于锦程</v>
      </c>
      <c r="B549" s="2" t="str">
        <f>"B20200902302"</f>
        <v>B20200902302</v>
      </c>
      <c r="C549" s="2" t="str">
        <f t="shared" si="124"/>
        <v>男</v>
      </c>
      <c r="D549" s="2" t="str">
        <f t="shared" si="123"/>
        <v>15</v>
      </c>
      <c r="E549" s="2" t="str">
        <f>"经济与管理学院"</f>
        <v>经济与管理学院</v>
      </c>
    </row>
    <row r="550" ht="13.5" hidden="1" spans="1:5">
      <c r="A550" s="2" t="str">
        <f>"夏一瑟"</f>
        <v>夏一瑟</v>
      </c>
      <c r="B550" s="2" t="str">
        <f>"B20220802109"</f>
        <v>B20220802109</v>
      </c>
      <c r="C550" s="2" t="str">
        <f>"女"</f>
        <v>女</v>
      </c>
      <c r="D550" s="2" t="str">
        <f t="shared" si="123"/>
        <v>15</v>
      </c>
      <c r="E550" s="2" t="str">
        <f>"外国语学院"</f>
        <v>外国语学院</v>
      </c>
    </row>
    <row r="551" ht="13.5" hidden="1" spans="1:5">
      <c r="A551" s="2" t="str">
        <f>"肖驰"</f>
        <v>肖驰</v>
      </c>
      <c r="B551" s="2" t="str">
        <f>"B20210501215"</f>
        <v>B20210501215</v>
      </c>
      <c r="C551" s="2" t="str">
        <f t="shared" si="124"/>
        <v>男</v>
      </c>
      <c r="D551" s="2" t="str">
        <f t="shared" si="123"/>
        <v>15</v>
      </c>
      <c r="E551" s="2" t="str">
        <f>"生物与化学工程学院"</f>
        <v>生物与化学工程学院</v>
      </c>
    </row>
    <row r="552" ht="13.5" hidden="1" spans="1:5">
      <c r="A552" s="2" t="str">
        <f>"高林歌"</f>
        <v>高林歌</v>
      </c>
      <c r="B552" s="2" t="str">
        <f>"B20211004221"</f>
        <v>B20211004221</v>
      </c>
      <c r="C552" s="2" t="str">
        <f>"女"</f>
        <v>女</v>
      </c>
      <c r="D552" s="2" t="str">
        <f t="shared" si="123"/>
        <v>15</v>
      </c>
      <c r="E552" s="2" t="str">
        <f>"艺术设计学院"</f>
        <v>艺术设计学院</v>
      </c>
    </row>
    <row r="553" ht="13.5" hidden="1" spans="1:5">
      <c r="A553" s="2" t="str">
        <f>"刘佩育"</f>
        <v>刘佩育</v>
      </c>
      <c r="B553" s="2" t="str">
        <f>"B20200101302"</f>
        <v>B20200101302</v>
      </c>
      <c r="C553" s="2" t="str">
        <f t="shared" ref="C553:C556" si="125">"男"</f>
        <v>男</v>
      </c>
      <c r="D553" s="2" t="str">
        <f t="shared" si="123"/>
        <v>15</v>
      </c>
      <c r="E553" s="2" t="str">
        <f>"土木工程学院"</f>
        <v>土木工程学院</v>
      </c>
    </row>
    <row r="554" ht="13.5" hidden="1" spans="1:5">
      <c r="A554" s="2" t="str">
        <f>"马志康"</f>
        <v>马志康</v>
      </c>
      <c r="B554" s="2" t="str">
        <f>"B20211001118"</f>
        <v>B20211001118</v>
      </c>
      <c r="C554" s="2" t="str">
        <f t="shared" si="125"/>
        <v>男</v>
      </c>
      <c r="D554" s="2" t="str">
        <f t="shared" si="123"/>
        <v>15</v>
      </c>
      <c r="E554" s="2" t="str">
        <f>"艺术设计学院"</f>
        <v>艺术设计学院</v>
      </c>
    </row>
    <row r="555" ht="13.5" hidden="1" spans="1:5">
      <c r="A555" s="2" t="str">
        <f>"王致远"</f>
        <v>王致远</v>
      </c>
      <c r="B555" s="2" t="str">
        <f>"B20200501207"</f>
        <v>B20200501207</v>
      </c>
      <c r="C555" s="2" t="str">
        <f t="shared" si="125"/>
        <v>男</v>
      </c>
      <c r="D555" s="2" t="str">
        <f t="shared" si="123"/>
        <v>15</v>
      </c>
      <c r="E555" s="2" t="str">
        <f>"生物与环境工程学院"</f>
        <v>生物与环境工程学院</v>
      </c>
    </row>
    <row r="556" ht="13.5" hidden="1" spans="1:5">
      <c r="A556" s="2" t="str">
        <f>"朱博伦"</f>
        <v>朱博伦</v>
      </c>
      <c r="B556" s="2" t="str">
        <f>"B20230403308"</f>
        <v>B20230403308</v>
      </c>
      <c r="C556" s="2" t="str">
        <f t="shared" si="125"/>
        <v>男</v>
      </c>
      <c r="D556" s="2" t="str">
        <f t="shared" si="123"/>
        <v>15</v>
      </c>
      <c r="E556" s="2" t="str">
        <f>"电子信息与电气工程学院"</f>
        <v>电子信息与电气工程学院</v>
      </c>
    </row>
    <row r="557" ht="13.5" hidden="1" spans="1:5">
      <c r="A557" s="2" t="str">
        <f>"旷佳妮"</f>
        <v>旷佳妮</v>
      </c>
      <c r="B557" s="2" t="str">
        <f>"B20220701123"</f>
        <v>B20220701123</v>
      </c>
      <c r="C557" s="2" t="str">
        <f t="shared" ref="C557:C562" si="126">"女"</f>
        <v>女</v>
      </c>
      <c r="D557" s="2" t="str">
        <f t="shared" si="123"/>
        <v>15</v>
      </c>
      <c r="E557" s="2" t="str">
        <f>"马栏山新媒体学院"</f>
        <v>马栏山新媒体学院</v>
      </c>
    </row>
    <row r="558" ht="13.5" hidden="1" spans="1:5">
      <c r="A558" s="2" t="str">
        <f>"唐筱钰"</f>
        <v>唐筱钰</v>
      </c>
      <c r="B558" s="2" t="str">
        <f>"B20200103207"</f>
        <v>B20200103207</v>
      </c>
      <c r="C558" s="2" t="str">
        <f t="shared" si="126"/>
        <v>女</v>
      </c>
      <c r="D558" s="2" t="str">
        <f t="shared" si="123"/>
        <v>15</v>
      </c>
      <c r="E558" s="2" t="str">
        <f>"土木工程学院"</f>
        <v>土木工程学院</v>
      </c>
    </row>
    <row r="559" ht="13.5" hidden="1" spans="1:5">
      <c r="A559" s="2" t="str">
        <f>"史航路"</f>
        <v>史航路</v>
      </c>
      <c r="B559" s="2" t="str">
        <f>"B20221302234"</f>
        <v>B20221302234</v>
      </c>
      <c r="C559" s="2" t="str">
        <f t="shared" ref="C559:C566" si="127">"男"</f>
        <v>男</v>
      </c>
      <c r="D559" s="2" t="str">
        <f t="shared" si="123"/>
        <v>15</v>
      </c>
      <c r="E559" s="2" t="str">
        <f>"材料与环境工程学院"</f>
        <v>材料与环境工程学院</v>
      </c>
    </row>
    <row r="560" ht="13.5" hidden="1" spans="1:5">
      <c r="A560" s="2" t="str">
        <f>"肖博玲"</f>
        <v>肖博玲</v>
      </c>
      <c r="B560" s="2" t="str">
        <f>"B20230905125"</f>
        <v>B20230905125</v>
      </c>
      <c r="C560" s="2" t="str">
        <f t="shared" si="126"/>
        <v>女</v>
      </c>
      <c r="D560" s="2" t="str">
        <f t="shared" si="123"/>
        <v>15</v>
      </c>
      <c r="E560" s="2" t="str">
        <f>"经济与管理学院"</f>
        <v>经济与管理学院</v>
      </c>
    </row>
    <row r="561" ht="13.5" hidden="1" spans="1:5">
      <c r="A561" s="2" t="str">
        <f>"曾琴"</f>
        <v>曾琴</v>
      </c>
      <c r="B561" s="2" t="str">
        <f>"B20230803215"</f>
        <v>B20230803215</v>
      </c>
      <c r="C561" s="2" t="str">
        <f t="shared" si="126"/>
        <v>女</v>
      </c>
      <c r="D561" s="2" t="str">
        <f t="shared" si="123"/>
        <v>15</v>
      </c>
      <c r="E561" s="2" t="str">
        <f>"外国语学院"</f>
        <v>外国语学院</v>
      </c>
    </row>
    <row r="562" ht="13.5" hidden="1" spans="1:5">
      <c r="A562" s="2" t="str">
        <f>"谭颖"</f>
        <v>谭颖</v>
      </c>
      <c r="B562" s="2" t="str">
        <f>"B20230801127"</f>
        <v>B20230801127</v>
      </c>
      <c r="C562" s="2" t="str">
        <f t="shared" si="126"/>
        <v>女</v>
      </c>
      <c r="D562" s="2" t="str">
        <f t="shared" si="123"/>
        <v>15</v>
      </c>
      <c r="E562" s="2" t="str">
        <f>"外国语学院"</f>
        <v>外国语学院</v>
      </c>
    </row>
    <row r="563" ht="13.5" hidden="1" spans="1:5">
      <c r="A563" s="2" t="str">
        <f>"丁利朋"</f>
        <v>丁利朋</v>
      </c>
      <c r="B563" s="2" t="str">
        <f>"B20200503109"</f>
        <v>B20200503109</v>
      </c>
      <c r="C563" s="2" t="str">
        <f t="shared" si="127"/>
        <v>男</v>
      </c>
      <c r="D563" s="2" t="str">
        <f t="shared" si="123"/>
        <v>15</v>
      </c>
      <c r="E563" s="2" t="str">
        <f>"生物与环境工程学院"</f>
        <v>生物与环境工程学院</v>
      </c>
    </row>
    <row r="564" ht="13.5" hidden="1" spans="1:5">
      <c r="A564" s="2" t="str">
        <f>"辛梓骏"</f>
        <v>辛梓骏</v>
      </c>
      <c r="B564" s="2" t="str">
        <f>"B20201001222"</f>
        <v>B20201001222</v>
      </c>
      <c r="C564" s="2" t="str">
        <f t="shared" si="127"/>
        <v>男</v>
      </c>
      <c r="D564" s="2" t="str">
        <f t="shared" si="123"/>
        <v>15</v>
      </c>
      <c r="E564" s="2" t="str">
        <f>"艺术设计学院"</f>
        <v>艺术设计学院</v>
      </c>
    </row>
    <row r="565" ht="13.5" hidden="1" spans="1:5">
      <c r="A565" s="2" t="str">
        <f>"龙佳宇"</f>
        <v>龙佳宇</v>
      </c>
      <c r="B565" s="2" t="str">
        <f>"B20200201125"</f>
        <v>B20200201125</v>
      </c>
      <c r="C565" s="2" t="str">
        <f t="shared" si="127"/>
        <v>男</v>
      </c>
      <c r="D565" s="2" t="str">
        <f t="shared" si="123"/>
        <v>15</v>
      </c>
      <c r="E565" s="2" t="str">
        <f>"机电工程学院"</f>
        <v>机电工程学院</v>
      </c>
    </row>
    <row r="566" ht="13.5" hidden="1" spans="1:5">
      <c r="A566" s="2" t="str">
        <f>"朱晗"</f>
        <v>朱晗</v>
      </c>
      <c r="B566" s="2" t="str">
        <f>"B20201101131"</f>
        <v>B20201101131</v>
      </c>
      <c r="C566" s="2" t="str">
        <f t="shared" si="127"/>
        <v>男</v>
      </c>
      <c r="D566" s="2" t="str">
        <f t="shared" si="123"/>
        <v>15</v>
      </c>
      <c r="E566" s="2" t="str">
        <f>"音乐学院"</f>
        <v>音乐学院</v>
      </c>
    </row>
    <row r="567" ht="13.5" hidden="1" spans="1:5">
      <c r="A567" s="2" t="str">
        <f>"蒋雨柔"</f>
        <v>蒋雨柔</v>
      </c>
      <c r="B567" s="2" t="str">
        <f>"B20200903221"</f>
        <v>B20200903221</v>
      </c>
      <c r="C567" s="2" t="str">
        <f>"女"</f>
        <v>女</v>
      </c>
      <c r="D567" s="2" t="str">
        <f t="shared" si="123"/>
        <v>15</v>
      </c>
      <c r="E567" s="2" t="str">
        <f>"经济与管理学院"</f>
        <v>经济与管理学院</v>
      </c>
    </row>
    <row r="568" ht="13.5" hidden="1" spans="1:5">
      <c r="A568" s="2" t="str">
        <f>"叶榕"</f>
        <v>叶榕</v>
      </c>
      <c r="B568" s="2" t="str">
        <f>"B20201001309"</f>
        <v>B20201001309</v>
      </c>
      <c r="C568" s="2" t="str">
        <f>"女"</f>
        <v>女</v>
      </c>
      <c r="D568" s="2" t="str">
        <f t="shared" si="123"/>
        <v>15</v>
      </c>
      <c r="E568" s="2" t="str">
        <f>"艺术设计学院"</f>
        <v>艺术设计学院</v>
      </c>
    </row>
    <row r="569" ht="13.5" hidden="1" spans="1:5">
      <c r="A569" s="2" t="str">
        <f>"唐茵"</f>
        <v>唐茵</v>
      </c>
      <c r="B569" s="2" t="str">
        <f>"B20210801105"</f>
        <v>B20210801105</v>
      </c>
      <c r="C569" s="2" t="str">
        <f>"女"</f>
        <v>女</v>
      </c>
      <c r="D569" s="2" t="str">
        <f t="shared" si="123"/>
        <v>15</v>
      </c>
      <c r="E569" s="2" t="str">
        <f>"外国语学院"</f>
        <v>外国语学院</v>
      </c>
    </row>
    <row r="570" ht="13.5" hidden="1" spans="1:5">
      <c r="A570" s="2" t="str">
        <f>"朱谦"</f>
        <v>朱谦</v>
      </c>
      <c r="B570" s="2" t="str">
        <f>"B20230701310"</f>
        <v>B20230701310</v>
      </c>
      <c r="C570" s="2" t="str">
        <f>"女"</f>
        <v>女</v>
      </c>
      <c r="D570" s="2" t="str">
        <f t="shared" si="123"/>
        <v>15</v>
      </c>
      <c r="E570" s="2" t="str">
        <f>"马栏山新媒体学院"</f>
        <v>马栏山新媒体学院</v>
      </c>
    </row>
    <row r="571" ht="13.5" hidden="1" spans="1:5">
      <c r="A571" s="2" t="str">
        <f>"吴婷"</f>
        <v>吴婷</v>
      </c>
      <c r="B571" s="2" t="str">
        <f>"B20230904119"</f>
        <v>B20230904119</v>
      </c>
      <c r="C571" s="2" t="str">
        <f>"女"</f>
        <v>女</v>
      </c>
      <c r="D571" s="2" t="str">
        <f t="shared" si="123"/>
        <v>15</v>
      </c>
      <c r="E571" s="2" t="str">
        <f>"经济与管理学院"</f>
        <v>经济与管理学院</v>
      </c>
    </row>
    <row r="572" ht="13.5" hidden="1" spans="1:5">
      <c r="A572" s="2" t="str">
        <f>"张友杰"</f>
        <v>张友杰</v>
      </c>
      <c r="B572" s="2" t="str">
        <f>"B20200101222"</f>
        <v>B20200101222</v>
      </c>
      <c r="C572" s="2" t="str">
        <f t="shared" ref="C572:C579" si="128">"男"</f>
        <v>男</v>
      </c>
      <c r="D572" s="2" t="str">
        <f t="shared" si="123"/>
        <v>15</v>
      </c>
      <c r="E572" s="2" t="str">
        <f>"土木工程学院"</f>
        <v>土木工程学院</v>
      </c>
    </row>
    <row r="573" ht="13.5" hidden="1" spans="1:5">
      <c r="A573" s="2" t="str">
        <f>"颜华灵"</f>
        <v>颜华灵</v>
      </c>
      <c r="B573" s="2" t="str">
        <f>"B20210902131"</f>
        <v>B20210902131</v>
      </c>
      <c r="C573" s="2" t="str">
        <f t="shared" ref="C573:C575" si="129">"女"</f>
        <v>女</v>
      </c>
      <c r="D573" s="2" t="str">
        <f t="shared" si="123"/>
        <v>15</v>
      </c>
      <c r="E573" s="2" t="str">
        <f>"经济与管理学院"</f>
        <v>经济与管理学院</v>
      </c>
    </row>
    <row r="574" ht="13.5" hidden="1" spans="1:5">
      <c r="A574" s="2" t="str">
        <f>"刘艾婧"</f>
        <v>刘艾婧</v>
      </c>
      <c r="B574" s="2" t="str">
        <f>"B20230901115"</f>
        <v>B20230901115</v>
      </c>
      <c r="C574" s="2" t="str">
        <f t="shared" si="129"/>
        <v>女</v>
      </c>
      <c r="D574" s="2" t="str">
        <f t="shared" si="123"/>
        <v>15</v>
      </c>
      <c r="E574" s="2" t="str">
        <f>"经济与管理学院"</f>
        <v>经济与管理学院</v>
      </c>
    </row>
    <row r="575" ht="13.5" hidden="1" spans="1:5">
      <c r="A575" s="2" t="str">
        <f>"周思仪"</f>
        <v>周思仪</v>
      </c>
      <c r="B575" s="2" t="str">
        <f>"B20210906104"</f>
        <v>B20210906104</v>
      </c>
      <c r="C575" s="2" t="str">
        <f t="shared" si="129"/>
        <v>女</v>
      </c>
      <c r="D575" s="2" t="str">
        <f t="shared" si="123"/>
        <v>15</v>
      </c>
      <c r="E575" s="2" t="str">
        <f>"经济与管理学院"</f>
        <v>经济与管理学院</v>
      </c>
    </row>
    <row r="576" ht="13.5" hidden="1" spans="1:5">
      <c r="A576" s="2" t="str">
        <f>"郭志强"</f>
        <v>郭志强</v>
      </c>
      <c r="B576" s="2" t="str">
        <f>"B20230204217"</f>
        <v>B20230204217</v>
      </c>
      <c r="C576" s="2" t="str">
        <f t="shared" si="128"/>
        <v>男</v>
      </c>
      <c r="D576" s="2" t="str">
        <f t="shared" si="123"/>
        <v>15</v>
      </c>
      <c r="E576" s="2" t="str">
        <f>"机电工程学院"</f>
        <v>机电工程学院</v>
      </c>
    </row>
    <row r="577" ht="13.5" hidden="1" spans="1:5">
      <c r="A577" s="2" t="str">
        <f>"王志云"</f>
        <v>王志云</v>
      </c>
      <c r="B577" s="2" t="str">
        <f>"B20220704323"</f>
        <v>B20220704323</v>
      </c>
      <c r="C577" s="2" t="str">
        <f t="shared" si="128"/>
        <v>男</v>
      </c>
      <c r="D577" s="2" t="str">
        <f t="shared" si="123"/>
        <v>15</v>
      </c>
      <c r="E577" s="2" t="str">
        <f>"马栏山新媒体学院"</f>
        <v>马栏山新媒体学院</v>
      </c>
    </row>
    <row r="578" ht="13.5" hidden="1" spans="1:5">
      <c r="A578" s="2" t="str">
        <f>"李彦博"</f>
        <v>李彦博</v>
      </c>
      <c r="B578" s="2" t="str">
        <f>"B20210203216"</f>
        <v>B20210203216</v>
      </c>
      <c r="C578" s="2" t="str">
        <f t="shared" si="128"/>
        <v>男</v>
      </c>
      <c r="D578" s="2" t="str">
        <f t="shared" si="123"/>
        <v>15</v>
      </c>
      <c r="E578" s="2" t="str">
        <f>"机电工程学院"</f>
        <v>机电工程学院</v>
      </c>
    </row>
    <row r="579" ht="13.5" hidden="1" spans="1:5">
      <c r="A579" s="2" t="str">
        <f>"刘涛"</f>
        <v>刘涛</v>
      </c>
      <c r="B579" s="2" t="str">
        <f>"B20201002403"</f>
        <v>B20201002403</v>
      </c>
      <c r="C579" s="2" t="str">
        <f t="shared" si="128"/>
        <v>男</v>
      </c>
      <c r="D579" s="2" t="str">
        <f t="shared" si="123"/>
        <v>15</v>
      </c>
      <c r="E579" s="2" t="str">
        <f>"艺术设计学院"</f>
        <v>艺术设计学院</v>
      </c>
    </row>
    <row r="580" ht="13.5" hidden="1" spans="1:5">
      <c r="A580" s="2" t="str">
        <f>"宋湘钰"</f>
        <v>宋湘钰</v>
      </c>
      <c r="B580" s="2" t="str">
        <f>"B20220803118"</f>
        <v>B20220803118</v>
      </c>
      <c r="C580" s="2" t="str">
        <f>"女"</f>
        <v>女</v>
      </c>
      <c r="D580" s="2" t="str">
        <f t="shared" si="123"/>
        <v>15</v>
      </c>
      <c r="E580" s="2" t="str">
        <f>"外国语学院"</f>
        <v>外国语学院</v>
      </c>
    </row>
    <row r="581" ht="13.5" hidden="1" spans="1:5">
      <c r="A581" s="2" t="str">
        <f>"刘劲松"</f>
        <v>刘劲松</v>
      </c>
      <c r="B581" s="2" t="str">
        <f>"B20200502228"</f>
        <v>B20200502228</v>
      </c>
      <c r="C581" s="2" t="str">
        <f>"男"</f>
        <v>男</v>
      </c>
      <c r="D581" s="2" t="str">
        <f t="shared" si="123"/>
        <v>15</v>
      </c>
      <c r="E581" s="2" t="str">
        <f>"生物与环境工程学院"</f>
        <v>生物与环境工程学院</v>
      </c>
    </row>
    <row r="582" ht="13.5" hidden="1" spans="1:5">
      <c r="A582" s="2" t="str">
        <f>"曾珮"</f>
        <v>曾珮</v>
      </c>
      <c r="B582" s="2" t="str">
        <f>"B20200803105"</f>
        <v>B20200803105</v>
      </c>
      <c r="C582" s="2" t="str">
        <f>"女"</f>
        <v>女</v>
      </c>
      <c r="D582" s="2" t="str">
        <f t="shared" si="123"/>
        <v>15</v>
      </c>
      <c r="E582" s="2" t="str">
        <f>"外国语学院"</f>
        <v>外国语学院</v>
      </c>
    </row>
    <row r="583" ht="13.5" hidden="1" spans="1:5">
      <c r="A583" s="2" t="str">
        <f>"李浩阳"</f>
        <v>李浩阳</v>
      </c>
      <c r="B583" s="2" t="str">
        <f>"B20221301234"</f>
        <v>B20221301234</v>
      </c>
      <c r="C583" s="2" t="str">
        <f>"男"</f>
        <v>男</v>
      </c>
      <c r="D583" s="2" t="str">
        <f t="shared" si="123"/>
        <v>15</v>
      </c>
      <c r="E583" s="2" t="str">
        <f>"材料与环境工程学院"</f>
        <v>材料与环境工程学院</v>
      </c>
    </row>
    <row r="584" ht="13.5" hidden="1" spans="1:5">
      <c r="A584" s="2" t="str">
        <f>"刘佳红"</f>
        <v>刘佳红</v>
      </c>
      <c r="B584" s="2" t="str">
        <f>"B20220701205"</f>
        <v>B20220701205</v>
      </c>
      <c r="C584" s="2" t="str">
        <f>"女"</f>
        <v>女</v>
      </c>
      <c r="D584" s="2" t="str">
        <f t="shared" si="123"/>
        <v>15</v>
      </c>
      <c r="E584" s="2" t="str">
        <f>"马栏山新媒体学院"</f>
        <v>马栏山新媒体学院</v>
      </c>
    </row>
    <row r="585" ht="13.5" hidden="1" spans="1:5">
      <c r="A585" s="2" t="str">
        <f>"周洁"</f>
        <v>周洁</v>
      </c>
      <c r="B585" s="2" t="str">
        <f>"B20211101121"</f>
        <v>B20211101121</v>
      </c>
      <c r="C585" s="2" t="str">
        <f>"女"</f>
        <v>女</v>
      </c>
      <c r="D585" s="2" t="str">
        <f t="shared" si="123"/>
        <v>15</v>
      </c>
      <c r="E585" s="2" t="str">
        <f>"音乐学院"</f>
        <v>音乐学院</v>
      </c>
    </row>
    <row r="586" ht="13.5" hidden="1" spans="1:5">
      <c r="A586" s="2" t="str">
        <f>"曾妮"</f>
        <v>曾妮</v>
      </c>
      <c r="B586" s="2" t="str">
        <f>"B20200904106"</f>
        <v>B20200904106</v>
      </c>
      <c r="C586" s="2" t="str">
        <f>"女"</f>
        <v>女</v>
      </c>
      <c r="D586" s="2" t="str">
        <f t="shared" ref="D586:D627" si="130">"15"</f>
        <v>15</v>
      </c>
      <c r="E586" s="2" t="str">
        <f>"经济与管理学院"</f>
        <v>经济与管理学院</v>
      </c>
    </row>
    <row r="587" ht="13.5" hidden="1" spans="1:5">
      <c r="A587" s="2" t="str">
        <f>"刘采爱"</f>
        <v>刘采爱</v>
      </c>
      <c r="B587" s="2" t="str">
        <f>"B20200702227"</f>
        <v>B20200702227</v>
      </c>
      <c r="C587" s="2" t="str">
        <f>"女"</f>
        <v>女</v>
      </c>
      <c r="D587" s="2" t="str">
        <f t="shared" si="130"/>
        <v>15</v>
      </c>
      <c r="E587" s="2" t="str">
        <f t="shared" ref="E587:E590" si="131">"马栏山新媒体学院"</f>
        <v>马栏山新媒体学院</v>
      </c>
    </row>
    <row r="588" ht="13.5" hidden="1" spans="1:5">
      <c r="A588" s="2" t="str">
        <f>"何大伟"</f>
        <v>何大伟</v>
      </c>
      <c r="B588" s="2" t="str">
        <f>"B20210102211"</f>
        <v>B20210102211</v>
      </c>
      <c r="C588" s="2" t="str">
        <f>"男"</f>
        <v>男</v>
      </c>
      <c r="D588" s="2" t="str">
        <f t="shared" si="130"/>
        <v>15</v>
      </c>
      <c r="E588" s="2" t="str">
        <f>"土木工程学院"</f>
        <v>土木工程学院</v>
      </c>
    </row>
    <row r="589" ht="13.5" hidden="1" spans="1:5">
      <c r="A589" s="2" t="str">
        <f>"孙仲宇"</f>
        <v>孙仲宇</v>
      </c>
      <c r="B589" s="2" t="str">
        <f>"B20200705104"</f>
        <v>B20200705104</v>
      </c>
      <c r="C589" s="2" t="str">
        <f>"男"</f>
        <v>男</v>
      </c>
      <c r="D589" s="2" t="str">
        <f t="shared" si="130"/>
        <v>15</v>
      </c>
      <c r="E589" s="2" t="str">
        <f t="shared" si="131"/>
        <v>马栏山新媒体学院</v>
      </c>
    </row>
    <row r="590" ht="13.5" hidden="1" spans="1:5">
      <c r="A590" s="2" t="str">
        <f>"李骞"</f>
        <v>李骞</v>
      </c>
      <c r="B590" s="2" t="str">
        <f>"B20200703102"</f>
        <v>B20200703102</v>
      </c>
      <c r="C590" s="2" t="str">
        <f>"女"</f>
        <v>女</v>
      </c>
      <c r="D590" s="2" t="str">
        <f t="shared" si="130"/>
        <v>15</v>
      </c>
      <c r="E590" s="2" t="str">
        <f t="shared" si="131"/>
        <v>马栏山新媒体学院</v>
      </c>
    </row>
    <row r="591" ht="13.5" hidden="1" spans="1:5">
      <c r="A591" s="2" t="str">
        <f>"李园杰"</f>
        <v>李园杰</v>
      </c>
      <c r="B591" s="2" t="str">
        <f>"B20220905125"</f>
        <v>B20220905125</v>
      </c>
      <c r="C591" s="2" t="str">
        <f>"女"</f>
        <v>女</v>
      </c>
      <c r="D591" s="2" t="str">
        <f t="shared" si="130"/>
        <v>15</v>
      </c>
      <c r="E591" s="2" t="str">
        <f>"经济与管理学院"</f>
        <v>经济与管理学院</v>
      </c>
    </row>
    <row r="592" ht="13.5" hidden="1" spans="1:5">
      <c r="A592" s="2" t="str">
        <f>"徐栋"</f>
        <v>徐栋</v>
      </c>
      <c r="B592" s="2" t="str">
        <f>"B20230204229"</f>
        <v>B20230204229</v>
      </c>
      <c r="C592" s="2" t="str">
        <f>"男"</f>
        <v>男</v>
      </c>
      <c r="D592" s="2" t="str">
        <f t="shared" si="130"/>
        <v>15</v>
      </c>
      <c r="E592" s="2" t="str">
        <f>"机电工程学院"</f>
        <v>机电工程学院</v>
      </c>
    </row>
    <row r="593" ht="13.5" hidden="1" spans="1:5">
      <c r="A593" s="2" t="str">
        <f>"熊佳康"</f>
        <v>熊佳康</v>
      </c>
      <c r="B593" s="2" t="str">
        <f>"B20231301124"</f>
        <v>B20231301124</v>
      </c>
      <c r="C593" s="2" t="str">
        <f>"男"</f>
        <v>男</v>
      </c>
      <c r="D593" s="2" t="str">
        <f t="shared" si="130"/>
        <v>15</v>
      </c>
      <c r="E593" s="2" t="str">
        <f>"材料与环境工程学院"</f>
        <v>材料与环境工程学院</v>
      </c>
    </row>
    <row r="594" ht="13.5" hidden="1" spans="1:5">
      <c r="A594" s="2" t="str">
        <f>"张思诺"</f>
        <v>张思诺</v>
      </c>
      <c r="B594" s="2" t="str">
        <f>"B20200502135"</f>
        <v>B20200502135</v>
      </c>
      <c r="C594" s="2" t="str">
        <f>"男"</f>
        <v>男</v>
      </c>
      <c r="D594" s="2" t="str">
        <f t="shared" si="130"/>
        <v>15</v>
      </c>
      <c r="E594" s="2" t="str">
        <f>"生物与环境工程学院"</f>
        <v>生物与环境工程学院</v>
      </c>
    </row>
    <row r="595" ht="13.5" hidden="1" spans="1:5">
      <c r="A595" s="2" t="str">
        <f>"严科蕾"</f>
        <v>严科蕾</v>
      </c>
      <c r="B595" s="2" t="str">
        <f>"B20200803117"</f>
        <v>B20200803117</v>
      </c>
      <c r="C595" s="2" t="str">
        <f t="shared" ref="C595:C602" si="132">"女"</f>
        <v>女</v>
      </c>
      <c r="D595" s="2" t="str">
        <f t="shared" si="130"/>
        <v>15</v>
      </c>
      <c r="E595" s="2" t="str">
        <f>"外国语学院"</f>
        <v>外国语学院</v>
      </c>
    </row>
    <row r="596" ht="13.5" hidden="1" spans="1:5">
      <c r="A596" s="2" t="str">
        <f>"阳嘉琳"</f>
        <v>阳嘉琳</v>
      </c>
      <c r="B596" s="2" t="str">
        <f>"B20230601413"</f>
        <v>B20230601413</v>
      </c>
      <c r="C596" s="2" t="str">
        <f t="shared" si="132"/>
        <v>女</v>
      </c>
      <c r="D596" s="2" t="str">
        <f t="shared" si="130"/>
        <v>15</v>
      </c>
      <c r="E596" s="2" t="str">
        <f>"法学院"</f>
        <v>法学院</v>
      </c>
    </row>
    <row r="597" ht="13.5" hidden="1" spans="1:5">
      <c r="A597" s="2" t="str">
        <f>"江志翔"</f>
        <v>江志翔</v>
      </c>
      <c r="B597" s="2" t="str">
        <f>"B20210103121"</f>
        <v>B20210103121</v>
      </c>
      <c r="C597" s="2" t="str">
        <f>"男"</f>
        <v>男</v>
      </c>
      <c r="D597" s="2" t="str">
        <f t="shared" si="130"/>
        <v>15</v>
      </c>
      <c r="E597" s="2" t="str">
        <f>"土木工程学院"</f>
        <v>土木工程学院</v>
      </c>
    </row>
    <row r="598" ht="13.5" hidden="1" spans="1:5">
      <c r="A598" s="2" t="str">
        <f>"邹宇凡"</f>
        <v>邹宇凡</v>
      </c>
      <c r="B598" s="2" t="str">
        <f>"B20221004212"</f>
        <v>B20221004212</v>
      </c>
      <c r="C598" s="2" t="str">
        <f t="shared" si="132"/>
        <v>女</v>
      </c>
      <c r="D598" s="2" t="str">
        <f t="shared" si="130"/>
        <v>15</v>
      </c>
      <c r="E598" s="2" t="str">
        <f>"艺术设计学院"</f>
        <v>艺术设计学院</v>
      </c>
    </row>
    <row r="599" ht="13.5" hidden="1" spans="1:5">
      <c r="A599" s="2" t="str">
        <f>"曹静"</f>
        <v>曹静</v>
      </c>
      <c r="B599" s="2" t="str">
        <f>"B20210904232"</f>
        <v>B20210904232</v>
      </c>
      <c r="C599" s="2" t="str">
        <f t="shared" si="132"/>
        <v>女</v>
      </c>
      <c r="D599" s="2" t="str">
        <f t="shared" si="130"/>
        <v>15</v>
      </c>
      <c r="E599" s="2" t="str">
        <f>"经济与管理学院"</f>
        <v>经济与管理学院</v>
      </c>
    </row>
    <row r="600" ht="13.5" hidden="1" spans="1:5">
      <c r="A600" s="2" t="str">
        <f>"尚兴翠"</f>
        <v>尚兴翠</v>
      </c>
      <c r="B600" s="2" t="str">
        <f>"B20220801429"</f>
        <v>B20220801429</v>
      </c>
      <c r="C600" s="2" t="str">
        <f t="shared" si="132"/>
        <v>女</v>
      </c>
      <c r="D600" s="2" t="str">
        <f t="shared" si="130"/>
        <v>15</v>
      </c>
      <c r="E600" s="2" t="str">
        <f>"外国语学院"</f>
        <v>外国语学院</v>
      </c>
    </row>
    <row r="601" ht="13.5" hidden="1" spans="1:5">
      <c r="A601" s="2" t="str">
        <f>"浦怡艳"</f>
        <v>浦怡艳</v>
      </c>
      <c r="B601" s="2" t="str">
        <f>"B20211003225"</f>
        <v>B20211003225</v>
      </c>
      <c r="C601" s="2" t="str">
        <f t="shared" si="132"/>
        <v>女</v>
      </c>
      <c r="D601" s="2" t="str">
        <f t="shared" si="130"/>
        <v>15</v>
      </c>
      <c r="E601" s="2" t="str">
        <f>"艺术设计学院"</f>
        <v>艺术设计学院</v>
      </c>
    </row>
    <row r="602" ht="13.5" hidden="1" spans="1:5">
      <c r="A602" s="2" t="str">
        <f>"唐佳为"</f>
        <v>唐佳为</v>
      </c>
      <c r="B602" s="2" t="str">
        <f>"B20220504228"</f>
        <v>B20220504228</v>
      </c>
      <c r="C602" s="2" t="str">
        <f t="shared" si="132"/>
        <v>女</v>
      </c>
      <c r="D602" s="2" t="str">
        <f t="shared" si="130"/>
        <v>15</v>
      </c>
      <c r="E602" s="2" t="str">
        <f>"生物与化学工程学院"</f>
        <v>生物与化学工程学院</v>
      </c>
    </row>
    <row r="603" ht="13.5" hidden="1" spans="1:5">
      <c r="A603" s="2" t="str">
        <f>"龚小磊"</f>
        <v>龚小磊</v>
      </c>
      <c r="B603" s="2" t="str">
        <f>"B20200902310"</f>
        <v>B20200902310</v>
      </c>
      <c r="C603" s="2" t="str">
        <f t="shared" ref="C603:C609" si="133">"男"</f>
        <v>男</v>
      </c>
      <c r="D603" s="2" t="str">
        <f t="shared" si="130"/>
        <v>15</v>
      </c>
      <c r="E603" s="2" t="str">
        <f>"经济与管理学院"</f>
        <v>经济与管理学院</v>
      </c>
    </row>
    <row r="604" ht="13.5" hidden="1" spans="1:5">
      <c r="A604" s="2" t="str">
        <f>"肖虹"</f>
        <v>肖虹</v>
      </c>
      <c r="B604" s="2" t="str">
        <f>"B20230801414"</f>
        <v>B20230801414</v>
      </c>
      <c r="C604" s="2" t="str">
        <f t="shared" ref="C604:C606" si="134">"女"</f>
        <v>女</v>
      </c>
      <c r="D604" s="2" t="str">
        <f t="shared" si="130"/>
        <v>15</v>
      </c>
      <c r="E604" s="2" t="str">
        <f>"外国语学院"</f>
        <v>外国语学院</v>
      </c>
    </row>
    <row r="605" ht="13.5" hidden="1" spans="1:5">
      <c r="A605" s="2" t="str">
        <f>"刘佳玲"</f>
        <v>刘佳玲</v>
      </c>
      <c r="B605" s="2" t="str">
        <f>"B20210505126"</f>
        <v>B20210505126</v>
      </c>
      <c r="C605" s="2" t="str">
        <f t="shared" si="134"/>
        <v>女</v>
      </c>
      <c r="D605" s="2" t="str">
        <f t="shared" si="130"/>
        <v>15</v>
      </c>
      <c r="E605" s="2" t="str">
        <f>"材料与环境工程学院"</f>
        <v>材料与环境工程学院</v>
      </c>
    </row>
    <row r="606" ht="13.5" hidden="1" spans="1:5">
      <c r="A606" s="2" t="str">
        <f>"梧薪元"</f>
        <v>梧薪元</v>
      </c>
      <c r="B606" s="2" t="str">
        <f>"B20201101118"</f>
        <v>B20201101118</v>
      </c>
      <c r="C606" s="2" t="str">
        <f t="shared" si="134"/>
        <v>女</v>
      </c>
      <c r="D606" s="2" t="str">
        <f t="shared" si="130"/>
        <v>15</v>
      </c>
      <c r="E606" s="2" t="str">
        <f>"音乐学院"</f>
        <v>音乐学院</v>
      </c>
    </row>
    <row r="607" ht="13.5" hidden="1" spans="1:5">
      <c r="A607" s="2" t="str">
        <f>"叶山"</f>
        <v>叶山</v>
      </c>
      <c r="B607" s="2" t="str">
        <f>"B20200903114"</f>
        <v>B20200903114</v>
      </c>
      <c r="C607" s="2" t="str">
        <f t="shared" si="133"/>
        <v>男</v>
      </c>
      <c r="D607" s="2" t="str">
        <f t="shared" si="130"/>
        <v>15</v>
      </c>
      <c r="E607" s="2" t="str">
        <f>"经济与管理学院"</f>
        <v>经济与管理学院</v>
      </c>
    </row>
    <row r="608" ht="13.5" hidden="1" spans="1:5">
      <c r="A608" s="2" t="str">
        <f>"成亦峰"</f>
        <v>成亦峰</v>
      </c>
      <c r="B608" s="2" t="str">
        <f>"B20230101624"</f>
        <v>B20230101624</v>
      </c>
      <c r="C608" s="2" t="str">
        <f t="shared" si="133"/>
        <v>男</v>
      </c>
      <c r="D608" s="2" t="str">
        <f t="shared" si="130"/>
        <v>15</v>
      </c>
      <c r="E608" s="2" t="str">
        <f>"土木工程学院"</f>
        <v>土木工程学院</v>
      </c>
    </row>
    <row r="609" ht="13.5" hidden="1" spans="1:5">
      <c r="A609" s="2" t="str">
        <f>"向军"</f>
        <v>向军</v>
      </c>
      <c r="B609" s="2" t="str">
        <f>"B20200102225"</f>
        <v>B20200102225</v>
      </c>
      <c r="C609" s="2" t="str">
        <f t="shared" si="133"/>
        <v>男</v>
      </c>
      <c r="D609" s="2" t="str">
        <f t="shared" si="130"/>
        <v>15</v>
      </c>
      <c r="E609" s="2" t="str">
        <f>"土木工程学院"</f>
        <v>土木工程学院</v>
      </c>
    </row>
    <row r="610" ht="13.5" hidden="1" spans="1:5">
      <c r="A610" s="2" t="str">
        <f>"颜菁"</f>
        <v>颜菁</v>
      </c>
      <c r="B610" s="2" t="str">
        <f>"B20210101222"</f>
        <v>B20210101222</v>
      </c>
      <c r="C610" s="2" t="str">
        <f t="shared" ref="C610:C617" si="135">"女"</f>
        <v>女</v>
      </c>
      <c r="D610" s="2" t="str">
        <f t="shared" si="130"/>
        <v>15</v>
      </c>
      <c r="E610" s="2" t="str">
        <f>"土木工程学院"</f>
        <v>土木工程学院</v>
      </c>
    </row>
    <row r="611" ht="13.5" hidden="1" spans="1:5">
      <c r="A611" s="2" t="str">
        <f>"欧湘钰"</f>
        <v>欧湘钰</v>
      </c>
      <c r="B611" s="2" t="str">
        <f>"B20220702109"</f>
        <v>B20220702109</v>
      </c>
      <c r="C611" s="2" t="str">
        <f t="shared" si="135"/>
        <v>女</v>
      </c>
      <c r="D611" s="2" t="str">
        <f t="shared" si="130"/>
        <v>15</v>
      </c>
      <c r="E611" s="2" t="str">
        <f>"马栏山新媒体学院"</f>
        <v>马栏山新媒体学院</v>
      </c>
    </row>
    <row r="612" ht="13.5" hidden="1" spans="1:5">
      <c r="A612" s="2" t="str">
        <f>"王鑫鸿"</f>
        <v>王鑫鸿</v>
      </c>
      <c r="B612" s="2" t="str">
        <f>"B20200505108"</f>
        <v>B20200505108</v>
      </c>
      <c r="C612" s="2" t="str">
        <f>"男"</f>
        <v>男</v>
      </c>
      <c r="D612" s="2" t="str">
        <f t="shared" si="130"/>
        <v>15</v>
      </c>
      <c r="E612" s="2" t="str">
        <f>"生物与环境工程学院"</f>
        <v>生物与环境工程学院</v>
      </c>
    </row>
    <row r="613" ht="13.5" hidden="1" spans="1:5">
      <c r="A613" s="2" t="str">
        <f>"李志凯"</f>
        <v>李志凯</v>
      </c>
      <c r="B613" s="2" t="str">
        <f>"B20231302110"</f>
        <v>B20231302110</v>
      </c>
      <c r="C613" s="2" t="str">
        <f>"男"</f>
        <v>男</v>
      </c>
      <c r="D613" s="2" t="str">
        <f t="shared" si="130"/>
        <v>15</v>
      </c>
      <c r="E613" s="2" t="str">
        <f>"材料与环境工程学院"</f>
        <v>材料与环境工程学院</v>
      </c>
    </row>
    <row r="614" ht="13.5" hidden="1" spans="1:5">
      <c r="A614" s="2" t="str">
        <f>"陈梦瑶"</f>
        <v>陈梦瑶</v>
      </c>
      <c r="B614" s="2" t="str">
        <f>"B20220803126"</f>
        <v>B20220803126</v>
      </c>
      <c r="C614" s="2" t="str">
        <f t="shared" si="135"/>
        <v>女</v>
      </c>
      <c r="D614" s="2" t="str">
        <f t="shared" si="130"/>
        <v>15</v>
      </c>
      <c r="E614" s="2" t="str">
        <f>"外国语学院"</f>
        <v>外国语学院</v>
      </c>
    </row>
    <row r="615" ht="13.5" hidden="1" spans="1:5">
      <c r="A615" s="2" t="str">
        <f>"马卓雅"</f>
        <v>马卓雅</v>
      </c>
      <c r="B615" s="2" t="str">
        <f>"B20210801508"</f>
        <v>B20210801508</v>
      </c>
      <c r="C615" s="2" t="str">
        <f t="shared" si="135"/>
        <v>女</v>
      </c>
      <c r="D615" s="2" t="str">
        <f t="shared" si="130"/>
        <v>15</v>
      </c>
      <c r="E615" s="2" t="str">
        <f>"外国语学院"</f>
        <v>外国语学院</v>
      </c>
    </row>
    <row r="616" ht="13.5" hidden="1" spans="1:5">
      <c r="A616" s="2" t="str">
        <f>"尹佳怀"</f>
        <v>尹佳怀</v>
      </c>
      <c r="B616" s="2" t="str">
        <f>"B20230901124"</f>
        <v>B20230901124</v>
      </c>
      <c r="C616" s="2" t="str">
        <f t="shared" si="135"/>
        <v>女</v>
      </c>
      <c r="D616" s="2" t="str">
        <f t="shared" si="130"/>
        <v>15</v>
      </c>
      <c r="E616" s="2" t="str">
        <f>"经济与管理学院"</f>
        <v>经济与管理学院</v>
      </c>
    </row>
    <row r="617" ht="13.5" hidden="1" spans="1:5">
      <c r="A617" s="2" t="str">
        <f>"高宏亮"</f>
        <v>高宏亮</v>
      </c>
      <c r="B617" s="2" t="str">
        <f>"B20210502129"</f>
        <v>B20210502129</v>
      </c>
      <c r="C617" s="2" t="str">
        <f t="shared" si="135"/>
        <v>女</v>
      </c>
      <c r="D617" s="2" t="str">
        <f t="shared" si="130"/>
        <v>15</v>
      </c>
      <c r="E617" s="2" t="str">
        <f>"生物与化学工程学院"</f>
        <v>生物与化学工程学院</v>
      </c>
    </row>
    <row r="618" ht="13.5" hidden="1" spans="1:5">
      <c r="A618" s="2" t="str">
        <f>"武博宣"</f>
        <v>武博宣</v>
      </c>
      <c r="B618" s="2" t="str">
        <f>"B20200703321"</f>
        <v>B20200703321</v>
      </c>
      <c r="C618" s="2" t="str">
        <f>"男"</f>
        <v>男</v>
      </c>
      <c r="D618" s="2" t="str">
        <f t="shared" si="130"/>
        <v>15</v>
      </c>
      <c r="E618" s="2" t="str">
        <f>"马栏山新媒体学院"</f>
        <v>马栏山新媒体学院</v>
      </c>
    </row>
    <row r="619" ht="13.5" hidden="1" spans="1:5">
      <c r="A619" s="2" t="str">
        <f>"马思杨"</f>
        <v>马思杨</v>
      </c>
      <c r="B619" s="2" t="str">
        <f>"B20230801118"</f>
        <v>B20230801118</v>
      </c>
      <c r="C619" s="2" t="str">
        <f>"女"</f>
        <v>女</v>
      </c>
      <c r="D619" s="2" t="str">
        <f t="shared" si="130"/>
        <v>15</v>
      </c>
      <c r="E619" s="2" t="str">
        <f>"外国语学院"</f>
        <v>外国语学院</v>
      </c>
    </row>
    <row r="620" ht="13.5" hidden="1" spans="1:5">
      <c r="A620" s="2" t="str">
        <f>"李达"</f>
        <v>李达</v>
      </c>
      <c r="B620" s="2" t="str">
        <f>"B20200402317"</f>
        <v>B20200402317</v>
      </c>
      <c r="C620" s="2" t="str">
        <f>"男"</f>
        <v>男</v>
      </c>
      <c r="D620" s="2" t="str">
        <f t="shared" si="130"/>
        <v>15</v>
      </c>
      <c r="E620" s="2" t="str">
        <f>"电子信息与电气工程学院"</f>
        <v>电子信息与电气工程学院</v>
      </c>
    </row>
    <row r="621" ht="13.5" hidden="1" spans="1:5">
      <c r="A621" s="2" t="str">
        <f>"曾锦裕"</f>
        <v>曾锦裕</v>
      </c>
      <c r="B621" s="2" t="str">
        <f>"B20230702424"</f>
        <v>B20230702424</v>
      </c>
      <c r="C621" s="2" t="str">
        <f>"男"</f>
        <v>男</v>
      </c>
      <c r="D621" s="2" t="str">
        <f t="shared" si="130"/>
        <v>15</v>
      </c>
      <c r="E621" s="2" t="str">
        <f>"马栏山新媒体学院"</f>
        <v>马栏山新媒体学院</v>
      </c>
    </row>
    <row r="622" ht="13.5" hidden="1" spans="1:5">
      <c r="A622" s="2" t="str">
        <f>"潘婧"</f>
        <v>潘婧</v>
      </c>
      <c r="B622" s="2" t="str">
        <f>"B20210202435"</f>
        <v>B20210202435</v>
      </c>
      <c r="C622" s="2" t="str">
        <f>"女"</f>
        <v>女</v>
      </c>
      <c r="D622" s="2" t="str">
        <f t="shared" si="130"/>
        <v>15</v>
      </c>
      <c r="E622" s="2" t="str">
        <f>"机电工程学院"</f>
        <v>机电工程学院</v>
      </c>
    </row>
    <row r="623" ht="13.5" hidden="1" spans="1:5">
      <c r="A623" s="2" t="str">
        <f>"文佳琳"</f>
        <v>文佳琳</v>
      </c>
      <c r="B623" s="2" t="str">
        <f>"B20200802302"</f>
        <v>B20200802302</v>
      </c>
      <c r="C623" s="2" t="str">
        <f t="shared" ref="C623:C625" si="136">"女"</f>
        <v>女</v>
      </c>
      <c r="D623" s="2" t="str">
        <f t="shared" si="130"/>
        <v>15</v>
      </c>
      <c r="E623" s="2" t="str">
        <f>"外国语学院"</f>
        <v>外国语学院</v>
      </c>
    </row>
    <row r="624" ht="13.5" hidden="1" spans="1:5">
      <c r="A624" s="2" t="str">
        <f>"赵欣语"</f>
        <v>赵欣语</v>
      </c>
      <c r="B624" s="2" t="str">
        <f>"B20220701223"</f>
        <v>B20220701223</v>
      </c>
      <c r="C624" s="2" t="str">
        <f t="shared" si="136"/>
        <v>女</v>
      </c>
      <c r="D624" s="2" t="str">
        <f t="shared" si="130"/>
        <v>15</v>
      </c>
      <c r="E624" s="2" t="str">
        <f t="shared" ref="E624:E626" si="137">"马栏山新媒体学院"</f>
        <v>马栏山新媒体学院</v>
      </c>
    </row>
    <row r="625" ht="13.5" hidden="1" spans="1:5">
      <c r="A625" s="2" t="str">
        <f>"刘烨"</f>
        <v>刘烨</v>
      </c>
      <c r="B625" s="2" t="str">
        <f>"B20220701419"</f>
        <v>B20220701419</v>
      </c>
      <c r="C625" s="2" t="str">
        <f t="shared" si="136"/>
        <v>女</v>
      </c>
      <c r="D625" s="2" t="str">
        <f t="shared" si="130"/>
        <v>15</v>
      </c>
      <c r="E625" s="2" t="str">
        <f t="shared" si="137"/>
        <v>马栏山新媒体学院</v>
      </c>
    </row>
    <row r="626" ht="13.5" hidden="1" spans="1:5">
      <c r="A626" s="2" t="str">
        <f>"周煜辰"</f>
        <v>周煜辰</v>
      </c>
      <c r="B626" s="2" t="str">
        <f>"B20200703418"</f>
        <v>B20200703418</v>
      </c>
      <c r="C626" s="2" t="str">
        <f>"男"</f>
        <v>男</v>
      </c>
      <c r="D626" s="2" t="str">
        <f t="shared" si="130"/>
        <v>15</v>
      </c>
      <c r="E626" s="2" t="str">
        <f t="shared" si="137"/>
        <v>马栏山新媒体学院</v>
      </c>
    </row>
    <row r="627" ht="13.5" hidden="1" spans="1:5">
      <c r="A627" s="2" t="str">
        <f>"尹杰"</f>
        <v>尹杰</v>
      </c>
      <c r="B627" s="2" t="str">
        <f>"B20200101403"</f>
        <v>B20200101403</v>
      </c>
      <c r="C627" s="2" t="str">
        <f>"男"</f>
        <v>男</v>
      </c>
      <c r="D627" s="2" t="str">
        <f t="shared" si="130"/>
        <v>15</v>
      </c>
      <c r="E627" s="2" t="str">
        <f>"土木工程学院"</f>
        <v>土木工程学院</v>
      </c>
    </row>
    <row r="628" ht="13.5" hidden="1" spans="1:5">
      <c r="A628" s="2" t="str">
        <f>"吕琪"</f>
        <v>吕琪</v>
      </c>
      <c r="B628" s="2" t="str">
        <f>"B20230901123"</f>
        <v>B20230901123</v>
      </c>
      <c r="C628" s="2" t="str">
        <f>"女"</f>
        <v>女</v>
      </c>
      <c r="D628" s="2" t="str">
        <f t="shared" ref="D628:D648" si="138">"15"</f>
        <v>15</v>
      </c>
      <c r="E628" s="2" t="str">
        <f>"经济与管理学院"</f>
        <v>经济与管理学院</v>
      </c>
    </row>
    <row r="629" ht="13.5" hidden="1" spans="1:5">
      <c r="A629" s="2" t="str">
        <f>"童文静"</f>
        <v>童文静</v>
      </c>
      <c r="B629" s="2" t="str">
        <f>"B20220702406"</f>
        <v>B20220702406</v>
      </c>
      <c r="C629" s="2" t="str">
        <f>"女"</f>
        <v>女</v>
      </c>
      <c r="D629" s="2" t="str">
        <f t="shared" si="138"/>
        <v>15</v>
      </c>
      <c r="E629" s="2" t="str">
        <f>"马栏山新媒体学院"</f>
        <v>马栏山新媒体学院</v>
      </c>
    </row>
    <row r="630" ht="13.5" hidden="1" spans="1:5">
      <c r="A630" s="2" t="str">
        <f>"孙超"</f>
        <v>孙超</v>
      </c>
      <c r="B630" s="2" t="str">
        <f>"B20230801423"</f>
        <v>B20230801423</v>
      </c>
      <c r="C630" s="2" t="str">
        <f>"女"</f>
        <v>女</v>
      </c>
      <c r="D630" s="2" t="str">
        <f t="shared" si="138"/>
        <v>15</v>
      </c>
      <c r="E630" s="2" t="str">
        <f t="shared" ref="E630:E633" si="139">"外国语学院"</f>
        <v>外国语学院</v>
      </c>
    </row>
    <row r="631" ht="13.5" hidden="1" spans="1:5">
      <c r="A631" s="2" t="str">
        <f>"肖俊飞"</f>
        <v>肖俊飞</v>
      </c>
      <c r="B631" s="2" t="str">
        <f>"B20230101607"</f>
        <v>B20230101607</v>
      </c>
      <c r="C631" s="2" t="str">
        <f>"男"</f>
        <v>男</v>
      </c>
      <c r="D631" s="2" t="str">
        <f t="shared" si="138"/>
        <v>15</v>
      </c>
      <c r="E631" s="2" t="str">
        <f>"土木工程学院"</f>
        <v>土木工程学院</v>
      </c>
    </row>
    <row r="632" ht="13.5" hidden="1" spans="1:5">
      <c r="A632" s="2" t="str">
        <f>"彭丽敏"</f>
        <v>彭丽敏</v>
      </c>
      <c r="B632" s="2" t="str">
        <f>"B20220801205"</f>
        <v>B20220801205</v>
      </c>
      <c r="C632" s="2" t="str">
        <f t="shared" ref="C632:C639" si="140">"女"</f>
        <v>女</v>
      </c>
      <c r="D632" s="2" t="str">
        <f t="shared" si="138"/>
        <v>15</v>
      </c>
      <c r="E632" s="2" t="str">
        <f t="shared" si="139"/>
        <v>外国语学院</v>
      </c>
    </row>
    <row r="633" ht="13.5" hidden="1" spans="1:5">
      <c r="A633" s="2" t="str">
        <f>"邓博"</f>
        <v>邓博</v>
      </c>
      <c r="B633" s="2" t="str">
        <f>"B20210803207"</f>
        <v>B20210803207</v>
      </c>
      <c r="C633" s="2" t="str">
        <f t="shared" si="140"/>
        <v>女</v>
      </c>
      <c r="D633" s="2" t="str">
        <f t="shared" si="138"/>
        <v>15</v>
      </c>
      <c r="E633" s="2" t="str">
        <f t="shared" si="139"/>
        <v>外国语学院</v>
      </c>
    </row>
    <row r="634" ht="13.5" hidden="1" spans="1:5">
      <c r="A634" s="2" t="str">
        <f>"雷嫔妃"</f>
        <v>雷嫔妃</v>
      </c>
      <c r="B634" s="2" t="str">
        <f>"B20230702401"</f>
        <v>B20230702401</v>
      </c>
      <c r="C634" s="2" t="str">
        <f t="shared" si="140"/>
        <v>女</v>
      </c>
      <c r="D634" s="2" t="str">
        <f t="shared" si="138"/>
        <v>15</v>
      </c>
      <c r="E634" s="2" t="str">
        <f>"马栏山新媒体学院"</f>
        <v>马栏山新媒体学院</v>
      </c>
    </row>
    <row r="635" ht="13.5" hidden="1" spans="1:5">
      <c r="A635" s="2" t="str">
        <f>"王雅庆"</f>
        <v>王雅庆</v>
      </c>
      <c r="B635" s="2" t="str">
        <f>"B20200901223"</f>
        <v>B20200901223</v>
      </c>
      <c r="C635" s="2" t="str">
        <f t="shared" si="140"/>
        <v>女</v>
      </c>
      <c r="D635" s="2" t="str">
        <f t="shared" si="138"/>
        <v>15</v>
      </c>
      <c r="E635" s="2" t="str">
        <f>"经济与管理学院"</f>
        <v>经济与管理学院</v>
      </c>
    </row>
    <row r="636" ht="13.5" hidden="1" spans="1:5">
      <c r="A636" s="2" t="str">
        <f>"梁悦琪"</f>
        <v>梁悦琪</v>
      </c>
      <c r="B636" s="2" t="str">
        <f>"B20201001207"</f>
        <v>B20201001207</v>
      </c>
      <c r="C636" s="2" t="str">
        <f t="shared" si="140"/>
        <v>女</v>
      </c>
      <c r="D636" s="2" t="str">
        <f t="shared" si="138"/>
        <v>15</v>
      </c>
      <c r="E636" s="2" t="str">
        <f>"艺术设计学院"</f>
        <v>艺术设计学院</v>
      </c>
    </row>
    <row r="637" ht="13.5" hidden="1" spans="1:5">
      <c r="A637" s="2" t="str">
        <f>"许畅"</f>
        <v>许畅</v>
      </c>
      <c r="B637" s="2" t="str">
        <f>"B20210704108"</f>
        <v>B20210704108</v>
      </c>
      <c r="C637" s="2" t="str">
        <f t="shared" si="140"/>
        <v>女</v>
      </c>
      <c r="D637" s="2" t="str">
        <f t="shared" si="138"/>
        <v>15</v>
      </c>
      <c r="E637" s="2" t="str">
        <f>"马栏山新媒体学院"</f>
        <v>马栏山新媒体学院</v>
      </c>
    </row>
    <row r="638" ht="13.5" hidden="1" spans="1:5">
      <c r="A638" s="2" t="str">
        <f>"王若雪"</f>
        <v>王若雪</v>
      </c>
      <c r="B638" s="2" t="str">
        <f>"B20210801615"</f>
        <v>B20210801615</v>
      </c>
      <c r="C638" s="2" t="str">
        <f t="shared" si="140"/>
        <v>女</v>
      </c>
      <c r="D638" s="2" t="str">
        <f t="shared" si="138"/>
        <v>15</v>
      </c>
      <c r="E638" s="2" t="str">
        <f>"外国语学院"</f>
        <v>外国语学院</v>
      </c>
    </row>
    <row r="639" ht="13.5" hidden="1" spans="1:5">
      <c r="A639" s="2" t="str">
        <f>"黎曼"</f>
        <v>黎曼</v>
      </c>
      <c r="B639" s="2" t="str">
        <f>"B20220601307"</f>
        <v>B20220601307</v>
      </c>
      <c r="C639" s="2" t="str">
        <f t="shared" si="140"/>
        <v>女</v>
      </c>
      <c r="D639" s="2" t="str">
        <f t="shared" si="138"/>
        <v>15</v>
      </c>
      <c r="E639" s="2" t="str">
        <f>"法学院"</f>
        <v>法学院</v>
      </c>
    </row>
    <row r="640" ht="13.5" hidden="1" spans="1:5">
      <c r="A640" s="2" t="str">
        <f>"龙昕妍"</f>
        <v>龙昕妍</v>
      </c>
      <c r="B640" s="2" t="str">
        <f>"B20230905129"</f>
        <v>B20230905129</v>
      </c>
      <c r="C640" s="2" t="str">
        <f t="shared" ref="C640:C645" si="141">"女"</f>
        <v>女</v>
      </c>
      <c r="D640" s="2" t="str">
        <f t="shared" si="138"/>
        <v>15</v>
      </c>
      <c r="E640" s="2" t="str">
        <f t="shared" ref="E640:E645" si="142">"经济与管理学院"</f>
        <v>经济与管理学院</v>
      </c>
    </row>
    <row r="641" ht="13.5" hidden="1" spans="1:5">
      <c r="A641" s="2" t="str">
        <f>"刘世伟"</f>
        <v>刘世伟</v>
      </c>
      <c r="B641" s="2" t="str">
        <f>"B20230403114"</f>
        <v>B20230403114</v>
      </c>
      <c r="C641" s="2" t="str">
        <f>"男"</f>
        <v>男</v>
      </c>
      <c r="D641" s="2" t="str">
        <f t="shared" si="138"/>
        <v>15</v>
      </c>
      <c r="E641" s="2" t="str">
        <f>"电子信息与电气工程学院"</f>
        <v>电子信息与电气工程学院</v>
      </c>
    </row>
    <row r="642" ht="13.5" hidden="1" spans="1:5">
      <c r="A642" s="2" t="str">
        <f>"刘芳均"</f>
        <v>刘芳均</v>
      </c>
      <c r="B642" s="2" t="str">
        <f>"B20210902216"</f>
        <v>B20210902216</v>
      </c>
      <c r="C642" s="2" t="str">
        <f t="shared" si="141"/>
        <v>女</v>
      </c>
      <c r="D642" s="2" t="str">
        <f t="shared" si="138"/>
        <v>15</v>
      </c>
      <c r="E642" s="2" t="str">
        <f t="shared" si="142"/>
        <v>经济与管理学院</v>
      </c>
    </row>
    <row r="643" ht="13.5" hidden="1" spans="1:5">
      <c r="A643" s="2" t="str">
        <f>"邓嘉隆"</f>
        <v>邓嘉隆</v>
      </c>
      <c r="B643" s="2" t="str">
        <f>"B20200403215"</f>
        <v>B20200403215</v>
      </c>
      <c r="C643" s="2" t="str">
        <f>"男"</f>
        <v>男</v>
      </c>
      <c r="D643" s="2" t="str">
        <f t="shared" si="138"/>
        <v>15</v>
      </c>
      <c r="E643" s="2" t="str">
        <f>"电子信息与电气工程学院"</f>
        <v>电子信息与电气工程学院</v>
      </c>
    </row>
    <row r="644" ht="13.5" hidden="1" spans="1:5">
      <c r="A644" s="2" t="str">
        <f>"乐伊飞"</f>
        <v>乐伊飞</v>
      </c>
      <c r="B644" s="2" t="str">
        <f>"B20210204102"</f>
        <v>B20210204102</v>
      </c>
      <c r="C644" s="2" t="str">
        <f>"男"</f>
        <v>男</v>
      </c>
      <c r="D644" s="2" t="str">
        <f t="shared" si="138"/>
        <v>15</v>
      </c>
      <c r="E644" s="2" t="str">
        <f>"机电工程学院"</f>
        <v>机电工程学院</v>
      </c>
    </row>
    <row r="645" ht="13.5" hidden="1" spans="1:5">
      <c r="A645" s="2" t="str">
        <f>"谢甲琳"</f>
        <v>谢甲琳</v>
      </c>
      <c r="B645" s="2" t="str">
        <f>"B20200904136"</f>
        <v>B20200904136</v>
      </c>
      <c r="C645" s="2" t="str">
        <f t="shared" si="141"/>
        <v>女</v>
      </c>
      <c r="D645" s="2" t="str">
        <f t="shared" si="138"/>
        <v>15</v>
      </c>
      <c r="E645" s="2" t="str">
        <f t="shared" si="142"/>
        <v>经济与管理学院</v>
      </c>
    </row>
    <row r="646" ht="13.5" hidden="1" spans="1:5">
      <c r="A646" s="2" t="str">
        <f>"赵亚飞"</f>
        <v>赵亚飞</v>
      </c>
      <c r="B646" s="2" t="str">
        <f>"B20200203101"</f>
        <v>B20200203101</v>
      </c>
      <c r="C646" s="2" t="str">
        <f>"男"</f>
        <v>男</v>
      </c>
      <c r="D646" s="2" t="str">
        <f t="shared" si="138"/>
        <v>15</v>
      </c>
      <c r="E646" s="2" t="str">
        <f>"机电工程学院"</f>
        <v>机电工程学院</v>
      </c>
    </row>
    <row r="647" ht="13.5" hidden="1" spans="1:5">
      <c r="A647" s="2" t="str">
        <f>"黄红朝"</f>
        <v>黄红朝</v>
      </c>
      <c r="B647" s="2" t="str">
        <f>"B20201101327"</f>
        <v>B20201101327</v>
      </c>
      <c r="C647" s="2" t="str">
        <f>"男"</f>
        <v>男</v>
      </c>
      <c r="D647" s="2" t="str">
        <f t="shared" si="138"/>
        <v>15</v>
      </c>
      <c r="E647" s="2" t="str">
        <f>"音乐学院"</f>
        <v>音乐学院</v>
      </c>
    </row>
    <row r="648" ht="13.5" hidden="1" spans="1:5">
      <c r="A648" s="2" t="str">
        <f>"郭枫"</f>
        <v>郭枫</v>
      </c>
      <c r="B648" s="2" t="str">
        <f>"B20230701410"</f>
        <v>B20230701410</v>
      </c>
      <c r="C648" s="2" t="str">
        <f t="shared" ref="C648:C654" si="143">"女"</f>
        <v>女</v>
      </c>
      <c r="D648" s="2" t="str">
        <f t="shared" si="138"/>
        <v>15</v>
      </c>
      <c r="E648" s="2" t="str">
        <f>"马栏山新媒体学院"</f>
        <v>马栏山新媒体学院</v>
      </c>
    </row>
    <row r="649" ht="13.5" hidden="1" spans="1:5">
      <c r="A649" s="2" t="str">
        <f>"蒋艳姿"</f>
        <v>蒋艳姿</v>
      </c>
      <c r="B649" s="2" t="str">
        <f>"B20230504219"</f>
        <v>B20230504219</v>
      </c>
      <c r="C649" s="2" t="str">
        <f t="shared" si="143"/>
        <v>女</v>
      </c>
      <c r="D649" s="2" t="str">
        <f t="shared" ref="D649:D659" si="144">"15"</f>
        <v>15</v>
      </c>
      <c r="E649" s="2" t="str">
        <f>"生物与化学工程学院"</f>
        <v>生物与化学工程学院</v>
      </c>
    </row>
    <row r="650" ht="13.5" hidden="1" spans="1:5">
      <c r="A650" s="2" t="str">
        <f>"蒋冰"</f>
        <v>蒋冰</v>
      </c>
      <c r="B650" s="2" t="str">
        <f>"B20210601107"</f>
        <v>B20210601107</v>
      </c>
      <c r="C650" s="2" t="str">
        <f t="shared" si="143"/>
        <v>女</v>
      </c>
      <c r="D650" s="2" t="str">
        <f t="shared" si="144"/>
        <v>15</v>
      </c>
      <c r="E650" s="2" t="str">
        <f>"法学院"</f>
        <v>法学院</v>
      </c>
    </row>
    <row r="651" ht="13.5" hidden="1" spans="1:5">
      <c r="A651" s="2" t="str">
        <f>"彭欣怡"</f>
        <v>彭欣怡</v>
      </c>
      <c r="B651" s="2" t="str">
        <f>"B20221101102"</f>
        <v>B20221101102</v>
      </c>
      <c r="C651" s="2" t="str">
        <f t="shared" si="143"/>
        <v>女</v>
      </c>
      <c r="D651" s="2" t="str">
        <f t="shared" si="144"/>
        <v>15</v>
      </c>
      <c r="E651" s="2" t="str">
        <f>"音乐学院"</f>
        <v>音乐学院</v>
      </c>
    </row>
    <row r="652" ht="13.5" hidden="1" spans="1:5">
      <c r="A652" s="2" t="str">
        <f>"卿亮花"</f>
        <v>卿亮花</v>
      </c>
      <c r="B652" s="2" t="str">
        <f>"B20210902430"</f>
        <v>B20210902430</v>
      </c>
      <c r="C652" s="2" t="str">
        <f t="shared" si="143"/>
        <v>女</v>
      </c>
      <c r="D652" s="2" t="str">
        <f t="shared" si="144"/>
        <v>15</v>
      </c>
      <c r="E652" s="2" t="str">
        <f>"经济与管理学院"</f>
        <v>经济与管理学院</v>
      </c>
    </row>
    <row r="653" ht="13.5" hidden="1" spans="1:5">
      <c r="A653" s="2" t="str">
        <f>"谢宇菡"</f>
        <v>谢宇菡</v>
      </c>
      <c r="B653" s="2" t="str">
        <f>"B20210701311"</f>
        <v>B20210701311</v>
      </c>
      <c r="C653" s="2" t="str">
        <f t="shared" si="143"/>
        <v>女</v>
      </c>
      <c r="D653" s="2" t="str">
        <f t="shared" si="144"/>
        <v>15</v>
      </c>
      <c r="E653" s="2" t="str">
        <f>"马栏山新媒体学院"</f>
        <v>马栏山新媒体学院</v>
      </c>
    </row>
    <row r="654" ht="13.5" hidden="1" spans="1:5">
      <c r="A654" s="2" t="str">
        <f>"陆玲欣"</f>
        <v>陆玲欣</v>
      </c>
      <c r="B654" s="2" t="str">
        <f>"B20230801421"</f>
        <v>B20230801421</v>
      </c>
      <c r="C654" s="2" t="str">
        <f t="shared" si="143"/>
        <v>女</v>
      </c>
      <c r="D654" s="2" t="str">
        <f t="shared" si="144"/>
        <v>15</v>
      </c>
      <c r="E654" s="2" t="str">
        <f>"外国语学院"</f>
        <v>外国语学院</v>
      </c>
    </row>
    <row r="655" ht="13.5" hidden="1" spans="1:5">
      <c r="A655" s="2" t="str">
        <f>"肖子扬"</f>
        <v>肖子扬</v>
      </c>
      <c r="B655" s="2" t="str">
        <f>"B20200101223"</f>
        <v>B20200101223</v>
      </c>
      <c r="C655" s="2" t="str">
        <f>"男"</f>
        <v>男</v>
      </c>
      <c r="D655" s="2" t="str">
        <f t="shared" si="144"/>
        <v>15</v>
      </c>
      <c r="E655" s="2" t="str">
        <f>"土木工程学院"</f>
        <v>土木工程学院</v>
      </c>
    </row>
    <row r="656" ht="13.5" hidden="1" spans="1:5">
      <c r="A656" s="2" t="str">
        <f>"邓霞"</f>
        <v>邓霞</v>
      </c>
      <c r="B656" s="2" t="str">
        <f>"B20230904118"</f>
        <v>B20230904118</v>
      </c>
      <c r="C656" s="2" t="str">
        <f>"女"</f>
        <v>女</v>
      </c>
      <c r="D656" s="2" t="str">
        <f t="shared" si="144"/>
        <v>15</v>
      </c>
      <c r="E656" s="2" t="str">
        <f>"经济与管理学院"</f>
        <v>经济与管理学院</v>
      </c>
    </row>
    <row r="657" ht="13.5" hidden="1" spans="1:5">
      <c r="A657" s="2" t="str">
        <f>"周心怡"</f>
        <v>周心怡</v>
      </c>
      <c r="B657" s="2" t="str">
        <f>"B20230901214"</f>
        <v>B20230901214</v>
      </c>
      <c r="C657" s="2" t="str">
        <f>"女"</f>
        <v>女</v>
      </c>
      <c r="D657" s="2" t="str">
        <f t="shared" si="144"/>
        <v>15</v>
      </c>
      <c r="E657" s="2" t="str">
        <f>"经济与管理学院"</f>
        <v>经济与管理学院</v>
      </c>
    </row>
    <row r="658" ht="13.5" hidden="1" spans="1:5">
      <c r="A658" s="2" t="str">
        <f>"孙铭彤"</f>
        <v>孙铭彤</v>
      </c>
      <c r="B658" s="2" t="str">
        <f>"B20200601402"</f>
        <v>B20200601402</v>
      </c>
      <c r="C658" s="2" t="str">
        <f>"男"</f>
        <v>男</v>
      </c>
      <c r="D658" s="2" t="str">
        <f t="shared" si="144"/>
        <v>15</v>
      </c>
      <c r="E658" s="2" t="str">
        <f>"法学院"</f>
        <v>法学院</v>
      </c>
    </row>
    <row r="659" ht="13.5" hidden="1" spans="1:5">
      <c r="A659" s="2" t="str">
        <f>"张志辉"</f>
        <v>张志辉</v>
      </c>
      <c r="B659" s="2" t="str">
        <f>"B20200505218"</f>
        <v>B20200505218</v>
      </c>
      <c r="C659" s="2" t="str">
        <f>"男"</f>
        <v>男</v>
      </c>
      <c r="D659" s="2" t="str">
        <f t="shared" si="144"/>
        <v>15</v>
      </c>
      <c r="E659" s="2" t="str">
        <f>"生物与环境工程学院"</f>
        <v>生物与环境工程学院</v>
      </c>
    </row>
    <row r="660" ht="13.5" hidden="1" spans="1:5">
      <c r="A660" s="2" t="str">
        <f>"黄谧妍"</f>
        <v>黄谧妍</v>
      </c>
      <c r="B660" s="2" t="str">
        <f>"B20200505208"</f>
        <v>B20200505208</v>
      </c>
      <c r="C660" s="2" t="str">
        <f>"女"</f>
        <v>女</v>
      </c>
      <c r="D660" s="2" t="str">
        <f t="shared" ref="D660:D699" si="145">"14"</f>
        <v>14</v>
      </c>
      <c r="E660" s="2" t="str">
        <f>"生物与环境工程学院"</f>
        <v>生物与环境工程学院</v>
      </c>
    </row>
    <row r="661" ht="13.5" hidden="1" spans="1:5">
      <c r="A661" s="2" t="str">
        <f>"李馨岚"</f>
        <v>李馨岚</v>
      </c>
      <c r="B661" s="2" t="str">
        <f>"B20230705101"</f>
        <v>B20230705101</v>
      </c>
      <c r="C661" s="2" t="str">
        <f>"女"</f>
        <v>女</v>
      </c>
      <c r="D661" s="2" t="str">
        <f t="shared" si="145"/>
        <v>14</v>
      </c>
      <c r="E661" s="2" t="str">
        <f>"马栏山新媒体学院"</f>
        <v>马栏山新媒体学院</v>
      </c>
    </row>
    <row r="662" ht="13.5" hidden="1" spans="1:5">
      <c r="A662" s="2" t="str">
        <f>"谢海鹏"</f>
        <v>谢海鹏</v>
      </c>
      <c r="B662" s="2" t="str">
        <f>"B20210402124"</f>
        <v>B20210402124</v>
      </c>
      <c r="C662" s="2" t="str">
        <f>"男"</f>
        <v>男</v>
      </c>
      <c r="D662" s="2" t="str">
        <f t="shared" si="145"/>
        <v>14</v>
      </c>
      <c r="E662" s="2" t="str">
        <f>"电子信息与电气工程学院"</f>
        <v>电子信息与电气工程学院</v>
      </c>
    </row>
    <row r="663" ht="13.5" hidden="1" spans="1:5">
      <c r="A663" s="2" t="str">
        <f>"罗帆"</f>
        <v>罗帆</v>
      </c>
      <c r="B663" s="2" t="str">
        <f>"B20200101121"</f>
        <v>B20200101121</v>
      </c>
      <c r="C663" s="2" t="str">
        <f>"男"</f>
        <v>男</v>
      </c>
      <c r="D663" s="2" t="str">
        <f t="shared" si="145"/>
        <v>14</v>
      </c>
      <c r="E663" s="2" t="str">
        <f>"土木工程学院"</f>
        <v>土木工程学院</v>
      </c>
    </row>
    <row r="664" ht="13.5" hidden="1" spans="1:5">
      <c r="A664" s="2" t="str">
        <f>"刘文彬"</f>
        <v>刘文彬</v>
      </c>
      <c r="B664" s="2" t="str">
        <f>"B20200101236"</f>
        <v>B20200101236</v>
      </c>
      <c r="C664" s="2" t="str">
        <f>"男"</f>
        <v>男</v>
      </c>
      <c r="D664" s="2" t="str">
        <f t="shared" si="145"/>
        <v>14</v>
      </c>
      <c r="E664" s="2" t="str">
        <f>"土木工程学院"</f>
        <v>土木工程学院</v>
      </c>
    </row>
    <row r="665" ht="13.5" hidden="1" spans="1:5">
      <c r="A665" s="2" t="str">
        <f>"王勇剑"</f>
        <v>王勇剑</v>
      </c>
      <c r="B665" s="2" t="str">
        <f>"B20200101130"</f>
        <v>B20200101130</v>
      </c>
      <c r="C665" s="2" t="str">
        <f>"男"</f>
        <v>男</v>
      </c>
      <c r="D665" s="2" t="str">
        <f t="shared" si="145"/>
        <v>14</v>
      </c>
      <c r="E665" s="2" t="str">
        <f>"土木工程学院"</f>
        <v>土木工程学院</v>
      </c>
    </row>
    <row r="666" ht="13.5" hidden="1" spans="1:5">
      <c r="A666" s="2" t="str">
        <f>"梁雅馨"</f>
        <v>梁雅馨</v>
      </c>
      <c r="B666" s="2" t="str">
        <f>"B20221301220"</f>
        <v>B20221301220</v>
      </c>
      <c r="C666" s="2" t="str">
        <f t="shared" ref="C666:C668" si="146">"女"</f>
        <v>女</v>
      </c>
      <c r="D666" s="2" t="str">
        <f t="shared" si="145"/>
        <v>14</v>
      </c>
      <c r="E666" s="2" t="str">
        <f>"材料与环境工程学院"</f>
        <v>材料与环境工程学院</v>
      </c>
    </row>
    <row r="667" ht="13.5" hidden="1" spans="1:5">
      <c r="A667" s="2" t="str">
        <f>"冼文思"</f>
        <v>冼文思</v>
      </c>
      <c r="B667" s="2" t="str">
        <f>"B20231101229"</f>
        <v>B20231101229</v>
      </c>
      <c r="C667" s="2" t="str">
        <f t="shared" si="146"/>
        <v>女</v>
      </c>
      <c r="D667" s="2" t="str">
        <f t="shared" si="145"/>
        <v>14</v>
      </c>
      <c r="E667" s="2" t="str">
        <f>"音乐学院"</f>
        <v>音乐学院</v>
      </c>
    </row>
    <row r="668" ht="13.5" hidden="1" spans="1:5">
      <c r="A668" s="2" t="str">
        <f>"罗娇娇"</f>
        <v>罗娇娇</v>
      </c>
      <c r="B668" s="2" t="str">
        <f>"B20220905133"</f>
        <v>B20220905133</v>
      </c>
      <c r="C668" s="2" t="str">
        <f t="shared" si="146"/>
        <v>女</v>
      </c>
      <c r="D668" s="2" t="str">
        <f t="shared" si="145"/>
        <v>14</v>
      </c>
      <c r="E668" s="2" t="str">
        <f>"经济与管理学院"</f>
        <v>经济与管理学院</v>
      </c>
    </row>
    <row r="669" ht="13.5" hidden="1" spans="1:5">
      <c r="A669" s="2" t="str">
        <f>"刘金涛"</f>
        <v>刘金涛</v>
      </c>
      <c r="B669" s="2" t="str">
        <f>"B20220402306"</f>
        <v>B20220402306</v>
      </c>
      <c r="C669" s="2" t="str">
        <f>"男"</f>
        <v>男</v>
      </c>
      <c r="D669" s="2" t="str">
        <f t="shared" si="145"/>
        <v>14</v>
      </c>
      <c r="E669" s="2" t="str">
        <f>"电子信息与电气工程学院"</f>
        <v>电子信息与电气工程学院</v>
      </c>
    </row>
    <row r="670" ht="13.5" hidden="1" spans="1:5">
      <c r="A670" s="2" t="str">
        <f>"陈艺儿"</f>
        <v>陈艺儿</v>
      </c>
      <c r="B670" s="2" t="str">
        <f>"B20230205215"</f>
        <v>B20230205215</v>
      </c>
      <c r="C670" s="2" t="str">
        <f t="shared" ref="C670:C673" si="147">"女"</f>
        <v>女</v>
      </c>
      <c r="D670" s="2" t="str">
        <f t="shared" si="145"/>
        <v>14</v>
      </c>
      <c r="E670" s="2" t="str">
        <f>"机电工程学院"</f>
        <v>机电工程学院</v>
      </c>
    </row>
    <row r="671" ht="13.5" hidden="1" spans="1:5">
      <c r="A671" s="2" t="str">
        <f>"韩晓雪"</f>
        <v>韩晓雪</v>
      </c>
      <c r="B671" s="2" t="str">
        <f>"B20210401330"</f>
        <v>B20210401330</v>
      </c>
      <c r="C671" s="2" t="str">
        <f t="shared" si="147"/>
        <v>女</v>
      </c>
      <c r="D671" s="2" t="str">
        <f t="shared" si="145"/>
        <v>14</v>
      </c>
      <c r="E671" s="2" t="str">
        <f>"电子信息与电气工程学院"</f>
        <v>电子信息与电气工程学院</v>
      </c>
    </row>
    <row r="672" ht="13.5" hidden="1" spans="1:5">
      <c r="A672" s="2" t="str">
        <f>"李思佳"</f>
        <v>李思佳</v>
      </c>
      <c r="B672" s="2" t="str">
        <f>"B20201002305"</f>
        <v>B20201002305</v>
      </c>
      <c r="C672" s="2" t="str">
        <f t="shared" si="147"/>
        <v>女</v>
      </c>
      <c r="D672" s="2" t="str">
        <f t="shared" si="145"/>
        <v>14</v>
      </c>
      <c r="E672" s="2" t="str">
        <f>"艺术设计学院"</f>
        <v>艺术设计学院</v>
      </c>
    </row>
    <row r="673" ht="13.5" hidden="1" spans="1:5">
      <c r="A673" s="2" t="str">
        <f>"简文婷"</f>
        <v>简文婷</v>
      </c>
      <c r="B673" s="2" t="str">
        <f>"B20230601409"</f>
        <v>B20230601409</v>
      </c>
      <c r="C673" s="2" t="str">
        <f t="shared" si="147"/>
        <v>女</v>
      </c>
      <c r="D673" s="2" t="str">
        <f t="shared" si="145"/>
        <v>14</v>
      </c>
      <c r="E673" s="2" t="str">
        <f>"法学院"</f>
        <v>法学院</v>
      </c>
    </row>
    <row r="674" ht="13.5" hidden="1" spans="1:5">
      <c r="A674" s="2" t="str">
        <f>"张利军"</f>
        <v>张利军</v>
      </c>
      <c r="B674" s="2" t="str">
        <f>"B20200802317"</f>
        <v>B20200802317</v>
      </c>
      <c r="C674" s="2" t="str">
        <f t="shared" ref="C674:C676" si="148">"男"</f>
        <v>男</v>
      </c>
      <c r="D674" s="2" t="str">
        <f t="shared" si="145"/>
        <v>14</v>
      </c>
      <c r="E674" s="2" t="str">
        <f>"外国语学院"</f>
        <v>外国语学院</v>
      </c>
    </row>
    <row r="675" ht="13.5" hidden="1" spans="1:5">
      <c r="A675" s="2" t="str">
        <f>"龙溯"</f>
        <v>龙溯</v>
      </c>
      <c r="B675" s="2" t="str">
        <f>"B20210201317"</f>
        <v>B20210201317</v>
      </c>
      <c r="C675" s="2" t="str">
        <f t="shared" si="148"/>
        <v>男</v>
      </c>
      <c r="D675" s="2" t="str">
        <f t="shared" si="145"/>
        <v>14</v>
      </c>
      <c r="E675" s="2" t="str">
        <f>"机电工程学院"</f>
        <v>机电工程学院</v>
      </c>
    </row>
    <row r="676" ht="13.5" hidden="1" spans="1:5">
      <c r="A676" s="2" t="str">
        <f>"邓凯"</f>
        <v>邓凯</v>
      </c>
      <c r="B676" s="2" t="str">
        <f>"B20200102125"</f>
        <v>B20200102125</v>
      </c>
      <c r="C676" s="2" t="str">
        <f t="shared" si="148"/>
        <v>男</v>
      </c>
      <c r="D676" s="2" t="str">
        <f t="shared" si="145"/>
        <v>14</v>
      </c>
      <c r="E676" s="2" t="str">
        <f>"土木工程学院"</f>
        <v>土木工程学院</v>
      </c>
    </row>
    <row r="677" ht="13.5" hidden="1" spans="1:5">
      <c r="A677" s="2" t="str">
        <f>"邓娜"</f>
        <v>邓娜</v>
      </c>
      <c r="B677" s="2" t="str">
        <f>"B20220702324"</f>
        <v>B20220702324</v>
      </c>
      <c r="C677" s="2" t="str">
        <f>"女"</f>
        <v>女</v>
      </c>
      <c r="D677" s="2" t="str">
        <f t="shared" si="145"/>
        <v>14</v>
      </c>
      <c r="E677" s="2" t="str">
        <f>"马栏山新媒体学院"</f>
        <v>马栏山新媒体学院</v>
      </c>
    </row>
    <row r="678" ht="13.5" hidden="1" spans="1:5">
      <c r="A678" s="2" t="str">
        <f>"高路毅"</f>
        <v>高路毅</v>
      </c>
      <c r="B678" s="2" t="str">
        <f>"B20221302307"</f>
        <v>B20221302307</v>
      </c>
      <c r="C678" s="2" t="str">
        <f>"男"</f>
        <v>男</v>
      </c>
      <c r="D678" s="2" t="str">
        <f t="shared" si="145"/>
        <v>14</v>
      </c>
      <c r="E678" s="2" t="str">
        <f>"材料与环境工程学院"</f>
        <v>材料与环境工程学院</v>
      </c>
    </row>
    <row r="679" ht="13.5" hidden="1" spans="1:5">
      <c r="A679" s="2" t="str">
        <f>"卢潇潇"</f>
        <v>卢潇潇</v>
      </c>
      <c r="B679" s="2" t="str">
        <f>"B20200204233"</f>
        <v>B20200204233</v>
      </c>
      <c r="C679" s="2" t="str">
        <f>"男"</f>
        <v>男</v>
      </c>
      <c r="D679" s="2" t="str">
        <f t="shared" si="145"/>
        <v>14</v>
      </c>
      <c r="E679" s="2" t="str">
        <f>"机电工程学院"</f>
        <v>机电工程学院</v>
      </c>
    </row>
    <row r="680" ht="13.5" hidden="1" spans="1:5">
      <c r="A680" s="2" t="str">
        <f>"唐湘果"</f>
        <v>唐湘果</v>
      </c>
      <c r="B680" s="2" t="str">
        <f>"B20220403201"</f>
        <v>B20220403201</v>
      </c>
      <c r="C680" s="2" t="str">
        <f>"男"</f>
        <v>男</v>
      </c>
      <c r="D680" s="2" t="str">
        <f t="shared" si="145"/>
        <v>14</v>
      </c>
      <c r="E680" s="2" t="str">
        <f>"电子信息与电气工程学院"</f>
        <v>电子信息与电气工程学院</v>
      </c>
    </row>
    <row r="681" ht="13.5" hidden="1" spans="1:5">
      <c r="A681" s="2" t="str">
        <f>"朱睿安"</f>
        <v>朱睿安</v>
      </c>
      <c r="B681" s="2" t="str">
        <f>"B20210101506"</f>
        <v>B20210101506</v>
      </c>
      <c r="C681" s="2" t="str">
        <f>"男"</f>
        <v>男</v>
      </c>
      <c r="D681" s="2" t="str">
        <f t="shared" si="145"/>
        <v>14</v>
      </c>
      <c r="E681" s="2" t="str">
        <f>"土木工程学院"</f>
        <v>土木工程学院</v>
      </c>
    </row>
    <row r="682" ht="13.5" hidden="1" spans="1:5">
      <c r="A682" s="2" t="str">
        <f>"毛湘兰"</f>
        <v>毛湘兰</v>
      </c>
      <c r="B682" s="2" t="str">
        <f>"B20220101318"</f>
        <v>B20220101318</v>
      </c>
      <c r="C682" s="2" t="str">
        <f t="shared" ref="C682:C686" si="149">"女"</f>
        <v>女</v>
      </c>
      <c r="D682" s="2" t="str">
        <f t="shared" si="145"/>
        <v>14</v>
      </c>
      <c r="E682" s="2" t="str">
        <f>"土木工程学院"</f>
        <v>土木工程学院</v>
      </c>
    </row>
    <row r="683" ht="13.5" hidden="1" spans="1:5">
      <c r="A683" s="2" t="str">
        <f>"张可儿"</f>
        <v>张可儿</v>
      </c>
      <c r="B683" s="2" t="str">
        <f>"B20210702228"</f>
        <v>B20210702228</v>
      </c>
      <c r="C683" s="2" t="str">
        <f t="shared" si="149"/>
        <v>女</v>
      </c>
      <c r="D683" s="2" t="str">
        <f t="shared" si="145"/>
        <v>14</v>
      </c>
      <c r="E683" s="2" t="str">
        <f t="shared" ref="E683:E689" si="150">"马栏山新媒体学院"</f>
        <v>马栏山新媒体学院</v>
      </c>
    </row>
    <row r="684" ht="13.5" hidden="1" spans="1:5">
      <c r="A684" s="2" t="str">
        <f>"许红洋"</f>
        <v>许红洋</v>
      </c>
      <c r="B684" s="2" t="str">
        <f>"B20200501114"</f>
        <v>B20200501114</v>
      </c>
      <c r="C684" s="2" t="str">
        <f>"男"</f>
        <v>男</v>
      </c>
      <c r="D684" s="2" t="str">
        <f t="shared" si="145"/>
        <v>14</v>
      </c>
      <c r="E684" s="2" t="str">
        <f>"生物与环境工程学院"</f>
        <v>生物与环境工程学院</v>
      </c>
    </row>
    <row r="685" ht="13.5" hidden="1" spans="1:5">
      <c r="A685" s="2" t="str">
        <f>"黄雯雪"</f>
        <v>黄雯雪</v>
      </c>
      <c r="B685" s="2" t="str">
        <f>"B20230701430"</f>
        <v>B20230701430</v>
      </c>
      <c r="C685" s="2" t="str">
        <f t="shared" si="149"/>
        <v>女</v>
      </c>
      <c r="D685" s="2" t="str">
        <f t="shared" si="145"/>
        <v>14</v>
      </c>
      <c r="E685" s="2" t="str">
        <f t="shared" si="150"/>
        <v>马栏山新媒体学院</v>
      </c>
    </row>
    <row r="686" ht="13.5" hidden="1" spans="1:5">
      <c r="A686" s="2" t="str">
        <f>"刘瑶"</f>
        <v>刘瑶</v>
      </c>
      <c r="B686" s="2" t="str">
        <f>"B20210402229"</f>
        <v>B20210402229</v>
      </c>
      <c r="C686" s="2" t="str">
        <f t="shared" si="149"/>
        <v>女</v>
      </c>
      <c r="D686" s="2" t="str">
        <f t="shared" si="145"/>
        <v>14</v>
      </c>
      <c r="E686" s="2" t="str">
        <f>"电子信息与电气工程学院"</f>
        <v>电子信息与电气工程学院</v>
      </c>
    </row>
    <row r="687" ht="13.5" hidden="1" spans="1:5">
      <c r="A687" s="2" t="str">
        <f>"宋向洋"</f>
        <v>宋向洋</v>
      </c>
      <c r="B687" s="2" t="str">
        <f>"B20230201208"</f>
        <v>B20230201208</v>
      </c>
      <c r="C687" s="2" t="str">
        <f>"男"</f>
        <v>男</v>
      </c>
      <c r="D687" s="2" t="str">
        <f t="shared" si="145"/>
        <v>14</v>
      </c>
      <c r="E687" s="2" t="str">
        <f>"机电工程学院"</f>
        <v>机电工程学院</v>
      </c>
    </row>
    <row r="688" ht="13.5" hidden="1" spans="1:5">
      <c r="A688" s="2" t="str">
        <f>"郭娟芳"</f>
        <v>郭娟芳</v>
      </c>
      <c r="B688" s="2" t="str">
        <f>"B20220701426"</f>
        <v>B20220701426</v>
      </c>
      <c r="C688" s="2" t="str">
        <f>"女"</f>
        <v>女</v>
      </c>
      <c r="D688" s="2" t="str">
        <f t="shared" si="145"/>
        <v>14</v>
      </c>
      <c r="E688" s="2" t="str">
        <f t="shared" si="150"/>
        <v>马栏山新媒体学院</v>
      </c>
    </row>
    <row r="689" ht="13.5" hidden="1" spans="1:5">
      <c r="A689" s="2" t="str">
        <f>"潘楚然"</f>
        <v>潘楚然</v>
      </c>
      <c r="B689" s="2" t="str">
        <f>"B20200703416"</f>
        <v>B20200703416</v>
      </c>
      <c r="C689" s="2" t="str">
        <f>"女"</f>
        <v>女</v>
      </c>
      <c r="D689" s="2" t="str">
        <f t="shared" si="145"/>
        <v>14</v>
      </c>
      <c r="E689" s="2" t="str">
        <f t="shared" si="150"/>
        <v>马栏山新媒体学院</v>
      </c>
    </row>
    <row r="690" ht="13.5" hidden="1" spans="1:5">
      <c r="A690" s="2" t="str">
        <f>"何旺平"</f>
        <v>何旺平</v>
      </c>
      <c r="B690" s="2" t="str">
        <f>"B20230404120"</f>
        <v>B20230404120</v>
      </c>
      <c r="C690" s="2" t="str">
        <f>"男"</f>
        <v>男</v>
      </c>
      <c r="D690" s="2" t="str">
        <f t="shared" si="145"/>
        <v>14</v>
      </c>
      <c r="E690" s="2" t="str">
        <f>"电子信息与电气工程学院"</f>
        <v>电子信息与电气工程学院</v>
      </c>
    </row>
    <row r="691" ht="13.5" hidden="1" spans="1:5">
      <c r="A691" s="2" t="str">
        <f>"徐文郡"</f>
        <v>徐文郡</v>
      </c>
      <c r="B691" s="2" t="str">
        <f>"B20230702427"</f>
        <v>B20230702427</v>
      </c>
      <c r="C691" s="2" t="str">
        <f t="shared" ref="C690:C695" si="151">"女"</f>
        <v>女</v>
      </c>
      <c r="D691" s="2" t="str">
        <f t="shared" si="145"/>
        <v>14</v>
      </c>
      <c r="E691" s="2" t="str">
        <f t="shared" ref="E691:E696" si="152">"马栏山新媒体学院"</f>
        <v>马栏山新媒体学院</v>
      </c>
    </row>
    <row r="692" ht="13.5" hidden="1" spans="1:5">
      <c r="A692" s="2" t="str">
        <f>"朱瑶"</f>
        <v>朱瑶</v>
      </c>
      <c r="B692" s="2" t="str">
        <f>"B20230701201"</f>
        <v>B20230701201</v>
      </c>
      <c r="C692" s="2" t="str">
        <f t="shared" si="151"/>
        <v>女</v>
      </c>
      <c r="D692" s="2" t="str">
        <f t="shared" si="145"/>
        <v>14</v>
      </c>
      <c r="E692" s="2" t="str">
        <f t="shared" si="152"/>
        <v>马栏山新媒体学院</v>
      </c>
    </row>
    <row r="693" ht="13.5" hidden="1" spans="1:5">
      <c r="A693" s="2" t="str">
        <f>"张慧"</f>
        <v>张慧</v>
      </c>
      <c r="B693" s="2" t="str">
        <f>"B20210802113"</f>
        <v>B20210802113</v>
      </c>
      <c r="C693" s="2" t="str">
        <f t="shared" si="151"/>
        <v>女</v>
      </c>
      <c r="D693" s="2" t="str">
        <f t="shared" si="145"/>
        <v>14</v>
      </c>
      <c r="E693" s="2" t="str">
        <f t="shared" ref="E693:E697" si="153">"外国语学院"</f>
        <v>外国语学院</v>
      </c>
    </row>
    <row r="694" ht="13.5" hidden="1" spans="1:5">
      <c r="A694" s="2" t="str">
        <f>"王高莉"</f>
        <v>王高莉</v>
      </c>
      <c r="B694" s="2" t="str">
        <f>"B20200803111"</f>
        <v>B20200803111</v>
      </c>
      <c r="C694" s="2" t="str">
        <f t="shared" si="151"/>
        <v>女</v>
      </c>
      <c r="D694" s="2" t="str">
        <f t="shared" si="145"/>
        <v>14</v>
      </c>
      <c r="E694" s="2" t="str">
        <f t="shared" si="153"/>
        <v>外国语学院</v>
      </c>
    </row>
    <row r="695" ht="13.5" hidden="1" spans="1:5">
      <c r="A695" s="2" t="str">
        <f>"杨湘"</f>
        <v>杨湘</v>
      </c>
      <c r="B695" s="2" t="str">
        <f>"B20221111109"</f>
        <v>B20221111109</v>
      </c>
      <c r="C695" s="2" t="str">
        <f t="shared" si="151"/>
        <v>女</v>
      </c>
      <c r="D695" s="2" t="str">
        <f t="shared" si="145"/>
        <v>14</v>
      </c>
      <c r="E695" s="2" t="str">
        <f>"音乐学院"</f>
        <v>音乐学院</v>
      </c>
    </row>
    <row r="696" ht="13.5" hidden="1" spans="1:5">
      <c r="A696" s="2" t="str">
        <f>"肖泽晨"</f>
        <v>肖泽晨</v>
      </c>
      <c r="B696" s="2" t="str">
        <f>"B20200703414"</f>
        <v>B20200703414</v>
      </c>
      <c r="C696" s="2" t="str">
        <f>"男"</f>
        <v>男</v>
      </c>
      <c r="D696" s="2" t="str">
        <f t="shared" si="145"/>
        <v>14</v>
      </c>
      <c r="E696" s="2" t="str">
        <f t="shared" si="152"/>
        <v>马栏山新媒体学院</v>
      </c>
    </row>
    <row r="697" ht="13.5" hidden="1" spans="1:5">
      <c r="A697" s="2" t="str">
        <f>"彭思雨"</f>
        <v>彭思雨</v>
      </c>
      <c r="B697" s="2" t="str">
        <f>"B20230803112"</f>
        <v>B20230803112</v>
      </c>
      <c r="C697" s="2" t="str">
        <f>"女"</f>
        <v>女</v>
      </c>
      <c r="D697" s="2" t="str">
        <f t="shared" si="145"/>
        <v>14</v>
      </c>
      <c r="E697" s="2" t="str">
        <f t="shared" si="153"/>
        <v>外国语学院</v>
      </c>
    </row>
    <row r="698" ht="13.5" hidden="1" spans="1:5">
      <c r="A698" s="2" t="str">
        <f>"资滔韬"</f>
        <v>资滔韬</v>
      </c>
      <c r="B698" s="2" t="str">
        <f>"B20200504221"</f>
        <v>B20200504221</v>
      </c>
      <c r="C698" s="2" t="str">
        <f>"男"</f>
        <v>男</v>
      </c>
      <c r="D698" s="2" t="str">
        <f t="shared" si="145"/>
        <v>14</v>
      </c>
      <c r="E698" s="2" t="str">
        <f>"生物与环境工程学院"</f>
        <v>生物与环境工程学院</v>
      </c>
    </row>
    <row r="699" ht="13.5" hidden="1" spans="1:5">
      <c r="A699" s="2" t="str">
        <f>"谷丽萍"</f>
        <v>谷丽萍</v>
      </c>
      <c r="B699" s="2" t="str">
        <f>"B20210502216"</f>
        <v>B20210502216</v>
      </c>
      <c r="C699" s="2" t="str">
        <f>"女"</f>
        <v>女</v>
      </c>
      <c r="D699" s="2" t="str">
        <f t="shared" si="145"/>
        <v>14</v>
      </c>
      <c r="E699" s="2" t="str">
        <f>"电子信息与电气工程学院"</f>
        <v>电子信息与电气工程学院</v>
      </c>
    </row>
    <row r="700" ht="13.5" hidden="1" spans="1:5">
      <c r="A700" s="2" t="str">
        <f>"陈佩蓉"</f>
        <v>陈佩蓉</v>
      </c>
      <c r="B700" s="2" t="str">
        <f>"B20230704108"</f>
        <v>B20230704108</v>
      </c>
      <c r="C700" s="2" t="str">
        <f>"女"</f>
        <v>女</v>
      </c>
      <c r="D700" s="2" t="str">
        <f t="shared" ref="D700:D763" si="154">"14"</f>
        <v>14</v>
      </c>
      <c r="E700" s="2" t="str">
        <f>"马栏山新媒体学院"</f>
        <v>马栏山新媒体学院</v>
      </c>
    </row>
    <row r="701" ht="13.5" hidden="1" spans="1:5">
      <c r="A701" s="2" t="str">
        <f>"罗卓冉"</f>
        <v>罗卓冉</v>
      </c>
      <c r="B701" s="2" t="str">
        <f>"B20220702403"</f>
        <v>B20220702403</v>
      </c>
      <c r="C701" s="2" t="str">
        <f>"女"</f>
        <v>女</v>
      </c>
      <c r="D701" s="2" t="str">
        <f t="shared" si="154"/>
        <v>14</v>
      </c>
      <c r="E701" s="2" t="str">
        <f>"马栏山新媒体学院"</f>
        <v>马栏山新媒体学院</v>
      </c>
    </row>
    <row r="702" ht="13.5" hidden="1" spans="1:5">
      <c r="A702" s="2" t="str">
        <f>"毛月田"</f>
        <v>毛月田</v>
      </c>
      <c r="B702" s="2" t="str">
        <f>"B20220404132"</f>
        <v>B20220404132</v>
      </c>
      <c r="C702" s="2" t="str">
        <f t="shared" ref="C702:C705" si="155">"男"</f>
        <v>男</v>
      </c>
      <c r="D702" s="2" t="str">
        <f t="shared" si="154"/>
        <v>14</v>
      </c>
      <c r="E702" s="2" t="str">
        <f>"电子信息与电气工程学院"</f>
        <v>电子信息与电气工程学院</v>
      </c>
    </row>
    <row r="703" ht="13.5" hidden="1" spans="1:5">
      <c r="A703" s="2" t="str">
        <f>"刘海明"</f>
        <v>刘海明</v>
      </c>
      <c r="B703" s="2" t="str">
        <f>"B20230501113"</f>
        <v>B20230501113</v>
      </c>
      <c r="C703" s="2" t="str">
        <f t="shared" si="155"/>
        <v>男</v>
      </c>
      <c r="D703" s="2" t="str">
        <f t="shared" si="154"/>
        <v>14</v>
      </c>
      <c r="E703" s="2" t="str">
        <f>"生物与化学工程学院"</f>
        <v>生物与化学工程学院</v>
      </c>
    </row>
    <row r="704" ht="13.5" hidden="1" spans="1:5">
      <c r="A704" s="2" t="str">
        <f>"张享"</f>
        <v>张享</v>
      </c>
      <c r="B704" s="2" t="str">
        <f>"B20200101135"</f>
        <v>B20200101135</v>
      </c>
      <c r="C704" s="2" t="str">
        <f t="shared" si="155"/>
        <v>男</v>
      </c>
      <c r="D704" s="2" t="str">
        <f t="shared" si="154"/>
        <v>14</v>
      </c>
      <c r="E704" s="2" t="str">
        <f>"土木工程学院"</f>
        <v>土木工程学院</v>
      </c>
    </row>
    <row r="705" ht="13.5" hidden="1" spans="1:5">
      <c r="A705" s="2" t="str">
        <f>"张彪"</f>
        <v>张彪</v>
      </c>
      <c r="B705" s="2" t="str">
        <f>"B20200902210"</f>
        <v>B20200902210</v>
      </c>
      <c r="C705" s="2" t="str">
        <f t="shared" si="155"/>
        <v>男</v>
      </c>
      <c r="D705" s="2" t="str">
        <f t="shared" si="154"/>
        <v>14</v>
      </c>
      <c r="E705" s="2" t="str">
        <f>"经济与管理学院"</f>
        <v>经济与管理学院</v>
      </c>
    </row>
    <row r="706" ht="13.5" hidden="1" spans="1:5">
      <c r="A706" s="2" t="str">
        <f>"潘艺嘉"</f>
        <v>潘艺嘉</v>
      </c>
      <c r="B706" s="2" t="str">
        <f>"B20220801303"</f>
        <v>B20220801303</v>
      </c>
      <c r="C706" s="2" t="str">
        <f t="shared" ref="C706:C712" si="156">"女"</f>
        <v>女</v>
      </c>
      <c r="D706" s="2" t="str">
        <f t="shared" si="154"/>
        <v>14</v>
      </c>
      <c r="E706" s="2" t="str">
        <f>"外国语学院"</f>
        <v>外国语学院</v>
      </c>
    </row>
    <row r="707" ht="13.5" hidden="1" spans="1:5">
      <c r="A707" s="2" t="str">
        <f>"陈可歆"</f>
        <v>陈可歆</v>
      </c>
      <c r="B707" s="2" t="str">
        <f>"B20230703125"</f>
        <v>B20230703125</v>
      </c>
      <c r="C707" s="2" t="str">
        <f t="shared" si="156"/>
        <v>女</v>
      </c>
      <c r="D707" s="2" t="str">
        <f t="shared" si="154"/>
        <v>14</v>
      </c>
      <c r="E707" s="2" t="str">
        <f>"马栏山新媒体学院"</f>
        <v>马栏山新媒体学院</v>
      </c>
    </row>
    <row r="708" ht="13.5" hidden="1" spans="1:5">
      <c r="A708" s="2" t="str">
        <f>"刘锦波"</f>
        <v>刘锦波</v>
      </c>
      <c r="B708" s="2" t="str">
        <f>"B20210203208"</f>
        <v>B20210203208</v>
      </c>
      <c r="C708" s="2" t="str">
        <f>"男"</f>
        <v>男</v>
      </c>
      <c r="D708" s="2" t="str">
        <f t="shared" si="154"/>
        <v>14</v>
      </c>
      <c r="E708" s="2" t="str">
        <f>"机电工程学院"</f>
        <v>机电工程学院</v>
      </c>
    </row>
    <row r="709" ht="13.5" hidden="1" spans="1:5">
      <c r="A709" s="2" t="str">
        <f>"欧阳佳靓"</f>
        <v>欧阳佳靓</v>
      </c>
      <c r="B709" s="2" t="str">
        <f>"B20210801225"</f>
        <v>B20210801225</v>
      </c>
      <c r="C709" s="2" t="str">
        <f t="shared" si="156"/>
        <v>女</v>
      </c>
      <c r="D709" s="2" t="str">
        <f t="shared" si="154"/>
        <v>14</v>
      </c>
      <c r="E709" s="2" t="str">
        <f>"外国语学院"</f>
        <v>外国语学院</v>
      </c>
    </row>
    <row r="710" ht="13.5" hidden="1" spans="1:5">
      <c r="A710" s="2" t="str">
        <f>"朱雨欣"</f>
        <v>朱雨欣</v>
      </c>
      <c r="B710" s="2" t="str">
        <f>"B20220901127"</f>
        <v>B20220901127</v>
      </c>
      <c r="C710" s="2" t="str">
        <f t="shared" si="156"/>
        <v>女</v>
      </c>
      <c r="D710" s="2" t="str">
        <f t="shared" si="154"/>
        <v>14</v>
      </c>
      <c r="E710" s="2" t="str">
        <f>"经济与管理学院"</f>
        <v>经济与管理学院</v>
      </c>
    </row>
    <row r="711" ht="13.5" hidden="1" spans="1:5">
      <c r="A711" s="2" t="str">
        <f>"徐心怡"</f>
        <v>徐心怡</v>
      </c>
      <c r="B711" s="2" t="str">
        <f>"B20210504108"</f>
        <v>B20210504108</v>
      </c>
      <c r="C711" s="2" t="str">
        <f t="shared" si="156"/>
        <v>女</v>
      </c>
      <c r="D711" s="2" t="str">
        <f t="shared" si="154"/>
        <v>14</v>
      </c>
      <c r="E711" s="2" t="str">
        <f>"生物与化学工程学院"</f>
        <v>生物与化学工程学院</v>
      </c>
    </row>
    <row r="712" ht="13.5" hidden="1" spans="1:5">
      <c r="A712" s="2" t="str">
        <f>"王储蓉"</f>
        <v>王储蓉</v>
      </c>
      <c r="B712" s="2" t="str">
        <f>"B20220501102"</f>
        <v>B20220501102</v>
      </c>
      <c r="C712" s="2" t="str">
        <f t="shared" si="156"/>
        <v>女</v>
      </c>
      <c r="D712" s="2" t="str">
        <f t="shared" si="154"/>
        <v>14</v>
      </c>
      <c r="E712" s="2" t="str">
        <f>"生物与化学工程学院"</f>
        <v>生物与化学工程学院</v>
      </c>
    </row>
    <row r="713" ht="13.5" hidden="1" spans="1:5">
      <c r="A713" s="2" t="str">
        <f>"旷志"</f>
        <v>旷志</v>
      </c>
      <c r="B713" s="2" t="str">
        <f>"B20200501204"</f>
        <v>B20200501204</v>
      </c>
      <c r="C713" s="2" t="str">
        <f t="shared" ref="C713:C719" si="157">"男"</f>
        <v>男</v>
      </c>
      <c r="D713" s="2" t="str">
        <f t="shared" si="154"/>
        <v>14</v>
      </c>
      <c r="E713" s="2" t="str">
        <f>"生物与环境工程学院"</f>
        <v>生物与环境工程学院</v>
      </c>
    </row>
    <row r="714" ht="13.5" hidden="1" spans="1:5">
      <c r="A714" s="2" t="str">
        <f>"何盼"</f>
        <v>何盼</v>
      </c>
      <c r="B714" s="2" t="str">
        <f>"B20230701311"</f>
        <v>B20230701311</v>
      </c>
      <c r="C714" s="2" t="str">
        <f t="shared" ref="C714:C717" si="158">"女"</f>
        <v>女</v>
      </c>
      <c r="D714" s="2" t="str">
        <f t="shared" si="154"/>
        <v>14</v>
      </c>
      <c r="E714" s="2" t="str">
        <f>"马栏山新媒体学院"</f>
        <v>马栏山新媒体学院</v>
      </c>
    </row>
    <row r="715" ht="13.5" hidden="1" spans="1:5">
      <c r="A715" s="2" t="str">
        <f>"万国涛"</f>
        <v>万国涛</v>
      </c>
      <c r="B715" s="2" t="str">
        <f>"B20200505230"</f>
        <v>B20200505230</v>
      </c>
      <c r="C715" s="2" t="str">
        <f t="shared" si="157"/>
        <v>男</v>
      </c>
      <c r="D715" s="2" t="str">
        <f t="shared" si="154"/>
        <v>14</v>
      </c>
      <c r="E715" s="2" t="str">
        <f>"生物与环境工程学院"</f>
        <v>生物与环境工程学院</v>
      </c>
    </row>
    <row r="716" ht="13.5" hidden="1" spans="1:5">
      <c r="A716" s="2" t="str">
        <f>"文羽"</f>
        <v>文羽</v>
      </c>
      <c r="B716" s="2" t="str">
        <f>"B20210601329"</f>
        <v>B20210601329</v>
      </c>
      <c r="C716" s="2" t="str">
        <f t="shared" si="158"/>
        <v>女</v>
      </c>
      <c r="D716" s="2" t="str">
        <f t="shared" si="154"/>
        <v>14</v>
      </c>
      <c r="E716" s="2" t="str">
        <f>"法学院"</f>
        <v>法学院</v>
      </c>
    </row>
    <row r="717" ht="13.5" hidden="1" spans="1:5">
      <c r="A717" s="2" t="str">
        <f>"段瀚婷"</f>
        <v>段瀚婷</v>
      </c>
      <c r="B717" s="2" t="str">
        <f>"B20230701225"</f>
        <v>B20230701225</v>
      </c>
      <c r="C717" s="2" t="str">
        <f t="shared" si="158"/>
        <v>女</v>
      </c>
      <c r="D717" s="2" t="str">
        <f t="shared" si="154"/>
        <v>14</v>
      </c>
      <c r="E717" s="2" t="str">
        <f>"马栏山新媒体学院"</f>
        <v>马栏山新媒体学院</v>
      </c>
    </row>
    <row r="718" ht="13.5" hidden="1" spans="1:5">
      <c r="A718" s="2" t="str">
        <f>"杨飞洋"</f>
        <v>杨飞洋</v>
      </c>
      <c r="B718" s="2" t="str">
        <f>"B20200906140"</f>
        <v>B20200906140</v>
      </c>
      <c r="C718" s="2" t="str">
        <f t="shared" si="157"/>
        <v>男</v>
      </c>
      <c r="D718" s="2" t="str">
        <f t="shared" si="154"/>
        <v>14</v>
      </c>
      <c r="E718" s="2" t="str">
        <f t="shared" ref="E718:E721" si="159">"经济与管理学院"</f>
        <v>经济与管理学院</v>
      </c>
    </row>
    <row r="719" ht="13.5" hidden="1" spans="1:5">
      <c r="A719" s="2" t="str">
        <f>"李鸿逸"</f>
        <v>李鸿逸</v>
      </c>
      <c r="B719" s="2" t="str">
        <f>"B20200404201"</f>
        <v>B20200404201</v>
      </c>
      <c r="C719" s="2" t="str">
        <f t="shared" si="157"/>
        <v>男</v>
      </c>
      <c r="D719" s="2" t="str">
        <f t="shared" si="154"/>
        <v>14</v>
      </c>
      <c r="E719" s="2" t="str">
        <f>"电子信息与电气工程学院"</f>
        <v>电子信息与电气工程学院</v>
      </c>
    </row>
    <row r="720" ht="13.5" hidden="1" spans="1:5">
      <c r="A720" s="2" t="str">
        <f>"林可"</f>
        <v>林可</v>
      </c>
      <c r="B720" s="2" t="str">
        <f>"B20220904114"</f>
        <v>B20220904114</v>
      </c>
      <c r="C720" s="2" t="str">
        <f t="shared" ref="C720:C723" si="160">"女"</f>
        <v>女</v>
      </c>
      <c r="D720" s="2" t="str">
        <f t="shared" si="154"/>
        <v>14</v>
      </c>
      <c r="E720" s="2" t="str">
        <f t="shared" si="159"/>
        <v>经济与管理学院</v>
      </c>
    </row>
    <row r="721" ht="13.5" hidden="1" spans="1:5">
      <c r="A721" s="2" t="str">
        <f>"梁博祺"</f>
        <v>梁博祺</v>
      </c>
      <c r="B721" s="2" t="str">
        <f>"B20230901212"</f>
        <v>B20230901212</v>
      </c>
      <c r="C721" s="2" t="str">
        <f>"男"</f>
        <v>男</v>
      </c>
      <c r="D721" s="2" t="str">
        <f t="shared" si="154"/>
        <v>14</v>
      </c>
      <c r="E721" s="2" t="str">
        <f t="shared" si="159"/>
        <v>经济与管理学院</v>
      </c>
    </row>
    <row r="722" ht="13.5" hidden="1" spans="1:5">
      <c r="A722" s="2" t="str">
        <f>"何思宇"</f>
        <v>何思宇</v>
      </c>
      <c r="B722" s="2" t="str">
        <f>"B20230504104"</f>
        <v>B20230504104</v>
      </c>
      <c r="C722" s="2" t="str">
        <f t="shared" si="160"/>
        <v>女</v>
      </c>
      <c r="D722" s="2" t="str">
        <f t="shared" si="154"/>
        <v>14</v>
      </c>
      <c r="E722" s="2" t="str">
        <f>"生物与化学工程学院"</f>
        <v>生物与化学工程学院</v>
      </c>
    </row>
    <row r="723" ht="13.5" hidden="1" spans="1:5">
      <c r="A723" s="2" t="str">
        <f>"朱佳淇"</f>
        <v>朱佳淇</v>
      </c>
      <c r="B723" s="2" t="str">
        <f>"B20230803203"</f>
        <v>B20230803203</v>
      </c>
      <c r="C723" s="2" t="str">
        <f t="shared" si="160"/>
        <v>女</v>
      </c>
      <c r="D723" s="2" t="str">
        <f t="shared" si="154"/>
        <v>14</v>
      </c>
      <c r="E723" s="2" t="str">
        <f>"外国语学院"</f>
        <v>外国语学院</v>
      </c>
    </row>
    <row r="724" ht="13.5" hidden="1" spans="1:5">
      <c r="A724" s="2" t="str">
        <f>"张棚"</f>
        <v>张棚</v>
      </c>
      <c r="B724" s="2" t="str">
        <f>"B20201111117"</f>
        <v>B20201111117</v>
      </c>
      <c r="C724" s="2" t="str">
        <f>"男"</f>
        <v>男</v>
      </c>
      <c r="D724" s="2" t="str">
        <f t="shared" si="154"/>
        <v>14</v>
      </c>
      <c r="E724" s="2" t="str">
        <f>"音乐学院"</f>
        <v>音乐学院</v>
      </c>
    </row>
    <row r="725" ht="13.5" hidden="1" spans="1:5">
      <c r="A725" s="2" t="str">
        <f>"熊嘉仪"</f>
        <v>熊嘉仪</v>
      </c>
      <c r="B725" s="2" t="str">
        <f>"B20230904309"</f>
        <v>B20230904309</v>
      </c>
      <c r="C725" s="2" t="str">
        <f>"女"</f>
        <v>女</v>
      </c>
      <c r="D725" s="2" t="str">
        <f t="shared" si="154"/>
        <v>14</v>
      </c>
      <c r="E725" s="2" t="str">
        <f>"经济与管理学院"</f>
        <v>经济与管理学院</v>
      </c>
    </row>
    <row r="726" ht="13.5" hidden="1" spans="1:5">
      <c r="A726" s="2" t="str">
        <f>"穆仁红"</f>
        <v>穆仁红</v>
      </c>
      <c r="B726" s="2" t="str">
        <f>"B20201101103"</f>
        <v>B20201101103</v>
      </c>
      <c r="C726" s="2" t="str">
        <f>"女"</f>
        <v>女</v>
      </c>
      <c r="D726" s="2" t="str">
        <f t="shared" si="154"/>
        <v>14</v>
      </c>
      <c r="E726" s="2" t="str">
        <f>"音乐学院"</f>
        <v>音乐学院</v>
      </c>
    </row>
    <row r="727" ht="13.5" hidden="1" spans="1:5">
      <c r="A727" s="2" t="str">
        <f>"郭菀昕"</f>
        <v>郭菀昕</v>
      </c>
      <c r="B727" s="2" t="str">
        <f>"B20200801416"</f>
        <v>B20200801416</v>
      </c>
      <c r="C727" s="2" t="str">
        <f>"女"</f>
        <v>女</v>
      </c>
      <c r="D727" s="2" t="str">
        <f t="shared" si="154"/>
        <v>14</v>
      </c>
      <c r="E727" s="2" t="str">
        <f>"马栏山新媒体学院"</f>
        <v>马栏山新媒体学院</v>
      </c>
    </row>
    <row r="728" ht="13.5" hidden="1" spans="1:5">
      <c r="A728" s="2" t="str">
        <f>"田泽龙"</f>
        <v>田泽龙</v>
      </c>
      <c r="B728" s="2" t="str">
        <f>"B20200101605"</f>
        <v>B20200101605</v>
      </c>
      <c r="C728" s="2" t="str">
        <f>"男"</f>
        <v>男</v>
      </c>
      <c r="D728" s="2" t="str">
        <f t="shared" si="154"/>
        <v>14</v>
      </c>
      <c r="E728" s="2" t="str">
        <f>"土木工程学院"</f>
        <v>土木工程学院</v>
      </c>
    </row>
    <row r="729" ht="13.5" hidden="1" spans="1:5">
      <c r="A729" s="2" t="str">
        <f>"张赫喆"</f>
        <v>张赫喆</v>
      </c>
      <c r="B729" s="2" t="str">
        <f>"B20230201332"</f>
        <v>B20230201332</v>
      </c>
      <c r="C729" s="2" t="str">
        <f>"男"</f>
        <v>男</v>
      </c>
      <c r="D729" s="2" t="str">
        <f t="shared" si="154"/>
        <v>14</v>
      </c>
      <c r="E729" s="2" t="str">
        <f>"机电工程学院"</f>
        <v>机电工程学院</v>
      </c>
    </row>
    <row r="730" ht="13.5" hidden="1" spans="1:5">
      <c r="A730" s="2" t="str">
        <f>"邓芷蓉"</f>
        <v>邓芷蓉</v>
      </c>
      <c r="B730" s="2" t="str">
        <f>"B20230802101"</f>
        <v>B20230802101</v>
      </c>
      <c r="C730" s="2" t="str">
        <f t="shared" ref="C730:C734" si="161">"女"</f>
        <v>女</v>
      </c>
      <c r="D730" s="2" t="str">
        <f t="shared" si="154"/>
        <v>14</v>
      </c>
      <c r="E730" s="2" t="str">
        <f>"外国语学院"</f>
        <v>外国语学院</v>
      </c>
    </row>
    <row r="731" ht="13.5" hidden="1" spans="1:5">
      <c r="A731" s="2" t="str">
        <f>"阳宇轩"</f>
        <v>阳宇轩</v>
      </c>
      <c r="B731" s="2" t="str">
        <f>"B20210906202"</f>
        <v>B20210906202</v>
      </c>
      <c r="C731" s="2" t="str">
        <f t="shared" ref="C731:C735" si="162">"男"</f>
        <v>男</v>
      </c>
      <c r="D731" s="2" t="str">
        <f t="shared" si="154"/>
        <v>14</v>
      </c>
      <c r="E731" s="2" t="str">
        <f>"经济与管理学院"</f>
        <v>经济与管理学院</v>
      </c>
    </row>
    <row r="732" ht="13.5" hidden="1" spans="1:5">
      <c r="A732" s="2" t="str">
        <f>"赵冰冰"</f>
        <v>赵冰冰</v>
      </c>
      <c r="B732" s="2" t="str">
        <f>"B20201002414"</f>
        <v>B20201002414</v>
      </c>
      <c r="C732" s="2" t="str">
        <f t="shared" si="161"/>
        <v>女</v>
      </c>
      <c r="D732" s="2" t="str">
        <f t="shared" si="154"/>
        <v>14</v>
      </c>
      <c r="E732" s="2" t="str">
        <f>"艺术设计学院"</f>
        <v>艺术设计学院</v>
      </c>
    </row>
    <row r="733" ht="13.5" hidden="1" spans="1:5">
      <c r="A733" s="2" t="str">
        <f>"周子植"</f>
        <v>周子植</v>
      </c>
      <c r="B733" s="2" t="str">
        <f>"B20200101316"</f>
        <v>B20200101316</v>
      </c>
      <c r="C733" s="2" t="str">
        <f t="shared" si="162"/>
        <v>男</v>
      </c>
      <c r="D733" s="2" t="str">
        <f t="shared" si="154"/>
        <v>14</v>
      </c>
      <c r="E733" s="2" t="str">
        <f>"土木工程学院"</f>
        <v>土木工程学院</v>
      </c>
    </row>
    <row r="734" ht="13.5" hidden="1" spans="1:5">
      <c r="A734" s="2" t="str">
        <f>"蒋凤"</f>
        <v>蒋凤</v>
      </c>
      <c r="B734" s="2" t="str">
        <f>"B20200601311"</f>
        <v>B20200601311</v>
      </c>
      <c r="C734" s="2" t="str">
        <f t="shared" si="161"/>
        <v>女</v>
      </c>
      <c r="D734" s="2" t="str">
        <f t="shared" si="154"/>
        <v>14</v>
      </c>
      <c r="E734" s="2" t="str">
        <f>"法学院"</f>
        <v>法学院</v>
      </c>
    </row>
    <row r="735" ht="13.5" hidden="1" spans="1:5">
      <c r="A735" s="2" t="str">
        <f>"刘锦东"</f>
        <v>刘锦东</v>
      </c>
      <c r="B735" s="2" t="str">
        <f>"B20230504417"</f>
        <v>B20230504417</v>
      </c>
      <c r="C735" s="2" t="str">
        <f t="shared" si="162"/>
        <v>男</v>
      </c>
      <c r="D735" s="2" t="str">
        <f t="shared" si="154"/>
        <v>14</v>
      </c>
      <c r="E735" s="2" t="str">
        <f>"生物与化学工程学院"</f>
        <v>生物与化学工程学院</v>
      </c>
    </row>
    <row r="736" ht="13.5" hidden="1" spans="1:5">
      <c r="A736" s="2" t="str">
        <f>"高蓓"</f>
        <v>高蓓</v>
      </c>
      <c r="B736" s="2" t="str">
        <f>"B20230701122"</f>
        <v>B20230701122</v>
      </c>
      <c r="C736" s="2" t="str">
        <f>"女"</f>
        <v>女</v>
      </c>
      <c r="D736" s="2" t="str">
        <f t="shared" si="154"/>
        <v>14</v>
      </c>
      <c r="E736" s="2" t="str">
        <f>"马栏山新媒体学院"</f>
        <v>马栏山新媒体学院</v>
      </c>
    </row>
    <row r="737" ht="13.5" hidden="1" spans="1:5">
      <c r="A737" s="2" t="str">
        <f>"李孟婷"</f>
        <v>李孟婷</v>
      </c>
      <c r="B737" s="2" t="str">
        <f>"B20230504105"</f>
        <v>B20230504105</v>
      </c>
      <c r="C737" s="2" t="str">
        <f>"女"</f>
        <v>女</v>
      </c>
      <c r="D737" s="2" t="str">
        <f t="shared" si="154"/>
        <v>14</v>
      </c>
      <c r="E737" s="2" t="str">
        <f>"生物与化学工程学院"</f>
        <v>生物与化学工程学院</v>
      </c>
    </row>
    <row r="738" ht="13.5" hidden="1" spans="1:5">
      <c r="A738" s="2" t="str">
        <f>"黄佳倍"</f>
        <v>黄佳倍</v>
      </c>
      <c r="B738" s="2" t="str">
        <f>"B20220701407"</f>
        <v>B20220701407</v>
      </c>
      <c r="C738" s="2" t="str">
        <f>"女"</f>
        <v>女</v>
      </c>
      <c r="D738" s="2" t="str">
        <f t="shared" si="154"/>
        <v>14</v>
      </c>
      <c r="E738" s="2" t="str">
        <f>"马栏山新媒体学院"</f>
        <v>马栏山新媒体学院</v>
      </c>
    </row>
    <row r="739" ht="13.5" hidden="1" spans="1:5">
      <c r="A739" s="2" t="str">
        <f>"单晴暄"</f>
        <v>单晴暄</v>
      </c>
      <c r="B739" s="2" t="str">
        <f>"B20230904102"</f>
        <v>B20230904102</v>
      </c>
      <c r="C739" s="2" t="str">
        <f>"女"</f>
        <v>女</v>
      </c>
      <c r="D739" s="2" t="str">
        <f t="shared" si="154"/>
        <v>14</v>
      </c>
      <c r="E739" s="2" t="str">
        <f>"经济与管理学院"</f>
        <v>经济与管理学院</v>
      </c>
    </row>
    <row r="740" ht="13.5" hidden="1" spans="1:5">
      <c r="A740" s="2" t="str">
        <f>"许淮铭"</f>
        <v>许淮铭</v>
      </c>
      <c r="B740" s="2" t="str">
        <f>"B20201002325"</f>
        <v>B20201002325</v>
      </c>
      <c r="C740" s="2" t="str">
        <f>"男"</f>
        <v>男</v>
      </c>
      <c r="D740" s="2" t="str">
        <f t="shared" si="154"/>
        <v>14</v>
      </c>
      <c r="E740" s="2" t="str">
        <f>"艺术设计学院"</f>
        <v>艺术设计学院</v>
      </c>
    </row>
    <row r="741" ht="13.5" hidden="1" spans="1:5">
      <c r="A741" s="2" t="str">
        <f>"毛海梅"</f>
        <v>毛海梅</v>
      </c>
      <c r="B741" s="2" t="str">
        <f>"B20210904313"</f>
        <v>B20210904313</v>
      </c>
      <c r="C741" s="2" t="str">
        <f>"女"</f>
        <v>女</v>
      </c>
      <c r="D741" s="2" t="str">
        <f t="shared" si="154"/>
        <v>14</v>
      </c>
      <c r="E741" s="2" t="str">
        <f>"经济与管理学院"</f>
        <v>经济与管理学院</v>
      </c>
    </row>
    <row r="742" ht="13.5" hidden="1" spans="1:5">
      <c r="A742" s="2" t="str">
        <f>"李雨晴"</f>
        <v>李雨晴</v>
      </c>
      <c r="B742" s="2" t="str">
        <f>"B20200801207"</f>
        <v>B20200801207</v>
      </c>
      <c r="C742" s="2" t="str">
        <f>"女"</f>
        <v>女</v>
      </c>
      <c r="D742" s="2" t="str">
        <f t="shared" si="154"/>
        <v>14</v>
      </c>
      <c r="E742" s="2" t="str">
        <f>"外国语学院"</f>
        <v>外国语学院</v>
      </c>
    </row>
    <row r="743" ht="13.5" hidden="1" spans="1:5">
      <c r="A743" s="2" t="str">
        <f>"单嘉彩"</f>
        <v>单嘉彩</v>
      </c>
      <c r="B743" s="2" t="str">
        <f>"B20200703105"</f>
        <v>B20200703105</v>
      </c>
      <c r="C743" s="2" t="str">
        <f>"女"</f>
        <v>女</v>
      </c>
      <c r="D743" s="2" t="str">
        <f t="shared" si="154"/>
        <v>14</v>
      </c>
      <c r="E743" s="2" t="str">
        <f>"马栏山新媒体学院"</f>
        <v>马栏山新媒体学院</v>
      </c>
    </row>
    <row r="744" ht="13.5" hidden="1" spans="1:5">
      <c r="A744" s="2" t="str">
        <f>"吕志怡"</f>
        <v>吕志怡</v>
      </c>
      <c r="B744" s="2" t="str">
        <f>"B20180402225"</f>
        <v>B20180402225</v>
      </c>
      <c r="C744" s="2" t="str">
        <f t="shared" ref="C744:C746" si="163">"男"</f>
        <v>男</v>
      </c>
      <c r="D744" s="2" t="str">
        <f t="shared" si="154"/>
        <v>14</v>
      </c>
      <c r="E744" s="2" t="str">
        <f>"电子信息与电气工程学院"</f>
        <v>电子信息与电气工程学院</v>
      </c>
    </row>
    <row r="745" ht="13.5" hidden="1" spans="1:5">
      <c r="A745" s="2" t="str">
        <f>"唐烨程"</f>
        <v>唐烨程</v>
      </c>
      <c r="B745" s="2" t="str">
        <f>"B20230401114"</f>
        <v>B20230401114</v>
      </c>
      <c r="C745" s="2" t="str">
        <f t="shared" si="163"/>
        <v>男</v>
      </c>
      <c r="D745" s="2" t="str">
        <f t="shared" si="154"/>
        <v>14</v>
      </c>
      <c r="E745" s="2" t="str">
        <f>"电子信息与电气工程学院"</f>
        <v>电子信息与电气工程学院</v>
      </c>
    </row>
    <row r="746" ht="13.5" hidden="1" spans="1:5">
      <c r="A746" s="2" t="str">
        <f>"欧名兴"</f>
        <v>欧名兴</v>
      </c>
      <c r="B746" s="2" t="str">
        <f>"B20210204225"</f>
        <v>B20210204225</v>
      </c>
      <c r="C746" s="2" t="str">
        <f t="shared" si="163"/>
        <v>男</v>
      </c>
      <c r="D746" s="2" t="str">
        <f t="shared" si="154"/>
        <v>14</v>
      </c>
      <c r="E746" s="2" t="str">
        <f>"机电工程学院"</f>
        <v>机电工程学院</v>
      </c>
    </row>
    <row r="747" ht="13.5" hidden="1" spans="1:5">
      <c r="A747" s="2" t="str">
        <f>"傅奕菲"</f>
        <v>傅奕菲</v>
      </c>
      <c r="B747" s="2" t="str">
        <f>"B20211003101"</f>
        <v>B20211003101</v>
      </c>
      <c r="C747" s="2" t="str">
        <f>"女"</f>
        <v>女</v>
      </c>
      <c r="D747" s="2" t="str">
        <f t="shared" si="154"/>
        <v>14</v>
      </c>
      <c r="E747" s="2" t="str">
        <f>"艺术设计学院"</f>
        <v>艺术设计学院</v>
      </c>
    </row>
    <row r="748" ht="13.5" hidden="1" spans="1:5">
      <c r="A748" s="2" t="str">
        <f>"蒋子健"</f>
        <v>蒋子健</v>
      </c>
      <c r="B748" s="2" t="str">
        <f>"B20210201221"</f>
        <v>B20210201221</v>
      </c>
      <c r="C748" s="2" t="str">
        <f>"男"</f>
        <v>男</v>
      </c>
      <c r="D748" s="2" t="str">
        <f t="shared" si="154"/>
        <v>14</v>
      </c>
      <c r="E748" s="2" t="str">
        <f>"机电工程学院"</f>
        <v>机电工程学院</v>
      </c>
    </row>
    <row r="749" ht="13.5" hidden="1" spans="1:5">
      <c r="A749" s="2" t="str">
        <f>"陈祺翔"</f>
        <v>陈祺翔</v>
      </c>
      <c r="B749" s="2" t="str">
        <f>"B20230201333"</f>
        <v>B20230201333</v>
      </c>
      <c r="C749" s="2" t="str">
        <f>"男"</f>
        <v>男</v>
      </c>
      <c r="D749" s="2" t="str">
        <f t="shared" si="154"/>
        <v>14</v>
      </c>
      <c r="E749" s="2" t="str">
        <f>"机电工程学院"</f>
        <v>机电工程学院</v>
      </c>
    </row>
    <row r="750" ht="13.5" hidden="1" spans="1:5">
      <c r="A750" s="2" t="str">
        <f>"秦敬春"</f>
        <v>秦敬春</v>
      </c>
      <c r="B750" s="2" t="str">
        <f>"B20160703111"</f>
        <v>B20160703111</v>
      </c>
      <c r="C750" s="2" t="str">
        <f>"女"</f>
        <v>女</v>
      </c>
      <c r="D750" s="2" t="str">
        <f t="shared" si="154"/>
        <v>14</v>
      </c>
      <c r="E750" s="2" t="str">
        <f>"马栏山新媒体学院"</f>
        <v>马栏山新媒体学院</v>
      </c>
    </row>
    <row r="751" ht="13.5" hidden="1" spans="1:5">
      <c r="A751" s="2" t="str">
        <f>"沈燏超"</f>
        <v>沈燏超</v>
      </c>
      <c r="B751" s="2" t="str">
        <f>"B20220801102"</f>
        <v>B20220801102</v>
      </c>
      <c r="C751" s="2" t="str">
        <f>"男"</f>
        <v>男</v>
      </c>
      <c r="D751" s="2" t="str">
        <f t="shared" si="154"/>
        <v>14</v>
      </c>
      <c r="E751" s="2" t="str">
        <f>"外国语学院"</f>
        <v>外国语学院</v>
      </c>
    </row>
    <row r="752" ht="13.5" hidden="1" spans="1:5">
      <c r="A752" s="2" t="str">
        <f>"刘旭华"</f>
        <v>刘旭华</v>
      </c>
      <c r="B752" s="2" t="str">
        <f>"B20220705126"</f>
        <v>B20220705126</v>
      </c>
      <c r="C752" s="2" t="str">
        <f>"女"</f>
        <v>女</v>
      </c>
      <c r="D752" s="2" t="str">
        <f t="shared" si="154"/>
        <v>14</v>
      </c>
      <c r="E752" s="2" t="str">
        <f>"马栏山新媒体学院"</f>
        <v>马栏山新媒体学院</v>
      </c>
    </row>
    <row r="753" ht="13.5" hidden="1" spans="1:5">
      <c r="A753" s="2" t="str">
        <f>"吴淇强"</f>
        <v>吴淇强</v>
      </c>
      <c r="B753" s="2" t="str">
        <f>"B20210402212"</f>
        <v>B20210402212</v>
      </c>
      <c r="C753" s="2" t="str">
        <f>"男"</f>
        <v>男</v>
      </c>
      <c r="D753" s="2" t="str">
        <f t="shared" si="154"/>
        <v>14</v>
      </c>
      <c r="E753" s="2" t="str">
        <f>"电子信息与电气工程学院"</f>
        <v>电子信息与电气工程学院</v>
      </c>
    </row>
    <row r="754" ht="13.5" hidden="1" spans="1:5">
      <c r="A754" s="2" t="str">
        <f>"李佳立"</f>
        <v>李佳立</v>
      </c>
      <c r="B754" s="2" t="str">
        <f>"B20210901144"</f>
        <v>B20210901144</v>
      </c>
      <c r="C754" s="2" t="str">
        <f t="shared" ref="C754:C760" si="164">"女"</f>
        <v>女</v>
      </c>
      <c r="D754" s="2" t="str">
        <f t="shared" si="154"/>
        <v>14</v>
      </c>
      <c r="E754" s="2" t="str">
        <f>"经济与管理学院"</f>
        <v>经济与管理学院</v>
      </c>
    </row>
    <row r="755" ht="13.5" hidden="1" spans="1:5">
      <c r="A755" s="2" t="str">
        <f>"冯嘉敏"</f>
        <v>冯嘉敏</v>
      </c>
      <c r="B755" s="2" t="str">
        <f>"B20230904110"</f>
        <v>B20230904110</v>
      </c>
      <c r="C755" s="2" t="str">
        <f t="shared" si="164"/>
        <v>女</v>
      </c>
      <c r="D755" s="2" t="str">
        <f t="shared" si="154"/>
        <v>14</v>
      </c>
      <c r="E755" s="2" t="str">
        <f>"经济与管理学院"</f>
        <v>经济与管理学院</v>
      </c>
    </row>
    <row r="756" ht="13.5" hidden="1" spans="1:5">
      <c r="A756" s="2" t="str">
        <f>"李优"</f>
        <v>李优</v>
      </c>
      <c r="B756" s="2" t="str">
        <f>"B20230801128"</f>
        <v>B20230801128</v>
      </c>
      <c r="C756" s="2" t="str">
        <f t="shared" si="164"/>
        <v>女</v>
      </c>
      <c r="D756" s="2" t="str">
        <f t="shared" si="154"/>
        <v>14</v>
      </c>
      <c r="E756" s="2" t="str">
        <f>"外国语学院"</f>
        <v>外国语学院</v>
      </c>
    </row>
    <row r="757" ht="13.5" hidden="1" spans="1:5">
      <c r="A757" s="2" t="str">
        <f>"李岳琪"</f>
        <v>李岳琪</v>
      </c>
      <c r="B757" s="2" t="str">
        <f>"B20230801224"</f>
        <v>B20230801224</v>
      </c>
      <c r="C757" s="2" t="str">
        <f t="shared" si="164"/>
        <v>女</v>
      </c>
      <c r="D757" s="2" t="str">
        <f t="shared" si="154"/>
        <v>14</v>
      </c>
      <c r="E757" s="2" t="str">
        <f>"外国语学院"</f>
        <v>外国语学院</v>
      </c>
    </row>
    <row r="758" ht="13.5" hidden="1" spans="1:5">
      <c r="A758" s="2" t="str">
        <f>"谢昕彤"</f>
        <v>谢昕彤</v>
      </c>
      <c r="B758" s="2" t="str">
        <f>"B20230701133"</f>
        <v>B20230701133</v>
      </c>
      <c r="C758" s="2" t="str">
        <f t="shared" si="164"/>
        <v>女</v>
      </c>
      <c r="D758" s="2" t="str">
        <f t="shared" si="154"/>
        <v>14</v>
      </c>
      <c r="E758" s="2" t="str">
        <f>"马栏山新媒体学院"</f>
        <v>马栏山新媒体学院</v>
      </c>
    </row>
    <row r="759" ht="13.5" hidden="1" spans="1:5">
      <c r="A759" s="2" t="str">
        <f>"兰诗涵"</f>
        <v>兰诗涵</v>
      </c>
      <c r="B759" s="2" t="str">
        <f>"B20201001301"</f>
        <v>B20201001301</v>
      </c>
      <c r="C759" s="2" t="str">
        <f t="shared" si="164"/>
        <v>女</v>
      </c>
      <c r="D759" s="2" t="str">
        <f t="shared" si="154"/>
        <v>14</v>
      </c>
      <c r="E759" s="2" t="str">
        <f>"艺术设计学院"</f>
        <v>艺术设计学院</v>
      </c>
    </row>
    <row r="760" ht="13.5" hidden="1" spans="1:5">
      <c r="A760" s="2" t="str">
        <f>"刘骁岚"</f>
        <v>刘骁岚</v>
      </c>
      <c r="B760" s="2" t="str">
        <f>"B20221111221"</f>
        <v>B20221111221</v>
      </c>
      <c r="C760" s="2" t="str">
        <f t="shared" si="164"/>
        <v>女</v>
      </c>
      <c r="D760" s="2" t="str">
        <f t="shared" si="154"/>
        <v>14</v>
      </c>
      <c r="E760" s="2" t="str">
        <f>"音乐学院"</f>
        <v>音乐学院</v>
      </c>
    </row>
    <row r="761" ht="13.5" hidden="1" spans="1:5">
      <c r="A761" s="2" t="str">
        <f>"龙邵华"</f>
        <v>龙邵华</v>
      </c>
      <c r="B761" s="2" t="str">
        <f>"B20200503204"</f>
        <v>B20200503204</v>
      </c>
      <c r="C761" s="2" t="str">
        <f>"男"</f>
        <v>男</v>
      </c>
      <c r="D761" s="2" t="str">
        <f t="shared" si="154"/>
        <v>14</v>
      </c>
      <c r="E761" s="2" t="str">
        <f>"生物与环境工程学院"</f>
        <v>生物与环境工程学院</v>
      </c>
    </row>
    <row r="762" ht="13.5" hidden="1" spans="1:5">
      <c r="A762" s="2" t="str">
        <f>"李思彬"</f>
        <v>李思彬</v>
      </c>
      <c r="B762" s="2" t="str">
        <f>"B20200601409"</f>
        <v>B20200601409</v>
      </c>
      <c r="C762" s="2" t="str">
        <f>"男"</f>
        <v>男</v>
      </c>
      <c r="D762" s="2" t="str">
        <f t="shared" si="154"/>
        <v>14</v>
      </c>
      <c r="E762" s="2" t="str">
        <f>"法学院"</f>
        <v>法学院</v>
      </c>
    </row>
    <row r="763" ht="13.5" hidden="1" spans="1:5">
      <c r="A763" s="2" t="str">
        <f>"邓海凤"</f>
        <v>邓海凤</v>
      </c>
      <c r="B763" s="2" t="str">
        <f>"B20220803129"</f>
        <v>B20220803129</v>
      </c>
      <c r="C763" s="2" t="str">
        <f>"女"</f>
        <v>女</v>
      </c>
      <c r="D763" s="2" t="str">
        <f t="shared" si="154"/>
        <v>14</v>
      </c>
      <c r="E763" s="2" t="str">
        <f>"外国语学院"</f>
        <v>外国语学院</v>
      </c>
    </row>
    <row r="764" ht="13.5" hidden="1" spans="1:5">
      <c r="A764" s="2" t="str">
        <f>"罗浩南"</f>
        <v>罗浩南</v>
      </c>
      <c r="B764" s="2" t="str">
        <f>"B20200402204"</f>
        <v>B20200402204</v>
      </c>
      <c r="C764" s="2" t="str">
        <f>"男"</f>
        <v>男</v>
      </c>
      <c r="D764" s="2" t="str">
        <f t="shared" ref="D764:D801" si="165">"14"</f>
        <v>14</v>
      </c>
      <c r="E764" s="2" t="str">
        <f>"电子信息与电气工程学院"</f>
        <v>电子信息与电气工程学院</v>
      </c>
    </row>
    <row r="765" ht="13.5" hidden="1" spans="1:5">
      <c r="A765" s="2" t="str">
        <f>"闫钰晨"</f>
        <v>闫钰晨</v>
      </c>
      <c r="B765" s="2" t="str">
        <f>"B20230902136"</f>
        <v>B20230902136</v>
      </c>
      <c r="C765" s="2" t="str">
        <f>"女"</f>
        <v>女</v>
      </c>
      <c r="D765" s="2" t="str">
        <f t="shared" si="165"/>
        <v>14</v>
      </c>
      <c r="E765" s="2" t="str">
        <f>"经济与管理学院"</f>
        <v>经济与管理学院</v>
      </c>
    </row>
    <row r="766" ht="13.5" hidden="1" spans="1:5">
      <c r="A766" s="2" t="str">
        <f>"童晓念"</f>
        <v>童晓念</v>
      </c>
      <c r="B766" s="2" t="str">
        <f>"B20200502131"</f>
        <v>B20200502131</v>
      </c>
      <c r="C766" s="2" t="str">
        <f>"女"</f>
        <v>女</v>
      </c>
      <c r="D766" s="2" t="str">
        <f t="shared" si="165"/>
        <v>14</v>
      </c>
      <c r="E766" s="2" t="str">
        <f>"生物与环境工程学院"</f>
        <v>生物与环境工程学院</v>
      </c>
    </row>
    <row r="767" ht="13.5" hidden="1" spans="1:5">
      <c r="A767" s="2" t="str">
        <f>"龚帆"</f>
        <v>龚帆</v>
      </c>
      <c r="B767" s="2" t="str">
        <f>"B20210201222"</f>
        <v>B20210201222</v>
      </c>
      <c r="C767" s="2" t="str">
        <f>"男"</f>
        <v>男</v>
      </c>
      <c r="D767" s="2" t="str">
        <f t="shared" si="165"/>
        <v>14</v>
      </c>
      <c r="E767" s="2" t="str">
        <f>"机电工程学院"</f>
        <v>机电工程学院</v>
      </c>
    </row>
    <row r="768" ht="13.5" hidden="1" spans="1:5">
      <c r="A768" s="2" t="str">
        <f>"周彦均"</f>
        <v>周彦均</v>
      </c>
      <c r="B768" s="2" t="str">
        <f>"B20230601323"</f>
        <v>B20230601323</v>
      </c>
      <c r="C768" s="2" t="str">
        <f>"男"</f>
        <v>男</v>
      </c>
      <c r="D768" s="2" t="str">
        <f t="shared" si="165"/>
        <v>14</v>
      </c>
      <c r="E768" s="2" t="str">
        <f>"法学院"</f>
        <v>法学院</v>
      </c>
    </row>
    <row r="769" ht="13.5" hidden="1" spans="1:5">
      <c r="A769" s="2" t="str">
        <f>"蒋好"</f>
        <v>蒋好</v>
      </c>
      <c r="B769" s="2" t="str">
        <f>"B20220501223"</f>
        <v>B20220501223</v>
      </c>
      <c r="C769" s="2" t="str">
        <f>"男"</f>
        <v>男</v>
      </c>
      <c r="D769" s="2" t="str">
        <f t="shared" si="165"/>
        <v>14</v>
      </c>
      <c r="E769" s="2" t="str">
        <f>"生物与化学工程学院"</f>
        <v>生物与化学工程学院</v>
      </c>
    </row>
    <row r="770" ht="13.5" hidden="1" spans="1:5">
      <c r="A770" s="2" t="str">
        <f>"刘家伟"</f>
        <v>刘家伟</v>
      </c>
      <c r="B770" s="2" t="str">
        <f>"B20221301118"</f>
        <v>B20221301118</v>
      </c>
      <c r="C770" s="2" t="str">
        <f>"男"</f>
        <v>男</v>
      </c>
      <c r="D770" s="2" t="str">
        <f t="shared" si="165"/>
        <v>14</v>
      </c>
      <c r="E770" s="2" t="str">
        <f>"材料与环境工程学院"</f>
        <v>材料与环境工程学院</v>
      </c>
    </row>
    <row r="771" ht="13.5" hidden="1" spans="1:5">
      <c r="A771" s="2" t="str">
        <f>"邓思嘉"</f>
        <v>邓思嘉</v>
      </c>
      <c r="B771" s="2" t="str">
        <f>"B20220402317"</f>
        <v>B20220402317</v>
      </c>
      <c r="C771" s="2" t="str">
        <f t="shared" ref="C771:C773" si="166">"女"</f>
        <v>女</v>
      </c>
      <c r="D771" s="2" t="str">
        <f t="shared" si="165"/>
        <v>14</v>
      </c>
      <c r="E771" s="2" t="str">
        <f>"电子信息与电气工程学院"</f>
        <v>电子信息与电气工程学院</v>
      </c>
    </row>
    <row r="772" ht="13.5" hidden="1" spans="1:5">
      <c r="A772" s="2" t="str">
        <f>"汤孟郡"</f>
        <v>汤孟郡</v>
      </c>
      <c r="B772" s="2" t="str">
        <f>"B20230902318"</f>
        <v>B20230902318</v>
      </c>
      <c r="C772" s="2" t="str">
        <f t="shared" si="166"/>
        <v>女</v>
      </c>
      <c r="D772" s="2" t="str">
        <f t="shared" si="165"/>
        <v>14</v>
      </c>
      <c r="E772" s="2" t="str">
        <f>"经济与管理学院"</f>
        <v>经济与管理学院</v>
      </c>
    </row>
    <row r="773" ht="13.5" hidden="1" spans="1:5">
      <c r="A773" s="2" t="str">
        <f>"王译婕"</f>
        <v>王译婕</v>
      </c>
      <c r="B773" s="2" t="str">
        <f>"B20231101330"</f>
        <v>B20231101330</v>
      </c>
      <c r="C773" s="2" t="str">
        <f t="shared" si="166"/>
        <v>女</v>
      </c>
      <c r="D773" s="2" t="str">
        <f t="shared" si="165"/>
        <v>14</v>
      </c>
      <c r="E773" s="2" t="str">
        <f>"音乐学院"</f>
        <v>音乐学院</v>
      </c>
    </row>
    <row r="774" ht="13.5" hidden="1" spans="1:5">
      <c r="A774" s="2" t="str">
        <f>"罗京龄"</f>
        <v>罗京龄</v>
      </c>
      <c r="B774" s="2" t="str">
        <f>"B20210601219"</f>
        <v>B20210601219</v>
      </c>
      <c r="C774" s="2" t="str">
        <f>"男"</f>
        <v>男</v>
      </c>
      <c r="D774" s="2" t="str">
        <f t="shared" si="165"/>
        <v>14</v>
      </c>
      <c r="E774" s="2" t="str">
        <f>"法学院"</f>
        <v>法学院</v>
      </c>
    </row>
    <row r="775" ht="13.5" hidden="1" spans="1:5">
      <c r="A775" s="2" t="str">
        <f>"刘瑾"</f>
        <v>刘瑾</v>
      </c>
      <c r="B775" s="2" t="str">
        <f>"B20231002406"</f>
        <v>B20231002406</v>
      </c>
      <c r="C775" s="2" t="str">
        <f>"女"</f>
        <v>女</v>
      </c>
      <c r="D775" s="2" t="str">
        <f t="shared" si="165"/>
        <v>14</v>
      </c>
      <c r="E775" s="2" t="str">
        <f>"艺术设计学院"</f>
        <v>艺术设计学院</v>
      </c>
    </row>
    <row r="776" ht="13.5" hidden="1" spans="1:5">
      <c r="A776" s="2" t="str">
        <f>"张世武"</f>
        <v>张世武</v>
      </c>
      <c r="B776" s="2" t="str">
        <f>"B20230202117"</f>
        <v>B20230202117</v>
      </c>
      <c r="C776" s="2" t="str">
        <f>"男"</f>
        <v>男</v>
      </c>
      <c r="D776" s="2" t="str">
        <f t="shared" si="165"/>
        <v>14</v>
      </c>
      <c r="E776" s="2" t="str">
        <f>"机电工程学院"</f>
        <v>机电工程学院</v>
      </c>
    </row>
    <row r="777" ht="13.5" hidden="1" spans="1:5">
      <c r="A777" s="2" t="str">
        <f>"刘漪雯"</f>
        <v>刘漪雯</v>
      </c>
      <c r="B777" s="2" t="str">
        <f>"B20200801306"</f>
        <v>B20200801306</v>
      </c>
      <c r="C777" s="2" t="str">
        <f>"女"</f>
        <v>女</v>
      </c>
      <c r="D777" s="2" t="str">
        <f t="shared" si="165"/>
        <v>14</v>
      </c>
      <c r="E777" s="2" t="str">
        <f>"外国语学院"</f>
        <v>外国语学院</v>
      </c>
    </row>
    <row r="778" ht="13.5" hidden="1" spans="1:5">
      <c r="A778" s="2" t="str">
        <f>"陈子阳"</f>
        <v>陈子阳</v>
      </c>
      <c r="B778" s="2" t="str">
        <f>"B20230702208"</f>
        <v>B20230702208</v>
      </c>
      <c r="C778" s="2" t="str">
        <f>"女"</f>
        <v>女</v>
      </c>
      <c r="D778" s="2" t="str">
        <f t="shared" si="165"/>
        <v>14</v>
      </c>
      <c r="E778" s="2" t="str">
        <f>"马栏山新媒体学院"</f>
        <v>马栏山新媒体学院</v>
      </c>
    </row>
    <row r="779" ht="13.5" hidden="1" spans="1:5">
      <c r="A779" s="2" t="str">
        <f>"谢国军"</f>
        <v>谢国军</v>
      </c>
      <c r="B779" s="2" t="str">
        <f>"B20200904217"</f>
        <v>B20200904217</v>
      </c>
      <c r="C779" s="2" t="str">
        <f>"男"</f>
        <v>男</v>
      </c>
      <c r="D779" s="2" t="str">
        <f t="shared" si="165"/>
        <v>14</v>
      </c>
      <c r="E779" s="2" t="str">
        <f>"经济与管理学院"</f>
        <v>经济与管理学院</v>
      </c>
    </row>
    <row r="780" ht="13.5" hidden="1" spans="1:5">
      <c r="A780" s="2" t="str">
        <f>"孙明洁"</f>
        <v>孙明洁</v>
      </c>
      <c r="B780" s="2" t="str">
        <f>"B20200103127"</f>
        <v>B20200103127</v>
      </c>
      <c r="C780" s="2" t="str">
        <f>"女"</f>
        <v>女</v>
      </c>
      <c r="D780" s="2" t="str">
        <f t="shared" si="165"/>
        <v>14</v>
      </c>
      <c r="E780" s="2" t="str">
        <f>"土木工程学院"</f>
        <v>土木工程学院</v>
      </c>
    </row>
    <row r="781" ht="13.5" hidden="1" spans="1:5">
      <c r="A781" s="2" t="str">
        <f>"刘羽晗"</f>
        <v>刘羽晗</v>
      </c>
      <c r="B781" s="2" t="str">
        <f>"B20210505207"</f>
        <v>B20210505207</v>
      </c>
      <c r="C781" s="2" t="str">
        <f>"男"</f>
        <v>男</v>
      </c>
      <c r="D781" s="2" t="str">
        <f t="shared" si="165"/>
        <v>14</v>
      </c>
      <c r="E781" s="2" t="str">
        <f>"机电工程学院"</f>
        <v>机电工程学院</v>
      </c>
    </row>
    <row r="782" ht="13.5" hidden="1" spans="1:5">
      <c r="A782" s="2" t="str">
        <f>"王伊人"</f>
        <v>王伊人</v>
      </c>
      <c r="B782" s="2" t="str">
        <f>"B20230502234"</f>
        <v>B20230502234</v>
      </c>
      <c r="C782" s="2" t="str">
        <f>"女"</f>
        <v>女</v>
      </c>
      <c r="D782" s="2" t="str">
        <f t="shared" si="165"/>
        <v>14</v>
      </c>
      <c r="E782" s="2" t="str">
        <f>"生物与化学工程学院"</f>
        <v>生物与化学工程学院</v>
      </c>
    </row>
    <row r="783" ht="13.5" hidden="1" spans="1:5">
      <c r="A783" s="2" t="str">
        <f>"曾子益"</f>
        <v>曾子益</v>
      </c>
      <c r="B783" s="2" t="str">
        <f>"B20230802202"</f>
        <v>B20230802202</v>
      </c>
      <c r="C783" s="2" t="str">
        <f>"女"</f>
        <v>女</v>
      </c>
      <c r="D783" s="2" t="str">
        <f t="shared" si="165"/>
        <v>14</v>
      </c>
      <c r="E783" s="2" t="str">
        <f>"外国语学院"</f>
        <v>外国语学院</v>
      </c>
    </row>
    <row r="784" ht="13.5" hidden="1" spans="1:5">
      <c r="A784" s="2" t="str">
        <f>"曹舒语"</f>
        <v>曹舒语</v>
      </c>
      <c r="B784" s="2" t="str">
        <f>"B20210801421"</f>
        <v>B20210801421</v>
      </c>
      <c r="C784" s="2" t="str">
        <f>"女"</f>
        <v>女</v>
      </c>
      <c r="D784" s="2" t="str">
        <f t="shared" si="165"/>
        <v>14</v>
      </c>
      <c r="E784" s="2" t="str">
        <f>"外国语学院"</f>
        <v>外国语学院</v>
      </c>
    </row>
    <row r="785" ht="13.5" hidden="1" spans="1:5">
      <c r="A785" s="2" t="str">
        <f>"孙泽锋"</f>
        <v>孙泽锋</v>
      </c>
      <c r="B785" s="2" t="str">
        <f>"B20210203110"</f>
        <v>B20210203110</v>
      </c>
      <c r="C785" s="2" t="str">
        <f t="shared" ref="C785:C787" si="167">"男"</f>
        <v>男</v>
      </c>
      <c r="D785" s="2" t="str">
        <f t="shared" si="165"/>
        <v>14</v>
      </c>
      <c r="E785" s="2" t="str">
        <f>"机电工程学院"</f>
        <v>机电工程学院</v>
      </c>
    </row>
    <row r="786" ht="13.5" hidden="1" spans="1:5">
      <c r="A786" s="2" t="str">
        <f>"熊睿"</f>
        <v>熊睿</v>
      </c>
      <c r="B786" s="2" t="str">
        <f>"B20230101405"</f>
        <v>B20230101405</v>
      </c>
      <c r="C786" s="2" t="str">
        <f t="shared" si="167"/>
        <v>男</v>
      </c>
      <c r="D786" s="2" t="str">
        <f t="shared" si="165"/>
        <v>14</v>
      </c>
      <c r="E786" s="2" t="str">
        <f>"土木工程学院"</f>
        <v>土木工程学院</v>
      </c>
    </row>
    <row r="787" ht="13.5" hidden="1" spans="1:5">
      <c r="A787" s="2" t="str">
        <f>"王康"</f>
        <v>王康</v>
      </c>
      <c r="B787" s="2" t="str">
        <f>"B20200906126"</f>
        <v>B20200906126</v>
      </c>
      <c r="C787" s="2" t="str">
        <f t="shared" si="167"/>
        <v>男</v>
      </c>
      <c r="D787" s="2" t="str">
        <f t="shared" si="165"/>
        <v>14</v>
      </c>
      <c r="E787" s="2" t="str">
        <f>"经济与管理学院"</f>
        <v>经济与管理学院</v>
      </c>
    </row>
    <row r="788" ht="13.5" hidden="1" spans="1:5">
      <c r="A788" s="2" t="str">
        <f>"孙琳"</f>
        <v>孙琳</v>
      </c>
      <c r="B788" s="2" t="str">
        <f>"B20220502205"</f>
        <v>B20220502205</v>
      </c>
      <c r="C788" s="2" t="str">
        <f>"女"</f>
        <v>女</v>
      </c>
      <c r="D788" s="2" t="str">
        <f t="shared" si="165"/>
        <v>14</v>
      </c>
      <c r="E788" s="2" t="str">
        <f>"生物与化学工程学院"</f>
        <v>生物与化学工程学院</v>
      </c>
    </row>
    <row r="789" ht="13.5" hidden="1" spans="1:5">
      <c r="A789" s="2" t="str">
        <f>"曲彦方"</f>
        <v>曲彦方</v>
      </c>
      <c r="B789" s="2" t="str">
        <f>"B20210504222"</f>
        <v>B20210504222</v>
      </c>
      <c r="C789" s="2" t="str">
        <f>"女"</f>
        <v>女</v>
      </c>
      <c r="D789" s="2" t="str">
        <f t="shared" si="165"/>
        <v>14</v>
      </c>
      <c r="E789" s="2" t="str">
        <f>"生物与化学工程学院"</f>
        <v>生物与化学工程学院</v>
      </c>
    </row>
    <row r="790" ht="13.5" hidden="1" spans="1:5">
      <c r="A790" s="2" t="str">
        <f>"曾祥旺"</f>
        <v>曾祥旺</v>
      </c>
      <c r="B790" s="2" t="str">
        <f>"B20200501132"</f>
        <v>B20200501132</v>
      </c>
      <c r="C790" s="2" t="str">
        <f>"男"</f>
        <v>男</v>
      </c>
      <c r="D790" s="2" t="str">
        <f t="shared" si="165"/>
        <v>14</v>
      </c>
      <c r="E790" s="2" t="str">
        <f>"生物与环境工程学院"</f>
        <v>生物与环境工程学院</v>
      </c>
    </row>
    <row r="791" ht="13.5" hidden="1" spans="1:5">
      <c r="A791" s="2" t="str">
        <f>"何莹"</f>
        <v>何莹</v>
      </c>
      <c r="B791" s="2" t="str">
        <f>"B20210803220"</f>
        <v>B20210803220</v>
      </c>
      <c r="C791" s="2" t="str">
        <f>"女"</f>
        <v>女</v>
      </c>
      <c r="D791" s="2" t="str">
        <f t="shared" si="165"/>
        <v>14</v>
      </c>
      <c r="E791" s="2" t="str">
        <f>"外国语学院"</f>
        <v>外国语学院</v>
      </c>
    </row>
    <row r="792" ht="13.5" hidden="1" spans="1:5">
      <c r="A792" s="2" t="str">
        <f>"封彦妃"</f>
        <v>封彦妃</v>
      </c>
      <c r="B792" s="2" t="str">
        <f>"B20200503117"</f>
        <v>B20200503117</v>
      </c>
      <c r="C792" s="2" t="str">
        <f>"女"</f>
        <v>女</v>
      </c>
      <c r="D792" s="2" t="str">
        <f t="shared" si="165"/>
        <v>14</v>
      </c>
      <c r="E792" s="2" t="str">
        <f>"生物与环境工程学院"</f>
        <v>生物与环境工程学院</v>
      </c>
    </row>
    <row r="793" ht="13.5" hidden="1" spans="1:5">
      <c r="A793" s="2" t="str">
        <f>"罗松"</f>
        <v>罗松</v>
      </c>
      <c r="B793" s="2" t="str">
        <f>"B20200505224"</f>
        <v>B20200505224</v>
      </c>
      <c r="C793" s="2" t="str">
        <f>"男"</f>
        <v>男</v>
      </c>
      <c r="D793" s="2" t="str">
        <f t="shared" si="165"/>
        <v>14</v>
      </c>
      <c r="E793" s="2" t="str">
        <f>"生物与环境工程学院"</f>
        <v>生物与环境工程学院</v>
      </c>
    </row>
    <row r="794" ht="13.5" hidden="1" spans="1:5">
      <c r="A794" s="2" t="str">
        <f>"蒋圆圆"</f>
        <v>蒋圆圆</v>
      </c>
      <c r="B794" s="2" t="str">
        <f>"B20200905130"</f>
        <v>B20200905130</v>
      </c>
      <c r="C794" s="2" t="str">
        <f t="shared" ref="C794:C801" si="168">"女"</f>
        <v>女</v>
      </c>
      <c r="D794" s="2" t="str">
        <f t="shared" si="165"/>
        <v>14</v>
      </c>
      <c r="E794" s="2" t="str">
        <f>"外国语学院"</f>
        <v>外国语学院</v>
      </c>
    </row>
    <row r="795" ht="13.5" hidden="1" spans="1:5">
      <c r="A795" s="2" t="str">
        <f>"谢星怡"</f>
        <v>谢星怡</v>
      </c>
      <c r="B795" s="2" t="str">
        <f>"B20200701104"</f>
        <v>B20200701104</v>
      </c>
      <c r="C795" s="2" t="str">
        <f t="shared" si="168"/>
        <v>女</v>
      </c>
      <c r="D795" s="2" t="str">
        <f t="shared" si="165"/>
        <v>14</v>
      </c>
      <c r="E795" s="2" t="str">
        <f>"马栏山新媒体学院"</f>
        <v>马栏山新媒体学院</v>
      </c>
    </row>
    <row r="796" ht="13.5" hidden="1" spans="1:5">
      <c r="A796" s="2" t="str">
        <f>"王蕾尧"</f>
        <v>王蕾尧</v>
      </c>
      <c r="B796" s="2" t="str">
        <f>"B20200101219"</f>
        <v>B20200101219</v>
      </c>
      <c r="C796" s="2" t="str">
        <f t="shared" si="168"/>
        <v>女</v>
      </c>
      <c r="D796" s="2" t="str">
        <f t="shared" si="165"/>
        <v>14</v>
      </c>
      <c r="E796" s="2" t="str">
        <f>"土木工程学院"</f>
        <v>土木工程学院</v>
      </c>
    </row>
    <row r="797" ht="13.5" hidden="1" spans="1:5">
      <c r="A797" s="2" t="str">
        <f>"胡佳"</f>
        <v>胡佳</v>
      </c>
      <c r="B797" s="2" t="str">
        <f>"B20220402312"</f>
        <v>B20220402312</v>
      </c>
      <c r="C797" s="2" t="str">
        <f t="shared" si="168"/>
        <v>女</v>
      </c>
      <c r="D797" s="2" t="str">
        <f t="shared" si="165"/>
        <v>14</v>
      </c>
      <c r="E797" s="2" t="str">
        <f>"电子信息与电气工程学院"</f>
        <v>电子信息与电气工程学院</v>
      </c>
    </row>
    <row r="798" ht="13.5" hidden="1" spans="1:5">
      <c r="A798" s="2" t="str">
        <f>"汪冰佳"</f>
        <v>汪冰佳</v>
      </c>
      <c r="B798" s="2" t="str">
        <f>"B20230502233"</f>
        <v>B20230502233</v>
      </c>
      <c r="C798" s="2" t="str">
        <f t="shared" si="168"/>
        <v>女</v>
      </c>
      <c r="D798" s="2" t="str">
        <f t="shared" si="165"/>
        <v>14</v>
      </c>
      <c r="E798" s="2" t="str">
        <f>"生物与化学工程学院"</f>
        <v>生物与化学工程学院</v>
      </c>
    </row>
    <row r="799" ht="13.5" hidden="1" spans="1:5">
      <c r="A799" s="2" t="str">
        <f>"梁红美"</f>
        <v>梁红美</v>
      </c>
      <c r="B799" s="2" t="str">
        <f>"B20200903109"</f>
        <v>B20200903109</v>
      </c>
      <c r="C799" s="2" t="str">
        <f t="shared" si="168"/>
        <v>女</v>
      </c>
      <c r="D799" s="2" t="str">
        <f t="shared" si="165"/>
        <v>14</v>
      </c>
      <c r="E799" s="2" t="str">
        <f>"经济与管理学院"</f>
        <v>经济与管理学院</v>
      </c>
    </row>
    <row r="800" ht="13.5" hidden="1" spans="1:5">
      <c r="A800" s="2" t="str">
        <f>"卢静雯"</f>
        <v>卢静雯</v>
      </c>
      <c r="B800" s="2" t="str">
        <f>"B20231003215"</f>
        <v>B20231003215</v>
      </c>
      <c r="C800" s="2" t="str">
        <f t="shared" si="168"/>
        <v>女</v>
      </c>
      <c r="D800" s="2" t="str">
        <f t="shared" si="165"/>
        <v>14</v>
      </c>
      <c r="E800" s="2" t="str">
        <f>"艺术设计学院"</f>
        <v>艺术设计学院</v>
      </c>
    </row>
    <row r="801" ht="13.5" hidden="1" spans="1:5">
      <c r="A801" s="2" t="str">
        <f>"郭珊如"</f>
        <v>郭珊如</v>
      </c>
      <c r="B801" s="2" t="str">
        <f>"B20201101216"</f>
        <v>B20201101216</v>
      </c>
      <c r="C801" s="2" t="str">
        <f t="shared" si="168"/>
        <v>女</v>
      </c>
      <c r="D801" s="2" t="str">
        <f t="shared" si="165"/>
        <v>14</v>
      </c>
      <c r="E801" s="2" t="str">
        <f>"音乐学院"</f>
        <v>音乐学院</v>
      </c>
    </row>
    <row r="802" ht="13.5" hidden="1" spans="1:5">
      <c r="A802" s="2" t="str">
        <f>"李之能"</f>
        <v>李之能</v>
      </c>
      <c r="B802" s="2" t="str">
        <f>"B20220403317"</f>
        <v>B20220403317</v>
      </c>
      <c r="C802" s="2" t="str">
        <f>"男"</f>
        <v>男</v>
      </c>
      <c r="D802" s="2" t="str">
        <f t="shared" ref="D802:D816" si="169">"14"</f>
        <v>14</v>
      </c>
      <c r="E802" s="2" t="str">
        <f>"电子信息与电气工程学院"</f>
        <v>电子信息与电气工程学院</v>
      </c>
    </row>
    <row r="803" ht="13.5" hidden="1" spans="1:5">
      <c r="A803" s="2" t="str">
        <f>"田瑶瑶"</f>
        <v>田瑶瑶</v>
      </c>
      <c r="B803" s="2" t="str">
        <f>"B20220901333"</f>
        <v>B20220901333</v>
      </c>
      <c r="C803" s="2" t="str">
        <f t="shared" ref="C803:C807" si="170">"女"</f>
        <v>女</v>
      </c>
      <c r="D803" s="2" t="str">
        <f t="shared" si="169"/>
        <v>14</v>
      </c>
      <c r="E803" s="2" t="str">
        <f t="shared" ref="E803:E807" si="171">"经济与管理学院"</f>
        <v>经济与管理学院</v>
      </c>
    </row>
    <row r="804" ht="13.5" hidden="1" spans="1:5">
      <c r="A804" s="2" t="str">
        <f>"林孜翰"</f>
        <v>林孜翰</v>
      </c>
      <c r="B804" s="2" t="str">
        <f>"B20210401419"</f>
        <v>B20210401419</v>
      </c>
      <c r="C804" s="2" t="str">
        <f>"男"</f>
        <v>男</v>
      </c>
      <c r="D804" s="2" t="str">
        <f t="shared" si="169"/>
        <v>14</v>
      </c>
      <c r="E804" s="2" t="str">
        <f>"电子信息与电气工程学院"</f>
        <v>电子信息与电气工程学院</v>
      </c>
    </row>
    <row r="805" ht="13.5" hidden="1" spans="1:5">
      <c r="A805" s="2" t="str">
        <f>"张清怡"</f>
        <v>张清怡</v>
      </c>
      <c r="B805" s="2" t="str">
        <f>"B20230902320"</f>
        <v>B20230902320</v>
      </c>
      <c r="C805" s="2" t="str">
        <f t="shared" si="170"/>
        <v>女</v>
      </c>
      <c r="D805" s="2" t="str">
        <f t="shared" si="169"/>
        <v>14</v>
      </c>
      <c r="E805" s="2" t="str">
        <f t="shared" si="171"/>
        <v>经济与管理学院</v>
      </c>
    </row>
    <row r="806" ht="13.5" hidden="1" spans="1:5">
      <c r="A806" s="2" t="str">
        <f>"赵思思"</f>
        <v>赵思思</v>
      </c>
      <c r="B806" s="2" t="str">
        <f>"B20230901125"</f>
        <v>B20230901125</v>
      </c>
      <c r="C806" s="2" t="str">
        <f t="shared" si="170"/>
        <v>女</v>
      </c>
      <c r="D806" s="2" t="str">
        <f t="shared" si="169"/>
        <v>14</v>
      </c>
      <c r="E806" s="2" t="str">
        <f t="shared" si="171"/>
        <v>经济与管理学院</v>
      </c>
    </row>
    <row r="807" ht="13.5" hidden="1" spans="1:5">
      <c r="A807" s="2" t="str">
        <f>"张菲菲"</f>
        <v>张菲菲</v>
      </c>
      <c r="B807" s="2" t="str">
        <f>"B20220904332"</f>
        <v>B20220904332</v>
      </c>
      <c r="C807" s="2" t="str">
        <f t="shared" si="170"/>
        <v>女</v>
      </c>
      <c r="D807" s="2" t="str">
        <f t="shared" si="169"/>
        <v>14</v>
      </c>
      <c r="E807" s="2" t="str">
        <f t="shared" si="171"/>
        <v>经济与管理学院</v>
      </c>
    </row>
    <row r="808" ht="13.5" hidden="1" spans="1:5">
      <c r="A808" s="2" t="str">
        <f>"曹新伟"</f>
        <v>曹新伟</v>
      </c>
      <c r="B808" s="2" t="str">
        <f>"B20200906218"</f>
        <v>B20200906218</v>
      </c>
      <c r="C808" s="2" t="str">
        <f>"男"</f>
        <v>男</v>
      </c>
      <c r="D808" s="2" t="str">
        <f t="shared" si="169"/>
        <v>14</v>
      </c>
      <c r="E808" s="2" t="str">
        <f>"生物与环境工程学院"</f>
        <v>生物与环境工程学院</v>
      </c>
    </row>
    <row r="809" ht="13.5" hidden="1" spans="1:5">
      <c r="A809" s="2" t="str">
        <f>"付晓洁"</f>
        <v>付晓洁</v>
      </c>
      <c r="B809" s="2" t="str">
        <f>"B20210801513"</f>
        <v>B20210801513</v>
      </c>
      <c r="C809" s="2" t="str">
        <f>"女"</f>
        <v>女</v>
      </c>
      <c r="D809" s="2" t="str">
        <f t="shared" si="169"/>
        <v>14</v>
      </c>
      <c r="E809" s="2" t="str">
        <f>"外国语学院"</f>
        <v>外国语学院</v>
      </c>
    </row>
    <row r="810" ht="13.5" hidden="1" spans="1:5">
      <c r="A810" s="2" t="str">
        <f>"曾志"</f>
        <v>曾志</v>
      </c>
      <c r="B810" s="2" t="str">
        <f>"B20220906204"</f>
        <v>B20220906204</v>
      </c>
      <c r="C810" s="2" t="str">
        <f>"男"</f>
        <v>男</v>
      </c>
      <c r="D810" s="2" t="str">
        <f t="shared" si="169"/>
        <v>14</v>
      </c>
      <c r="E810" s="2" t="str">
        <f>"经济与管理学院"</f>
        <v>经济与管理学院</v>
      </c>
    </row>
    <row r="811" ht="13.5" hidden="1" spans="1:5">
      <c r="A811" s="2" t="str">
        <f>"谷子轩"</f>
        <v>谷子轩</v>
      </c>
      <c r="B811" s="2" t="str">
        <f>"B20230701408"</f>
        <v>B20230701408</v>
      </c>
      <c r="C811" s="2" t="str">
        <f>"女"</f>
        <v>女</v>
      </c>
      <c r="D811" s="2" t="str">
        <f t="shared" si="169"/>
        <v>14</v>
      </c>
      <c r="E811" s="2" t="str">
        <f>"马栏山新媒体学院"</f>
        <v>马栏山新媒体学院</v>
      </c>
    </row>
    <row r="812" ht="13.5" hidden="1" spans="1:5">
      <c r="A812" s="2" t="str">
        <f>"陆恒"</f>
        <v>陆恒</v>
      </c>
      <c r="B812" s="2" t="str">
        <f>"B20210505213"</f>
        <v>B20210505213</v>
      </c>
      <c r="C812" s="2" t="str">
        <f>"男"</f>
        <v>男</v>
      </c>
      <c r="D812" s="2" t="str">
        <f t="shared" si="169"/>
        <v>14</v>
      </c>
      <c r="E812" s="2" t="str">
        <f>"材料与环境工程学院"</f>
        <v>材料与环境工程学院</v>
      </c>
    </row>
    <row r="813" ht="13.5" hidden="1" spans="1:5">
      <c r="A813" s="2" t="str">
        <f>"刘晓雅"</f>
        <v>刘晓雅</v>
      </c>
      <c r="B813" s="2" t="str">
        <f>"B20220104226"</f>
        <v>B20220104226</v>
      </c>
      <c r="C813" s="2" t="str">
        <f>"女"</f>
        <v>女</v>
      </c>
      <c r="D813" s="2" t="str">
        <f t="shared" si="169"/>
        <v>14</v>
      </c>
      <c r="E813" s="2" t="str">
        <f>"土木工程学院"</f>
        <v>土木工程学院</v>
      </c>
    </row>
    <row r="814" ht="13.5" hidden="1" spans="1:5">
      <c r="A814" s="2" t="str">
        <f>"言欣蔚"</f>
        <v>言欣蔚</v>
      </c>
      <c r="B814" s="2" t="str">
        <f>"B20210505128"</f>
        <v>B20210505128</v>
      </c>
      <c r="C814" s="2" t="str">
        <f>"男"</f>
        <v>男</v>
      </c>
      <c r="D814" s="2" t="str">
        <f t="shared" si="169"/>
        <v>14</v>
      </c>
      <c r="E814" s="2" t="str">
        <f>"材料与环境工程学院"</f>
        <v>材料与环境工程学院</v>
      </c>
    </row>
    <row r="815" ht="13.5" hidden="1" spans="1:5">
      <c r="A815" s="2" t="str">
        <f>"王萌蕾"</f>
        <v>王萌蕾</v>
      </c>
      <c r="B815" s="2" t="str">
        <f>"B20201003207"</f>
        <v>B20201003207</v>
      </c>
      <c r="C815" s="2" t="str">
        <f>"女"</f>
        <v>女</v>
      </c>
      <c r="D815" s="2" t="str">
        <f t="shared" si="169"/>
        <v>14</v>
      </c>
      <c r="E815" s="2" t="str">
        <f>"艺术设计学院"</f>
        <v>艺术设计学院</v>
      </c>
    </row>
    <row r="816" ht="13.5" hidden="1" spans="1:5">
      <c r="A816" s="2" t="str">
        <f>"桂涛"</f>
        <v>桂涛</v>
      </c>
      <c r="B816" s="2" t="str">
        <f>"B20220402218"</f>
        <v>B20220402218</v>
      </c>
      <c r="C816" s="2" t="str">
        <f>"男"</f>
        <v>男</v>
      </c>
      <c r="D816" s="2" t="str">
        <f t="shared" si="169"/>
        <v>14</v>
      </c>
      <c r="E816" s="2" t="str">
        <f>"电子信息与电气工程学院"</f>
        <v>电子信息与电气工程学院</v>
      </c>
    </row>
    <row r="817" ht="13.5" hidden="1" spans="1:5">
      <c r="A817" s="2" t="str">
        <f>"胡志伟"</f>
        <v>胡志伟</v>
      </c>
      <c r="B817" s="2" t="str">
        <f>"B20230904225"</f>
        <v>B20230904225</v>
      </c>
      <c r="C817" s="2" t="str">
        <f>"男"</f>
        <v>男</v>
      </c>
      <c r="D817" s="2" t="str">
        <f t="shared" ref="D817:D830" si="172">"13"</f>
        <v>13</v>
      </c>
      <c r="E817" s="2" t="str">
        <f>"经济与管理学院"</f>
        <v>经济与管理学院</v>
      </c>
    </row>
    <row r="818" ht="13.5" hidden="1" spans="1:5">
      <c r="A818" s="2" t="str">
        <f>"周腾"</f>
        <v>周腾</v>
      </c>
      <c r="B818" s="2" t="str">
        <f>"B20200101119"</f>
        <v>B20200101119</v>
      </c>
      <c r="C818" s="2" t="str">
        <f>"男"</f>
        <v>男</v>
      </c>
      <c r="D818" s="2" t="str">
        <f t="shared" si="172"/>
        <v>13</v>
      </c>
      <c r="E818" s="2" t="str">
        <f>"土木工程学院"</f>
        <v>土木工程学院</v>
      </c>
    </row>
    <row r="819" ht="13.5" hidden="1" spans="1:5">
      <c r="A819" s="2" t="str">
        <f>"凌菁"</f>
        <v>凌菁</v>
      </c>
      <c r="B819" s="2" t="str">
        <f>"B20220702110"</f>
        <v>B20220702110</v>
      </c>
      <c r="C819" s="2" t="str">
        <f>"女"</f>
        <v>女</v>
      </c>
      <c r="D819" s="2" t="str">
        <f t="shared" si="172"/>
        <v>13</v>
      </c>
      <c r="E819" s="2" t="str">
        <f>"马栏山新媒体学院"</f>
        <v>马栏山新媒体学院</v>
      </c>
    </row>
    <row r="820" ht="13.5" hidden="1" spans="1:5">
      <c r="A820" s="2" t="str">
        <f>"林宇隆"</f>
        <v>林宇隆</v>
      </c>
      <c r="B820" s="2" t="str">
        <f>"B20210701230"</f>
        <v>B20210701230</v>
      </c>
      <c r="C820" s="2" t="str">
        <f>"男"</f>
        <v>男</v>
      </c>
      <c r="D820" s="2" t="str">
        <f t="shared" si="172"/>
        <v>13</v>
      </c>
      <c r="E820" s="2" t="str">
        <f>"马栏山新媒体学院"</f>
        <v>马栏山新媒体学院</v>
      </c>
    </row>
    <row r="821" ht="13.5" hidden="1" spans="1:5">
      <c r="A821" s="2" t="str">
        <f>"李媛"</f>
        <v>李媛</v>
      </c>
      <c r="B821" s="2" t="str">
        <f>"B20230104113"</f>
        <v>B20230104113</v>
      </c>
      <c r="C821" s="2" t="str">
        <f>"女"</f>
        <v>女</v>
      </c>
      <c r="D821" s="2" t="str">
        <f t="shared" si="172"/>
        <v>13</v>
      </c>
      <c r="E821" s="2" t="str">
        <f>"土木工程学院"</f>
        <v>土木工程学院</v>
      </c>
    </row>
    <row r="822" ht="13.5" hidden="1" spans="1:5">
      <c r="A822" s="2" t="str">
        <f>"王令粲"</f>
        <v>王令粲</v>
      </c>
      <c r="B822" s="2" t="str">
        <f>"B20201003224"</f>
        <v>B20201003224</v>
      </c>
      <c r="C822" s="2" t="str">
        <f>"女"</f>
        <v>女</v>
      </c>
      <c r="D822" s="2" t="str">
        <f t="shared" si="172"/>
        <v>13</v>
      </c>
      <c r="E822" s="2" t="str">
        <f>"艺术设计学院"</f>
        <v>艺术设计学院</v>
      </c>
    </row>
    <row r="823" ht="13.5" hidden="1" spans="1:5">
      <c r="A823" s="2" t="str">
        <f>"唐仙谊"</f>
        <v>唐仙谊</v>
      </c>
      <c r="B823" s="2" t="str">
        <f>"B20210202203"</f>
        <v>B20210202203</v>
      </c>
      <c r="C823" s="2" t="str">
        <f>"女"</f>
        <v>女</v>
      </c>
      <c r="D823" s="2" t="str">
        <f t="shared" si="172"/>
        <v>13</v>
      </c>
      <c r="E823" s="2" t="str">
        <f>"机电工程学院"</f>
        <v>机电工程学院</v>
      </c>
    </row>
    <row r="824" ht="13.5" hidden="1" spans="1:5">
      <c r="A824" s="2" t="str">
        <f>"胡宇霖"</f>
        <v>胡宇霖</v>
      </c>
      <c r="B824" s="2" t="str">
        <f>"B20220904112"</f>
        <v>B20220904112</v>
      </c>
      <c r="C824" s="2" t="str">
        <f>"男"</f>
        <v>男</v>
      </c>
      <c r="D824" s="2" t="str">
        <f t="shared" si="172"/>
        <v>13</v>
      </c>
      <c r="E824" s="2" t="str">
        <f>"经济与管理学院"</f>
        <v>经济与管理学院</v>
      </c>
    </row>
    <row r="825" ht="13.5" hidden="1" spans="1:5">
      <c r="A825" s="2" t="str">
        <f>"邓锈吉"</f>
        <v>邓锈吉</v>
      </c>
      <c r="B825" s="2" t="str">
        <f>"B20220701213"</f>
        <v>B20220701213</v>
      </c>
      <c r="C825" s="2" t="str">
        <f>"女"</f>
        <v>女</v>
      </c>
      <c r="D825" s="2" t="str">
        <f t="shared" si="172"/>
        <v>13</v>
      </c>
      <c r="E825" s="2" t="str">
        <f>"马栏山新媒体学院"</f>
        <v>马栏山新媒体学院</v>
      </c>
    </row>
    <row r="826" ht="13.5" hidden="1" spans="1:5">
      <c r="A826" s="2" t="str">
        <f>"钱爽"</f>
        <v>钱爽</v>
      </c>
      <c r="B826" s="2" t="str">
        <f>"B20220402322"</f>
        <v>B20220402322</v>
      </c>
      <c r="C826" s="2" t="str">
        <f>"女"</f>
        <v>女</v>
      </c>
      <c r="D826" s="2" t="str">
        <f t="shared" si="172"/>
        <v>13</v>
      </c>
      <c r="E826" s="2" t="str">
        <f>"电子信息与电气工程学院"</f>
        <v>电子信息与电气工程学院</v>
      </c>
    </row>
    <row r="827" ht="13.5" hidden="1" spans="1:5">
      <c r="A827" s="2" t="str">
        <f>"戴安莉"</f>
        <v>戴安莉</v>
      </c>
      <c r="B827" s="2" t="str">
        <f>"B20210801104"</f>
        <v>B20210801104</v>
      </c>
      <c r="C827" s="2" t="str">
        <f t="shared" ref="C827:C830" si="173">"女"</f>
        <v>女</v>
      </c>
      <c r="D827" s="2" t="str">
        <f t="shared" si="172"/>
        <v>13</v>
      </c>
      <c r="E827" s="2" t="str">
        <f t="shared" ref="E827:E829" si="174">"外国语学院"</f>
        <v>外国语学院</v>
      </c>
    </row>
    <row r="828" ht="13.5" hidden="1" spans="1:5">
      <c r="A828" s="2" t="str">
        <f>"刘亚欣"</f>
        <v>刘亚欣</v>
      </c>
      <c r="B828" s="2" t="str">
        <f>"B20230801212"</f>
        <v>B20230801212</v>
      </c>
      <c r="C828" s="2" t="str">
        <f t="shared" si="173"/>
        <v>女</v>
      </c>
      <c r="D828" s="2" t="str">
        <f t="shared" si="172"/>
        <v>13</v>
      </c>
      <c r="E828" s="2" t="str">
        <f t="shared" si="174"/>
        <v>外国语学院</v>
      </c>
    </row>
    <row r="829" ht="13.5" hidden="1" spans="1:5">
      <c r="A829" s="2" t="str">
        <f>"王笑"</f>
        <v>王笑</v>
      </c>
      <c r="B829" s="2" t="str">
        <f>"B20220801523"</f>
        <v>B20220801523</v>
      </c>
      <c r="C829" s="2" t="str">
        <f t="shared" si="173"/>
        <v>女</v>
      </c>
      <c r="D829" s="2" t="str">
        <f t="shared" si="172"/>
        <v>13</v>
      </c>
      <c r="E829" s="2" t="str">
        <f t="shared" si="174"/>
        <v>外国语学院</v>
      </c>
    </row>
    <row r="830" ht="13.5" hidden="1" spans="1:5">
      <c r="A830" s="2" t="str">
        <f>"李清睿"</f>
        <v>李清睿</v>
      </c>
      <c r="B830" s="2" t="str">
        <f>"B20210903116"</f>
        <v>B20210903116</v>
      </c>
      <c r="C830" s="2" t="str">
        <f t="shared" si="173"/>
        <v>女</v>
      </c>
      <c r="D830" s="2" t="str">
        <f t="shared" si="172"/>
        <v>13</v>
      </c>
      <c r="E830" s="2" t="str">
        <f>"经济与管理学院"</f>
        <v>经济与管理学院</v>
      </c>
    </row>
    <row r="831" ht="13.5" hidden="1" spans="1:5">
      <c r="A831" s="2" t="str">
        <f>"王驭"</f>
        <v>王驭</v>
      </c>
      <c r="B831" s="2" t="str">
        <f>"B20200204217"</f>
        <v>B20200204217</v>
      </c>
      <c r="C831" s="2" t="str">
        <f>"男"</f>
        <v>男</v>
      </c>
      <c r="D831" s="2" t="str">
        <f t="shared" ref="D831:D883" si="175">"13"</f>
        <v>13</v>
      </c>
      <c r="E831" s="2" t="str">
        <f>"机电工程学院"</f>
        <v>机电工程学院</v>
      </c>
    </row>
    <row r="832" ht="13.5" hidden="1" spans="1:5">
      <c r="A832" s="2" t="str">
        <f>"汤子芊"</f>
        <v>汤子芊</v>
      </c>
      <c r="B832" s="2" t="str">
        <f>"B20220904315"</f>
        <v>B20220904315</v>
      </c>
      <c r="C832" s="2" t="str">
        <f>"女"</f>
        <v>女</v>
      </c>
      <c r="D832" s="2" t="str">
        <f t="shared" si="175"/>
        <v>13</v>
      </c>
      <c r="E832" s="2" t="str">
        <f>"经济与管理学院"</f>
        <v>经济与管理学院</v>
      </c>
    </row>
    <row r="833" ht="13.5" hidden="1" spans="1:5">
      <c r="A833" s="2" t="str">
        <f>"赵秋桐"</f>
        <v>赵秋桐</v>
      </c>
      <c r="B833" s="2" t="str">
        <f>"B20221004109"</f>
        <v>B20221004109</v>
      </c>
      <c r="C833" s="2" t="str">
        <f>"女"</f>
        <v>女</v>
      </c>
      <c r="D833" s="2" t="str">
        <f t="shared" si="175"/>
        <v>13</v>
      </c>
      <c r="E833" s="2" t="str">
        <f>"艺术设计学院"</f>
        <v>艺术设计学院</v>
      </c>
    </row>
    <row r="834" ht="13.5" hidden="1" spans="1:5">
      <c r="A834" s="2" t="str">
        <f>"胡轩豪"</f>
        <v>胡轩豪</v>
      </c>
      <c r="B834" s="2" t="str">
        <f>"B20200703301"</f>
        <v>B20200703301</v>
      </c>
      <c r="C834" s="2" t="str">
        <f>"男"</f>
        <v>男</v>
      </c>
      <c r="D834" s="2" t="str">
        <f t="shared" si="175"/>
        <v>13</v>
      </c>
      <c r="E834" s="2" t="str">
        <f>"马栏山新媒体学院"</f>
        <v>马栏山新媒体学院</v>
      </c>
    </row>
    <row r="835" ht="13.5" hidden="1" spans="1:5">
      <c r="A835" s="2" t="str">
        <f>"朱蓉宸"</f>
        <v>朱蓉宸</v>
      </c>
      <c r="B835" s="2" t="str">
        <f>"B20210704122"</f>
        <v>B20210704122</v>
      </c>
      <c r="C835" s="2" t="str">
        <f t="shared" ref="C835:C840" si="176">"女"</f>
        <v>女</v>
      </c>
      <c r="D835" s="2" t="str">
        <f t="shared" si="175"/>
        <v>13</v>
      </c>
      <c r="E835" s="2" t="str">
        <f>"马栏山新媒体学院"</f>
        <v>马栏山新媒体学院</v>
      </c>
    </row>
    <row r="836" ht="13.5" hidden="1" spans="1:5">
      <c r="A836" s="2" t="str">
        <f>"周模豪"</f>
        <v>周模豪</v>
      </c>
      <c r="B836" s="2" t="str">
        <f>"B20210202110"</f>
        <v>B20210202110</v>
      </c>
      <c r="C836" s="2" t="str">
        <f>"男"</f>
        <v>男</v>
      </c>
      <c r="D836" s="2" t="str">
        <f t="shared" si="175"/>
        <v>13</v>
      </c>
      <c r="E836" s="2" t="str">
        <f>"机电工程学院"</f>
        <v>机电工程学院</v>
      </c>
    </row>
    <row r="837" ht="13.5" hidden="1" spans="1:5">
      <c r="A837" s="2" t="str">
        <f>"罗丹"</f>
        <v>罗丹</v>
      </c>
      <c r="B837" s="2" t="str">
        <f>"B20210102213"</f>
        <v>B20210102213</v>
      </c>
      <c r="C837" s="2" t="str">
        <f t="shared" si="176"/>
        <v>女</v>
      </c>
      <c r="D837" s="2" t="str">
        <f t="shared" si="175"/>
        <v>13</v>
      </c>
      <c r="E837" s="2" t="str">
        <f>"土木工程学院"</f>
        <v>土木工程学院</v>
      </c>
    </row>
    <row r="838" ht="13.5" hidden="1" spans="1:5">
      <c r="A838" s="2" t="str">
        <f>"何柳娴"</f>
        <v>何柳娴</v>
      </c>
      <c r="B838" s="2" t="str">
        <f>"B20200901202"</f>
        <v>B20200901202</v>
      </c>
      <c r="C838" s="2" t="str">
        <f t="shared" si="176"/>
        <v>女</v>
      </c>
      <c r="D838" s="2" t="str">
        <f t="shared" si="175"/>
        <v>13</v>
      </c>
      <c r="E838" s="2" t="str">
        <f>"经济与管理学院"</f>
        <v>经济与管理学院</v>
      </c>
    </row>
    <row r="839" ht="13.5" hidden="1" spans="1:5">
      <c r="A839" s="2" t="str">
        <f>"陈思宇"</f>
        <v>陈思宇</v>
      </c>
      <c r="B839" s="2" t="str">
        <f>"B20231301235"</f>
        <v>B20231301235</v>
      </c>
      <c r="C839" s="2" t="str">
        <f t="shared" si="176"/>
        <v>女</v>
      </c>
      <c r="D839" s="2" t="str">
        <f t="shared" si="175"/>
        <v>13</v>
      </c>
      <c r="E839" s="2" t="str">
        <f>"材料与环境工程学院"</f>
        <v>材料与环境工程学院</v>
      </c>
    </row>
    <row r="840" ht="13.5" hidden="1" spans="1:5">
      <c r="A840" s="2" t="str">
        <f>"薛晨琳"</f>
        <v>薛晨琳</v>
      </c>
      <c r="B840" s="2" t="str">
        <f>"B20220802234"</f>
        <v>B20220802234</v>
      </c>
      <c r="C840" s="2" t="str">
        <f t="shared" si="176"/>
        <v>女</v>
      </c>
      <c r="D840" s="2" t="str">
        <f t="shared" si="175"/>
        <v>13</v>
      </c>
      <c r="E840" s="2" t="str">
        <f>"外国语学院"</f>
        <v>外国语学院</v>
      </c>
    </row>
    <row r="841" ht="13.5" hidden="1" spans="1:5">
      <c r="A841" s="2" t="str">
        <f>"唐晖洋"</f>
        <v>唐晖洋</v>
      </c>
      <c r="B841" s="2" t="str">
        <f>"B20200501104"</f>
        <v>B20200501104</v>
      </c>
      <c r="C841" s="2" t="str">
        <f t="shared" ref="C841:C847" si="177">"男"</f>
        <v>男</v>
      </c>
      <c r="D841" s="2" t="str">
        <f t="shared" si="175"/>
        <v>13</v>
      </c>
      <c r="E841" s="2" t="str">
        <f>"生物与环境工程学院"</f>
        <v>生物与环境工程学院</v>
      </c>
    </row>
    <row r="842" ht="13.5" hidden="1" spans="1:5">
      <c r="A842" s="2" t="str">
        <f>"田江昊"</f>
        <v>田江昊</v>
      </c>
      <c r="B842" s="2" t="str">
        <f>"B20220904133"</f>
        <v>B20220904133</v>
      </c>
      <c r="C842" s="2" t="str">
        <f t="shared" si="177"/>
        <v>男</v>
      </c>
      <c r="D842" s="2" t="str">
        <f t="shared" si="175"/>
        <v>13</v>
      </c>
      <c r="E842" s="2" t="str">
        <f>"经济与管理学院"</f>
        <v>经济与管理学院</v>
      </c>
    </row>
    <row r="843" ht="13.5" hidden="1" spans="1:5">
      <c r="A843" s="2" t="str">
        <f>"王涛"</f>
        <v>王涛</v>
      </c>
      <c r="B843" s="2" t="str">
        <f>"B20220403206"</f>
        <v>B20220403206</v>
      </c>
      <c r="C843" s="2" t="str">
        <f t="shared" si="177"/>
        <v>男</v>
      </c>
      <c r="D843" s="2" t="str">
        <f t="shared" si="175"/>
        <v>13</v>
      </c>
      <c r="E843" s="2" t="str">
        <f>"电子信息与电气工程学院"</f>
        <v>电子信息与电气工程学院</v>
      </c>
    </row>
    <row r="844" ht="13.5" hidden="1" spans="1:5">
      <c r="A844" s="2" t="str">
        <f>"潘铉宸"</f>
        <v>潘铉宸</v>
      </c>
      <c r="B844" s="2" t="str">
        <f>"B20200103131"</f>
        <v>B20200103131</v>
      </c>
      <c r="C844" s="2" t="str">
        <f t="shared" si="177"/>
        <v>男</v>
      </c>
      <c r="D844" s="2" t="str">
        <f t="shared" si="175"/>
        <v>13</v>
      </c>
      <c r="E844" s="2" t="str">
        <f>"土木工程学院"</f>
        <v>土木工程学院</v>
      </c>
    </row>
    <row r="845" ht="13.5" hidden="1" spans="1:5">
      <c r="A845" s="2" t="str">
        <f>"王逸聪"</f>
        <v>王逸聪</v>
      </c>
      <c r="B845" s="2" t="str">
        <f>"B20200903222"</f>
        <v>B20200903222</v>
      </c>
      <c r="C845" s="2" t="str">
        <f t="shared" si="177"/>
        <v>男</v>
      </c>
      <c r="D845" s="2" t="str">
        <f t="shared" si="175"/>
        <v>13</v>
      </c>
      <c r="E845" s="2" t="str">
        <f>"经济与管理学院"</f>
        <v>经济与管理学院</v>
      </c>
    </row>
    <row r="846" ht="13.5" hidden="1" spans="1:5">
      <c r="A846" s="2" t="str">
        <f>"胡天雨"</f>
        <v>胡天雨</v>
      </c>
      <c r="B846" s="2" t="str">
        <f>"B20230201434"</f>
        <v>B20230201434</v>
      </c>
      <c r="C846" s="2" t="str">
        <f t="shared" si="177"/>
        <v>男</v>
      </c>
      <c r="D846" s="2" t="str">
        <f t="shared" si="175"/>
        <v>13</v>
      </c>
      <c r="E846" s="2" t="str">
        <f>"机电工程学院"</f>
        <v>机电工程学院</v>
      </c>
    </row>
    <row r="847" ht="13.5" hidden="1" spans="1:5">
      <c r="A847" s="2" t="str">
        <f>"李智锐"</f>
        <v>李智锐</v>
      </c>
      <c r="B847" s="2" t="str">
        <f>"B20200103205"</f>
        <v>B20200103205</v>
      </c>
      <c r="C847" s="2" t="str">
        <f t="shared" si="177"/>
        <v>男</v>
      </c>
      <c r="D847" s="2" t="str">
        <f t="shared" si="175"/>
        <v>13</v>
      </c>
      <c r="E847" s="2" t="str">
        <f>"土木工程学院"</f>
        <v>土木工程学院</v>
      </c>
    </row>
    <row r="848" ht="13.5" hidden="1" spans="1:5">
      <c r="A848" s="2" t="str">
        <f>"魏心怡"</f>
        <v>魏心怡</v>
      </c>
      <c r="B848" s="2" t="str">
        <f>"B20231101328"</f>
        <v>B20231101328</v>
      </c>
      <c r="C848" s="2" t="str">
        <f t="shared" ref="C848:C856" si="178">"女"</f>
        <v>女</v>
      </c>
      <c r="D848" s="2" t="str">
        <f t="shared" si="175"/>
        <v>13</v>
      </c>
      <c r="E848" s="2" t="str">
        <f>"音乐学院"</f>
        <v>音乐学院</v>
      </c>
    </row>
    <row r="849" ht="13.5" hidden="1" spans="1:5">
      <c r="A849" s="2" t="str">
        <f>"彭望"</f>
        <v>彭望</v>
      </c>
      <c r="B849" s="2" t="str">
        <f>"B20220401425"</f>
        <v>B20220401425</v>
      </c>
      <c r="C849" s="2" t="str">
        <f>"男"</f>
        <v>男</v>
      </c>
      <c r="D849" s="2" t="str">
        <f t="shared" si="175"/>
        <v>13</v>
      </c>
      <c r="E849" s="2" t="str">
        <f>"电子信息与电气工程学院"</f>
        <v>电子信息与电气工程学院</v>
      </c>
    </row>
    <row r="850" ht="13.5" hidden="1" spans="1:5">
      <c r="A850" s="2" t="str">
        <f>"姚朔飞"</f>
        <v>姚朔飞</v>
      </c>
      <c r="B850" s="2" t="str">
        <f>"B20210202129"</f>
        <v>B20210202129</v>
      </c>
      <c r="C850" s="2" t="str">
        <f>"男"</f>
        <v>男</v>
      </c>
      <c r="D850" s="2" t="str">
        <f t="shared" si="175"/>
        <v>13</v>
      </c>
      <c r="E850" s="2" t="str">
        <f>"机电工程学院"</f>
        <v>机电工程学院</v>
      </c>
    </row>
    <row r="851" ht="13.5" hidden="1" spans="1:5">
      <c r="A851" s="2" t="str">
        <f>"旷晴"</f>
        <v>旷晴</v>
      </c>
      <c r="B851" s="2" t="str">
        <f>"B20230901126"</f>
        <v>B20230901126</v>
      </c>
      <c r="C851" s="2" t="str">
        <f t="shared" si="178"/>
        <v>女</v>
      </c>
      <c r="D851" s="2" t="str">
        <f t="shared" si="175"/>
        <v>13</v>
      </c>
      <c r="E851" s="2" t="str">
        <f>"经济与管理学院"</f>
        <v>经济与管理学院</v>
      </c>
    </row>
    <row r="852" ht="13.5" hidden="1" spans="1:5">
      <c r="A852" s="2" t="str">
        <f>"田苗苗"</f>
        <v>田苗苗</v>
      </c>
      <c r="B852" s="2" t="str">
        <f>"B20230801103"</f>
        <v>B20230801103</v>
      </c>
      <c r="C852" s="2" t="str">
        <f t="shared" si="178"/>
        <v>女</v>
      </c>
      <c r="D852" s="2" t="str">
        <f t="shared" si="175"/>
        <v>13</v>
      </c>
      <c r="E852" s="2" t="str">
        <f>"外国语学院"</f>
        <v>外国语学院</v>
      </c>
    </row>
    <row r="853" ht="13.5" hidden="1" spans="1:5">
      <c r="A853" s="2" t="str">
        <f>"苏焕意"</f>
        <v>苏焕意</v>
      </c>
      <c r="B853" s="2" t="str">
        <f>"B20201002218"</f>
        <v>B20201002218</v>
      </c>
      <c r="C853" s="2" t="str">
        <f t="shared" si="178"/>
        <v>女</v>
      </c>
      <c r="D853" s="2" t="str">
        <f t="shared" si="175"/>
        <v>13</v>
      </c>
      <c r="E853" s="2" t="str">
        <f>"艺术设计学院"</f>
        <v>艺术设计学院</v>
      </c>
    </row>
    <row r="854" ht="13.5" hidden="1" spans="1:5">
      <c r="A854" s="2" t="str">
        <f>"马静雪"</f>
        <v>马静雪</v>
      </c>
      <c r="B854" s="2" t="str">
        <f>"B20230601231"</f>
        <v>B20230601231</v>
      </c>
      <c r="C854" s="2" t="str">
        <f t="shared" si="178"/>
        <v>女</v>
      </c>
      <c r="D854" s="2" t="str">
        <f t="shared" si="175"/>
        <v>13</v>
      </c>
      <c r="E854" s="2" t="str">
        <f>"法学院"</f>
        <v>法学院</v>
      </c>
    </row>
    <row r="855" ht="13.5" hidden="1" spans="1:5">
      <c r="A855" s="2" t="str">
        <f>"赵于瑶"</f>
        <v>赵于瑶</v>
      </c>
      <c r="B855" s="2" t="str">
        <f>"B20230704414"</f>
        <v>B20230704414</v>
      </c>
      <c r="C855" s="2" t="str">
        <f t="shared" si="178"/>
        <v>女</v>
      </c>
      <c r="D855" s="2" t="str">
        <f t="shared" si="175"/>
        <v>13</v>
      </c>
      <c r="E855" s="2" t="str">
        <f>"马栏山新媒体学院"</f>
        <v>马栏山新媒体学院</v>
      </c>
    </row>
    <row r="856" ht="13.5" hidden="1" spans="1:5">
      <c r="A856" s="2" t="str">
        <f>"黄晓"</f>
        <v>黄晓</v>
      </c>
      <c r="B856" s="2" t="str">
        <f>"B20230704112"</f>
        <v>B20230704112</v>
      </c>
      <c r="C856" s="2" t="str">
        <f t="shared" si="178"/>
        <v>女</v>
      </c>
      <c r="D856" s="2" t="str">
        <f t="shared" si="175"/>
        <v>13</v>
      </c>
      <c r="E856" s="2" t="str">
        <f>"马栏山新媒体学院"</f>
        <v>马栏山新媒体学院</v>
      </c>
    </row>
    <row r="857" ht="13.5" hidden="1" spans="1:5">
      <c r="A857" s="2" t="str">
        <f>"谷丰"</f>
        <v>谷丰</v>
      </c>
      <c r="B857" s="2" t="str">
        <f>"B20231004202"</f>
        <v>B20231004202</v>
      </c>
      <c r="C857" s="2" t="str">
        <f>"男"</f>
        <v>男</v>
      </c>
      <c r="D857" s="2" t="str">
        <f t="shared" si="175"/>
        <v>13</v>
      </c>
      <c r="E857" s="2" t="str">
        <f>"艺术设计学院"</f>
        <v>艺术设计学院</v>
      </c>
    </row>
    <row r="858" ht="13.5" hidden="1" spans="1:5">
      <c r="A858" s="2" t="str">
        <f>"赵子龙"</f>
        <v>赵子龙</v>
      </c>
      <c r="B858" s="2" t="str">
        <f>"B20200505118"</f>
        <v>B20200505118</v>
      </c>
      <c r="C858" s="2" t="str">
        <f>"男"</f>
        <v>男</v>
      </c>
      <c r="D858" s="2" t="str">
        <f t="shared" si="175"/>
        <v>13</v>
      </c>
      <c r="E858" s="2" t="str">
        <f>"生物与环境工程学院"</f>
        <v>生物与环境工程学院</v>
      </c>
    </row>
    <row r="859" ht="13.5" hidden="1" spans="1:5">
      <c r="A859" s="2" t="str">
        <f>"黄宇娇"</f>
        <v>黄宇娇</v>
      </c>
      <c r="B859" s="2" t="str">
        <f>"B20230801314"</f>
        <v>B20230801314</v>
      </c>
      <c r="C859" s="2" t="str">
        <f t="shared" ref="C859:C864" si="179">"女"</f>
        <v>女</v>
      </c>
      <c r="D859" s="2" t="str">
        <f t="shared" si="175"/>
        <v>13</v>
      </c>
      <c r="E859" s="2" t="str">
        <f>"外国语学院"</f>
        <v>外国语学院</v>
      </c>
    </row>
    <row r="860" ht="13.5" hidden="1" spans="1:5">
      <c r="A860" s="2" t="str">
        <f>"蒋海花"</f>
        <v>蒋海花</v>
      </c>
      <c r="B860" s="2" t="str">
        <f>"B20230504112"</f>
        <v>B20230504112</v>
      </c>
      <c r="C860" s="2" t="str">
        <f t="shared" si="179"/>
        <v>女</v>
      </c>
      <c r="D860" s="2" t="str">
        <f t="shared" si="175"/>
        <v>13</v>
      </c>
      <c r="E860" s="2" t="str">
        <f>"生物与化学工程学院"</f>
        <v>生物与化学工程学院</v>
      </c>
    </row>
    <row r="861" ht="13.5" hidden="1" spans="1:5">
      <c r="A861" s="2" t="str">
        <f>"杨媛媛"</f>
        <v>杨媛媛</v>
      </c>
      <c r="B861" s="2" t="str">
        <f>"B20200703218"</f>
        <v>B20200703218</v>
      </c>
      <c r="C861" s="2" t="str">
        <f t="shared" si="179"/>
        <v>女</v>
      </c>
      <c r="D861" s="2" t="str">
        <f t="shared" si="175"/>
        <v>13</v>
      </c>
      <c r="E861" s="2" t="str">
        <f>"马栏山新媒体学院"</f>
        <v>马栏山新媒体学院</v>
      </c>
    </row>
    <row r="862" ht="13.5" hidden="1" spans="1:5">
      <c r="A862" s="2" t="str">
        <f>"阳素琰"</f>
        <v>阳素琰</v>
      </c>
      <c r="B862" s="2" t="str">
        <f>"B20210202212"</f>
        <v>B20210202212</v>
      </c>
      <c r="C862" s="2" t="str">
        <f t="shared" si="179"/>
        <v>女</v>
      </c>
      <c r="D862" s="2" t="str">
        <f t="shared" si="175"/>
        <v>13</v>
      </c>
      <c r="E862" s="2" t="str">
        <f>"机电工程学院"</f>
        <v>机电工程学院</v>
      </c>
    </row>
    <row r="863" ht="13.5" hidden="1" spans="1:5">
      <c r="A863" s="2" t="str">
        <f>"朱靖琳"</f>
        <v>朱靖琳</v>
      </c>
      <c r="B863" s="2" t="str">
        <f>"B20210801317"</f>
        <v>B20210801317</v>
      </c>
      <c r="C863" s="2" t="str">
        <f t="shared" si="179"/>
        <v>女</v>
      </c>
      <c r="D863" s="2" t="str">
        <f t="shared" si="175"/>
        <v>13</v>
      </c>
      <c r="E863" s="2" t="str">
        <f>"外国语学院"</f>
        <v>外国语学院</v>
      </c>
    </row>
    <row r="864" ht="13.5" hidden="1" spans="1:5">
      <c r="A864" s="2" t="str">
        <f>"盛佳"</f>
        <v>盛佳</v>
      </c>
      <c r="B864" s="2" t="str">
        <f>"B20220504120"</f>
        <v>B20220504120</v>
      </c>
      <c r="C864" s="2" t="str">
        <f t="shared" si="179"/>
        <v>女</v>
      </c>
      <c r="D864" s="2" t="str">
        <f t="shared" si="175"/>
        <v>13</v>
      </c>
      <c r="E864" s="2" t="str">
        <f>"生物与化学工程学院"</f>
        <v>生物与化学工程学院</v>
      </c>
    </row>
    <row r="865" ht="13.5" hidden="1" spans="1:5">
      <c r="A865" s="2" t="str">
        <f>"刘雄"</f>
        <v>刘雄</v>
      </c>
      <c r="B865" s="2" t="str">
        <f>"B20230201404"</f>
        <v>B20230201404</v>
      </c>
      <c r="C865" s="2" t="str">
        <f>"男"</f>
        <v>男</v>
      </c>
      <c r="D865" s="2" t="str">
        <f t="shared" si="175"/>
        <v>13</v>
      </c>
      <c r="E865" s="2" t="str">
        <f>"机电工程学院"</f>
        <v>机电工程学院</v>
      </c>
    </row>
    <row r="866" ht="13.5" hidden="1" spans="1:5">
      <c r="A866" s="2" t="str">
        <f>"昌思慧"</f>
        <v>昌思慧</v>
      </c>
      <c r="B866" s="2" t="str">
        <f>"B20200901212"</f>
        <v>B20200901212</v>
      </c>
      <c r="C866" s="2" t="str">
        <f>"女"</f>
        <v>女</v>
      </c>
      <c r="D866" s="2" t="str">
        <f t="shared" si="175"/>
        <v>13</v>
      </c>
      <c r="E866" s="2" t="str">
        <f>"外国语学院"</f>
        <v>外国语学院</v>
      </c>
    </row>
    <row r="867" ht="13.5" hidden="1" spans="1:5">
      <c r="A867" s="2" t="str">
        <f>"彭继森"</f>
        <v>彭继森</v>
      </c>
      <c r="B867" s="2" t="str">
        <f>"B20230802224"</f>
        <v>B20230802224</v>
      </c>
      <c r="C867" s="2" t="str">
        <f>"男"</f>
        <v>男</v>
      </c>
      <c r="D867" s="2" t="str">
        <f t="shared" si="175"/>
        <v>13</v>
      </c>
      <c r="E867" s="2" t="str">
        <f>"外国语学院"</f>
        <v>外国语学院</v>
      </c>
    </row>
    <row r="868" ht="13.5" hidden="1" spans="1:5">
      <c r="A868" s="2" t="str">
        <f>"潘梦婷"</f>
        <v>潘梦婷</v>
      </c>
      <c r="B868" s="2" t="str">
        <f>"B20220701110"</f>
        <v>B20220701110</v>
      </c>
      <c r="C868" s="2" t="str">
        <f>"女"</f>
        <v>女</v>
      </c>
      <c r="D868" s="2" t="str">
        <f t="shared" si="175"/>
        <v>13</v>
      </c>
      <c r="E868" s="2" t="str">
        <f>"马栏山新媒体学院"</f>
        <v>马栏山新媒体学院</v>
      </c>
    </row>
    <row r="869" ht="13.5" hidden="1" spans="1:5">
      <c r="A869" s="2" t="str">
        <f>"徐子麟"</f>
        <v>徐子麟</v>
      </c>
      <c r="B869" s="2" t="str">
        <f>"B20200204206"</f>
        <v>B20200204206</v>
      </c>
      <c r="C869" s="2" t="str">
        <f>"男"</f>
        <v>男</v>
      </c>
      <c r="D869" s="2" t="str">
        <f t="shared" si="175"/>
        <v>13</v>
      </c>
      <c r="E869" s="2" t="str">
        <f>"机电工程学院"</f>
        <v>机电工程学院</v>
      </c>
    </row>
    <row r="870" ht="13.5" hidden="1" spans="1:5">
      <c r="A870" s="2" t="str">
        <f>"张宇辰"</f>
        <v>张宇辰</v>
      </c>
      <c r="B870" s="2" t="str">
        <f>"B20201101202"</f>
        <v>B20201101202</v>
      </c>
      <c r="C870" s="2" t="str">
        <f>"男"</f>
        <v>男</v>
      </c>
      <c r="D870" s="2" t="str">
        <f t="shared" si="175"/>
        <v>13</v>
      </c>
      <c r="E870" s="2" t="str">
        <f>"音乐学院"</f>
        <v>音乐学院</v>
      </c>
    </row>
    <row r="871" ht="13.5" hidden="1" spans="1:5">
      <c r="A871" s="2" t="str">
        <f>"张一诺"</f>
        <v>张一诺</v>
      </c>
      <c r="B871" s="2" t="str">
        <f>"B20200702132"</f>
        <v>B20200702132</v>
      </c>
      <c r="C871" s="2" t="str">
        <f>"女"</f>
        <v>女</v>
      </c>
      <c r="D871" s="2" t="str">
        <f t="shared" si="175"/>
        <v>13</v>
      </c>
      <c r="E871" s="2" t="str">
        <f>"马栏山新媒体学院"</f>
        <v>马栏山新媒体学院</v>
      </c>
    </row>
    <row r="872" ht="13.5" hidden="1" spans="1:5">
      <c r="A872" s="2" t="str">
        <f>"赵瑞凡"</f>
        <v>赵瑞凡</v>
      </c>
      <c r="B872" s="2" t="str">
        <f>"B20220402313"</f>
        <v>B20220402313</v>
      </c>
      <c r="C872" s="2" t="str">
        <f>"女"</f>
        <v>女</v>
      </c>
      <c r="D872" s="2" t="str">
        <f t="shared" si="175"/>
        <v>13</v>
      </c>
      <c r="E872" s="2" t="str">
        <f>"电子信息与电气工程学院"</f>
        <v>电子信息与电气工程学院</v>
      </c>
    </row>
    <row r="873" ht="13.5" hidden="1" spans="1:5">
      <c r="A873" s="2" t="str">
        <f>"张紫嫣"</f>
        <v>张紫嫣</v>
      </c>
      <c r="B873" s="2" t="str">
        <f>"B20230801106"</f>
        <v>B20230801106</v>
      </c>
      <c r="C873" s="2" t="str">
        <f t="shared" ref="C873:C878" si="180">"女"</f>
        <v>女</v>
      </c>
      <c r="D873" s="2" t="str">
        <f t="shared" si="175"/>
        <v>13</v>
      </c>
      <c r="E873" s="2" t="str">
        <f t="shared" ref="E873:E878" si="181">"外国语学院"</f>
        <v>外国语学院</v>
      </c>
    </row>
    <row r="874" ht="13.5" hidden="1" spans="1:5">
      <c r="A874" s="2" t="str">
        <f>"刘恒"</f>
        <v>刘恒</v>
      </c>
      <c r="B874" s="2" t="str">
        <f>"B20220404129"</f>
        <v>B20220404129</v>
      </c>
      <c r="C874" s="2" t="str">
        <f>"男"</f>
        <v>男</v>
      </c>
      <c r="D874" s="2" t="str">
        <f t="shared" si="175"/>
        <v>13</v>
      </c>
      <c r="E874" s="2" t="str">
        <f>"电子信息与电气工程学院"</f>
        <v>电子信息与电气工程学院</v>
      </c>
    </row>
    <row r="875" ht="13.5" hidden="1" spans="1:5">
      <c r="A875" s="2" t="str">
        <f>"郑凤"</f>
        <v>郑凤</v>
      </c>
      <c r="B875" s="2" t="str">
        <f>"B20210803213"</f>
        <v>B20210803213</v>
      </c>
      <c r="C875" s="2" t="str">
        <f t="shared" si="180"/>
        <v>女</v>
      </c>
      <c r="D875" s="2" t="str">
        <f t="shared" si="175"/>
        <v>13</v>
      </c>
      <c r="E875" s="2" t="str">
        <f t="shared" si="181"/>
        <v>外国语学院</v>
      </c>
    </row>
    <row r="876" ht="13.5" hidden="1" spans="1:5">
      <c r="A876" s="2" t="str">
        <f>"郝孟雨"</f>
        <v>郝孟雨</v>
      </c>
      <c r="B876" s="2" t="str">
        <f>"B20231001222"</f>
        <v>B20231001222</v>
      </c>
      <c r="C876" s="2" t="str">
        <f t="shared" si="180"/>
        <v>女</v>
      </c>
      <c r="D876" s="2" t="str">
        <f t="shared" si="175"/>
        <v>13</v>
      </c>
      <c r="E876" s="2" t="str">
        <f>"艺术设计学院"</f>
        <v>艺术设计学院</v>
      </c>
    </row>
    <row r="877" ht="13.5" hidden="1" spans="1:5">
      <c r="A877" s="2" t="str">
        <f>"王婧蕾"</f>
        <v>王婧蕾</v>
      </c>
      <c r="B877" s="2" t="str">
        <f>"B20220905122"</f>
        <v>B20220905122</v>
      </c>
      <c r="C877" s="2" t="str">
        <f t="shared" si="180"/>
        <v>女</v>
      </c>
      <c r="D877" s="2" t="str">
        <f t="shared" si="175"/>
        <v>13</v>
      </c>
      <c r="E877" s="2" t="str">
        <f>"经济与管理学院"</f>
        <v>经济与管理学院</v>
      </c>
    </row>
    <row r="878" ht="13.5" hidden="1" spans="1:5">
      <c r="A878" s="2" t="str">
        <f>"骆琴"</f>
        <v>骆琴</v>
      </c>
      <c r="B878" s="2" t="str">
        <f>"B20230801205"</f>
        <v>B20230801205</v>
      </c>
      <c r="C878" s="2" t="str">
        <f t="shared" si="180"/>
        <v>女</v>
      </c>
      <c r="D878" s="2" t="str">
        <f t="shared" si="175"/>
        <v>13</v>
      </c>
      <c r="E878" s="2" t="str">
        <f t="shared" si="181"/>
        <v>外国语学院</v>
      </c>
    </row>
    <row r="879" ht="13.5" hidden="1" spans="1:5">
      <c r="A879" s="2" t="str">
        <f>"吴嘉诚"</f>
        <v>吴嘉诚</v>
      </c>
      <c r="B879" s="2" t="str">
        <f>"B20200204135"</f>
        <v>B20200204135</v>
      </c>
      <c r="C879" s="2" t="str">
        <f>"男"</f>
        <v>男</v>
      </c>
      <c r="D879" s="2" t="str">
        <f t="shared" si="175"/>
        <v>13</v>
      </c>
      <c r="E879" s="2" t="str">
        <f>"机电工程学院"</f>
        <v>机电工程学院</v>
      </c>
    </row>
    <row r="880" ht="13.5" hidden="1" spans="1:5">
      <c r="A880" s="2" t="str">
        <f>"李欣颖"</f>
        <v>李欣颖</v>
      </c>
      <c r="B880" s="2" t="str">
        <f>"B20210904305"</f>
        <v>B20210904305</v>
      </c>
      <c r="C880" s="2" t="str">
        <f>"女"</f>
        <v>女</v>
      </c>
      <c r="D880" s="2" t="str">
        <f t="shared" si="175"/>
        <v>13</v>
      </c>
      <c r="E880" s="2" t="str">
        <f>"经济与管理学院"</f>
        <v>经济与管理学院</v>
      </c>
    </row>
    <row r="881" ht="13.5" hidden="1" spans="1:5">
      <c r="A881" s="2" t="str">
        <f>"罗嘉仪"</f>
        <v>罗嘉仪</v>
      </c>
      <c r="B881" s="2" t="str">
        <f>"B20201004114"</f>
        <v>B20201004114</v>
      </c>
      <c r="C881" s="2" t="str">
        <f>"女"</f>
        <v>女</v>
      </c>
      <c r="D881" s="2" t="str">
        <f t="shared" si="175"/>
        <v>13</v>
      </c>
      <c r="E881" s="2" t="str">
        <f>"艺术设计学院"</f>
        <v>艺术设计学院</v>
      </c>
    </row>
    <row r="882" ht="13.5" hidden="1" spans="1:5">
      <c r="A882" s="2" t="str">
        <f>"吴祺炜"</f>
        <v>吴祺炜</v>
      </c>
      <c r="B882" s="2" t="str">
        <f>"B20210503101"</f>
        <v>B20210503101</v>
      </c>
      <c r="C882" s="2" t="str">
        <f>"男"</f>
        <v>男</v>
      </c>
      <c r="D882" s="2" t="str">
        <f t="shared" si="175"/>
        <v>13</v>
      </c>
      <c r="E882" s="2" t="str">
        <f>"材料与环境工程学院"</f>
        <v>材料与环境工程学院</v>
      </c>
    </row>
    <row r="883" ht="13.5" hidden="1" spans="1:5">
      <c r="A883" s="2" t="str">
        <f>"李宗道"</f>
        <v>李宗道</v>
      </c>
      <c r="B883" s="2" t="str">
        <f>"B20200502226"</f>
        <v>B20200502226</v>
      </c>
      <c r="C883" s="2" t="str">
        <f>"男"</f>
        <v>男</v>
      </c>
      <c r="D883" s="2" t="str">
        <f t="shared" si="175"/>
        <v>13</v>
      </c>
      <c r="E883" s="2" t="str">
        <f>"生物与环境工程学院"</f>
        <v>生物与环境工程学院</v>
      </c>
    </row>
    <row r="884" ht="13.5" hidden="1" spans="1:5">
      <c r="A884" s="2" t="str">
        <f>"杨婷"</f>
        <v>杨婷</v>
      </c>
      <c r="B884" s="2" t="str">
        <f>"B20230504217"</f>
        <v>B20230504217</v>
      </c>
      <c r="C884" s="2" t="str">
        <f t="shared" ref="C884:C889" si="182">"女"</f>
        <v>女</v>
      </c>
      <c r="D884" s="2" t="str">
        <f t="shared" ref="D884:D947" si="183">"13"</f>
        <v>13</v>
      </c>
      <c r="E884" s="2" t="str">
        <f>"生物与化学工程学院"</f>
        <v>生物与化学工程学院</v>
      </c>
    </row>
    <row r="885" ht="13.5" hidden="1" spans="1:5">
      <c r="A885" s="2" t="str">
        <f>"卢劲轩"</f>
        <v>卢劲轩</v>
      </c>
      <c r="B885" s="2" t="str">
        <f>"B20220402308"</f>
        <v>B20220402308</v>
      </c>
      <c r="C885" s="2" t="str">
        <f t="shared" ref="C885:C891" si="184">"男"</f>
        <v>男</v>
      </c>
      <c r="D885" s="2" t="str">
        <f t="shared" si="183"/>
        <v>13</v>
      </c>
      <c r="E885" s="2" t="str">
        <f t="shared" ref="E885:E891" si="185">"电子信息与电气工程学院"</f>
        <v>电子信息与电气工程学院</v>
      </c>
    </row>
    <row r="886" ht="13.5" hidden="1" spans="1:5">
      <c r="A886" s="2" t="str">
        <f>"周佳慧"</f>
        <v>周佳慧</v>
      </c>
      <c r="B886" s="2" t="str">
        <f>"B20230202134"</f>
        <v>B20230202134</v>
      </c>
      <c r="C886" s="2" t="str">
        <f t="shared" si="182"/>
        <v>女</v>
      </c>
      <c r="D886" s="2" t="str">
        <f t="shared" si="183"/>
        <v>13</v>
      </c>
      <c r="E886" s="2" t="str">
        <f>"机电工程学院"</f>
        <v>机电工程学院</v>
      </c>
    </row>
    <row r="887" ht="13.5" hidden="1" spans="1:5">
      <c r="A887" s="2" t="str">
        <f>"何文彬"</f>
        <v>何文彬</v>
      </c>
      <c r="B887" s="2" t="str">
        <f>"B20230201326"</f>
        <v>B20230201326</v>
      </c>
      <c r="C887" s="2" t="str">
        <f t="shared" si="184"/>
        <v>男</v>
      </c>
      <c r="D887" s="2" t="str">
        <f t="shared" si="183"/>
        <v>13</v>
      </c>
      <c r="E887" s="2" t="str">
        <f>"机电工程学院"</f>
        <v>机电工程学院</v>
      </c>
    </row>
    <row r="888" ht="13.5" hidden="1" spans="1:5">
      <c r="A888" s="2" t="str">
        <f>"吴颖琪"</f>
        <v>吴颖琪</v>
      </c>
      <c r="B888" s="2" t="str">
        <f>"B20230103207"</f>
        <v>B20230103207</v>
      </c>
      <c r="C888" s="2" t="str">
        <f t="shared" si="182"/>
        <v>女</v>
      </c>
      <c r="D888" s="2" t="str">
        <f t="shared" si="183"/>
        <v>13</v>
      </c>
      <c r="E888" s="2" t="str">
        <f>"土木工程学院"</f>
        <v>土木工程学院</v>
      </c>
    </row>
    <row r="889" ht="13.5" hidden="1" spans="1:5">
      <c r="A889" s="2" t="str">
        <f>"许汝涵"</f>
        <v>许汝涵</v>
      </c>
      <c r="B889" s="2" t="str">
        <f>"B20220401130"</f>
        <v>B20220401130</v>
      </c>
      <c r="C889" s="2" t="str">
        <f t="shared" si="182"/>
        <v>女</v>
      </c>
      <c r="D889" s="2" t="str">
        <f t="shared" si="183"/>
        <v>13</v>
      </c>
      <c r="E889" s="2" t="str">
        <f t="shared" si="185"/>
        <v>电子信息与电气工程学院</v>
      </c>
    </row>
    <row r="890" ht="13.5" hidden="1" spans="1:5">
      <c r="A890" s="2" t="str">
        <f>"陈诚"</f>
        <v>陈诚</v>
      </c>
      <c r="B890" s="2" t="str">
        <f>"B20210405102"</f>
        <v>B20210405102</v>
      </c>
      <c r="C890" s="2" t="str">
        <f t="shared" si="184"/>
        <v>男</v>
      </c>
      <c r="D890" s="2" t="str">
        <f t="shared" si="183"/>
        <v>13</v>
      </c>
      <c r="E890" s="2" t="str">
        <f t="shared" si="185"/>
        <v>电子信息与电气工程学院</v>
      </c>
    </row>
    <row r="891" ht="13.5" hidden="1" spans="1:5">
      <c r="A891" s="2" t="str">
        <f>"王威"</f>
        <v>王威</v>
      </c>
      <c r="B891" s="2" t="str">
        <f>"B20210403114"</f>
        <v>B20210403114</v>
      </c>
      <c r="C891" s="2" t="str">
        <f t="shared" si="184"/>
        <v>男</v>
      </c>
      <c r="D891" s="2" t="str">
        <f t="shared" si="183"/>
        <v>13</v>
      </c>
      <c r="E891" s="2" t="str">
        <f t="shared" si="185"/>
        <v>电子信息与电气工程学院</v>
      </c>
    </row>
    <row r="892" ht="13.5" hidden="1" spans="1:5">
      <c r="A892" s="2" t="str">
        <f>"李凤"</f>
        <v>李凤</v>
      </c>
      <c r="B892" s="2" t="str">
        <f>"B20230701425"</f>
        <v>B20230701425</v>
      </c>
      <c r="C892" s="2" t="str">
        <f t="shared" ref="C892:C895" si="186">"女"</f>
        <v>女</v>
      </c>
      <c r="D892" s="2" t="str">
        <f t="shared" si="183"/>
        <v>13</v>
      </c>
      <c r="E892" s="2" t="str">
        <f t="shared" ref="E892:E897" si="187">"马栏山新媒体学院"</f>
        <v>马栏山新媒体学院</v>
      </c>
    </row>
    <row r="893" ht="13.5" hidden="1" spans="1:5">
      <c r="A893" s="2" t="str">
        <f>"唐晓语"</f>
        <v>唐晓语</v>
      </c>
      <c r="B893" s="2" t="str">
        <f>"B20230502232"</f>
        <v>B20230502232</v>
      </c>
      <c r="C893" s="2" t="str">
        <f t="shared" si="186"/>
        <v>女</v>
      </c>
      <c r="D893" s="2" t="str">
        <f t="shared" si="183"/>
        <v>13</v>
      </c>
      <c r="E893" s="2" t="str">
        <f>"生物与化学工程学院"</f>
        <v>生物与化学工程学院</v>
      </c>
    </row>
    <row r="894" ht="13.5" hidden="1" spans="1:5">
      <c r="A894" s="2" t="str">
        <f>"姚姗"</f>
        <v>姚姗</v>
      </c>
      <c r="B894" s="2" t="str">
        <f>"B20220704324"</f>
        <v>B20220704324</v>
      </c>
      <c r="C894" s="2" t="str">
        <f t="shared" si="186"/>
        <v>女</v>
      </c>
      <c r="D894" s="2" t="str">
        <f t="shared" si="183"/>
        <v>13</v>
      </c>
      <c r="E894" s="2" t="str">
        <f t="shared" si="187"/>
        <v>马栏山新媒体学院</v>
      </c>
    </row>
    <row r="895" ht="13.5" hidden="1" spans="1:5">
      <c r="A895" s="2" t="str">
        <f>"石英安妮"</f>
        <v>石英安妮</v>
      </c>
      <c r="B895" s="2" t="str">
        <f>"B20231302117"</f>
        <v>B20231302117</v>
      </c>
      <c r="C895" s="2" t="str">
        <f t="shared" si="186"/>
        <v>女</v>
      </c>
      <c r="D895" s="2" t="str">
        <f t="shared" si="183"/>
        <v>13</v>
      </c>
      <c r="E895" s="2" t="str">
        <f>"材料与环境工程学院"</f>
        <v>材料与环境工程学院</v>
      </c>
    </row>
    <row r="896" ht="13.5" hidden="1" spans="1:5">
      <c r="A896" s="2" t="str">
        <f>"刘显国"</f>
        <v>刘显国</v>
      </c>
      <c r="B896" s="2" t="str">
        <f>"B20210901315"</f>
        <v>B20210901315</v>
      </c>
      <c r="C896" s="2" t="str">
        <f t="shared" ref="C896:C899" si="188">"男"</f>
        <v>男</v>
      </c>
      <c r="D896" s="2" t="str">
        <f t="shared" si="183"/>
        <v>13</v>
      </c>
      <c r="E896" s="2" t="str">
        <f t="shared" ref="E896:E902" si="189">"经济与管理学院"</f>
        <v>经济与管理学院</v>
      </c>
    </row>
    <row r="897" ht="13.5" hidden="1" spans="1:5">
      <c r="A897" s="2" t="str">
        <f>"蒋红洋"</f>
        <v>蒋红洋</v>
      </c>
      <c r="B897" s="2" t="str">
        <f>"B20220701227"</f>
        <v>B20220701227</v>
      </c>
      <c r="C897" s="2" t="str">
        <f t="shared" si="188"/>
        <v>男</v>
      </c>
      <c r="D897" s="2" t="str">
        <f t="shared" si="183"/>
        <v>13</v>
      </c>
      <c r="E897" s="2" t="str">
        <f t="shared" si="187"/>
        <v>马栏山新媒体学院</v>
      </c>
    </row>
    <row r="898" ht="13.5" hidden="1" spans="1:5">
      <c r="A898" s="2" t="str">
        <f>"吴家威"</f>
        <v>吴家威</v>
      </c>
      <c r="B898" s="2" t="str">
        <f>"B20220904316"</f>
        <v>B20220904316</v>
      </c>
      <c r="C898" s="2" t="str">
        <f t="shared" si="188"/>
        <v>男</v>
      </c>
      <c r="D898" s="2" t="str">
        <f t="shared" si="183"/>
        <v>13</v>
      </c>
      <c r="E898" s="2" t="str">
        <f t="shared" si="189"/>
        <v>经济与管理学院</v>
      </c>
    </row>
    <row r="899" ht="13.5" hidden="1" spans="1:5">
      <c r="A899" s="2" t="str">
        <f>"李潇"</f>
        <v>李潇</v>
      </c>
      <c r="B899" s="2" t="str">
        <f>"B20200404113"</f>
        <v>B20200404113</v>
      </c>
      <c r="C899" s="2" t="str">
        <f t="shared" si="188"/>
        <v>男</v>
      </c>
      <c r="D899" s="2" t="str">
        <f t="shared" si="183"/>
        <v>13</v>
      </c>
      <c r="E899" s="2" t="str">
        <f>"电子信息与电气工程学院"</f>
        <v>电子信息与电气工程学院</v>
      </c>
    </row>
    <row r="900" ht="13.5" hidden="1" spans="1:5">
      <c r="A900" s="2" t="str">
        <f>"周心如"</f>
        <v>周心如</v>
      </c>
      <c r="B900" s="2" t="str">
        <f>"B20220801513"</f>
        <v>B20220801513</v>
      </c>
      <c r="C900" s="2" t="str">
        <f t="shared" ref="C900:C905" si="190">"女"</f>
        <v>女</v>
      </c>
      <c r="D900" s="2" t="str">
        <f t="shared" si="183"/>
        <v>13</v>
      </c>
      <c r="E900" s="2" t="str">
        <f>"外国语学院"</f>
        <v>外国语学院</v>
      </c>
    </row>
    <row r="901" ht="13.5" hidden="1" spans="1:5">
      <c r="A901" s="2" t="str">
        <f>"王怡文"</f>
        <v>王怡文</v>
      </c>
      <c r="B901" s="2" t="str">
        <f>"B20230902137"</f>
        <v>B20230902137</v>
      </c>
      <c r="C901" s="2" t="str">
        <f t="shared" si="190"/>
        <v>女</v>
      </c>
      <c r="D901" s="2" t="str">
        <f t="shared" si="183"/>
        <v>13</v>
      </c>
      <c r="E901" s="2" t="str">
        <f t="shared" si="189"/>
        <v>经济与管理学院</v>
      </c>
    </row>
    <row r="902" ht="13.5" hidden="1" spans="1:5">
      <c r="A902" s="2" t="str">
        <f>"谷俊"</f>
        <v>谷俊</v>
      </c>
      <c r="B902" s="2" t="str">
        <f>"B20200901229"</f>
        <v>B20200901229</v>
      </c>
      <c r="C902" s="2" t="str">
        <f t="shared" ref="C902:C906" si="191">"男"</f>
        <v>男</v>
      </c>
      <c r="D902" s="2" t="str">
        <f t="shared" si="183"/>
        <v>13</v>
      </c>
      <c r="E902" s="2" t="str">
        <f t="shared" si="189"/>
        <v>经济与管理学院</v>
      </c>
    </row>
    <row r="903" ht="13.5" hidden="1" spans="1:5">
      <c r="A903" s="2" t="str">
        <f>"陈沐阳"</f>
        <v>陈沐阳</v>
      </c>
      <c r="B903" s="2" t="str">
        <f>"B20230201129"</f>
        <v>B20230201129</v>
      </c>
      <c r="C903" s="2" t="str">
        <f t="shared" si="191"/>
        <v>男</v>
      </c>
      <c r="D903" s="2" t="str">
        <f t="shared" si="183"/>
        <v>13</v>
      </c>
      <c r="E903" s="2" t="str">
        <f>"机电工程学院"</f>
        <v>机电工程学院</v>
      </c>
    </row>
    <row r="904" ht="13.5" hidden="1" spans="1:5">
      <c r="A904" s="2" t="str">
        <f>"尹丽"</f>
        <v>尹丽</v>
      </c>
      <c r="B904" s="2" t="str">
        <f>"B20220405103"</f>
        <v>B20220405103</v>
      </c>
      <c r="C904" s="2" t="str">
        <f t="shared" si="190"/>
        <v>女</v>
      </c>
      <c r="D904" s="2" t="str">
        <f t="shared" si="183"/>
        <v>13</v>
      </c>
      <c r="E904" s="2" t="str">
        <f>"电子信息与电气工程学院"</f>
        <v>电子信息与电气工程学院</v>
      </c>
    </row>
    <row r="905" ht="13.5" hidden="1" spans="1:5">
      <c r="A905" s="2" t="str">
        <f>"张倩"</f>
        <v>张倩</v>
      </c>
      <c r="B905" s="2" t="str">
        <f>"B20200404104"</f>
        <v>B20200404104</v>
      </c>
      <c r="C905" s="2" t="str">
        <f t="shared" si="190"/>
        <v>女</v>
      </c>
      <c r="D905" s="2" t="str">
        <f t="shared" si="183"/>
        <v>13</v>
      </c>
      <c r="E905" s="2" t="str">
        <f>"电子信息与电气工程学院"</f>
        <v>电子信息与电气工程学院</v>
      </c>
    </row>
    <row r="906" ht="13.5" hidden="1" spans="1:5">
      <c r="A906" s="2" t="str">
        <f>"陈海鑫"</f>
        <v>陈海鑫</v>
      </c>
      <c r="B906" s="2" t="str">
        <f>"B20220201128"</f>
        <v>B20220201128</v>
      </c>
      <c r="C906" s="2" t="str">
        <f t="shared" si="191"/>
        <v>男</v>
      </c>
      <c r="D906" s="2" t="str">
        <f t="shared" si="183"/>
        <v>13</v>
      </c>
      <c r="E906" s="2" t="str">
        <f>"机电工程学院"</f>
        <v>机电工程学院</v>
      </c>
    </row>
    <row r="907" ht="13.5" hidden="1" spans="1:5">
      <c r="A907" s="2" t="str">
        <f>"殷美妮"</f>
        <v>殷美妮</v>
      </c>
      <c r="B907" s="2" t="str">
        <f>"B20230801424"</f>
        <v>B20230801424</v>
      </c>
      <c r="C907" s="2" t="str">
        <f t="shared" ref="C907:C909" si="192">"女"</f>
        <v>女</v>
      </c>
      <c r="D907" s="2" t="str">
        <f t="shared" si="183"/>
        <v>13</v>
      </c>
      <c r="E907" s="2" t="str">
        <f>"外国语学院"</f>
        <v>外国语学院</v>
      </c>
    </row>
    <row r="908" ht="13.5" hidden="1" spans="1:5">
      <c r="A908" s="2" t="str">
        <f>"柏薇"</f>
        <v>柏薇</v>
      </c>
      <c r="B908" s="2" t="str">
        <f>"B20230901217"</f>
        <v>B20230901217</v>
      </c>
      <c r="C908" s="2" t="str">
        <f t="shared" si="192"/>
        <v>女</v>
      </c>
      <c r="D908" s="2" t="str">
        <f t="shared" si="183"/>
        <v>13</v>
      </c>
      <c r="E908" s="2" t="str">
        <f>"经济与管理学院"</f>
        <v>经济与管理学院</v>
      </c>
    </row>
    <row r="909" ht="13.5" hidden="1" spans="1:5">
      <c r="A909" s="2" t="str">
        <f>"雍嘉俐"</f>
        <v>雍嘉俐</v>
      </c>
      <c r="B909" s="2" t="str">
        <f>"B20230704218"</f>
        <v>B20230704218</v>
      </c>
      <c r="C909" s="2" t="str">
        <f t="shared" si="192"/>
        <v>女</v>
      </c>
      <c r="D909" s="2" t="str">
        <f t="shared" si="183"/>
        <v>13</v>
      </c>
      <c r="E909" s="2" t="str">
        <f>"马栏山新媒体学院"</f>
        <v>马栏山新媒体学院</v>
      </c>
    </row>
    <row r="910" ht="13.5" hidden="1" spans="1:5">
      <c r="A910" s="2" t="str">
        <f>"林毓夫"</f>
        <v>林毓夫</v>
      </c>
      <c r="B910" s="2" t="str">
        <f>"B20231401204"</f>
        <v>B20231401204</v>
      </c>
      <c r="C910" s="2" t="str">
        <f>"男"</f>
        <v>男</v>
      </c>
      <c r="D910" s="2" t="str">
        <f t="shared" si="183"/>
        <v>13</v>
      </c>
      <c r="E910" s="2" t="str">
        <f>"马克思主义学院"</f>
        <v>马克思主义学院</v>
      </c>
    </row>
    <row r="911" ht="13.5" hidden="1" spans="1:5">
      <c r="A911" s="2" t="str">
        <f>"罗逸倩"</f>
        <v>罗逸倩</v>
      </c>
      <c r="B911" s="2" t="str">
        <f>"B20230101509"</f>
        <v>B20230101509</v>
      </c>
      <c r="C911" s="2" t="str">
        <f t="shared" ref="C911:C914" si="193">"女"</f>
        <v>女</v>
      </c>
      <c r="D911" s="2" t="str">
        <f t="shared" si="183"/>
        <v>13</v>
      </c>
      <c r="E911" s="2" t="str">
        <f>"土木工程学院"</f>
        <v>土木工程学院</v>
      </c>
    </row>
    <row r="912" ht="13.5" hidden="1" spans="1:5">
      <c r="A912" s="2" t="str">
        <f>"马亚冰"</f>
        <v>马亚冰</v>
      </c>
      <c r="B912" s="2" t="str">
        <f>"B20220901211"</f>
        <v>B20220901211</v>
      </c>
      <c r="C912" s="2" t="str">
        <f t="shared" si="193"/>
        <v>女</v>
      </c>
      <c r="D912" s="2" t="str">
        <f t="shared" si="183"/>
        <v>13</v>
      </c>
      <c r="E912" s="2" t="str">
        <f>"经济与管理学院"</f>
        <v>经济与管理学院</v>
      </c>
    </row>
    <row r="913" ht="13.5" hidden="1" spans="1:5">
      <c r="A913" s="2" t="str">
        <f>"张坤"</f>
        <v>张坤</v>
      </c>
      <c r="B913" s="2" t="str">
        <f>"B20231302304"</f>
        <v>B20231302304</v>
      </c>
      <c r="C913" s="2" t="str">
        <f>"男"</f>
        <v>男</v>
      </c>
      <c r="D913" s="2" t="str">
        <f t="shared" si="183"/>
        <v>13</v>
      </c>
      <c r="E913" s="2" t="str">
        <f>"材料与环境工程学院"</f>
        <v>材料与环境工程学院</v>
      </c>
    </row>
    <row r="914" ht="13.5" hidden="1" spans="1:5">
      <c r="A914" s="2" t="str">
        <f>"谢思杭"</f>
        <v>谢思杭</v>
      </c>
      <c r="B914" s="2" t="str">
        <f>"B20210505204"</f>
        <v>B20210505204</v>
      </c>
      <c r="C914" s="2" t="str">
        <f t="shared" si="193"/>
        <v>女</v>
      </c>
      <c r="D914" s="2" t="str">
        <f t="shared" si="183"/>
        <v>13</v>
      </c>
      <c r="E914" s="2" t="str">
        <f>"材料与环境工程学院"</f>
        <v>材料与环境工程学院</v>
      </c>
    </row>
    <row r="915" ht="13.5" hidden="1" spans="1:5">
      <c r="A915" s="2" t="str">
        <f>"张婧婷"</f>
        <v>张婧婷</v>
      </c>
      <c r="B915" s="2" t="str">
        <f>"B20201001211"</f>
        <v>B20201001211</v>
      </c>
      <c r="C915" s="2" t="str">
        <f t="shared" ref="C915:C921" si="194">"女"</f>
        <v>女</v>
      </c>
      <c r="D915" s="2" t="str">
        <f t="shared" si="183"/>
        <v>13</v>
      </c>
      <c r="E915" s="2" t="str">
        <f>"艺术设计学院"</f>
        <v>艺术设计学院</v>
      </c>
    </row>
    <row r="916" ht="13.5" hidden="1" spans="1:5">
      <c r="A916" s="2" t="str">
        <f>"谢州"</f>
        <v>谢州</v>
      </c>
      <c r="B916" s="2" t="str">
        <f>"B20200202108"</f>
        <v>B20200202108</v>
      </c>
      <c r="C916" s="2" t="str">
        <f>"男"</f>
        <v>男</v>
      </c>
      <c r="D916" s="2" t="str">
        <f t="shared" si="183"/>
        <v>13</v>
      </c>
      <c r="E916" s="2" t="str">
        <f>"机电工程学院"</f>
        <v>机电工程学院</v>
      </c>
    </row>
    <row r="917" ht="13.5" hidden="1" spans="1:5">
      <c r="A917" s="2" t="str">
        <f>"林川"</f>
        <v>林川</v>
      </c>
      <c r="B917" s="2" t="str">
        <f>"B20230502125"</f>
        <v>B20230502125</v>
      </c>
      <c r="C917" s="2" t="str">
        <f t="shared" si="194"/>
        <v>女</v>
      </c>
      <c r="D917" s="2" t="str">
        <f t="shared" si="183"/>
        <v>13</v>
      </c>
      <c r="E917" s="2" t="str">
        <f>"生物与化学工程学院"</f>
        <v>生物与化学工程学院</v>
      </c>
    </row>
    <row r="918" ht="13.5" hidden="1" spans="1:5">
      <c r="A918" s="2" t="str">
        <f>"谢风云"</f>
        <v>谢风云</v>
      </c>
      <c r="B918" s="2" t="str">
        <f>"B20200403202"</f>
        <v>B20200403202</v>
      </c>
      <c r="C918" s="2" t="str">
        <f>"男"</f>
        <v>男</v>
      </c>
      <c r="D918" s="2" t="str">
        <f t="shared" si="183"/>
        <v>13</v>
      </c>
      <c r="E918" s="2" t="str">
        <f>"电子信息与电气工程学院"</f>
        <v>电子信息与电气工程学院</v>
      </c>
    </row>
    <row r="919" ht="13.5" hidden="1" spans="1:5">
      <c r="A919" s="2" t="str">
        <f>"范禹晗"</f>
        <v>范禹晗</v>
      </c>
      <c r="B919" s="2" t="str">
        <f>"B20200803101"</f>
        <v>B20200803101</v>
      </c>
      <c r="C919" s="2" t="str">
        <f t="shared" si="194"/>
        <v>女</v>
      </c>
      <c r="D919" s="2" t="str">
        <f t="shared" si="183"/>
        <v>13</v>
      </c>
      <c r="E919" s="2" t="str">
        <f>"外国语学院"</f>
        <v>外国语学院</v>
      </c>
    </row>
    <row r="920" ht="13.5" hidden="1" spans="1:5">
      <c r="A920" s="2" t="str">
        <f>"胡蝶"</f>
        <v>胡蝶</v>
      </c>
      <c r="B920" s="2" t="str">
        <f>"B20200701114"</f>
        <v>B20200701114</v>
      </c>
      <c r="C920" s="2" t="str">
        <f t="shared" si="194"/>
        <v>女</v>
      </c>
      <c r="D920" s="2" t="str">
        <f t="shared" si="183"/>
        <v>13</v>
      </c>
      <c r="E920" s="2" t="str">
        <f>"马栏山新媒体学院"</f>
        <v>马栏山新媒体学院</v>
      </c>
    </row>
    <row r="921" ht="13.5" hidden="1" spans="1:5">
      <c r="A921" s="2" t="str">
        <f>"徐丽经"</f>
        <v>徐丽经</v>
      </c>
      <c r="B921" s="2" t="str">
        <f>"B20200803103"</f>
        <v>B20200803103</v>
      </c>
      <c r="C921" s="2" t="str">
        <f t="shared" si="194"/>
        <v>女</v>
      </c>
      <c r="D921" s="2" t="str">
        <f t="shared" si="183"/>
        <v>13</v>
      </c>
      <c r="E921" s="2" t="str">
        <f>"外国语学院"</f>
        <v>外国语学院</v>
      </c>
    </row>
    <row r="922" ht="13.5" hidden="1" spans="1:5">
      <c r="A922" s="2" t="str">
        <f>"舒子乔"</f>
        <v>舒子乔</v>
      </c>
      <c r="B922" s="2" t="str">
        <f>"B20220401101"</f>
        <v>B20220401101</v>
      </c>
      <c r="C922" s="2" t="str">
        <f t="shared" ref="C922:C925" si="195">"女"</f>
        <v>女</v>
      </c>
      <c r="D922" s="2" t="str">
        <f t="shared" si="183"/>
        <v>13</v>
      </c>
      <c r="E922" s="2" t="str">
        <f>"电子信息与电气工程学院"</f>
        <v>电子信息与电气工程学院</v>
      </c>
    </row>
    <row r="923" ht="13.5" hidden="1" spans="1:5">
      <c r="A923" s="2" t="str">
        <f>"王宇灿"</f>
        <v>王宇灿</v>
      </c>
      <c r="B923" s="2" t="str">
        <f>"B20210801415"</f>
        <v>B20210801415</v>
      </c>
      <c r="C923" s="2" t="str">
        <f t="shared" si="195"/>
        <v>女</v>
      </c>
      <c r="D923" s="2" t="str">
        <f t="shared" si="183"/>
        <v>13</v>
      </c>
      <c r="E923" s="2" t="str">
        <f>"外国语学院"</f>
        <v>外国语学院</v>
      </c>
    </row>
    <row r="924" ht="13.5" hidden="1" spans="1:5">
      <c r="A924" s="2" t="str">
        <f>"徐黄骅"</f>
        <v>徐黄骅</v>
      </c>
      <c r="B924" s="2" t="str">
        <f>"B20200505115"</f>
        <v>B20200505115</v>
      </c>
      <c r="C924" s="2" t="str">
        <f>"男"</f>
        <v>男</v>
      </c>
      <c r="D924" s="2" t="str">
        <f t="shared" si="183"/>
        <v>13</v>
      </c>
      <c r="E924" s="2" t="str">
        <f>"生物与环境工程学院"</f>
        <v>生物与环境工程学院</v>
      </c>
    </row>
    <row r="925" ht="13.5" hidden="1" spans="1:5">
      <c r="A925" s="2" t="str">
        <f>"王宇涵"</f>
        <v>王宇涵</v>
      </c>
      <c r="B925" s="2" t="str">
        <f>"B20221302336"</f>
        <v>B20221302336</v>
      </c>
      <c r="C925" s="2" t="str">
        <f t="shared" si="195"/>
        <v>女</v>
      </c>
      <c r="D925" s="2" t="str">
        <f t="shared" si="183"/>
        <v>13</v>
      </c>
      <c r="E925" s="2" t="str">
        <f>"材料与环境工程学院"</f>
        <v>材料与环境工程学院</v>
      </c>
    </row>
    <row r="926" ht="13.5" hidden="1" spans="1:5">
      <c r="A926" s="2" t="str">
        <f>"蒋孝鑫"</f>
        <v>蒋孝鑫</v>
      </c>
      <c r="B926" s="2" t="str">
        <f>"B20200201332"</f>
        <v>B20200201332</v>
      </c>
      <c r="C926" s="2" t="str">
        <f>"男"</f>
        <v>男</v>
      </c>
      <c r="D926" s="2" t="str">
        <f t="shared" si="183"/>
        <v>13</v>
      </c>
      <c r="E926" s="2" t="str">
        <f>"机电工程学院"</f>
        <v>机电工程学院</v>
      </c>
    </row>
    <row r="927" ht="13.5" hidden="1" spans="1:5">
      <c r="A927" s="2" t="str">
        <f>"曾思佳"</f>
        <v>曾思佳</v>
      </c>
      <c r="B927" s="2" t="str">
        <f>"B20210906130"</f>
        <v>B20210906130</v>
      </c>
      <c r="C927" s="2" t="str">
        <f>"女"</f>
        <v>女</v>
      </c>
      <c r="D927" s="2" t="str">
        <f t="shared" si="183"/>
        <v>13</v>
      </c>
      <c r="E927" s="2" t="str">
        <f>"经济与管理学院"</f>
        <v>经济与管理学院</v>
      </c>
    </row>
    <row r="928" ht="13.5" hidden="1" spans="1:5">
      <c r="A928" s="2" t="str">
        <f>"邱鑫豪"</f>
        <v>邱鑫豪</v>
      </c>
      <c r="B928" s="2" t="str">
        <f>"B20200703421"</f>
        <v>B20200703421</v>
      </c>
      <c r="C928" s="2" t="str">
        <f>"男"</f>
        <v>男</v>
      </c>
      <c r="D928" s="2" t="str">
        <f t="shared" si="183"/>
        <v>13</v>
      </c>
      <c r="E928" s="2" t="str">
        <f>"马栏山新媒体学院"</f>
        <v>马栏山新媒体学院</v>
      </c>
    </row>
    <row r="929" ht="13.5" hidden="1" spans="1:5">
      <c r="A929" s="2" t="str">
        <f>"林锶龙"</f>
        <v>林锶龙</v>
      </c>
      <c r="B929" s="2" t="str">
        <f>"B20200404132"</f>
        <v>B20200404132</v>
      </c>
      <c r="C929" s="2" t="str">
        <f>"男"</f>
        <v>男</v>
      </c>
      <c r="D929" s="2" t="str">
        <f t="shared" si="183"/>
        <v>13</v>
      </c>
      <c r="E929" s="2" t="str">
        <f>"电子信息与电气工程学院"</f>
        <v>电子信息与电气工程学院</v>
      </c>
    </row>
    <row r="930" ht="13.5" hidden="1" spans="1:5">
      <c r="A930" s="2" t="str">
        <f>"赵书"</f>
        <v>赵书</v>
      </c>
      <c r="B930" s="2" t="str">
        <f>"B20220201427"</f>
        <v>B20220201427</v>
      </c>
      <c r="C930" s="2" t="str">
        <f>"男"</f>
        <v>男</v>
      </c>
      <c r="D930" s="2" t="str">
        <f t="shared" si="183"/>
        <v>13</v>
      </c>
      <c r="E930" s="2" t="str">
        <f>"机电工程学院"</f>
        <v>机电工程学院</v>
      </c>
    </row>
    <row r="931" ht="13.5" hidden="1" spans="1:5">
      <c r="A931" s="2" t="str">
        <f>"吴诗砚"</f>
        <v>吴诗砚</v>
      </c>
      <c r="B931" s="2" t="str">
        <f>"B20201111202"</f>
        <v>B20201111202</v>
      </c>
      <c r="C931" s="2" t="str">
        <f t="shared" ref="C931:C936" si="196">"女"</f>
        <v>女</v>
      </c>
      <c r="D931" s="2" t="str">
        <f t="shared" si="183"/>
        <v>13</v>
      </c>
      <c r="E931" s="2" t="str">
        <f t="shared" ref="E931:E936" si="197">"音乐学院"</f>
        <v>音乐学院</v>
      </c>
    </row>
    <row r="932" ht="13.5" hidden="1" spans="1:5">
      <c r="A932" s="2" t="str">
        <f>"黄芮"</f>
        <v>黄芮</v>
      </c>
      <c r="B932" s="2" t="str">
        <f>"B20210404121"</f>
        <v>B20210404121</v>
      </c>
      <c r="C932" s="2" t="str">
        <f t="shared" si="196"/>
        <v>女</v>
      </c>
      <c r="D932" s="2" t="str">
        <f t="shared" si="183"/>
        <v>13</v>
      </c>
      <c r="E932" s="2" t="str">
        <f>"电子信息与电气工程学院"</f>
        <v>电子信息与电气工程学院</v>
      </c>
    </row>
    <row r="933" ht="13.5" hidden="1" spans="1:5">
      <c r="A933" s="2" t="str">
        <f>"杨帆"</f>
        <v>杨帆</v>
      </c>
      <c r="B933" s="2" t="str">
        <f>"B20210801517"</f>
        <v>B20210801517</v>
      </c>
      <c r="C933" s="2" t="str">
        <f t="shared" ref="C933:C937" si="198">"男"</f>
        <v>男</v>
      </c>
      <c r="D933" s="2" t="str">
        <f t="shared" si="183"/>
        <v>13</v>
      </c>
      <c r="E933" s="2" t="str">
        <f>"外国语学院"</f>
        <v>外国语学院</v>
      </c>
    </row>
    <row r="934" ht="13.5" hidden="1" spans="1:5">
      <c r="A934" s="2" t="str">
        <f>"罗冰洋"</f>
        <v>罗冰洋</v>
      </c>
      <c r="B934" s="2" t="str">
        <f>"B20231101111"</f>
        <v>B20231101111</v>
      </c>
      <c r="C934" s="2" t="str">
        <f t="shared" si="198"/>
        <v>男</v>
      </c>
      <c r="D934" s="2" t="str">
        <f t="shared" si="183"/>
        <v>13</v>
      </c>
      <c r="E934" s="2" t="str">
        <f t="shared" si="197"/>
        <v>音乐学院</v>
      </c>
    </row>
    <row r="935" ht="13.5" hidden="1" spans="1:5">
      <c r="A935" s="2" t="str">
        <f>"杨微"</f>
        <v>杨微</v>
      </c>
      <c r="B935" s="2" t="str">
        <f>"B20221101225"</f>
        <v>B20221101225</v>
      </c>
      <c r="C935" s="2" t="str">
        <f t="shared" si="196"/>
        <v>女</v>
      </c>
      <c r="D935" s="2" t="str">
        <f t="shared" si="183"/>
        <v>13</v>
      </c>
      <c r="E935" s="2" t="str">
        <f t="shared" si="197"/>
        <v>音乐学院</v>
      </c>
    </row>
    <row r="936" ht="13.5" hidden="1" spans="1:5">
      <c r="A936" s="2" t="str">
        <f>"严烁"</f>
        <v>严烁</v>
      </c>
      <c r="B936" s="2" t="str">
        <f>"B20221101116"</f>
        <v>B20221101116</v>
      </c>
      <c r="C936" s="2" t="str">
        <f t="shared" si="196"/>
        <v>女</v>
      </c>
      <c r="D936" s="2" t="str">
        <f t="shared" si="183"/>
        <v>13</v>
      </c>
      <c r="E936" s="2" t="str">
        <f t="shared" si="197"/>
        <v>音乐学院</v>
      </c>
    </row>
    <row r="937" ht="13.5" hidden="1" spans="1:5">
      <c r="A937" s="2" t="str">
        <f>"雷涵"</f>
        <v>雷涵</v>
      </c>
      <c r="B937" s="2" t="str">
        <f>"B20230403227"</f>
        <v>B20230403227</v>
      </c>
      <c r="C937" s="2" t="str">
        <f t="shared" si="198"/>
        <v>男</v>
      </c>
      <c r="D937" s="2" t="str">
        <f t="shared" si="183"/>
        <v>13</v>
      </c>
      <c r="E937" s="2" t="str">
        <f>"电子信息与电气工程学院"</f>
        <v>电子信息与电气工程学院</v>
      </c>
    </row>
    <row r="938" ht="13.5" hidden="1" spans="1:5">
      <c r="A938" s="2" t="str">
        <f>"胡云燕"</f>
        <v>胡云燕</v>
      </c>
      <c r="B938" s="2" t="str">
        <f>"B20230504106"</f>
        <v>B20230504106</v>
      </c>
      <c r="C938" s="2" t="str">
        <f>"女"</f>
        <v>女</v>
      </c>
      <c r="D938" s="2" t="str">
        <f t="shared" si="183"/>
        <v>13</v>
      </c>
      <c r="E938" s="2" t="str">
        <f>"生物与化学工程学院"</f>
        <v>生物与化学工程学院</v>
      </c>
    </row>
    <row r="939" ht="13.5" hidden="1" spans="1:5">
      <c r="A939" s="2" t="str">
        <f>"孙宇祥"</f>
        <v>孙宇祥</v>
      </c>
      <c r="B939" s="2" t="str">
        <f>"B20210505203"</f>
        <v>B20210505203</v>
      </c>
      <c r="C939" s="2" t="str">
        <f>"男"</f>
        <v>男</v>
      </c>
      <c r="D939" s="2" t="str">
        <f t="shared" si="183"/>
        <v>13</v>
      </c>
      <c r="E939" s="2" t="str">
        <f>"材料与环境工程学院"</f>
        <v>材料与环境工程学院</v>
      </c>
    </row>
    <row r="940" ht="13.5" hidden="1" spans="1:5">
      <c r="A940" s="2" t="str">
        <f>"李选达"</f>
        <v>李选达</v>
      </c>
      <c r="B940" s="2" t="str">
        <f>"B20220801405"</f>
        <v>B20220801405</v>
      </c>
      <c r="C940" s="2" t="str">
        <f>"男"</f>
        <v>男</v>
      </c>
      <c r="D940" s="2" t="str">
        <f t="shared" si="183"/>
        <v>13</v>
      </c>
      <c r="E940" s="2" t="str">
        <f>"外国语学院"</f>
        <v>外国语学院</v>
      </c>
    </row>
    <row r="941" ht="13.5" hidden="1" spans="1:5">
      <c r="A941" s="2" t="str">
        <f>"李嘉迅"</f>
        <v>李嘉迅</v>
      </c>
      <c r="B941" s="2" t="str">
        <f>"B20220204109"</f>
        <v>B20220204109</v>
      </c>
      <c r="C941" s="2" t="str">
        <f>"男"</f>
        <v>男</v>
      </c>
      <c r="D941" s="2" t="str">
        <f t="shared" si="183"/>
        <v>13</v>
      </c>
      <c r="E941" s="2" t="str">
        <f>"机电工程学院"</f>
        <v>机电工程学院</v>
      </c>
    </row>
    <row r="942" ht="13.5" hidden="1" spans="1:5">
      <c r="A942" s="2" t="str">
        <f>"周益阳"</f>
        <v>周益阳</v>
      </c>
      <c r="B942" s="2" t="str">
        <f>"B20220801213"</f>
        <v>B20220801213</v>
      </c>
      <c r="C942" s="2" t="str">
        <f>"女"</f>
        <v>女</v>
      </c>
      <c r="D942" s="2" t="str">
        <f t="shared" si="183"/>
        <v>13</v>
      </c>
      <c r="E942" s="2" t="str">
        <f>"外国语学院"</f>
        <v>外国语学院</v>
      </c>
    </row>
    <row r="943" ht="13.5" hidden="1" spans="1:5">
      <c r="A943" s="2" t="str">
        <f>"刘浩淼"</f>
        <v>刘浩淼</v>
      </c>
      <c r="B943" s="2" t="str">
        <f>"B20190903102"</f>
        <v>B20190903102</v>
      </c>
      <c r="C943" s="2" t="str">
        <f>"女"</f>
        <v>女</v>
      </c>
      <c r="D943" s="2" t="str">
        <f t="shared" si="183"/>
        <v>13</v>
      </c>
      <c r="E943" s="2" t="str">
        <f>"马栏山新媒体学院"</f>
        <v>马栏山新媒体学院</v>
      </c>
    </row>
    <row r="944" ht="13.5" hidden="1" spans="1:5">
      <c r="A944" s="2" t="str">
        <f>"胡文凯"</f>
        <v>胡文凯</v>
      </c>
      <c r="B944" s="2" t="str">
        <f>"B20230202418"</f>
        <v>B20230202418</v>
      </c>
      <c r="C944" s="2" t="str">
        <f>"男"</f>
        <v>男</v>
      </c>
      <c r="D944" s="2" t="str">
        <f t="shared" si="183"/>
        <v>13</v>
      </c>
      <c r="E944" s="2" t="str">
        <f>"机电工程学院"</f>
        <v>机电工程学院</v>
      </c>
    </row>
    <row r="945" ht="13.5" hidden="1" spans="1:5">
      <c r="A945" s="2" t="str">
        <f>"崔为为"</f>
        <v>崔为为</v>
      </c>
      <c r="B945" s="2" t="str">
        <f>"B20210901236"</f>
        <v>B20210901236</v>
      </c>
      <c r="C945" s="2" t="str">
        <f t="shared" ref="C945:C953" si="199">"女"</f>
        <v>女</v>
      </c>
      <c r="D945" s="2" t="str">
        <f t="shared" si="183"/>
        <v>13</v>
      </c>
      <c r="E945" s="2" t="str">
        <f>"经济与管理学院"</f>
        <v>经济与管理学院</v>
      </c>
    </row>
    <row r="946" ht="13.5" hidden="1" spans="1:5">
      <c r="A946" s="2" t="str">
        <f>"罗紫云"</f>
        <v>罗紫云</v>
      </c>
      <c r="B946" s="2" t="str">
        <f>"B20221101224"</f>
        <v>B20221101224</v>
      </c>
      <c r="C946" s="2" t="str">
        <f t="shared" si="199"/>
        <v>女</v>
      </c>
      <c r="D946" s="2" t="str">
        <f t="shared" si="183"/>
        <v>13</v>
      </c>
      <c r="E946" s="2" t="str">
        <f>"音乐学院"</f>
        <v>音乐学院</v>
      </c>
    </row>
    <row r="947" ht="13.5" hidden="1" spans="1:5">
      <c r="A947" s="2" t="str">
        <f>"卢鹭萍"</f>
        <v>卢鹭萍</v>
      </c>
      <c r="B947" s="2" t="str">
        <f>"B20200402322"</f>
        <v>B20200402322</v>
      </c>
      <c r="C947" s="2" t="str">
        <f t="shared" si="199"/>
        <v>女</v>
      </c>
      <c r="D947" s="2" t="str">
        <f t="shared" si="183"/>
        <v>13</v>
      </c>
      <c r="E947" s="2" t="str">
        <f>"电子信息与电气工程学院"</f>
        <v>电子信息与电气工程学院</v>
      </c>
    </row>
    <row r="948" ht="13.5" hidden="1" spans="1:5">
      <c r="A948" s="2" t="str">
        <f>"瞿家谊"</f>
        <v>瞿家谊</v>
      </c>
      <c r="B948" s="2" t="str">
        <f>"B20210104103"</f>
        <v>B20210104103</v>
      </c>
      <c r="C948" s="2" t="str">
        <f t="shared" si="199"/>
        <v>女</v>
      </c>
      <c r="D948" s="2" t="str">
        <f t="shared" ref="D948:D969" si="200">"13"</f>
        <v>13</v>
      </c>
      <c r="E948" s="2" t="str">
        <f>"土木工程学院"</f>
        <v>土木工程学院</v>
      </c>
    </row>
    <row r="949" ht="13.5" hidden="1" spans="1:5">
      <c r="A949" s="2" t="str">
        <f>"周颂"</f>
        <v>周颂</v>
      </c>
      <c r="B949" s="2" t="str">
        <f>"B20200503103"</f>
        <v>B20200503103</v>
      </c>
      <c r="C949" s="2" t="str">
        <f t="shared" si="199"/>
        <v>女</v>
      </c>
      <c r="D949" s="2" t="str">
        <f t="shared" si="200"/>
        <v>13</v>
      </c>
      <c r="E949" s="2" t="str">
        <f>"生物与环境工程学院"</f>
        <v>生物与环境工程学院</v>
      </c>
    </row>
    <row r="950" ht="13.5" hidden="1" spans="1:5">
      <c r="A950" s="2" t="str">
        <f>"唐玲玲"</f>
        <v>唐玲玲</v>
      </c>
      <c r="B950" s="2" t="str">
        <f>"B20230801327"</f>
        <v>B20230801327</v>
      </c>
      <c r="C950" s="2" t="str">
        <f t="shared" si="199"/>
        <v>女</v>
      </c>
      <c r="D950" s="2" t="str">
        <f t="shared" si="200"/>
        <v>13</v>
      </c>
      <c r="E950" s="2" t="str">
        <f>"外国语学院"</f>
        <v>外国语学院</v>
      </c>
    </row>
    <row r="951" ht="13.5" hidden="1" spans="1:5">
      <c r="A951" s="2" t="str">
        <f>"潘海苹"</f>
        <v>潘海苹</v>
      </c>
      <c r="B951" s="2" t="str">
        <f>"B20200902221"</f>
        <v>B20200902221</v>
      </c>
      <c r="C951" s="2" t="str">
        <f t="shared" si="199"/>
        <v>女</v>
      </c>
      <c r="D951" s="2" t="str">
        <f t="shared" si="200"/>
        <v>13</v>
      </c>
      <c r="E951" s="2" t="str">
        <f>"经济与管理学院"</f>
        <v>经济与管理学院</v>
      </c>
    </row>
    <row r="952" ht="13.5" hidden="1" spans="1:5">
      <c r="A952" s="2" t="str">
        <f>"赵丽"</f>
        <v>赵丽</v>
      </c>
      <c r="B952" s="2" t="str">
        <f>"B20231301221"</f>
        <v>B20231301221</v>
      </c>
      <c r="C952" s="2" t="str">
        <f t="shared" si="199"/>
        <v>女</v>
      </c>
      <c r="D952" s="2" t="str">
        <f t="shared" si="200"/>
        <v>13</v>
      </c>
      <c r="E952" s="2" t="str">
        <f>"材料与环境工程学院"</f>
        <v>材料与环境工程学院</v>
      </c>
    </row>
    <row r="953" ht="13.5" hidden="1" spans="1:5">
      <c r="A953" s="2" t="str">
        <f>"彭思"</f>
        <v>彭思</v>
      </c>
      <c r="B953" s="2" t="str">
        <f>"B20230101314"</f>
        <v>B20230101314</v>
      </c>
      <c r="C953" s="2" t="str">
        <f t="shared" si="199"/>
        <v>女</v>
      </c>
      <c r="D953" s="2" t="str">
        <f t="shared" si="200"/>
        <v>13</v>
      </c>
      <c r="E953" s="2" t="str">
        <f>"土木工程学院"</f>
        <v>土木工程学院</v>
      </c>
    </row>
    <row r="954" ht="13.5" hidden="1" spans="1:5">
      <c r="A954" s="2" t="str">
        <f>"刘鲁毅"</f>
        <v>刘鲁毅</v>
      </c>
      <c r="B954" s="2" t="str">
        <f>"B20230901235"</f>
        <v>B20230901235</v>
      </c>
      <c r="C954" s="2" t="str">
        <f>"男"</f>
        <v>男</v>
      </c>
      <c r="D954" s="2" t="str">
        <f t="shared" si="200"/>
        <v>13</v>
      </c>
      <c r="E954" s="2" t="str">
        <f>"经济与管理学院"</f>
        <v>经济与管理学院</v>
      </c>
    </row>
    <row r="955" ht="13.5" hidden="1" spans="1:5">
      <c r="A955" s="2" t="str">
        <f>"李艺萌"</f>
        <v>李艺萌</v>
      </c>
      <c r="B955" s="2" t="str">
        <f>"B20200704426"</f>
        <v>B20200704426</v>
      </c>
      <c r="C955" s="2" t="str">
        <f t="shared" ref="C955:C960" si="201">"女"</f>
        <v>女</v>
      </c>
      <c r="D955" s="2" t="str">
        <f t="shared" si="200"/>
        <v>13</v>
      </c>
      <c r="E955" s="2" t="str">
        <f>"马栏山新媒体学院"</f>
        <v>马栏山新媒体学院</v>
      </c>
    </row>
    <row r="956" ht="13.5" hidden="1" spans="1:5">
      <c r="A956" s="2" t="str">
        <f>"彭万宁"</f>
        <v>彭万宁</v>
      </c>
      <c r="B956" s="2" t="str">
        <f>"B20200504211"</f>
        <v>B20200504211</v>
      </c>
      <c r="C956" s="2" t="str">
        <f t="shared" si="201"/>
        <v>女</v>
      </c>
      <c r="D956" s="2" t="str">
        <f t="shared" si="200"/>
        <v>13</v>
      </c>
      <c r="E956" s="2" t="str">
        <f>"生物与环境工程学院"</f>
        <v>生物与环境工程学院</v>
      </c>
    </row>
    <row r="957" ht="13.5" hidden="1" spans="1:5">
      <c r="A957" s="2" t="str">
        <f>"刘馨遥"</f>
        <v>刘馨遥</v>
      </c>
      <c r="B957" s="2" t="str">
        <f>"B20221002406"</f>
        <v>B20221002406</v>
      </c>
      <c r="C957" s="2" t="str">
        <f t="shared" si="201"/>
        <v>女</v>
      </c>
      <c r="D957" s="2" t="str">
        <f t="shared" si="200"/>
        <v>13</v>
      </c>
      <c r="E957" s="2" t="str">
        <f>"艺术设计学院"</f>
        <v>艺术设计学院</v>
      </c>
    </row>
    <row r="958" ht="13.5" hidden="1" spans="1:5">
      <c r="A958" s="2" t="str">
        <f>"时雨霞"</f>
        <v>时雨霞</v>
      </c>
      <c r="B958" s="2" t="str">
        <f>"B20220704308"</f>
        <v>B20220704308</v>
      </c>
      <c r="C958" s="2" t="str">
        <f t="shared" si="201"/>
        <v>女</v>
      </c>
      <c r="D958" s="2" t="str">
        <f t="shared" si="200"/>
        <v>13</v>
      </c>
      <c r="E958" s="2" t="str">
        <f>"马栏山新媒体学院"</f>
        <v>马栏山新媒体学院</v>
      </c>
    </row>
    <row r="959" ht="13.5" hidden="1" spans="1:5">
      <c r="A959" s="2" t="str">
        <f>"索南卓玛"</f>
        <v>索南卓玛</v>
      </c>
      <c r="B959" s="2" t="str">
        <f>"B20230702130"</f>
        <v>B20230702130</v>
      </c>
      <c r="C959" s="2" t="str">
        <f t="shared" si="201"/>
        <v>女</v>
      </c>
      <c r="D959" s="2" t="str">
        <f t="shared" si="200"/>
        <v>13</v>
      </c>
      <c r="E959" s="2" t="str">
        <f>"马栏山新媒体学院"</f>
        <v>马栏山新媒体学院</v>
      </c>
    </row>
    <row r="960" ht="13.5" hidden="1" spans="1:5">
      <c r="A960" s="2" t="str">
        <f>"周鑫兰"</f>
        <v>周鑫兰</v>
      </c>
      <c r="B960" s="2" t="str">
        <f>"B20230801427"</f>
        <v>B20230801427</v>
      </c>
      <c r="C960" s="2" t="str">
        <f t="shared" si="201"/>
        <v>女</v>
      </c>
      <c r="D960" s="2" t="str">
        <f t="shared" si="200"/>
        <v>13</v>
      </c>
      <c r="E960" s="2" t="str">
        <f>"外国语学院"</f>
        <v>外国语学院</v>
      </c>
    </row>
    <row r="961" ht="13.5" hidden="1" spans="1:5">
      <c r="A961" s="2" t="str">
        <f>"王一夫"</f>
        <v>王一夫</v>
      </c>
      <c r="B961" s="2" t="str">
        <f>"B20230402131"</f>
        <v>B20230402131</v>
      </c>
      <c r="C961" s="2" t="str">
        <f>"男"</f>
        <v>男</v>
      </c>
      <c r="D961" s="2" t="str">
        <f t="shared" si="200"/>
        <v>13</v>
      </c>
      <c r="E961" s="2" t="str">
        <f>"电子信息与电气工程学院"</f>
        <v>电子信息与电气工程学院</v>
      </c>
    </row>
    <row r="962" ht="13.5" hidden="1" spans="1:5">
      <c r="A962" s="2" t="str">
        <f>"艾希鹏"</f>
        <v>艾希鹏</v>
      </c>
      <c r="B962" s="2" t="str">
        <f>"B20201002303"</f>
        <v>B20201002303</v>
      </c>
      <c r="C962" s="2" t="str">
        <f>"男"</f>
        <v>男</v>
      </c>
      <c r="D962" s="2" t="str">
        <f t="shared" si="200"/>
        <v>13</v>
      </c>
      <c r="E962" s="2" t="str">
        <f>"艺术设计学院"</f>
        <v>艺术设计学院</v>
      </c>
    </row>
    <row r="963" ht="13.5" hidden="1" spans="1:5">
      <c r="A963" s="2" t="str">
        <f>"罗薇"</f>
        <v>罗薇</v>
      </c>
      <c r="B963" s="2" t="str">
        <f>"B20201001406"</f>
        <v>B20201001406</v>
      </c>
      <c r="C963" s="2" t="str">
        <f>"女"</f>
        <v>女</v>
      </c>
      <c r="D963" s="2" t="str">
        <f t="shared" si="200"/>
        <v>13</v>
      </c>
      <c r="E963" s="2" t="str">
        <f>"艺术设计学院"</f>
        <v>艺术设计学院</v>
      </c>
    </row>
    <row r="964" ht="13.5" hidden="1" spans="1:5">
      <c r="A964" s="2" t="str">
        <f>"陈俊达"</f>
        <v>陈俊达</v>
      </c>
      <c r="B964" s="2" t="str">
        <f>"B20210503111"</f>
        <v>B20210503111</v>
      </c>
      <c r="C964" s="2" t="str">
        <f t="shared" ref="C964:C970" si="202">"男"</f>
        <v>男</v>
      </c>
      <c r="D964" s="2" t="str">
        <f t="shared" si="200"/>
        <v>13</v>
      </c>
      <c r="E964" s="2" t="str">
        <f>"材料与环境工程学院"</f>
        <v>材料与环境工程学院</v>
      </c>
    </row>
    <row r="965" ht="13.5" hidden="1" spans="1:5">
      <c r="A965" s="2" t="str">
        <f>"田德旺"</f>
        <v>田德旺</v>
      </c>
      <c r="B965" s="2" t="str">
        <f>"B20230902333"</f>
        <v>B20230902333</v>
      </c>
      <c r="C965" s="2" t="str">
        <f t="shared" si="202"/>
        <v>男</v>
      </c>
      <c r="D965" s="2" t="str">
        <f t="shared" si="200"/>
        <v>13</v>
      </c>
      <c r="E965" s="2" t="str">
        <f>"经济与管理学院"</f>
        <v>经济与管理学院</v>
      </c>
    </row>
    <row r="966" ht="13.5" hidden="1" spans="1:5">
      <c r="A966" s="2" t="str">
        <f>"陈子亮"</f>
        <v>陈子亮</v>
      </c>
      <c r="B966" s="2" t="str">
        <f>"B20230104114"</f>
        <v>B20230104114</v>
      </c>
      <c r="C966" s="2" t="str">
        <f t="shared" si="202"/>
        <v>男</v>
      </c>
      <c r="D966" s="2" t="str">
        <f t="shared" si="200"/>
        <v>13</v>
      </c>
      <c r="E966" s="2" t="str">
        <f>"土木工程学院"</f>
        <v>土木工程学院</v>
      </c>
    </row>
    <row r="967" ht="13.5" hidden="1" spans="1:5">
      <c r="A967" s="2" t="str">
        <f>"郭宇佳"</f>
        <v>郭宇佳</v>
      </c>
      <c r="B967" s="2" t="str">
        <f>"B20230104109"</f>
        <v>B20230104109</v>
      </c>
      <c r="C967" s="2" t="str">
        <f t="shared" si="202"/>
        <v>男</v>
      </c>
      <c r="D967" s="2" t="str">
        <f t="shared" si="200"/>
        <v>13</v>
      </c>
      <c r="E967" s="2" t="str">
        <f>"土木工程学院"</f>
        <v>土木工程学院</v>
      </c>
    </row>
    <row r="968" ht="13.5" hidden="1" spans="1:5">
      <c r="A968" s="2" t="str">
        <f>"符珩毓"</f>
        <v>符珩毓</v>
      </c>
      <c r="B968" s="2" t="str">
        <f>"B20200204126"</f>
        <v>B20200204126</v>
      </c>
      <c r="C968" s="2" t="str">
        <f t="shared" si="202"/>
        <v>男</v>
      </c>
      <c r="D968" s="2" t="str">
        <f t="shared" si="200"/>
        <v>13</v>
      </c>
      <c r="E968" s="2" t="str">
        <f>"机电工程学院"</f>
        <v>机电工程学院</v>
      </c>
    </row>
    <row r="969" ht="13.5" hidden="1" spans="1:5">
      <c r="A969" s="2" t="str">
        <f>"胡虎"</f>
        <v>胡虎</v>
      </c>
      <c r="B969" s="2" t="str">
        <f>"B20200403109"</f>
        <v>B20200403109</v>
      </c>
      <c r="C969" s="2" t="str">
        <f t="shared" si="202"/>
        <v>男</v>
      </c>
      <c r="D969" s="2" t="str">
        <f t="shared" si="200"/>
        <v>13</v>
      </c>
      <c r="E969" s="2" t="str">
        <f>"电子信息与电气工程学院"</f>
        <v>电子信息与电气工程学院</v>
      </c>
    </row>
    <row r="970" ht="13.5" hidden="1" spans="1:5">
      <c r="A970" s="2" t="str">
        <f>"欧阳亿文"</f>
        <v>欧阳亿文</v>
      </c>
      <c r="B970" s="2" t="str">
        <f>"B20230502105"</f>
        <v>B20230502105</v>
      </c>
      <c r="C970" s="2" t="str">
        <f t="shared" si="202"/>
        <v>男</v>
      </c>
      <c r="D970" s="2" t="str">
        <f t="shared" ref="D970:D1005" si="203">"13"</f>
        <v>13</v>
      </c>
      <c r="E970" s="2" t="str">
        <f>"生物与化学工程学院"</f>
        <v>生物与化学工程学院</v>
      </c>
    </row>
    <row r="971" ht="13.5" hidden="1" spans="1:5">
      <c r="A971" s="2" t="str">
        <f>"马江睿"</f>
        <v>马江睿</v>
      </c>
      <c r="B971" s="2" t="str">
        <f>"B20210906122"</f>
        <v>B20210906122</v>
      </c>
      <c r="C971" s="2" t="str">
        <f t="shared" ref="C970:C975" si="204">"女"</f>
        <v>女</v>
      </c>
      <c r="D971" s="2" t="str">
        <f t="shared" si="203"/>
        <v>13</v>
      </c>
      <c r="E971" s="2" t="str">
        <f>"经济与管理学院"</f>
        <v>经济与管理学院</v>
      </c>
    </row>
    <row r="972" ht="13.5" hidden="1" spans="1:5">
      <c r="A972" s="2" t="str">
        <f>"修文涛"</f>
        <v>修文涛</v>
      </c>
      <c r="B972" s="2" t="str">
        <f>"B20230601329"</f>
        <v>B20230601329</v>
      </c>
      <c r="C972" s="2" t="str">
        <f>"男"</f>
        <v>男</v>
      </c>
      <c r="D972" s="2" t="str">
        <f t="shared" si="203"/>
        <v>13</v>
      </c>
      <c r="E972" s="2" t="str">
        <f>"法学院"</f>
        <v>法学院</v>
      </c>
    </row>
    <row r="973" ht="13.5" hidden="1" spans="1:5">
      <c r="A973" s="2" t="str">
        <f>"黄灵美"</f>
        <v>黄灵美</v>
      </c>
      <c r="B973" s="2" t="str">
        <f>"B20220601302"</f>
        <v>B20220601302</v>
      </c>
      <c r="C973" s="2" t="str">
        <f t="shared" si="204"/>
        <v>女</v>
      </c>
      <c r="D973" s="2" t="str">
        <f t="shared" si="203"/>
        <v>13</v>
      </c>
      <c r="E973" s="2" t="str">
        <f>"法学院"</f>
        <v>法学院</v>
      </c>
    </row>
    <row r="974" ht="13.5" hidden="1" spans="1:5">
      <c r="A974" s="2" t="str">
        <f>"张芷君"</f>
        <v>张芷君</v>
      </c>
      <c r="B974" s="2" t="str">
        <f>"B20230801202"</f>
        <v>B20230801202</v>
      </c>
      <c r="C974" s="2" t="str">
        <f t="shared" si="204"/>
        <v>女</v>
      </c>
      <c r="D974" s="2" t="str">
        <f t="shared" si="203"/>
        <v>13</v>
      </c>
      <c r="E974" s="2" t="str">
        <f>"外国语学院"</f>
        <v>外国语学院</v>
      </c>
    </row>
    <row r="975" ht="13.5" hidden="1" spans="1:5">
      <c r="A975" s="2" t="str">
        <f>"杨兰馨"</f>
        <v>杨兰馨</v>
      </c>
      <c r="B975" s="2" t="str">
        <f>"B20230803114"</f>
        <v>B20230803114</v>
      </c>
      <c r="C975" s="2" t="str">
        <f t="shared" si="204"/>
        <v>女</v>
      </c>
      <c r="D975" s="2" t="str">
        <f t="shared" si="203"/>
        <v>13</v>
      </c>
      <c r="E975" s="2" t="str">
        <f>"外国语学院"</f>
        <v>外国语学院</v>
      </c>
    </row>
    <row r="976" ht="13.5" hidden="1" spans="1:5">
      <c r="A976" s="2" t="str">
        <f>"骆佳英"</f>
        <v>骆佳英</v>
      </c>
      <c r="B976" s="2" t="str">
        <f>"B20230501226"</f>
        <v>B20230501226</v>
      </c>
      <c r="C976" s="2" t="str">
        <f t="shared" ref="C976:C979" si="205">"女"</f>
        <v>女</v>
      </c>
      <c r="D976" s="2" t="str">
        <f t="shared" si="203"/>
        <v>13</v>
      </c>
      <c r="E976" s="2" t="str">
        <f>"生物与化学工程学院"</f>
        <v>生物与化学工程学院</v>
      </c>
    </row>
    <row r="977" ht="13.5" hidden="1" spans="1:5">
      <c r="A977" s="2" t="str">
        <f>"莫婕"</f>
        <v>莫婕</v>
      </c>
      <c r="B977" s="2" t="str">
        <f>"B20230902114"</f>
        <v>B20230902114</v>
      </c>
      <c r="C977" s="2" t="str">
        <f t="shared" si="205"/>
        <v>女</v>
      </c>
      <c r="D977" s="2" t="str">
        <f t="shared" si="203"/>
        <v>13</v>
      </c>
      <c r="E977" s="2" t="str">
        <f t="shared" ref="E977:E980" si="206">"经济与管理学院"</f>
        <v>经济与管理学院</v>
      </c>
    </row>
    <row r="978" ht="13.5" hidden="1" spans="1:5">
      <c r="A978" s="2" t="str">
        <f>"林梦媛"</f>
        <v>林梦媛</v>
      </c>
      <c r="B978" s="2" t="str">
        <f>"B20220803214"</f>
        <v>B20220803214</v>
      </c>
      <c r="C978" s="2" t="str">
        <f t="shared" si="205"/>
        <v>女</v>
      </c>
      <c r="D978" s="2" t="str">
        <f t="shared" si="203"/>
        <v>13</v>
      </c>
      <c r="E978" s="2" t="str">
        <f>"外国语学院"</f>
        <v>外国语学院</v>
      </c>
    </row>
    <row r="979" ht="13.5" hidden="1" spans="1:5">
      <c r="A979" s="2" t="str">
        <f>"董思雨"</f>
        <v>董思雨</v>
      </c>
      <c r="B979" s="2" t="str">
        <f>"B20200901236"</f>
        <v>B20200901236</v>
      </c>
      <c r="C979" s="2" t="str">
        <f t="shared" si="205"/>
        <v>女</v>
      </c>
      <c r="D979" s="2" t="str">
        <f t="shared" si="203"/>
        <v>13</v>
      </c>
      <c r="E979" s="2" t="str">
        <f t="shared" si="206"/>
        <v>经济与管理学院</v>
      </c>
    </row>
    <row r="980" ht="13.5" hidden="1" spans="1:5">
      <c r="A980" s="2" t="str">
        <f>"季李"</f>
        <v>季李</v>
      </c>
      <c r="B980" s="2" t="str">
        <f>"B20200901125"</f>
        <v>B20200901125</v>
      </c>
      <c r="C980" s="2" t="str">
        <f t="shared" ref="C980:C986" si="207">"男"</f>
        <v>男</v>
      </c>
      <c r="D980" s="2" t="str">
        <f t="shared" si="203"/>
        <v>13</v>
      </c>
      <c r="E980" s="2" t="str">
        <f t="shared" si="206"/>
        <v>经济与管理学院</v>
      </c>
    </row>
    <row r="981" ht="13.5" hidden="1" spans="1:5">
      <c r="A981" s="2" t="str">
        <f>"戴银梅"</f>
        <v>戴银梅</v>
      </c>
      <c r="B981" s="2" t="str">
        <f>"B20210801621"</f>
        <v>B20210801621</v>
      </c>
      <c r="C981" s="2" t="str">
        <f t="shared" ref="C981:C984" si="208">"女"</f>
        <v>女</v>
      </c>
      <c r="D981" s="2" t="str">
        <f t="shared" si="203"/>
        <v>13</v>
      </c>
      <c r="E981" s="2" t="str">
        <f>"外国语学院"</f>
        <v>外国语学院</v>
      </c>
    </row>
    <row r="982" ht="13.5" hidden="1" spans="1:5">
      <c r="A982" s="2" t="str">
        <f>"康金晶"</f>
        <v>康金晶</v>
      </c>
      <c r="B982" s="2" t="str">
        <f>"B20231101125"</f>
        <v>B20231101125</v>
      </c>
      <c r="C982" s="2" t="str">
        <f t="shared" si="208"/>
        <v>女</v>
      </c>
      <c r="D982" s="2" t="str">
        <f t="shared" si="203"/>
        <v>13</v>
      </c>
      <c r="E982" s="2" t="str">
        <f>"音乐学院"</f>
        <v>音乐学院</v>
      </c>
    </row>
    <row r="983" ht="13.5" hidden="1" spans="1:5">
      <c r="A983" s="2" t="str">
        <f>"陈锋"</f>
        <v>陈锋</v>
      </c>
      <c r="B983" s="2" t="str">
        <f>"B20220802213"</f>
        <v>B20220802213</v>
      </c>
      <c r="C983" s="2" t="str">
        <f t="shared" si="207"/>
        <v>男</v>
      </c>
      <c r="D983" s="2" t="str">
        <f t="shared" si="203"/>
        <v>13</v>
      </c>
      <c r="E983" s="2" t="str">
        <f>"外国语学院"</f>
        <v>外国语学院</v>
      </c>
    </row>
    <row r="984" ht="13.5" hidden="1" spans="1:5">
      <c r="A984" s="2" t="str">
        <f>"李梦琪"</f>
        <v>李梦琪</v>
      </c>
      <c r="B984" s="2" t="str">
        <f>"B20210904136"</f>
        <v>B20210904136</v>
      </c>
      <c r="C984" s="2" t="str">
        <f t="shared" si="208"/>
        <v>女</v>
      </c>
      <c r="D984" s="2" t="str">
        <f t="shared" si="203"/>
        <v>13</v>
      </c>
      <c r="E984" s="2" t="str">
        <f>"经济与管理学院"</f>
        <v>经济与管理学院</v>
      </c>
    </row>
    <row r="985" ht="13.5" hidden="1" spans="1:5">
      <c r="A985" s="2" t="str">
        <f>"郑鑫"</f>
        <v>郑鑫</v>
      </c>
      <c r="B985" s="2" t="str">
        <f>"B20200203202"</f>
        <v>B20200203202</v>
      </c>
      <c r="C985" s="2" t="str">
        <f t="shared" si="207"/>
        <v>男</v>
      </c>
      <c r="D985" s="2" t="str">
        <f t="shared" si="203"/>
        <v>13</v>
      </c>
      <c r="E985" s="2" t="str">
        <f>"机电工程学院"</f>
        <v>机电工程学院</v>
      </c>
    </row>
    <row r="986" ht="13.5" hidden="1" spans="1:5">
      <c r="A986" s="2" t="str">
        <f>"汪楚棋"</f>
        <v>汪楚棋</v>
      </c>
      <c r="B986" s="2" t="str">
        <f>"B20210801213"</f>
        <v>B20210801213</v>
      </c>
      <c r="C986" s="2" t="str">
        <f t="shared" si="207"/>
        <v>男</v>
      </c>
      <c r="D986" s="2" t="str">
        <f t="shared" si="203"/>
        <v>13</v>
      </c>
      <c r="E986" s="2" t="str">
        <f>"外国语学院"</f>
        <v>外国语学院</v>
      </c>
    </row>
    <row r="987" ht="13.5" hidden="1" spans="1:5">
      <c r="A987" s="2" t="str">
        <f>"周友娣"</f>
        <v>周友娣</v>
      </c>
      <c r="B987" s="2" t="str">
        <f>"B20220801123"</f>
        <v>B20220801123</v>
      </c>
      <c r="C987" s="2" t="str">
        <f t="shared" ref="C986:C993" si="209">"女"</f>
        <v>女</v>
      </c>
      <c r="D987" s="2" t="str">
        <f t="shared" si="203"/>
        <v>13</v>
      </c>
      <c r="E987" s="2" t="str">
        <f>"外国语学院"</f>
        <v>外国语学院</v>
      </c>
    </row>
    <row r="988" ht="13.5" hidden="1" spans="1:5">
      <c r="A988" s="2" t="str">
        <f>"韩宗振"</f>
        <v>韩宗振</v>
      </c>
      <c r="B988" s="2" t="str">
        <f>"B20230201210"</f>
        <v>B20230201210</v>
      </c>
      <c r="C988" s="2" t="str">
        <f>"男"</f>
        <v>男</v>
      </c>
      <c r="D988" s="2" t="str">
        <f t="shared" si="203"/>
        <v>13</v>
      </c>
      <c r="E988" s="2" t="str">
        <f>"机电工程学院"</f>
        <v>机电工程学院</v>
      </c>
    </row>
    <row r="989" ht="13.5" hidden="1" spans="1:5">
      <c r="A989" s="2" t="str">
        <f>"汪鸿辉"</f>
        <v>汪鸿辉</v>
      </c>
      <c r="B989" s="2" t="str">
        <f>"B20230402322"</f>
        <v>B20230402322</v>
      </c>
      <c r="C989" s="2" t="str">
        <f t="shared" si="209"/>
        <v>女</v>
      </c>
      <c r="D989" s="2" t="str">
        <f t="shared" si="203"/>
        <v>13</v>
      </c>
      <c r="E989" s="2" t="str">
        <f>"电子信息与电气工程学院"</f>
        <v>电子信息与电气工程学院</v>
      </c>
    </row>
    <row r="990" ht="13.5" hidden="1" spans="1:5">
      <c r="A990" s="2" t="str">
        <f>"白雯"</f>
        <v>白雯</v>
      </c>
      <c r="B990" s="2" t="str">
        <f>"B20201004106"</f>
        <v>B20201004106</v>
      </c>
      <c r="C990" s="2" t="str">
        <f t="shared" si="209"/>
        <v>女</v>
      </c>
      <c r="D990" s="2" t="str">
        <f t="shared" si="203"/>
        <v>13</v>
      </c>
      <c r="E990" s="2" t="str">
        <f>"艺术设计学院"</f>
        <v>艺术设计学院</v>
      </c>
    </row>
    <row r="991" ht="13.5" hidden="1" spans="1:5">
      <c r="A991" s="2" t="str">
        <f>"龙宇晴"</f>
        <v>龙宇晴</v>
      </c>
      <c r="B991" s="2" t="str">
        <f>"B20210503211"</f>
        <v>B20210503211</v>
      </c>
      <c r="C991" s="2" t="str">
        <f t="shared" si="209"/>
        <v>女</v>
      </c>
      <c r="D991" s="2" t="str">
        <f t="shared" si="203"/>
        <v>13</v>
      </c>
      <c r="E991" s="2" t="str">
        <f>"材料与环境工程学院"</f>
        <v>材料与环境工程学院</v>
      </c>
    </row>
    <row r="992" ht="13.5" hidden="1" spans="1:5">
      <c r="A992" s="2" t="str">
        <f>"李圆"</f>
        <v>李圆</v>
      </c>
      <c r="B992" s="2" t="str">
        <f>"B20201002408"</f>
        <v>B20201002408</v>
      </c>
      <c r="C992" s="2" t="str">
        <f t="shared" si="209"/>
        <v>女</v>
      </c>
      <c r="D992" s="2" t="str">
        <f t="shared" si="203"/>
        <v>13</v>
      </c>
      <c r="E992" s="2" t="str">
        <f>"艺术设计学院"</f>
        <v>艺术设计学院</v>
      </c>
    </row>
    <row r="993" ht="13.5" hidden="1" spans="1:5">
      <c r="A993" s="2" t="str">
        <f>"杨闰月"</f>
        <v>杨闰月</v>
      </c>
      <c r="B993" s="2" t="str">
        <f>"B20220401427"</f>
        <v>B20220401427</v>
      </c>
      <c r="C993" s="2" t="str">
        <f t="shared" si="209"/>
        <v>女</v>
      </c>
      <c r="D993" s="2" t="str">
        <f t="shared" si="203"/>
        <v>13</v>
      </c>
      <c r="E993" s="2" t="str">
        <f>"电子信息与电气工程学院"</f>
        <v>电子信息与电气工程学院</v>
      </c>
    </row>
    <row r="994" ht="13.5" hidden="1" spans="1:5">
      <c r="A994" s="2" t="str">
        <f>"李堂城"</f>
        <v>李堂城</v>
      </c>
      <c r="B994" s="2" t="str">
        <f>"B20230901224"</f>
        <v>B20230901224</v>
      </c>
      <c r="C994" s="2" t="str">
        <f>"男"</f>
        <v>男</v>
      </c>
      <c r="D994" s="2" t="str">
        <f t="shared" si="203"/>
        <v>13</v>
      </c>
      <c r="E994" s="2" t="str">
        <f t="shared" ref="E994:E996" si="210">"经济与管理学院"</f>
        <v>经济与管理学院</v>
      </c>
    </row>
    <row r="995" ht="13.5" hidden="1" spans="1:5">
      <c r="A995" s="2" t="str">
        <f>"张缪"</f>
        <v>张缪</v>
      </c>
      <c r="B995" s="2" t="str">
        <f>"B20220902224"</f>
        <v>B20220902224</v>
      </c>
      <c r="C995" s="2" t="str">
        <f t="shared" ref="C995:C1000" si="211">"女"</f>
        <v>女</v>
      </c>
      <c r="D995" s="2" t="str">
        <f t="shared" si="203"/>
        <v>13</v>
      </c>
      <c r="E995" s="2" t="str">
        <f t="shared" si="210"/>
        <v>经济与管理学院</v>
      </c>
    </row>
    <row r="996" ht="13.5" hidden="1" spans="1:5">
      <c r="A996" s="2" t="str">
        <f>"张燕辉"</f>
        <v>张燕辉</v>
      </c>
      <c r="B996" s="2" t="str">
        <f>"B20200906206"</f>
        <v>B20200906206</v>
      </c>
      <c r="C996" s="2" t="str">
        <f t="shared" si="211"/>
        <v>女</v>
      </c>
      <c r="D996" s="2" t="str">
        <f t="shared" si="203"/>
        <v>13</v>
      </c>
      <c r="E996" s="2" t="str">
        <f t="shared" si="210"/>
        <v>经济与管理学院</v>
      </c>
    </row>
    <row r="997" ht="13.5" hidden="1" spans="1:5">
      <c r="A997" s="2" t="str">
        <f>"葛启骏"</f>
        <v>葛启骏</v>
      </c>
      <c r="B997" s="2" t="str">
        <f>"B20200101534"</f>
        <v>B20200101534</v>
      </c>
      <c r="C997" s="2" t="str">
        <f>"男"</f>
        <v>男</v>
      </c>
      <c r="D997" s="2" t="str">
        <f t="shared" si="203"/>
        <v>13</v>
      </c>
      <c r="E997" s="2" t="str">
        <f>"土木工程学院"</f>
        <v>土木工程学院</v>
      </c>
    </row>
    <row r="998" ht="13.5" hidden="1" spans="1:5">
      <c r="A998" s="2" t="str">
        <f>"蔡丽萍"</f>
        <v>蔡丽萍</v>
      </c>
      <c r="B998" s="2" t="str">
        <f>"B20220801222"</f>
        <v>B20220801222</v>
      </c>
      <c r="C998" s="2" t="str">
        <f t="shared" si="211"/>
        <v>女</v>
      </c>
      <c r="D998" s="2" t="str">
        <f t="shared" si="203"/>
        <v>13</v>
      </c>
      <c r="E998" s="2" t="str">
        <f>"外国语学院"</f>
        <v>外国语学院</v>
      </c>
    </row>
    <row r="999" ht="13.5" hidden="1" spans="1:5">
      <c r="A999" s="2" t="str">
        <f>"彭盼"</f>
        <v>彭盼</v>
      </c>
      <c r="B999" s="2" t="str">
        <f>"B20210802122"</f>
        <v>B20210802122</v>
      </c>
      <c r="C999" s="2" t="str">
        <f t="shared" si="211"/>
        <v>女</v>
      </c>
      <c r="D999" s="2" t="str">
        <f t="shared" si="203"/>
        <v>13</v>
      </c>
      <c r="E999" s="2" t="str">
        <f>"外国语学院"</f>
        <v>外国语学院</v>
      </c>
    </row>
    <row r="1000" ht="13.5" hidden="1" spans="1:5">
      <c r="A1000" s="2" t="str">
        <f>"李馨悦"</f>
        <v>李馨悦</v>
      </c>
      <c r="B1000" s="2" t="str">
        <f>"B20230601229"</f>
        <v>B20230601229</v>
      </c>
      <c r="C1000" s="2" t="str">
        <f t="shared" si="211"/>
        <v>女</v>
      </c>
      <c r="D1000" s="2" t="str">
        <f t="shared" si="203"/>
        <v>13</v>
      </c>
      <c r="E1000" s="2" t="str">
        <f>"法学院"</f>
        <v>法学院</v>
      </c>
    </row>
    <row r="1001" ht="13.5" hidden="1" spans="1:5">
      <c r="A1001" s="2" t="str">
        <f>"刘洋雨"</f>
        <v>刘洋雨</v>
      </c>
      <c r="B1001" s="2" t="str">
        <f>"B20200101124"</f>
        <v>B20200101124</v>
      </c>
      <c r="C1001" s="2" t="str">
        <f>"男"</f>
        <v>男</v>
      </c>
      <c r="D1001" s="2" t="str">
        <f t="shared" si="203"/>
        <v>13</v>
      </c>
      <c r="E1001" s="2" t="str">
        <f>"土木工程学院"</f>
        <v>土木工程学院</v>
      </c>
    </row>
    <row r="1002" ht="13.5" hidden="1" spans="1:5">
      <c r="A1002" s="2" t="str">
        <f>"彭筱珍"</f>
        <v>彭筱珍</v>
      </c>
      <c r="B1002" s="2" t="str">
        <f>"B20230601311"</f>
        <v>B20230601311</v>
      </c>
      <c r="C1002" s="2" t="str">
        <f>"女"</f>
        <v>女</v>
      </c>
      <c r="D1002" s="2" t="str">
        <f t="shared" si="203"/>
        <v>13</v>
      </c>
      <c r="E1002" s="2" t="str">
        <f>"法学院"</f>
        <v>法学院</v>
      </c>
    </row>
    <row r="1003" ht="13.5" hidden="1" spans="1:5">
      <c r="A1003" s="2" t="str">
        <f>"杨运"</f>
        <v>杨运</v>
      </c>
      <c r="B1003" s="2" t="str">
        <f>"B20200503205"</f>
        <v>B20200503205</v>
      </c>
      <c r="C1003" s="2" t="str">
        <f>"男"</f>
        <v>男</v>
      </c>
      <c r="D1003" s="2" t="str">
        <f t="shared" si="203"/>
        <v>13</v>
      </c>
      <c r="E1003" s="2" t="str">
        <f>"生物与环境工程学院"</f>
        <v>生物与环境工程学院</v>
      </c>
    </row>
    <row r="1004" ht="13.5" hidden="1" spans="1:5">
      <c r="A1004" s="2" t="str">
        <f>"何金钟"</f>
        <v>何金钟</v>
      </c>
      <c r="B1004" s="2" t="str">
        <f>"B20200503235"</f>
        <v>B20200503235</v>
      </c>
      <c r="C1004" s="2" t="str">
        <f>"男"</f>
        <v>男</v>
      </c>
      <c r="D1004" s="2" t="str">
        <f t="shared" si="203"/>
        <v>13</v>
      </c>
      <c r="E1004" s="2" t="str">
        <f>"生物与环境工程学院"</f>
        <v>生物与环境工程学院</v>
      </c>
    </row>
    <row r="1005" ht="13.5" hidden="1" spans="1:5">
      <c r="A1005" s="2" t="str">
        <f>"吴舟"</f>
        <v>吴舟</v>
      </c>
      <c r="B1005" s="2" t="str">
        <f>"B20200103116"</f>
        <v>B20200103116</v>
      </c>
      <c r="C1005" s="2" t="str">
        <f>"男"</f>
        <v>男</v>
      </c>
      <c r="D1005" s="2" t="str">
        <f t="shared" si="203"/>
        <v>13</v>
      </c>
      <c r="E1005" s="2" t="str">
        <f>"土木工程学院"</f>
        <v>土木工程学院</v>
      </c>
    </row>
    <row r="1006" ht="13.5" hidden="1" spans="1:5">
      <c r="A1006" s="2" t="str">
        <f>"肖丹宁"</f>
        <v>肖丹宁</v>
      </c>
      <c r="B1006" s="2" t="str">
        <f>"B20220701229"</f>
        <v>B20220701229</v>
      </c>
      <c r="C1006" s="2" t="str">
        <f t="shared" ref="C1006:C1009" si="212">"女"</f>
        <v>女</v>
      </c>
      <c r="D1006" s="2" t="str">
        <f t="shared" ref="D1006:D1029" si="213">"13"</f>
        <v>13</v>
      </c>
      <c r="E1006" s="2" t="str">
        <f>"马栏山新媒体学院"</f>
        <v>马栏山新媒体学院</v>
      </c>
    </row>
    <row r="1007" ht="13.5" hidden="1" spans="1:5">
      <c r="A1007" s="2" t="str">
        <f>"谭志"</f>
        <v>谭志</v>
      </c>
      <c r="B1007" s="2" t="str">
        <f>"B20201004110"</f>
        <v>B20201004110</v>
      </c>
      <c r="C1007" s="2" t="str">
        <f t="shared" ref="C1007:C1011" si="214">"男"</f>
        <v>男</v>
      </c>
      <c r="D1007" s="2" t="str">
        <f t="shared" si="213"/>
        <v>13</v>
      </c>
      <c r="E1007" s="2" t="str">
        <f>"艺术设计学院"</f>
        <v>艺术设计学院</v>
      </c>
    </row>
    <row r="1008" ht="13.5" hidden="1" spans="1:5">
      <c r="A1008" s="2" t="str">
        <f>"刘蕾"</f>
        <v>刘蕾</v>
      </c>
      <c r="B1008" s="2" t="str">
        <f>"B20210401323"</f>
        <v>B20210401323</v>
      </c>
      <c r="C1008" s="2" t="str">
        <f t="shared" si="212"/>
        <v>女</v>
      </c>
      <c r="D1008" s="2" t="str">
        <f t="shared" si="213"/>
        <v>13</v>
      </c>
      <c r="E1008" s="2" t="str">
        <f>"电子信息与电气工程学院"</f>
        <v>电子信息与电气工程学院</v>
      </c>
    </row>
    <row r="1009" ht="13.5" hidden="1" spans="1:5">
      <c r="A1009" s="2" t="str">
        <f>"吕思倩"</f>
        <v>吕思倩</v>
      </c>
      <c r="B1009" s="2" t="str">
        <f>"B20230801111"</f>
        <v>B20230801111</v>
      </c>
      <c r="C1009" s="2" t="str">
        <f t="shared" si="212"/>
        <v>女</v>
      </c>
      <c r="D1009" s="2" t="str">
        <f t="shared" si="213"/>
        <v>13</v>
      </c>
      <c r="E1009" s="2" t="str">
        <f>"外国语学院"</f>
        <v>外国语学院</v>
      </c>
    </row>
    <row r="1010" ht="13.5" hidden="1" spans="1:5">
      <c r="A1010" s="2" t="str">
        <f>"周震湘"</f>
        <v>周震湘</v>
      </c>
      <c r="B1010" s="2" t="str">
        <f>"B20200204121"</f>
        <v>B20200204121</v>
      </c>
      <c r="C1010" s="2" t="str">
        <f t="shared" si="214"/>
        <v>男</v>
      </c>
      <c r="D1010" s="2" t="str">
        <f t="shared" si="213"/>
        <v>13</v>
      </c>
      <c r="E1010" s="2" t="str">
        <f>"机电工程学院"</f>
        <v>机电工程学院</v>
      </c>
    </row>
    <row r="1011" ht="13.5" hidden="1" spans="1:5">
      <c r="A1011" s="2" t="str">
        <f>"匡诚伟"</f>
        <v>匡诚伟</v>
      </c>
      <c r="B1011" s="2" t="str">
        <f>"B20230101528"</f>
        <v>B20230101528</v>
      </c>
      <c r="C1011" s="2" t="str">
        <f t="shared" si="214"/>
        <v>男</v>
      </c>
      <c r="D1011" s="2" t="str">
        <f t="shared" si="213"/>
        <v>13</v>
      </c>
      <c r="E1011" s="2" t="str">
        <f>"土木工程学院"</f>
        <v>土木工程学院</v>
      </c>
    </row>
    <row r="1012" ht="13.5" hidden="1" spans="1:5">
      <c r="A1012" s="2" t="str">
        <f>"沈妍文"</f>
        <v>沈妍文</v>
      </c>
      <c r="B1012" s="2" t="str">
        <f>"B20210902236"</f>
        <v>B20210902236</v>
      </c>
      <c r="C1012" s="2" t="str">
        <f>"女"</f>
        <v>女</v>
      </c>
      <c r="D1012" s="2" t="str">
        <f t="shared" si="213"/>
        <v>13</v>
      </c>
      <c r="E1012" s="2" t="str">
        <f>"经济与管理学院"</f>
        <v>经济与管理学院</v>
      </c>
    </row>
    <row r="1013" ht="13.5" hidden="1" spans="1:5">
      <c r="A1013" s="2" t="str">
        <f>"黄锟"</f>
        <v>黄锟</v>
      </c>
      <c r="B1013" s="2" t="str">
        <f>"B20210402107"</f>
        <v>B20210402107</v>
      </c>
      <c r="C1013" s="2" t="str">
        <f t="shared" ref="C1013:C1017" si="215">"男"</f>
        <v>男</v>
      </c>
      <c r="D1013" s="2" t="str">
        <f t="shared" si="213"/>
        <v>13</v>
      </c>
      <c r="E1013" s="2" t="str">
        <f>"电子信息与电气工程学院"</f>
        <v>电子信息与电气工程学院</v>
      </c>
    </row>
    <row r="1014" ht="13.5" hidden="1" spans="1:5">
      <c r="A1014" s="2" t="str">
        <f>"朱嘉琪"</f>
        <v>朱嘉琪</v>
      </c>
      <c r="B1014" s="2" t="str">
        <f>"B20200901228"</f>
        <v>B20200901228</v>
      </c>
      <c r="C1014" s="2" t="str">
        <f t="shared" si="215"/>
        <v>男</v>
      </c>
      <c r="D1014" s="2" t="str">
        <f t="shared" si="213"/>
        <v>13</v>
      </c>
      <c r="E1014" s="2" t="str">
        <f>"经济与管理学院"</f>
        <v>经济与管理学院</v>
      </c>
    </row>
    <row r="1015" ht="13.5" hidden="1" spans="1:5">
      <c r="A1015" s="2" t="str">
        <f>"管理"</f>
        <v>管理</v>
      </c>
      <c r="B1015" s="2" t="str">
        <f>"B20211001420"</f>
        <v>B20211001420</v>
      </c>
      <c r="C1015" s="2" t="str">
        <f t="shared" si="215"/>
        <v>男</v>
      </c>
      <c r="D1015" s="2" t="str">
        <f t="shared" si="213"/>
        <v>13</v>
      </c>
      <c r="E1015" s="2" t="str">
        <f>"艺术设计学院"</f>
        <v>艺术设计学院</v>
      </c>
    </row>
    <row r="1016" ht="13.5" hidden="1" spans="1:5">
      <c r="A1016" s="2" t="str">
        <f>"陈佳庆"</f>
        <v>陈佳庆</v>
      </c>
      <c r="B1016" s="2" t="str">
        <f>"B20230803204"</f>
        <v>B20230803204</v>
      </c>
      <c r="C1016" s="2" t="str">
        <f t="shared" si="215"/>
        <v>男</v>
      </c>
      <c r="D1016" s="2" t="str">
        <f t="shared" si="213"/>
        <v>13</v>
      </c>
      <c r="E1016" s="2" t="str">
        <f>"外国语学院"</f>
        <v>外国语学院</v>
      </c>
    </row>
    <row r="1017" ht="13.5" hidden="1" spans="1:5">
      <c r="A1017" s="2" t="str">
        <f>"戴斌"</f>
        <v>戴斌</v>
      </c>
      <c r="B1017" s="2" t="str">
        <f>"B20230701403"</f>
        <v>B20230701403</v>
      </c>
      <c r="C1017" s="2" t="str">
        <f t="shared" si="215"/>
        <v>男</v>
      </c>
      <c r="D1017" s="2" t="str">
        <f t="shared" si="213"/>
        <v>13</v>
      </c>
      <c r="E1017" s="2" t="str">
        <f>"马栏山新媒体学院"</f>
        <v>马栏山新媒体学院</v>
      </c>
    </row>
    <row r="1018" ht="13.5" hidden="1" spans="1:5">
      <c r="A1018" s="2" t="str">
        <f>"殷久园"</f>
        <v>殷久园</v>
      </c>
      <c r="B1018" s="2" t="str">
        <f>"B20210801201"</f>
        <v>B20210801201</v>
      </c>
      <c r="C1018" s="2" t="str">
        <f>"女"</f>
        <v>女</v>
      </c>
      <c r="D1018" s="2" t="str">
        <f t="shared" si="213"/>
        <v>13</v>
      </c>
      <c r="E1018" s="2" t="str">
        <f>"外国语学院"</f>
        <v>外国语学院</v>
      </c>
    </row>
    <row r="1019" ht="13.5" hidden="1" spans="1:5">
      <c r="A1019" s="2" t="str">
        <f>"胡帅"</f>
        <v>胡帅</v>
      </c>
      <c r="B1019" s="2" t="str">
        <f>"B20210101112"</f>
        <v>B20210101112</v>
      </c>
      <c r="C1019" s="2" t="str">
        <f t="shared" ref="C1019:C1021" si="216">"男"</f>
        <v>男</v>
      </c>
      <c r="D1019" s="2" t="str">
        <f t="shared" si="213"/>
        <v>13</v>
      </c>
      <c r="E1019" s="2" t="str">
        <f>"土木工程学院"</f>
        <v>土木工程学院</v>
      </c>
    </row>
    <row r="1020" ht="13.5" hidden="1" spans="1:5">
      <c r="A1020" s="2" t="str">
        <f>"武椿杰"</f>
        <v>武椿杰</v>
      </c>
      <c r="B1020" s="2" t="str">
        <f>"B20210203118"</f>
        <v>B20210203118</v>
      </c>
      <c r="C1020" s="2" t="str">
        <f t="shared" si="216"/>
        <v>男</v>
      </c>
      <c r="D1020" s="2" t="str">
        <f t="shared" si="213"/>
        <v>13</v>
      </c>
      <c r="E1020" s="2" t="str">
        <f>"机电工程学院"</f>
        <v>机电工程学院</v>
      </c>
    </row>
    <row r="1021" ht="13.5" hidden="1" spans="1:5">
      <c r="A1021" s="2" t="str">
        <f>"邓炅"</f>
        <v>邓炅</v>
      </c>
      <c r="B1021" s="2" t="str">
        <f>"B20230204102"</f>
        <v>B20230204102</v>
      </c>
      <c r="C1021" s="2" t="str">
        <f t="shared" si="216"/>
        <v>男</v>
      </c>
      <c r="D1021" s="2" t="str">
        <f t="shared" si="213"/>
        <v>13</v>
      </c>
      <c r="E1021" s="2" t="str">
        <f>"机电工程学院"</f>
        <v>机电工程学院</v>
      </c>
    </row>
    <row r="1022" ht="13.5" hidden="1" spans="1:5">
      <c r="A1022" s="2" t="str">
        <f>"蒋佳益"</f>
        <v>蒋佳益</v>
      </c>
      <c r="B1022" s="2" t="str">
        <f>"B20230801415"</f>
        <v>B20230801415</v>
      </c>
      <c r="C1022" s="2" t="str">
        <f t="shared" ref="C1022:C1026" si="217">"女"</f>
        <v>女</v>
      </c>
      <c r="D1022" s="2" t="str">
        <f t="shared" si="213"/>
        <v>13</v>
      </c>
      <c r="E1022" s="2" t="str">
        <f>"外国语学院"</f>
        <v>外国语学院</v>
      </c>
    </row>
    <row r="1023" ht="13.5" hidden="1" spans="1:5">
      <c r="A1023" s="2" t="str">
        <f>"孙洪艺"</f>
        <v>孙洪艺</v>
      </c>
      <c r="B1023" s="2" t="str">
        <f>"B20210401412"</f>
        <v>B20210401412</v>
      </c>
      <c r="C1023" s="2" t="str">
        <f>"男"</f>
        <v>男</v>
      </c>
      <c r="D1023" s="2" t="str">
        <f t="shared" si="213"/>
        <v>13</v>
      </c>
      <c r="E1023" s="2" t="str">
        <f>"电子信息与电气工程学院"</f>
        <v>电子信息与电气工程学院</v>
      </c>
    </row>
    <row r="1024" ht="13.5" hidden="1" spans="1:5">
      <c r="A1024" s="2" t="str">
        <f>"黎庆玲"</f>
        <v>黎庆玲</v>
      </c>
      <c r="B1024" s="2" t="str">
        <f>"B20220104231"</f>
        <v>B20220104231</v>
      </c>
      <c r="C1024" s="2" t="str">
        <f t="shared" si="217"/>
        <v>女</v>
      </c>
      <c r="D1024" s="2" t="str">
        <f t="shared" si="213"/>
        <v>13</v>
      </c>
      <c r="E1024" s="2" t="str">
        <f>"土木工程学院"</f>
        <v>土木工程学院</v>
      </c>
    </row>
    <row r="1025" ht="13.5" hidden="1" spans="1:5">
      <c r="A1025" s="2" t="str">
        <f>"王思仪"</f>
        <v>王思仪</v>
      </c>
      <c r="B1025" s="2" t="str">
        <f>"B20230803111"</f>
        <v>B20230803111</v>
      </c>
      <c r="C1025" s="2" t="str">
        <f t="shared" si="217"/>
        <v>女</v>
      </c>
      <c r="D1025" s="2" t="str">
        <f t="shared" si="213"/>
        <v>13</v>
      </c>
      <c r="E1025" s="2" t="str">
        <f>"外国语学院"</f>
        <v>外国语学院</v>
      </c>
    </row>
    <row r="1026" ht="13.5" hidden="1" spans="1:5">
      <c r="A1026" s="2" t="str">
        <f>"李晨"</f>
        <v>李晨</v>
      </c>
      <c r="B1026" s="2" t="str">
        <f>"B20210905227"</f>
        <v>B20210905227</v>
      </c>
      <c r="C1026" s="2" t="str">
        <f t="shared" si="217"/>
        <v>女</v>
      </c>
      <c r="D1026" s="2" t="str">
        <f t="shared" si="213"/>
        <v>13</v>
      </c>
      <c r="E1026" s="2" t="str">
        <f>"经济与管理学院"</f>
        <v>经济与管理学院</v>
      </c>
    </row>
    <row r="1027" ht="13.5" hidden="1" spans="1:5">
      <c r="A1027" s="2" t="str">
        <f>"李世卓"</f>
        <v>李世卓</v>
      </c>
      <c r="B1027" s="2" t="str">
        <f>"B20221111129"</f>
        <v>B20221111129</v>
      </c>
      <c r="C1027" s="2" t="str">
        <f>"男"</f>
        <v>男</v>
      </c>
      <c r="D1027" s="2" t="str">
        <f t="shared" si="213"/>
        <v>13</v>
      </c>
      <c r="E1027" s="2" t="str">
        <f>"音乐学院"</f>
        <v>音乐学院</v>
      </c>
    </row>
    <row r="1028" ht="13.5" hidden="1" spans="1:5">
      <c r="A1028" s="2" t="str">
        <f>"蒋雨昕"</f>
        <v>蒋雨昕</v>
      </c>
      <c r="B1028" s="2" t="str">
        <f>"B20201002125"</f>
        <v>B20201002125</v>
      </c>
      <c r="C1028" s="2" t="str">
        <f>"女"</f>
        <v>女</v>
      </c>
      <c r="D1028" s="2" t="str">
        <f t="shared" si="213"/>
        <v>13</v>
      </c>
      <c r="E1028" s="2" t="str">
        <f>"艺术设计学院"</f>
        <v>艺术设计学院</v>
      </c>
    </row>
    <row r="1029" ht="13.5" hidden="1" spans="1:5">
      <c r="A1029" s="2" t="str">
        <f>"范雯"</f>
        <v>范雯</v>
      </c>
      <c r="B1029" s="2" t="str">
        <f>"B20230702218"</f>
        <v>B20230702218</v>
      </c>
      <c r="C1029" s="2" t="str">
        <f>"女"</f>
        <v>女</v>
      </c>
      <c r="D1029" s="2" t="str">
        <f t="shared" si="213"/>
        <v>13</v>
      </c>
      <c r="E1029" s="2" t="str">
        <f>"马栏山新媒体学院"</f>
        <v>马栏山新媒体学院</v>
      </c>
    </row>
    <row r="1030" ht="13.5" hidden="1" spans="1:5">
      <c r="A1030" s="2" t="str">
        <f>"钟宜君"</f>
        <v>钟宜君</v>
      </c>
      <c r="B1030" s="2" t="str">
        <f>"B20210505220"</f>
        <v>B20210505220</v>
      </c>
      <c r="C1030" s="2" t="str">
        <f>"女"</f>
        <v>女</v>
      </c>
      <c r="D1030" s="2" t="str">
        <f t="shared" ref="D1030:D1093" si="218">"12"</f>
        <v>12</v>
      </c>
      <c r="E1030" s="2" t="str">
        <f>"材料与环境工程学院"</f>
        <v>材料与环境工程学院</v>
      </c>
    </row>
    <row r="1031" ht="13.5" hidden="1" spans="1:5">
      <c r="A1031" s="2" t="str">
        <f>"徐飞翔"</f>
        <v>徐飞翔</v>
      </c>
      <c r="B1031" s="2" t="str">
        <f>"B20220501237"</f>
        <v>B20220501237</v>
      </c>
      <c r="C1031" s="2" t="str">
        <f>"男"</f>
        <v>男</v>
      </c>
      <c r="D1031" s="2" t="str">
        <f t="shared" si="218"/>
        <v>12</v>
      </c>
      <c r="E1031" s="2" t="str">
        <f>"生物与化学工程学院"</f>
        <v>生物与化学工程学院</v>
      </c>
    </row>
    <row r="1032" ht="13.5" hidden="1" spans="1:5">
      <c r="A1032" s="2" t="str">
        <f>"易子轩"</f>
        <v>易子轩</v>
      </c>
      <c r="B1032" s="2" t="str">
        <f>"B20230803113"</f>
        <v>B20230803113</v>
      </c>
      <c r="C1032" s="2" t="str">
        <f t="shared" ref="C1032:C1035" si="219">"女"</f>
        <v>女</v>
      </c>
      <c r="D1032" s="2" t="str">
        <f t="shared" si="218"/>
        <v>12</v>
      </c>
      <c r="E1032" s="2" t="str">
        <f>"外国语学院"</f>
        <v>外国语学院</v>
      </c>
    </row>
    <row r="1033" ht="13.5" hidden="1" spans="1:5">
      <c r="A1033" s="2" t="str">
        <f>"陈姝伊"</f>
        <v>陈姝伊</v>
      </c>
      <c r="B1033" s="2" t="str">
        <f>"B20230803228"</f>
        <v>B20230803228</v>
      </c>
      <c r="C1033" s="2" t="str">
        <f t="shared" si="219"/>
        <v>女</v>
      </c>
      <c r="D1033" s="2" t="str">
        <f t="shared" si="218"/>
        <v>12</v>
      </c>
      <c r="E1033" s="2" t="str">
        <f>"外国语学院"</f>
        <v>外国语学院</v>
      </c>
    </row>
    <row r="1034" ht="13.5" hidden="1" spans="1:5">
      <c r="A1034" s="2" t="str">
        <f>"汤景雲"</f>
        <v>汤景雲</v>
      </c>
      <c r="B1034" s="2" t="str">
        <f>"B20220402113"</f>
        <v>B20220402113</v>
      </c>
      <c r="C1034" s="2" t="str">
        <f t="shared" si="219"/>
        <v>女</v>
      </c>
      <c r="D1034" s="2" t="str">
        <f t="shared" si="218"/>
        <v>12</v>
      </c>
      <c r="E1034" s="2" t="str">
        <f>"电子信息与电气工程学院"</f>
        <v>电子信息与电气工程学院</v>
      </c>
    </row>
    <row r="1035" ht="13.5" hidden="1" spans="1:5">
      <c r="A1035" s="2" t="str">
        <f>"赵飞雪"</f>
        <v>赵飞雪</v>
      </c>
      <c r="B1035" s="2" t="str">
        <f>"B20200901402"</f>
        <v>B20200901402</v>
      </c>
      <c r="C1035" s="2" t="str">
        <f t="shared" si="219"/>
        <v>女</v>
      </c>
      <c r="D1035" s="2" t="str">
        <f t="shared" si="218"/>
        <v>12</v>
      </c>
      <c r="E1035" s="2" t="str">
        <f t="shared" ref="E1035:E1037" si="220">"经济与管理学院"</f>
        <v>经济与管理学院</v>
      </c>
    </row>
    <row r="1036" ht="13.5" hidden="1" spans="1:5">
      <c r="A1036" s="2" t="str">
        <f>"周鹰颧"</f>
        <v>周鹰颧</v>
      </c>
      <c r="B1036" s="2" t="str">
        <f>"B20220904211"</f>
        <v>B20220904211</v>
      </c>
      <c r="C1036" s="2" t="str">
        <f>"男"</f>
        <v>男</v>
      </c>
      <c r="D1036" s="2" t="str">
        <f t="shared" si="218"/>
        <v>12</v>
      </c>
      <c r="E1036" s="2" t="str">
        <f t="shared" si="220"/>
        <v>经济与管理学院</v>
      </c>
    </row>
    <row r="1037" ht="13.5" hidden="1" spans="1:5">
      <c r="A1037" s="2" t="str">
        <f>"熊小雅"</f>
        <v>熊小雅</v>
      </c>
      <c r="B1037" s="2" t="str">
        <f>"B20230904226"</f>
        <v>B20230904226</v>
      </c>
      <c r="C1037" s="2" t="str">
        <f t="shared" ref="C1037:C1041" si="221">"女"</f>
        <v>女</v>
      </c>
      <c r="D1037" s="2" t="str">
        <f t="shared" si="218"/>
        <v>12</v>
      </c>
      <c r="E1037" s="2" t="str">
        <f t="shared" si="220"/>
        <v>经济与管理学院</v>
      </c>
    </row>
    <row r="1038" ht="13.5" hidden="1" spans="1:5">
      <c r="A1038" s="2" t="str">
        <f>"陈智"</f>
        <v>陈智</v>
      </c>
      <c r="B1038" s="2" t="str">
        <f>"B20230405125"</f>
        <v>B20230405125</v>
      </c>
      <c r="C1038" s="2" t="str">
        <f t="shared" ref="C1038:C1046" si="222">"男"</f>
        <v>男</v>
      </c>
      <c r="D1038" s="2" t="str">
        <f t="shared" si="218"/>
        <v>12</v>
      </c>
      <c r="E1038" s="2" t="str">
        <f>"电子信息与电气工程学院"</f>
        <v>电子信息与电气工程学院</v>
      </c>
    </row>
    <row r="1039" ht="13.5" hidden="1" spans="1:5">
      <c r="A1039" s="2" t="str">
        <f>"吴杰"</f>
        <v>吴杰</v>
      </c>
      <c r="B1039" s="2" t="str">
        <f>"B20220702101"</f>
        <v>B20220702101</v>
      </c>
      <c r="C1039" s="2" t="str">
        <f t="shared" si="221"/>
        <v>女</v>
      </c>
      <c r="D1039" s="2" t="str">
        <f t="shared" si="218"/>
        <v>12</v>
      </c>
      <c r="E1039" s="2" t="str">
        <f>"马栏山新媒体学院"</f>
        <v>马栏山新媒体学院</v>
      </c>
    </row>
    <row r="1040" ht="13.5" hidden="1" spans="1:5">
      <c r="A1040" s="2" t="str">
        <f>"陶翠"</f>
        <v>陶翠</v>
      </c>
      <c r="B1040" s="2" t="str">
        <f>"B20210802204"</f>
        <v>B20210802204</v>
      </c>
      <c r="C1040" s="2" t="str">
        <f t="shared" si="221"/>
        <v>女</v>
      </c>
      <c r="D1040" s="2" t="str">
        <f t="shared" si="218"/>
        <v>12</v>
      </c>
      <c r="E1040" s="2" t="str">
        <f>"外国语学院"</f>
        <v>外国语学院</v>
      </c>
    </row>
    <row r="1041" ht="13.5" hidden="1" spans="1:5">
      <c r="A1041" s="2" t="str">
        <f>"谭晶晶"</f>
        <v>谭晶晶</v>
      </c>
      <c r="B1041" s="2" t="str">
        <f>"B20210501225"</f>
        <v>B20210501225</v>
      </c>
      <c r="C1041" s="2" t="str">
        <f t="shared" si="221"/>
        <v>女</v>
      </c>
      <c r="D1041" s="2" t="str">
        <f t="shared" si="218"/>
        <v>12</v>
      </c>
      <c r="E1041" s="2" t="str">
        <f>"生物与化学工程学院"</f>
        <v>生物与化学工程学院</v>
      </c>
    </row>
    <row r="1042" ht="13.5" hidden="1" spans="1:5">
      <c r="A1042" s="2" t="str">
        <f>"郭赐豪"</f>
        <v>郭赐豪</v>
      </c>
      <c r="B1042" s="2" t="str">
        <f>"B20230101530"</f>
        <v>B20230101530</v>
      </c>
      <c r="C1042" s="2" t="str">
        <f t="shared" si="222"/>
        <v>男</v>
      </c>
      <c r="D1042" s="2" t="str">
        <f t="shared" si="218"/>
        <v>12</v>
      </c>
      <c r="E1042" s="2" t="str">
        <f t="shared" ref="E1042:E1045" si="223">"土木工程学院"</f>
        <v>土木工程学院</v>
      </c>
    </row>
    <row r="1043" ht="13.5" hidden="1" spans="1:5">
      <c r="A1043" s="2" t="str">
        <f>"徐梓洋"</f>
        <v>徐梓洋</v>
      </c>
      <c r="B1043" s="2" t="str">
        <f>"B20200502236"</f>
        <v>B20200502236</v>
      </c>
      <c r="C1043" s="2" t="str">
        <f t="shared" si="222"/>
        <v>男</v>
      </c>
      <c r="D1043" s="2" t="str">
        <f t="shared" si="218"/>
        <v>12</v>
      </c>
      <c r="E1043" s="2" t="str">
        <f>"生物与环境工程学院"</f>
        <v>生物与环境工程学院</v>
      </c>
    </row>
    <row r="1044" ht="13.5" hidden="1" spans="1:5">
      <c r="A1044" s="2" t="str">
        <f>"杨盛主"</f>
        <v>杨盛主</v>
      </c>
      <c r="B1044" s="2" t="str">
        <f>"B20200101115"</f>
        <v>B20200101115</v>
      </c>
      <c r="C1044" s="2" t="str">
        <f t="shared" si="222"/>
        <v>男</v>
      </c>
      <c r="D1044" s="2" t="str">
        <f t="shared" si="218"/>
        <v>12</v>
      </c>
      <c r="E1044" s="2" t="str">
        <f t="shared" si="223"/>
        <v>土木工程学院</v>
      </c>
    </row>
    <row r="1045" ht="13.5" hidden="1" spans="1:5">
      <c r="A1045" s="2" t="str">
        <f>"岳成智"</f>
        <v>岳成智</v>
      </c>
      <c r="B1045" s="2" t="str">
        <f>"B20200101221"</f>
        <v>B20200101221</v>
      </c>
      <c r="C1045" s="2" t="str">
        <f t="shared" si="222"/>
        <v>男</v>
      </c>
      <c r="D1045" s="2" t="str">
        <f t="shared" si="218"/>
        <v>12</v>
      </c>
      <c r="E1045" s="2" t="str">
        <f t="shared" si="223"/>
        <v>土木工程学院</v>
      </c>
    </row>
    <row r="1046" ht="13.5" hidden="1" spans="1:5">
      <c r="A1046" s="2" t="str">
        <f>"周杰才"</f>
        <v>周杰才</v>
      </c>
      <c r="B1046" s="2" t="str">
        <f>"B20230201412"</f>
        <v>B20230201412</v>
      </c>
      <c r="C1046" s="2" t="str">
        <f t="shared" si="222"/>
        <v>男</v>
      </c>
      <c r="D1046" s="2" t="str">
        <f t="shared" si="218"/>
        <v>12</v>
      </c>
      <c r="E1046" s="2" t="str">
        <f>"机电工程学院"</f>
        <v>机电工程学院</v>
      </c>
    </row>
    <row r="1047" ht="13.5" hidden="1" spans="1:5">
      <c r="A1047" s="2" t="str">
        <f>"肖逸"</f>
        <v>肖逸</v>
      </c>
      <c r="B1047" s="2" t="str">
        <f>"B20200101322"</f>
        <v>B20200101322</v>
      </c>
      <c r="C1047" s="2" t="str">
        <f t="shared" ref="C1047:C1051" si="224">"女"</f>
        <v>女</v>
      </c>
      <c r="D1047" s="2" t="str">
        <f t="shared" si="218"/>
        <v>12</v>
      </c>
      <c r="E1047" s="2" t="str">
        <f>"土木工程学院"</f>
        <v>土木工程学院</v>
      </c>
    </row>
    <row r="1048" ht="13.5" hidden="1" spans="1:5">
      <c r="A1048" s="2" t="str">
        <f>"杨纽"</f>
        <v>杨纽</v>
      </c>
      <c r="B1048" s="2" t="str">
        <f>"B20220701414"</f>
        <v>B20220701414</v>
      </c>
      <c r="C1048" s="2" t="str">
        <f t="shared" si="224"/>
        <v>女</v>
      </c>
      <c r="D1048" s="2" t="str">
        <f t="shared" si="218"/>
        <v>12</v>
      </c>
      <c r="E1048" s="2" t="str">
        <f>"马栏山新媒体学院"</f>
        <v>马栏山新媒体学院</v>
      </c>
    </row>
    <row r="1049" ht="13.5" hidden="1" spans="1:5">
      <c r="A1049" s="2" t="str">
        <f>"丁桂伦"</f>
        <v>丁桂伦</v>
      </c>
      <c r="B1049" s="2" t="str">
        <f>"B20200103101"</f>
        <v>B20200103101</v>
      </c>
      <c r="C1049" s="2" t="str">
        <f t="shared" ref="C1049:C1053" si="225">"男"</f>
        <v>男</v>
      </c>
      <c r="D1049" s="2" t="str">
        <f t="shared" si="218"/>
        <v>12</v>
      </c>
      <c r="E1049" s="2" t="str">
        <f>"土木工程学院"</f>
        <v>土木工程学院</v>
      </c>
    </row>
    <row r="1050" ht="13.5" hidden="1" spans="1:5">
      <c r="A1050" s="2" t="str">
        <f>"方琦萍"</f>
        <v>方琦萍</v>
      </c>
      <c r="B1050" s="2" t="str">
        <f>"B20210906143"</f>
        <v>B20210906143</v>
      </c>
      <c r="C1050" s="2" t="str">
        <f t="shared" si="224"/>
        <v>女</v>
      </c>
      <c r="D1050" s="2" t="str">
        <f t="shared" si="218"/>
        <v>12</v>
      </c>
      <c r="E1050" s="2" t="str">
        <f>"经济与管理学院"</f>
        <v>经济与管理学院</v>
      </c>
    </row>
    <row r="1051" ht="13.5" hidden="1" spans="1:5">
      <c r="A1051" s="2" t="str">
        <f>"胡瑞"</f>
        <v>胡瑞</v>
      </c>
      <c r="B1051" s="2" t="str">
        <f>"B20210801602"</f>
        <v>B20210801602</v>
      </c>
      <c r="C1051" s="2" t="str">
        <f t="shared" si="224"/>
        <v>女</v>
      </c>
      <c r="D1051" s="2" t="str">
        <f t="shared" si="218"/>
        <v>12</v>
      </c>
      <c r="E1051" s="2" t="str">
        <f>"外国语学院"</f>
        <v>外国语学院</v>
      </c>
    </row>
    <row r="1052" ht="13.5" hidden="1" spans="1:5">
      <c r="A1052" s="2" t="str">
        <f>"何帆"</f>
        <v>何帆</v>
      </c>
      <c r="B1052" s="2" t="str">
        <f>"B20200401125"</f>
        <v>B20200401125</v>
      </c>
      <c r="C1052" s="2" t="str">
        <f t="shared" si="225"/>
        <v>男</v>
      </c>
      <c r="D1052" s="2" t="str">
        <f t="shared" si="218"/>
        <v>12</v>
      </c>
      <c r="E1052" s="2" t="str">
        <f t="shared" ref="E1052:E1054" si="226">"电子信息与电气工程学院"</f>
        <v>电子信息与电气工程学院</v>
      </c>
    </row>
    <row r="1053" ht="13.5" hidden="1" spans="1:5">
      <c r="A1053" s="2" t="str">
        <f>"刘焕龙"</f>
        <v>刘焕龙</v>
      </c>
      <c r="B1053" s="2" t="str">
        <f>"B20230404215"</f>
        <v>B20230404215</v>
      </c>
      <c r="C1053" s="2" t="str">
        <f t="shared" si="225"/>
        <v>男</v>
      </c>
      <c r="D1053" s="2" t="str">
        <f t="shared" si="218"/>
        <v>12</v>
      </c>
      <c r="E1053" s="2" t="str">
        <f t="shared" si="226"/>
        <v>电子信息与电气工程学院</v>
      </c>
    </row>
    <row r="1054" ht="13.5" hidden="1" spans="1:5">
      <c r="A1054" s="2" t="str">
        <f>"王颖"</f>
        <v>王颖</v>
      </c>
      <c r="B1054" s="2" t="str">
        <f>"B20210404223"</f>
        <v>B20210404223</v>
      </c>
      <c r="C1054" s="2" t="str">
        <f t="shared" ref="C1054:C1061" si="227">"女"</f>
        <v>女</v>
      </c>
      <c r="D1054" s="2" t="str">
        <f t="shared" si="218"/>
        <v>12</v>
      </c>
      <c r="E1054" s="2" t="str">
        <f t="shared" si="226"/>
        <v>电子信息与电气工程学院</v>
      </c>
    </row>
    <row r="1055" ht="13.5" hidden="1" spans="1:5">
      <c r="A1055" s="2" t="str">
        <f>"游欢"</f>
        <v>游欢</v>
      </c>
      <c r="B1055" s="2" t="str">
        <f>"B20220801516"</f>
        <v>B20220801516</v>
      </c>
      <c r="C1055" s="2" t="str">
        <f t="shared" si="227"/>
        <v>女</v>
      </c>
      <c r="D1055" s="2" t="str">
        <f t="shared" si="218"/>
        <v>12</v>
      </c>
      <c r="E1055" s="2" t="str">
        <f>"外国语学院"</f>
        <v>外国语学院</v>
      </c>
    </row>
    <row r="1056" ht="13.5" hidden="1" spans="1:5">
      <c r="A1056" s="2" t="str">
        <f>"毛乐莹"</f>
        <v>毛乐莹</v>
      </c>
      <c r="B1056" s="2" t="str">
        <f>"B20210705122"</f>
        <v>B20210705122</v>
      </c>
      <c r="C1056" s="2" t="str">
        <f t="shared" si="227"/>
        <v>女</v>
      </c>
      <c r="D1056" s="2" t="str">
        <f t="shared" si="218"/>
        <v>12</v>
      </c>
      <c r="E1056" s="2" t="str">
        <f>"马栏山新媒体学院"</f>
        <v>马栏山新媒体学院</v>
      </c>
    </row>
    <row r="1057" ht="13.5" hidden="1" spans="1:5">
      <c r="A1057" s="2" t="str">
        <f>"周煜童"</f>
        <v>周煜童</v>
      </c>
      <c r="B1057" s="2" t="str">
        <f>"B20221101219"</f>
        <v>B20221101219</v>
      </c>
      <c r="C1057" s="2" t="str">
        <f t="shared" si="227"/>
        <v>女</v>
      </c>
      <c r="D1057" s="2" t="str">
        <f t="shared" si="218"/>
        <v>12</v>
      </c>
      <c r="E1057" s="2" t="str">
        <f>"音乐学院"</f>
        <v>音乐学院</v>
      </c>
    </row>
    <row r="1058" ht="13.5" hidden="1" spans="1:5">
      <c r="A1058" s="2" t="str">
        <f>"李婕"</f>
        <v>李婕</v>
      </c>
      <c r="B1058" s="2" t="str">
        <f>"B20230904132"</f>
        <v>B20230904132</v>
      </c>
      <c r="C1058" s="2" t="str">
        <f t="shared" si="227"/>
        <v>女</v>
      </c>
      <c r="D1058" s="2" t="str">
        <f t="shared" si="218"/>
        <v>12</v>
      </c>
      <c r="E1058" s="2" t="str">
        <f>"经济与管理学院"</f>
        <v>经济与管理学院</v>
      </c>
    </row>
    <row r="1059" ht="13.5" hidden="1" spans="1:5">
      <c r="A1059" s="2" t="str">
        <f>"叶滢莹"</f>
        <v>叶滢莹</v>
      </c>
      <c r="B1059" s="2" t="str">
        <f>"B20230601210"</f>
        <v>B20230601210</v>
      </c>
      <c r="C1059" s="2" t="str">
        <f t="shared" si="227"/>
        <v>女</v>
      </c>
      <c r="D1059" s="2" t="str">
        <f t="shared" si="218"/>
        <v>12</v>
      </c>
      <c r="E1059" s="2" t="str">
        <f>"法学院"</f>
        <v>法学院</v>
      </c>
    </row>
    <row r="1060" ht="13.5" hidden="1" spans="1:5">
      <c r="A1060" s="2" t="str">
        <f>"王梓童"</f>
        <v>王梓童</v>
      </c>
      <c r="B1060" s="2" t="str">
        <f>"B20230701134"</f>
        <v>B20230701134</v>
      </c>
      <c r="C1060" s="2" t="str">
        <f t="shared" si="227"/>
        <v>女</v>
      </c>
      <c r="D1060" s="2" t="str">
        <f t="shared" si="218"/>
        <v>12</v>
      </c>
      <c r="E1060" s="2" t="str">
        <f>"马栏山新媒体学院"</f>
        <v>马栏山新媒体学院</v>
      </c>
    </row>
    <row r="1061" ht="13.5" hidden="1" spans="1:5">
      <c r="A1061" s="2" t="str">
        <f>"武欣怡"</f>
        <v>武欣怡</v>
      </c>
      <c r="B1061" s="2" t="str">
        <f>"B20231302123"</f>
        <v>B20231302123</v>
      </c>
      <c r="C1061" s="2" t="str">
        <f t="shared" si="227"/>
        <v>女</v>
      </c>
      <c r="D1061" s="2" t="str">
        <f t="shared" si="218"/>
        <v>12</v>
      </c>
      <c r="E1061" s="2" t="str">
        <f>"材料与环境工程学院"</f>
        <v>材料与环境工程学院</v>
      </c>
    </row>
    <row r="1062" ht="13.5" hidden="1" spans="1:5">
      <c r="A1062" s="2" t="str">
        <f>"黄远"</f>
        <v>黄远</v>
      </c>
      <c r="B1062" s="2" t="str">
        <f>"B20220906109"</f>
        <v>B20220906109</v>
      </c>
      <c r="C1062" s="2" t="str">
        <f>"男"</f>
        <v>男</v>
      </c>
      <c r="D1062" s="2" t="str">
        <f t="shared" si="218"/>
        <v>12</v>
      </c>
      <c r="E1062" s="2" t="str">
        <f>"经济与管理学院"</f>
        <v>经济与管理学院</v>
      </c>
    </row>
    <row r="1063" ht="13.5" hidden="1" spans="1:5">
      <c r="A1063" s="2" t="str">
        <f>"姚文涵"</f>
        <v>姚文涵</v>
      </c>
      <c r="B1063" s="2" t="str">
        <f>"B20200504204"</f>
        <v>B20200504204</v>
      </c>
      <c r="C1063" s="2" t="str">
        <f>"男"</f>
        <v>男</v>
      </c>
      <c r="D1063" s="2" t="str">
        <f t="shared" si="218"/>
        <v>12</v>
      </c>
      <c r="E1063" s="2" t="str">
        <f>"生物与环境工程学院"</f>
        <v>生物与环境工程学院</v>
      </c>
    </row>
    <row r="1064" ht="13.5" hidden="1" spans="1:5">
      <c r="A1064" s="2" t="str">
        <f>"卜雅婷"</f>
        <v>卜雅婷</v>
      </c>
      <c r="B1064" s="2" t="str">
        <f>"B20210601217"</f>
        <v>B20210601217</v>
      </c>
      <c r="C1064" s="2" t="str">
        <f>"女"</f>
        <v>女</v>
      </c>
      <c r="D1064" s="2" t="str">
        <f t="shared" si="218"/>
        <v>12</v>
      </c>
      <c r="E1064" s="2" t="str">
        <f>"法学院"</f>
        <v>法学院</v>
      </c>
    </row>
    <row r="1065" ht="13.5" hidden="1" spans="1:5">
      <c r="A1065" s="2" t="str">
        <f>"赵康言"</f>
        <v>赵康言</v>
      </c>
      <c r="B1065" s="2" t="str">
        <f>"B20230202311"</f>
        <v>B20230202311</v>
      </c>
      <c r="C1065" s="2" t="str">
        <f>"男"</f>
        <v>男</v>
      </c>
      <c r="D1065" s="2" t="str">
        <f t="shared" si="218"/>
        <v>12</v>
      </c>
      <c r="E1065" s="2" t="str">
        <f>"机电工程学院"</f>
        <v>机电工程学院</v>
      </c>
    </row>
    <row r="1066" ht="13.5" hidden="1" spans="1:5">
      <c r="A1066" s="2" t="str">
        <f>"田孟升"</f>
        <v>田孟升</v>
      </c>
      <c r="B1066" s="2" t="str">
        <f>"B20210504124"</f>
        <v>B20210504124</v>
      </c>
      <c r="C1066" s="2" t="str">
        <f>"男"</f>
        <v>男</v>
      </c>
      <c r="D1066" s="2" t="str">
        <f t="shared" si="218"/>
        <v>12</v>
      </c>
      <c r="E1066" s="2" t="str">
        <f>"生物与化学工程学院"</f>
        <v>生物与化学工程学院</v>
      </c>
    </row>
    <row r="1067" ht="13.5" hidden="1" spans="1:5">
      <c r="A1067" s="2" t="str">
        <f>"孙兰兰"</f>
        <v>孙兰兰</v>
      </c>
      <c r="B1067" s="2" t="str">
        <f>"B20210903227"</f>
        <v>B20210903227</v>
      </c>
      <c r="C1067" s="2" t="str">
        <f t="shared" ref="C1067:C1071" si="228">"女"</f>
        <v>女</v>
      </c>
      <c r="D1067" s="2" t="str">
        <f t="shared" si="218"/>
        <v>12</v>
      </c>
      <c r="E1067" s="2" t="str">
        <f>"经济与管理学院"</f>
        <v>经济与管理学院</v>
      </c>
    </row>
    <row r="1068" ht="13.5" hidden="1" spans="1:5">
      <c r="A1068" s="2" t="str">
        <f>"刘纮钲"</f>
        <v>刘纮钲</v>
      </c>
      <c r="B1068" s="2" t="str">
        <f>"B20200201220"</f>
        <v>B20200201220</v>
      </c>
      <c r="C1068" s="2" t="str">
        <f t="shared" ref="C1068:C1073" si="229">"男"</f>
        <v>男</v>
      </c>
      <c r="D1068" s="2" t="str">
        <f t="shared" si="218"/>
        <v>12</v>
      </c>
      <c r="E1068" s="2" t="str">
        <f>"机电工程学院"</f>
        <v>机电工程学院</v>
      </c>
    </row>
    <row r="1069" ht="13.5" hidden="1" spans="1:5">
      <c r="A1069" s="2" t="str">
        <f>"袁梓政"</f>
        <v>袁梓政</v>
      </c>
      <c r="B1069" s="2" t="str">
        <f>"B20200401219"</f>
        <v>B20200401219</v>
      </c>
      <c r="C1069" s="2" t="str">
        <f t="shared" si="229"/>
        <v>男</v>
      </c>
      <c r="D1069" s="2" t="str">
        <f t="shared" si="218"/>
        <v>12</v>
      </c>
      <c r="E1069" s="2" t="str">
        <f>"电子信息与电气工程学院"</f>
        <v>电子信息与电气工程学院</v>
      </c>
    </row>
    <row r="1070" ht="13.5" hidden="1" spans="1:5">
      <c r="A1070" s="2" t="str">
        <f>"黄佳茵"</f>
        <v>黄佳茵</v>
      </c>
      <c r="B1070" s="2" t="str">
        <f>"B20210103201"</f>
        <v>B20210103201</v>
      </c>
      <c r="C1070" s="2" t="str">
        <f t="shared" si="228"/>
        <v>女</v>
      </c>
      <c r="D1070" s="2" t="str">
        <f t="shared" si="218"/>
        <v>12</v>
      </c>
      <c r="E1070" s="2" t="str">
        <f>"土木工程学院"</f>
        <v>土木工程学院</v>
      </c>
    </row>
    <row r="1071" ht="13.5" hidden="1" spans="1:5">
      <c r="A1071" s="2" t="str">
        <f>"林阳阳"</f>
        <v>林阳阳</v>
      </c>
      <c r="B1071" s="2" t="str">
        <f>"B20201101230"</f>
        <v>B20201101230</v>
      </c>
      <c r="C1071" s="2" t="str">
        <f t="shared" si="228"/>
        <v>女</v>
      </c>
      <c r="D1071" s="2" t="str">
        <f t="shared" si="218"/>
        <v>12</v>
      </c>
      <c r="E1071" s="2" t="str">
        <f>"音乐学院"</f>
        <v>音乐学院</v>
      </c>
    </row>
    <row r="1072" ht="13.5" hidden="1" spans="1:5">
      <c r="A1072" s="2" t="str">
        <f>"苏志轩"</f>
        <v>苏志轩</v>
      </c>
      <c r="B1072" s="2" t="str">
        <f>"B20231302116"</f>
        <v>B20231302116</v>
      </c>
      <c r="C1072" s="2" t="str">
        <f t="shared" si="229"/>
        <v>男</v>
      </c>
      <c r="D1072" s="2" t="str">
        <f t="shared" si="218"/>
        <v>12</v>
      </c>
      <c r="E1072" s="2" t="str">
        <f>"材料与环境工程学院"</f>
        <v>材料与环境工程学院</v>
      </c>
    </row>
    <row r="1073" ht="13.5" hidden="1" spans="1:5">
      <c r="A1073" s="2" t="str">
        <f>"王森"</f>
        <v>王森</v>
      </c>
      <c r="B1073" s="2" t="str">
        <f>"B20230504132"</f>
        <v>B20230504132</v>
      </c>
      <c r="C1073" s="2" t="str">
        <f t="shared" si="229"/>
        <v>男</v>
      </c>
      <c r="D1073" s="2" t="str">
        <f t="shared" si="218"/>
        <v>12</v>
      </c>
      <c r="E1073" s="2" t="str">
        <f>"生物与化学工程学院"</f>
        <v>生物与化学工程学院</v>
      </c>
    </row>
    <row r="1074" ht="13.5" hidden="1" spans="1:5">
      <c r="A1074" s="2" t="str">
        <f>"宁雪"</f>
        <v>宁雪</v>
      </c>
      <c r="B1074" s="2" t="str">
        <f>"B20230704106"</f>
        <v>B20230704106</v>
      </c>
      <c r="C1074" s="2" t="str">
        <f>"女"</f>
        <v>女</v>
      </c>
      <c r="D1074" s="2" t="str">
        <f t="shared" si="218"/>
        <v>12</v>
      </c>
      <c r="E1074" s="2" t="str">
        <f>"马栏山新媒体学院"</f>
        <v>马栏山新媒体学院</v>
      </c>
    </row>
    <row r="1075" ht="13.5" hidden="1" spans="1:5">
      <c r="A1075" s="2" t="str">
        <f>"李林斌"</f>
        <v>李林斌</v>
      </c>
      <c r="B1075" s="2" t="str">
        <f>"B20230904218"</f>
        <v>B20230904218</v>
      </c>
      <c r="C1075" s="2" t="str">
        <f>"男"</f>
        <v>男</v>
      </c>
      <c r="D1075" s="2" t="str">
        <f t="shared" si="218"/>
        <v>12</v>
      </c>
      <c r="E1075" s="2" t="str">
        <f>"经济与管理学院"</f>
        <v>经济与管理学院</v>
      </c>
    </row>
    <row r="1076" ht="13.5" hidden="1" spans="1:5">
      <c r="A1076" s="2" t="str">
        <f>"邓雨曦"</f>
        <v>邓雨曦</v>
      </c>
      <c r="B1076" s="2" t="str">
        <f>"B20220401329"</f>
        <v>B20220401329</v>
      </c>
      <c r="C1076" s="2" t="str">
        <f>"女"</f>
        <v>女</v>
      </c>
      <c r="D1076" s="2" t="str">
        <f t="shared" si="218"/>
        <v>12</v>
      </c>
      <c r="E1076" s="2" t="str">
        <f>"电子信息与电气工程学院"</f>
        <v>电子信息与电气工程学院</v>
      </c>
    </row>
    <row r="1077" ht="13.5" hidden="1" spans="1:5">
      <c r="A1077" s="2" t="str">
        <f>"胡蒙"</f>
        <v>胡蒙</v>
      </c>
      <c r="B1077" s="2" t="str">
        <f>"B20201003205"</f>
        <v>B20201003205</v>
      </c>
      <c r="C1077" s="2" t="str">
        <f>"男"</f>
        <v>男</v>
      </c>
      <c r="D1077" s="2" t="str">
        <f t="shared" si="218"/>
        <v>12</v>
      </c>
      <c r="E1077" s="2" t="str">
        <f>"艺术设计学院"</f>
        <v>艺术设计学院</v>
      </c>
    </row>
    <row r="1078" ht="13.5" hidden="1" spans="1:5">
      <c r="A1078" s="2" t="str">
        <f>"马斯贝"</f>
        <v>马斯贝</v>
      </c>
      <c r="B1078" s="2" t="str">
        <f>"B20230904328"</f>
        <v>B20230904328</v>
      </c>
      <c r="C1078" s="2" t="str">
        <f>"女"</f>
        <v>女</v>
      </c>
      <c r="D1078" s="2" t="str">
        <f t="shared" si="218"/>
        <v>12</v>
      </c>
      <c r="E1078" s="2" t="str">
        <f>"经济与管理学院"</f>
        <v>经济与管理学院</v>
      </c>
    </row>
    <row r="1079" ht="13.5" hidden="1" spans="1:5">
      <c r="A1079" s="2" t="str">
        <f>"杨皓然"</f>
        <v>杨皓然</v>
      </c>
      <c r="B1079" s="2" t="str">
        <f>"B20230802233"</f>
        <v>B20230802233</v>
      </c>
      <c r="C1079" s="2" t="str">
        <f>"男"</f>
        <v>男</v>
      </c>
      <c r="D1079" s="2" t="str">
        <f t="shared" si="218"/>
        <v>12</v>
      </c>
      <c r="E1079" s="2" t="str">
        <f>"外国语学院"</f>
        <v>外国语学院</v>
      </c>
    </row>
    <row r="1080" ht="13.5" hidden="1" spans="1:5">
      <c r="A1080" s="2" t="str">
        <f>"牟胜硕"</f>
        <v>牟胜硕</v>
      </c>
      <c r="B1080" s="2" t="str">
        <f>"B20230704222"</f>
        <v>B20230704222</v>
      </c>
      <c r="C1080" s="2" t="str">
        <f>"男"</f>
        <v>男</v>
      </c>
      <c r="D1080" s="2" t="str">
        <f t="shared" si="218"/>
        <v>12</v>
      </c>
      <c r="E1080" s="2" t="str">
        <f>"马栏山新媒体学院"</f>
        <v>马栏山新媒体学院</v>
      </c>
    </row>
    <row r="1081" ht="13.5" hidden="1" spans="1:5">
      <c r="A1081" s="2" t="str">
        <f>"唐晓彤"</f>
        <v>唐晓彤</v>
      </c>
      <c r="B1081" s="2" t="str">
        <f>"B20231101117"</f>
        <v>B20231101117</v>
      </c>
      <c r="C1081" s="2" t="str">
        <f t="shared" ref="C1081:C1084" si="230">"女"</f>
        <v>女</v>
      </c>
      <c r="D1081" s="2" t="str">
        <f t="shared" si="218"/>
        <v>12</v>
      </c>
      <c r="E1081" s="2" t="str">
        <f>"音乐学院"</f>
        <v>音乐学院</v>
      </c>
    </row>
    <row r="1082" ht="13.5" hidden="1" spans="1:5">
      <c r="A1082" s="2" t="str">
        <f>"郑哲"</f>
        <v>郑哲</v>
      </c>
      <c r="B1082" s="2" t="str">
        <f>"B20200203131"</f>
        <v>B20200203131</v>
      </c>
      <c r="C1082" s="2" t="str">
        <f t="shared" ref="C1082:C1090" si="231">"男"</f>
        <v>男</v>
      </c>
      <c r="D1082" s="2" t="str">
        <f t="shared" si="218"/>
        <v>12</v>
      </c>
      <c r="E1082" s="2" t="str">
        <f>"机电工程学院"</f>
        <v>机电工程学院</v>
      </c>
    </row>
    <row r="1083" ht="13.5" hidden="1" spans="1:5">
      <c r="A1083" s="2" t="str">
        <f>"顾睿思"</f>
        <v>顾睿思</v>
      </c>
      <c r="B1083" s="2" t="str">
        <f>"B20200704118"</f>
        <v>B20200704118</v>
      </c>
      <c r="C1083" s="2" t="str">
        <f t="shared" si="230"/>
        <v>女</v>
      </c>
      <c r="D1083" s="2" t="str">
        <f t="shared" si="218"/>
        <v>12</v>
      </c>
      <c r="E1083" s="2" t="str">
        <f>"马栏山新媒体学院"</f>
        <v>马栏山新媒体学院</v>
      </c>
    </row>
    <row r="1084" ht="13.5" hidden="1" spans="1:5">
      <c r="A1084" s="2" t="str">
        <f>"谢镕清"</f>
        <v>谢镕清</v>
      </c>
      <c r="B1084" s="2" t="str">
        <f>"B20230901210"</f>
        <v>B20230901210</v>
      </c>
      <c r="C1084" s="2" t="str">
        <f t="shared" si="230"/>
        <v>女</v>
      </c>
      <c r="D1084" s="2" t="str">
        <f t="shared" si="218"/>
        <v>12</v>
      </c>
      <c r="E1084" s="2" t="str">
        <f>"经济与管理学院"</f>
        <v>经济与管理学院</v>
      </c>
    </row>
    <row r="1085" ht="13.5" hidden="1" spans="1:5">
      <c r="A1085" s="2" t="str">
        <f>"张俊杰"</f>
        <v>张俊杰</v>
      </c>
      <c r="B1085" s="2" t="str">
        <f>"B20200101407"</f>
        <v>B20200101407</v>
      </c>
      <c r="C1085" s="2" t="str">
        <f t="shared" si="231"/>
        <v>男</v>
      </c>
      <c r="D1085" s="2" t="str">
        <f t="shared" si="218"/>
        <v>12</v>
      </c>
      <c r="E1085" s="2" t="str">
        <f>"土木工程学院"</f>
        <v>土木工程学院</v>
      </c>
    </row>
    <row r="1086" ht="13.5" hidden="1" spans="1:5">
      <c r="A1086" s="2" t="str">
        <f>"杨欣蕾"</f>
        <v>杨欣蕾</v>
      </c>
      <c r="B1086" s="2" t="str">
        <f>"B20210801304"</f>
        <v>B20210801304</v>
      </c>
      <c r="C1086" s="2" t="str">
        <f>"女"</f>
        <v>女</v>
      </c>
      <c r="D1086" s="2" t="str">
        <f t="shared" si="218"/>
        <v>12</v>
      </c>
      <c r="E1086" s="2" t="str">
        <f>"外国语学院"</f>
        <v>外国语学院</v>
      </c>
    </row>
    <row r="1087" ht="13.5" hidden="1" spans="1:5">
      <c r="A1087" s="2" t="str">
        <f>"谭东亮"</f>
        <v>谭东亮</v>
      </c>
      <c r="B1087" s="2" t="str">
        <f>"B20230501103"</f>
        <v>B20230501103</v>
      </c>
      <c r="C1087" s="2" t="str">
        <f t="shared" si="231"/>
        <v>男</v>
      </c>
      <c r="D1087" s="2" t="str">
        <f t="shared" si="218"/>
        <v>12</v>
      </c>
      <c r="E1087" s="2" t="str">
        <f>"生物与化学工程学院"</f>
        <v>生物与化学工程学院</v>
      </c>
    </row>
    <row r="1088" ht="13.5" hidden="1" spans="1:5">
      <c r="A1088" s="2" t="str">
        <f>"罗健"</f>
        <v>罗健</v>
      </c>
      <c r="B1088" s="2" t="str">
        <f>"B20220401424"</f>
        <v>B20220401424</v>
      </c>
      <c r="C1088" s="2" t="str">
        <f t="shared" si="231"/>
        <v>男</v>
      </c>
      <c r="D1088" s="2" t="str">
        <f t="shared" si="218"/>
        <v>12</v>
      </c>
      <c r="E1088" s="2" t="str">
        <f t="shared" ref="E1088:E1092" si="232">"电子信息与电气工程学院"</f>
        <v>电子信息与电气工程学院</v>
      </c>
    </row>
    <row r="1089" ht="13.5" hidden="1" spans="1:5">
      <c r="A1089" s="2" t="str">
        <f>"梁辰"</f>
        <v>梁辰</v>
      </c>
      <c r="B1089" s="2" t="str">
        <f>"B20200101512"</f>
        <v>B20200101512</v>
      </c>
      <c r="C1089" s="2" t="str">
        <f t="shared" si="231"/>
        <v>男</v>
      </c>
      <c r="D1089" s="2" t="str">
        <f t="shared" si="218"/>
        <v>12</v>
      </c>
      <c r="E1089" s="2" t="str">
        <f>"土木工程学院"</f>
        <v>土木工程学院</v>
      </c>
    </row>
    <row r="1090" ht="13.5" hidden="1" spans="1:5">
      <c r="A1090" s="2" t="str">
        <f>"张佳"</f>
        <v>张佳</v>
      </c>
      <c r="B1090" s="2" t="str">
        <f>"B20200404206"</f>
        <v>B20200404206</v>
      </c>
      <c r="C1090" s="2" t="str">
        <f t="shared" si="231"/>
        <v>男</v>
      </c>
      <c r="D1090" s="2" t="str">
        <f t="shared" si="218"/>
        <v>12</v>
      </c>
      <c r="E1090" s="2" t="str">
        <f t="shared" si="232"/>
        <v>电子信息与电气工程学院</v>
      </c>
    </row>
    <row r="1091" ht="13.5" hidden="1" spans="1:5">
      <c r="A1091" s="2" t="str">
        <f>"谭敏玲"</f>
        <v>谭敏玲</v>
      </c>
      <c r="B1091" s="2" t="str">
        <f>"B20220404220"</f>
        <v>B20220404220</v>
      </c>
      <c r="C1091" s="2" t="str">
        <f t="shared" ref="C1091:C1098" si="233">"女"</f>
        <v>女</v>
      </c>
      <c r="D1091" s="2" t="str">
        <f t="shared" si="218"/>
        <v>12</v>
      </c>
      <c r="E1091" s="2" t="str">
        <f t="shared" si="232"/>
        <v>电子信息与电气工程学院</v>
      </c>
    </row>
    <row r="1092" ht="13.5" hidden="1" spans="1:5">
      <c r="A1092" s="2" t="str">
        <f>"刘志飞"</f>
        <v>刘志飞</v>
      </c>
      <c r="B1092" s="2" t="str">
        <f>"B20230401115"</f>
        <v>B20230401115</v>
      </c>
      <c r="C1092" s="2" t="str">
        <f t="shared" ref="C1092:C1095" si="234">"男"</f>
        <v>男</v>
      </c>
      <c r="D1092" s="2" t="str">
        <f t="shared" si="218"/>
        <v>12</v>
      </c>
      <c r="E1092" s="2" t="str">
        <f t="shared" si="232"/>
        <v>电子信息与电气工程学院</v>
      </c>
    </row>
    <row r="1093" ht="13.5" hidden="1" spans="1:5">
      <c r="A1093" s="2" t="str">
        <f>"林洋"</f>
        <v>林洋</v>
      </c>
      <c r="B1093" s="2" t="str">
        <f>"B20231001115"</f>
        <v>B20231001115</v>
      </c>
      <c r="C1093" s="2" t="str">
        <f t="shared" si="234"/>
        <v>男</v>
      </c>
      <c r="D1093" s="2" t="str">
        <f t="shared" si="218"/>
        <v>12</v>
      </c>
      <c r="E1093" s="2" t="str">
        <f>"艺术设计学院"</f>
        <v>艺术设计学院</v>
      </c>
    </row>
    <row r="1094" ht="13.5" hidden="1" spans="1:5">
      <c r="A1094" s="2" t="str">
        <f>"何俊菲"</f>
        <v>何俊菲</v>
      </c>
      <c r="B1094" s="2" t="str">
        <f>"B20220701428"</f>
        <v>B20220701428</v>
      </c>
      <c r="C1094" s="2" t="str">
        <f t="shared" si="233"/>
        <v>女</v>
      </c>
      <c r="D1094" s="2" t="str">
        <f t="shared" ref="D1094:D1109" si="235">"12"</f>
        <v>12</v>
      </c>
      <c r="E1094" s="2" t="str">
        <f>"马栏山新媒体学院"</f>
        <v>马栏山新媒体学院</v>
      </c>
    </row>
    <row r="1095" ht="13.5" hidden="1" spans="1:5">
      <c r="A1095" s="2" t="str">
        <f>"邱英豪"</f>
        <v>邱英豪</v>
      </c>
      <c r="B1095" s="2" t="str">
        <f>"B20220204129"</f>
        <v>B20220204129</v>
      </c>
      <c r="C1095" s="2" t="str">
        <f t="shared" si="234"/>
        <v>男</v>
      </c>
      <c r="D1095" s="2" t="str">
        <f t="shared" si="235"/>
        <v>12</v>
      </c>
      <c r="E1095" s="2" t="str">
        <f>"机电工程学院"</f>
        <v>机电工程学院</v>
      </c>
    </row>
    <row r="1096" ht="13.5" hidden="1" spans="1:5">
      <c r="A1096" s="2" t="str">
        <f>"杨雯静"</f>
        <v>杨雯静</v>
      </c>
      <c r="B1096" s="2" t="str">
        <f>"B20220801105"</f>
        <v>B20220801105</v>
      </c>
      <c r="C1096" s="2" t="str">
        <f t="shared" si="233"/>
        <v>女</v>
      </c>
      <c r="D1096" s="2" t="str">
        <f t="shared" si="235"/>
        <v>12</v>
      </c>
      <c r="E1096" s="2" t="str">
        <f>"外国语学院"</f>
        <v>外国语学院</v>
      </c>
    </row>
    <row r="1097" ht="13.5" hidden="1" spans="1:5">
      <c r="A1097" s="2" t="str">
        <f>"熊恩慈"</f>
        <v>熊恩慈</v>
      </c>
      <c r="B1097" s="2" t="str">
        <f>"B20220702214"</f>
        <v>B20220702214</v>
      </c>
      <c r="C1097" s="2" t="str">
        <f t="shared" si="233"/>
        <v>女</v>
      </c>
      <c r="D1097" s="2" t="str">
        <f t="shared" si="235"/>
        <v>12</v>
      </c>
      <c r="E1097" s="2" t="str">
        <f>"马栏山新媒体学院"</f>
        <v>马栏山新媒体学院</v>
      </c>
    </row>
    <row r="1098" ht="13.5" hidden="1" spans="1:5">
      <c r="A1098" s="2" t="str">
        <f>"周琪"</f>
        <v>周琪</v>
      </c>
      <c r="B1098" s="2" t="str">
        <f>"B20230601504"</f>
        <v>B20230601504</v>
      </c>
      <c r="C1098" s="2" t="str">
        <f t="shared" si="233"/>
        <v>女</v>
      </c>
      <c r="D1098" s="2" t="str">
        <f t="shared" si="235"/>
        <v>12</v>
      </c>
      <c r="E1098" s="2" t="str">
        <f>"法学院"</f>
        <v>法学院</v>
      </c>
    </row>
    <row r="1099" ht="13.5" hidden="1" spans="1:5">
      <c r="A1099" s="2" t="str">
        <f>"何源昊"</f>
        <v>何源昊</v>
      </c>
      <c r="B1099" s="2" t="str">
        <f>"B20200505131"</f>
        <v>B20200505131</v>
      </c>
      <c r="C1099" s="2" t="str">
        <f>"男"</f>
        <v>男</v>
      </c>
      <c r="D1099" s="2" t="str">
        <f t="shared" si="235"/>
        <v>12</v>
      </c>
      <c r="E1099" s="2" t="str">
        <f>"生物与环境工程学院"</f>
        <v>生物与环境工程学院</v>
      </c>
    </row>
    <row r="1100" ht="13.5" hidden="1" spans="1:5">
      <c r="A1100" s="2" t="str">
        <f>"肖飞妙"</f>
        <v>肖飞妙</v>
      </c>
      <c r="B1100" s="2" t="str">
        <f>"B20230904227"</f>
        <v>B20230904227</v>
      </c>
      <c r="C1100" s="2" t="str">
        <f>"女"</f>
        <v>女</v>
      </c>
      <c r="D1100" s="2" t="str">
        <f t="shared" si="235"/>
        <v>12</v>
      </c>
      <c r="E1100" s="2" t="str">
        <f>"经济与管理学院"</f>
        <v>经济与管理学院</v>
      </c>
    </row>
    <row r="1101" ht="13.5" hidden="1" spans="1:5">
      <c r="A1101" s="2" t="str">
        <f>"贺彩霞"</f>
        <v>贺彩霞</v>
      </c>
      <c r="B1101" s="2" t="str">
        <f>"B20190601209"</f>
        <v>B20190601209</v>
      </c>
      <c r="C1101" s="2" t="str">
        <f>"女"</f>
        <v>女</v>
      </c>
      <c r="D1101" s="2" t="str">
        <f t="shared" si="235"/>
        <v>12</v>
      </c>
      <c r="E1101" s="2" t="str">
        <f>"马栏山新媒体学院"</f>
        <v>马栏山新媒体学院</v>
      </c>
    </row>
    <row r="1102" ht="13.5" hidden="1" spans="1:5">
      <c r="A1102" s="2" t="str">
        <f>"王荣清"</f>
        <v>王荣清</v>
      </c>
      <c r="B1102" s="2" t="str">
        <f>"B20210902224"</f>
        <v>B20210902224</v>
      </c>
      <c r="C1102" s="2" t="str">
        <f>"女"</f>
        <v>女</v>
      </c>
      <c r="D1102" s="2" t="str">
        <f t="shared" si="235"/>
        <v>12</v>
      </c>
      <c r="E1102" s="2" t="str">
        <f>"经济与管理学院"</f>
        <v>经济与管理学院</v>
      </c>
    </row>
    <row r="1103" ht="13.5" hidden="1" spans="1:5">
      <c r="A1103" s="2" t="str">
        <f>"田歆"</f>
        <v>田歆</v>
      </c>
      <c r="B1103" s="2" t="str">
        <f>"B20230904330"</f>
        <v>B20230904330</v>
      </c>
      <c r="C1103" s="2" t="str">
        <f t="shared" ref="C1103:C1107" si="236">"女"</f>
        <v>女</v>
      </c>
      <c r="D1103" s="2" t="str">
        <f t="shared" si="235"/>
        <v>12</v>
      </c>
      <c r="E1103" s="2" t="str">
        <f>"经济与管理学院"</f>
        <v>经济与管理学院</v>
      </c>
    </row>
    <row r="1104" ht="13.5" hidden="1" spans="1:5">
      <c r="A1104" s="2" t="str">
        <f>"申一含"</f>
        <v>申一含</v>
      </c>
      <c r="B1104" s="2" t="str">
        <f>"B20231004117"</f>
        <v>B20231004117</v>
      </c>
      <c r="C1104" s="2" t="str">
        <f t="shared" si="236"/>
        <v>女</v>
      </c>
      <c r="D1104" s="2" t="str">
        <f t="shared" si="235"/>
        <v>12</v>
      </c>
      <c r="E1104" s="2" t="str">
        <f>"艺术设计学院"</f>
        <v>艺术设计学院</v>
      </c>
    </row>
    <row r="1105" ht="13.5" hidden="1" spans="1:5">
      <c r="A1105" s="2" t="str">
        <f>"冯泽添"</f>
        <v>冯泽添</v>
      </c>
      <c r="B1105" s="2" t="str">
        <f>"B20200201333"</f>
        <v>B20200201333</v>
      </c>
      <c r="C1105" s="2" t="str">
        <f t="shared" ref="C1105:C1108" si="237">"男"</f>
        <v>男</v>
      </c>
      <c r="D1105" s="2" t="str">
        <f t="shared" si="235"/>
        <v>12</v>
      </c>
      <c r="E1105" s="2" t="str">
        <f>"机电工程学院"</f>
        <v>机电工程学院</v>
      </c>
    </row>
    <row r="1106" ht="13.5" hidden="1" spans="1:5">
      <c r="A1106" s="2" t="str">
        <f>"熊明军"</f>
        <v>熊明军</v>
      </c>
      <c r="B1106" s="2" t="str">
        <f>"B20220904207"</f>
        <v>B20220904207</v>
      </c>
      <c r="C1106" s="2" t="str">
        <f t="shared" si="237"/>
        <v>男</v>
      </c>
      <c r="D1106" s="2" t="str">
        <f t="shared" si="235"/>
        <v>12</v>
      </c>
      <c r="E1106" s="2" t="str">
        <f>"经济与管理学院"</f>
        <v>经济与管理学院</v>
      </c>
    </row>
    <row r="1107" ht="13.5" hidden="1" spans="1:5">
      <c r="A1107" s="2" t="str">
        <f>"王宇新"</f>
        <v>王宇新</v>
      </c>
      <c r="B1107" s="2" t="str">
        <f>"B20200701113"</f>
        <v>B20200701113</v>
      </c>
      <c r="C1107" s="2" t="str">
        <f t="shared" si="236"/>
        <v>女</v>
      </c>
      <c r="D1107" s="2" t="str">
        <f t="shared" si="235"/>
        <v>12</v>
      </c>
      <c r="E1107" s="2" t="str">
        <f>"马栏山新媒体学院"</f>
        <v>马栏山新媒体学院</v>
      </c>
    </row>
    <row r="1108" ht="13.5" hidden="1" spans="1:5">
      <c r="A1108" s="2" t="str">
        <f>"鲁道伟"</f>
        <v>鲁道伟</v>
      </c>
      <c r="B1108" s="2" t="str">
        <f>"B20210204220"</f>
        <v>B20210204220</v>
      </c>
      <c r="C1108" s="2" t="str">
        <f t="shared" si="237"/>
        <v>男</v>
      </c>
      <c r="D1108" s="2" t="str">
        <f t="shared" si="235"/>
        <v>12</v>
      </c>
      <c r="E1108" s="2" t="str">
        <f>"机电工程学院"</f>
        <v>机电工程学院</v>
      </c>
    </row>
    <row r="1109" ht="13.5" hidden="1" spans="1:5">
      <c r="A1109" s="2" t="str">
        <f>"程南燕"</f>
        <v>程南燕</v>
      </c>
      <c r="B1109" s="2" t="str">
        <f>"B20200704112"</f>
        <v>B20200704112</v>
      </c>
      <c r="C1109" s="2" t="str">
        <f>"女"</f>
        <v>女</v>
      </c>
      <c r="D1109" s="2" t="str">
        <f t="shared" si="235"/>
        <v>12</v>
      </c>
      <c r="E1109" s="2" t="str">
        <f>"马栏山新媒体学院"</f>
        <v>马栏山新媒体学院</v>
      </c>
    </row>
    <row r="1110" ht="13.5" hidden="1" spans="1:5">
      <c r="A1110" s="2" t="str">
        <f>"李欢乐"</f>
        <v>李欢乐</v>
      </c>
      <c r="B1110" s="2" t="str">
        <f>"B20201004119"</f>
        <v>B20201004119</v>
      </c>
      <c r="C1110" s="2" t="str">
        <f>"男"</f>
        <v>男</v>
      </c>
      <c r="D1110" s="2" t="str">
        <f t="shared" ref="D1110:D1173" si="238">"12"</f>
        <v>12</v>
      </c>
      <c r="E1110" s="2" t="str">
        <f>"艺术设计学院"</f>
        <v>艺术设计学院</v>
      </c>
    </row>
    <row r="1111" ht="13.5" hidden="1" spans="1:5">
      <c r="A1111" s="2" t="str">
        <f>"刘雨欣"</f>
        <v>刘雨欣</v>
      </c>
      <c r="B1111" s="2" t="str">
        <f>"B20230702109"</f>
        <v>B20230702109</v>
      </c>
      <c r="C1111" s="2" t="str">
        <f>"女"</f>
        <v>女</v>
      </c>
      <c r="D1111" s="2" t="str">
        <f t="shared" si="238"/>
        <v>12</v>
      </c>
      <c r="E1111" s="2" t="str">
        <f>"马栏山新媒体学院"</f>
        <v>马栏山新媒体学院</v>
      </c>
    </row>
    <row r="1112" ht="13.5" hidden="1" spans="1:5">
      <c r="A1112" s="2" t="str">
        <f>"唐义哲"</f>
        <v>唐义哲</v>
      </c>
      <c r="B1112" s="2" t="str">
        <f>"B20200101404"</f>
        <v>B20200101404</v>
      </c>
      <c r="C1112" s="2" t="str">
        <f>"男"</f>
        <v>男</v>
      </c>
      <c r="D1112" s="2" t="str">
        <f t="shared" si="238"/>
        <v>12</v>
      </c>
      <c r="E1112" s="2" t="str">
        <f>"土木工程学院"</f>
        <v>土木工程学院</v>
      </c>
    </row>
    <row r="1113" ht="13.5" hidden="1" spans="1:5">
      <c r="A1113" s="2" t="str">
        <f>"杨洋"</f>
        <v>杨洋</v>
      </c>
      <c r="B1113" s="2" t="str">
        <f>"B20200504209"</f>
        <v>B20200504209</v>
      </c>
      <c r="C1113" s="2" t="str">
        <f>"女"</f>
        <v>女</v>
      </c>
      <c r="D1113" s="2" t="str">
        <f t="shared" si="238"/>
        <v>12</v>
      </c>
      <c r="E1113" s="2" t="str">
        <f>"生物与环境工程学院"</f>
        <v>生物与环境工程学院</v>
      </c>
    </row>
    <row r="1114" ht="13.5" hidden="1" spans="1:5">
      <c r="A1114" s="2" t="str">
        <f>"朱李杰"</f>
        <v>朱李杰</v>
      </c>
      <c r="B1114" s="2" t="str">
        <f>"B20200601219"</f>
        <v>B20200601219</v>
      </c>
      <c r="C1114" s="2" t="str">
        <f t="shared" ref="C1114:C1118" si="239">"男"</f>
        <v>男</v>
      </c>
      <c r="D1114" s="2" t="str">
        <f t="shared" si="238"/>
        <v>12</v>
      </c>
      <c r="E1114" s="2" t="str">
        <f>"法学院"</f>
        <v>法学院</v>
      </c>
    </row>
    <row r="1115" ht="13.5" hidden="1" spans="1:5">
      <c r="A1115" s="2" t="str">
        <f>"陈露"</f>
        <v>陈露</v>
      </c>
      <c r="B1115" s="2" t="str">
        <f>"B20230801428"</f>
        <v>B20230801428</v>
      </c>
      <c r="C1115" s="2" t="str">
        <f t="shared" ref="C1115:C1120" si="240">"女"</f>
        <v>女</v>
      </c>
      <c r="D1115" s="2" t="str">
        <f t="shared" si="238"/>
        <v>12</v>
      </c>
      <c r="E1115" s="2" t="str">
        <f>"外国语学院"</f>
        <v>外国语学院</v>
      </c>
    </row>
    <row r="1116" ht="13.5" hidden="1" spans="1:5">
      <c r="A1116" s="2" t="str">
        <f>"彭林炜"</f>
        <v>彭林炜</v>
      </c>
      <c r="B1116" s="2" t="str">
        <f>"B20210203101"</f>
        <v>B20210203101</v>
      </c>
      <c r="C1116" s="2" t="str">
        <f t="shared" si="239"/>
        <v>男</v>
      </c>
      <c r="D1116" s="2" t="str">
        <f t="shared" si="238"/>
        <v>12</v>
      </c>
      <c r="E1116" s="2" t="str">
        <f>"机电工程学院"</f>
        <v>机电工程学院</v>
      </c>
    </row>
    <row r="1117" ht="13.5" hidden="1" spans="1:5">
      <c r="A1117" s="2" t="str">
        <f>"夏祎彤"</f>
        <v>夏祎彤</v>
      </c>
      <c r="B1117" s="2" t="str">
        <f>"B20230702402"</f>
        <v>B20230702402</v>
      </c>
      <c r="C1117" s="2" t="str">
        <f t="shared" si="240"/>
        <v>女</v>
      </c>
      <c r="D1117" s="2" t="str">
        <f t="shared" si="238"/>
        <v>12</v>
      </c>
      <c r="E1117" s="2" t="str">
        <f>"马栏山新媒体学院"</f>
        <v>马栏山新媒体学院</v>
      </c>
    </row>
    <row r="1118" ht="13.5" hidden="1" spans="1:5">
      <c r="A1118" s="2" t="str">
        <f>"纪子岳"</f>
        <v>纪子岳</v>
      </c>
      <c r="B1118" s="2" t="str">
        <f>"B20200101414"</f>
        <v>B20200101414</v>
      </c>
      <c r="C1118" s="2" t="str">
        <f t="shared" si="239"/>
        <v>男</v>
      </c>
      <c r="D1118" s="2" t="str">
        <f t="shared" si="238"/>
        <v>12</v>
      </c>
      <c r="E1118" s="2" t="str">
        <f>"土木工程学院"</f>
        <v>土木工程学院</v>
      </c>
    </row>
    <row r="1119" ht="13.5" hidden="1" spans="1:5">
      <c r="A1119" s="2" t="str">
        <f>"肖静文"</f>
        <v>肖静文</v>
      </c>
      <c r="B1119" s="2" t="str">
        <f>"B20220504123"</f>
        <v>B20220504123</v>
      </c>
      <c r="C1119" s="2" t="str">
        <f t="shared" si="240"/>
        <v>女</v>
      </c>
      <c r="D1119" s="2" t="str">
        <f t="shared" si="238"/>
        <v>12</v>
      </c>
      <c r="E1119" s="2" t="str">
        <f>"生物与化学工程学院"</f>
        <v>生物与化学工程学院</v>
      </c>
    </row>
    <row r="1120" ht="13.5" hidden="1" spans="1:5">
      <c r="A1120" s="2" t="str">
        <f>"吴雅雯"</f>
        <v>吴雅雯</v>
      </c>
      <c r="B1120" s="2" t="str">
        <f>"B20220701215"</f>
        <v>B20220701215</v>
      </c>
      <c r="C1120" s="2" t="str">
        <f t="shared" si="240"/>
        <v>女</v>
      </c>
      <c r="D1120" s="2" t="str">
        <f t="shared" si="238"/>
        <v>12</v>
      </c>
      <c r="E1120" s="2" t="str">
        <f>"马栏山新媒体学院"</f>
        <v>马栏山新媒体学院</v>
      </c>
    </row>
    <row r="1121" ht="13.5" hidden="1" spans="1:5">
      <c r="A1121" s="2" t="str">
        <f>"马建磊"</f>
        <v>马建磊</v>
      </c>
      <c r="B1121" s="2" t="str">
        <f>"B20210201234"</f>
        <v>B20210201234</v>
      </c>
      <c r="C1121" s="2" t="str">
        <f t="shared" ref="C1121:C1127" si="241">"男"</f>
        <v>男</v>
      </c>
      <c r="D1121" s="2" t="str">
        <f t="shared" si="238"/>
        <v>12</v>
      </c>
      <c r="E1121" s="2" t="str">
        <f>"机电工程学院"</f>
        <v>机电工程学院</v>
      </c>
    </row>
    <row r="1122" ht="13.5" hidden="1" spans="1:5">
      <c r="A1122" s="2" t="str">
        <f>"马心语"</f>
        <v>马心语</v>
      </c>
      <c r="B1122" s="2" t="str">
        <f>"B20230801130"</f>
        <v>B20230801130</v>
      </c>
      <c r="C1122" s="2" t="str">
        <f>"女"</f>
        <v>女</v>
      </c>
      <c r="D1122" s="2" t="str">
        <f t="shared" si="238"/>
        <v>12</v>
      </c>
      <c r="E1122" s="2" t="str">
        <f t="shared" ref="E1122:E1127" si="242">"外国语学院"</f>
        <v>外国语学院</v>
      </c>
    </row>
    <row r="1123" ht="13.5" hidden="1" spans="1:5">
      <c r="A1123" s="2" t="str">
        <f>"朱伟杰"</f>
        <v>朱伟杰</v>
      </c>
      <c r="B1123" s="2" t="str">
        <f>"B20231302108"</f>
        <v>B20231302108</v>
      </c>
      <c r="C1123" s="2" t="str">
        <f t="shared" si="241"/>
        <v>男</v>
      </c>
      <c r="D1123" s="2" t="str">
        <f t="shared" si="238"/>
        <v>12</v>
      </c>
      <c r="E1123" s="2" t="str">
        <f>"材料与环境工程学院"</f>
        <v>材料与环境工程学院</v>
      </c>
    </row>
    <row r="1124" ht="13.5" hidden="1" spans="1:5">
      <c r="A1124" s="2" t="str">
        <f>"张可萌"</f>
        <v>张可萌</v>
      </c>
      <c r="B1124" s="2" t="str">
        <f>"B20230802229"</f>
        <v>B20230802229</v>
      </c>
      <c r="C1124" s="2" t="str">
        <f>"女"</f>
        <v>女</v>
      </c>
      <c r="D1124" s="2" t="str">
        <f t="shared" si="238"/>
        <v>12</v>
      </c>
      <c r="E1124" s="2" t="str">
        <f t="shared" si="242"/>
        <v>外国语学院</v>
      </c>
    </row>
    <row r="1125" ht="13.5" hidden="1" spans="1:5">
      <c r="A1125" s="2" t="str">
        <f>"张维佳"</f>
        <v>张维佳</v>
      </c>
      <c r="B1125" s="2" t="str">
        <f>"B20220401432"</f>
        <v>B20220401432</v>
      </c>
      <c r="C1125" s="2" t="str">
        <f t="shared" si="241"/>
        <v>男</v>
      </c>
      <c r="D1125" s="2" t="str">
        <f t="shared" si="238"/>
        <v>12</v>
      </c>
      <c r="E1125" s="2" t="str">
        <f>"电子信息与电气工程学院"</f>
        <v>电子信息与电气工程学院</v>
      </c>
    </row>
    <row r="1126" ht="13.5" hidden="1" spans="1:5">
      <c r="A1126" s="2" t="str">
        <f>"邓享哲"</f>
        <v>邓享哲</v>
      </c>
      <c r="B1126" s="2" t="str">
        <f>"B20230202233"</f>
        <v>B20230202233</v>
      </c>
      <c r="C1126" s="2" t="str">
        <f t="shared" si="241"/>
        <v>男</v>
      </c>
      <c r="D1126" s="2" t="str">
        <f t="shared" si="238"/>
        <v>12</v>
      </c>
      <c r="E1126" s="2" t="str">
        <f>"机电工程学院"</f>
        <v>机电工程学院</v>
      </c>
    </row>
    <row r="1127" ht="13.5" hidden="1" spans="1:5">
      <c r="A1127" s="2" t="str">
        <f>"胡辉煌"</f>
        <v>胡辉煌</v>
      </c>
      <c r="B1127" s="2" t="str">
        <f>"B20200803102"</f>
        <v>B20200803102</v>
      </c>
      <c r="C1127" s="2" t="str">
        <f t="shared" si="241"/>
        <v>男</v>
      </c>
      <c r="D1127" s="2" t="str">
        <f t="shared" si="238"/>
        <v>12</v>
      </c>
      <c r="E1127" s="2" t="str">
        <f t="shared" si="242"/>
        <v>外国语学院</v>
      </c>
    </row>
    <row r="1128" ht="13.5" hidden="1" spans="1:5">
      <c r="A1128" s="2" t="str">
        <f>"周莹颖"</f>
        <v>周莹颖</v>
      </c>
      <c r="B1128" s="2" t="str">
        <f>"B20220903203"</f>
        <v>B20220903203</v>
      </c>
      <c r="C1128" s="2" t="str">
        <f>"女"</f>
        <v>女</v>
      </c>
      <c r="D1128" s="2" t="str">
        <f t="shared" si="238"/>
        <v>12</v>
      </c>
      <c r="E1128" s="2" t="str">
        <f>"经济与管理学院"</f>
        <v>经济与管理学院</v>
      </c>
    </row>
    <row r="1129" ht="13.5" hidden="1" spans="1:5">
      <c r="A1129" s="2" t="str">
        <f>"时明雨"</f>
        <v>时明雨</v>
      </c>
      <c r="B1129" s="2" t="str">
        <f>"B20220704202"</f>
        <v>B20220704202</v>
      </c>
      <c r="C1129" s="2" t="str">
        <f>"女"</f>
        <v>女</v>
      </c>
      <c r="D1129" s="2" t="str">
        <f t="shared" si="238"/>
        <v>12</v>
      </c>
      <c r="E1129" s="2" t="str">
        <f>"马栏山新媒体学院"</f>
        <v>马栏山新媒体学院</v>
      </c>
    </row>
    <row r="1130" ht="13.5" hidden="1" spans="1:5">
      <c r="A1130" s="2" t="str">
        <f>"李志豪"</f>
        <v>李志豪</v>
      </c>
      <c r="B1130" s="2" t="str">
        <f>"B20200103210"</f>
        <v>B20200103210</v>
      </c>
      <c r="C1130" s="2" t="str">
        <f>"男"</f>
        <v>男</v>
      </c>
      <c r="D1130" s="2" t="str">
        <f t="shared" si="238"/>
        <v>12</v>
      </c>
      <c r="E1130" s="2" t="str">
        <f>"土木工程学院"</f>
        <v>土木工程学院</v>
      </c>
    </row>
    <row r="1131" ht="13.5" hidden="1" spans="1:5">
      <c r="A1131" s="2" t="str">
        <f>"汤巧玲"</f>
        <v>汤巧玲</v>
      </c>
      <c r="B1131" s="2" t="str">
        <f>"B20230701107"</f>
        <v>B20230701107</v>
      </c>
      <c r="C1131" s="2" t="str">
        <f t="shared" ref="C1131:C1135" si="243">"女"</f>
        <v>女</v>
      </c>
      <c r="D1131" s="2" t="str">
        <f t="shared" si="238"/>
        <v>12</v>
      </c>
      <c r="E1131" s="2" t="str">
        <f>"马栏山新媒体学院"</f>
        <v>马栏山新媒体学院</v>
      </c>
    </row>
    <row r="1132" ht="13.5" hidden="1" spans="1:5">
      <c r="A1132" s="2" t="str">
        <f>"李国栋"</f>
        <v>李国栋</v>
      </c>
      <c r="B1132" s="2" t="str">
        <f>"B20230204105"</f>
        <v>B20230204105</v>
      </c>
      <c r="C1132" s="2" t="str">
        <f>"男"</f>
        <v>男</v>
      </c>
      <c r="D1132" s="2" t="str">
        <f t="shared" si="238"/>
        <v>12</v>
      </c>
      <c r="E1132" s="2" t="str">
        <f>"机电工程学院"</f>
        <v>机电工程学院</v>
      </c>
    </row>
    <row r="1133" ht="13.5" hidden="1" spans="1:5">
      <c r="A1133" s="2" t="str">
        <f>"李彩娟"</f>
        <v>李彩娟</v>
      </c>
      <c r="B1133" s="2" t="str">
        <f>"B20220904108"</f>
        <v>B20220904108</v>
      </c>
      <c r="C1133" s="2" t="str">
        <f t="shared" si="243"/>
        <v>女</v>
      </c>
      <c r="D1133" s="2" t="str">
        <f t="shared" si="238"/>
        <v>12</v>
      </c>
      <c r="E1133" s="2" t="str">
        <f t="shared" ref="E1133:E1137" si="244">"经济与管理学院"</f>
        <v>经济与管理学院</v>
      </c>
    </row>
    <row r="1134" ht="13.5" hidden="1" spans="1:5">
      <c r="A1134" s="2" t="str">
        <f>"周梓瑶"</f>
        <v>周梓瑶</v>
      </c>
      <c r="B1134" s="2" t="str">
        <f>"B20200904224"</f>
        <v>B20200904224</v>
      </c>
      <c r="C1134" s="2" t="str">
        <f t="shared" si="243"/>
        <v>女</v>
      </c>
      <c r="D1134" s="2" t="str">
        <f t="shared" si="238"/>
        <v>12</v>
      </c>
      <c r="E1134" s="2" t="str">
        <f t="shared" si="244"/>
        <v>经济与管理学院</v>
      </c>
    </row>
    <row r="1135" ht="13.5" hidden="1" spans="1:5">
      <c r="A1135" s="2" t="str">
        <f>"娄丽"</f>
        <v>娄丽</v>
      </c>
      <c r="B1135" s="2" t="str">
        <f>"B20230801403"</f>
        <v>B20230801403</v>
      </c>
      <c r="C1135" s="2" t="str">
        <f t="shared" si="243"/>
        <v>女</v>
      </c>
      <c r="D1135" s="2" t="str">
        <f t="shared" si="238"/>
        <v>12</v>
      </c>
      <c r="E1135" s="2" t="str">
        <f>"外国语学院"</f>
        <v>外国语学院</v>
      </c>
    </row>
    <row r="1136" ht="13.5" hidden="1" spans="1:5">
      <c r="A1136" s="2" t="str">
        <f>"张海东"</f>
        <v>张海东</v>
      </c>
      <c r="B1136" s="2" t="str">
        <f>"B20200401412"</f>
        <v>B20200401412</v>
      </c>
      <c r="C1136" s="2" t="str">
        <f>"男"</f>
        <v>男</v>
      </c>
      <c r="D1136" s="2" t="str">
        <f t="shared" si="238"/>
        <v>12</v>
      </c>
      <c r="E1136" s="2" t="str">
        <f>"电子信息与电气工程学院"</f>
        <v>电子信息与电气工程学院</v>
      </c>
    </row>
    <row r="1137" ht="13.5" hidden="1" spans="1:5">
      <c r="A1137" s="2" t="str">
        <f>"徐聪"</f>
        <v>徐聪</v>
      </c>
      <c r="B1137" s="2" t="str">
        <f>"B20220904202"</f>
        <v>B20220904202</v>
      </c>
      <c r="C1137" s="2" t="str">
        <f>"女"</f>
        <v>女</v>
      </c>
      <c r="D1137" s="2" t="str">
        <f t="shared" si="238"/>
        <v>12</v>
      </c>
      <c r="E1137" s="2" t="str">
        <f t="shared" si="244"/>
        <v>经济与管理学院</v>
      </c>
    </row>
    <row r="1138" ht="13.5" hidden="1" spans="1:5">
      <c r="A1138" s="2" t="str">
        <f>"李浩"</f>
        <v>李浩</v>
      </c>
      <c r="B1138" s="2" t="str">
        <f>"B20210202114"</f>
        <v>B20210202114</v>
      </c>
      <c r="C1138" s="2" t="str">
        <f>"男"</f>
        <v>男</v>
      </c>
      <c r="D1138" s="2" t="str">
        <f t="shared" si="238"/>
        <v>12</v>
      </c>
      <c r="E1138" s="2" t="str">
        <f>"机电工程学院"</f>
        <v>机电工程学院</v>
      </c>
    </row>
    <row r="1139" ht="13.5" hidden="1" spans="1:5">
      <c r="A1139" s="2" t="str">
        <f>"黄优"</f>
        <v>黄优</v>
      </c>
      <c r="B1139" s="2" t="str">
        <f>"B20220701310"</f>
        <v>B20220701310</v>
      </c>
      <c r="C1139" s="2" t="str">
        <f>"女"</f>
        <v>女</v>
      </c>
      <c r="D1139" s="2" t="str">
        <f t="shared" si="238"/>
        <v>12</v>
      </c>
      <c r="E1139" s="2" t="str">
        <f>"马栏山新媒体学院"</f>
        <v>马栏山新媒体学院</v>
      </c>
    </row>
    <row r="1140" ht="13.5" hidden="1" spans="1:5">
      <c r="A1140" s="2" t="str">
        <f>"贺林华"</f>
        <v>贺林华</v>
      </c>
      <c r="B1140" s="2" t="str">
        <f>"B20210401213"</f>
        <v>B20210401213</v>
      </c>
      <c r="C1140" s="2" t="str">
        <f>"女"</f>
        <v>女</v>
      </c>
      <c r="D1140" s="2" t="str">
        <f t="shared" si="238"/>
        <v>12</v>
      </c>
      <c r="E1140" s="2" t="str">
        <f>"电子信息与电气工程学院"</f>
        <v>电子信息与电气工程学院</v>
      </c>
    </row>
    <row r="1141" ht="13.5" hidden="1" spans="1:5">
      <c r="A1141" s="2" t="str">
        <f>"肖思宇"</f>
        <v>肖思宇</v>
      </c>
      <c r="B1141" s="2" t="str">
        <f>"B20200802315"</f>
        <v>B20200802315</v>
      </c>
      <c r="C1141" s="2" t="str">
        <f>"女"</f>
        <v>女</v>
      </c>
      <c r="D1141" s="2" t="str">
        <f t="shared" si="238"/>
        <v>12</v>
      </c>
      <c r="E1141" s="2" t="str">
        <f>"外国语学院"</f>
        <v>外国语学院</v>
      </c>
    </row>
    <row r="1142" ht="13.5" hidden="1" spans="1:5">
      <c r="A1142" s="2" t="str">
        <f>"何娇姣"</f>
        <v>何娇姣</v>
      </c>
      <c r="B1142" s="2" t="str">
        <f>"B20220704121"</f>
        <v>B20220704121</v>
      </c>
      <c r="C1142" s="2" t="str">
        <f>"女"</f>
        <v>女</v>
      </c>
      <c r="D1142" s="2" t="str">
        <f t="shared" si="238"/>
        <v>12</v>
      </c>
      <c r="E1142" s="2" t="str">
        <f>"马栏山新媒体学院"</f>
        <v>马栏山新媒体学院</v>
      </c>
    </row>
    <row r="1143" ht="13.5" hidden="1" spans="1:5">
      <c r="A1143" s="2" t="str">
        <f>"王熙哲"</f>
        <v>王熙哲</v>
      </c>
      <c r="B1143" s="2" t="str">
        <f>"B20230701411"</f>
        <v>B20230701411</v>
      </c>
      <c r="C1143" s="2" t="str">
        <f t="shared" ref="C1143:C1147" si="245">"男"</f>
        <v>男</v>
      </c>
      <c r="D1143" s="2" t="str">
        <f t="shared" si="238"/>
        <v>12</v>
      </c>
      <c r="E1143" s="2" t="str">
        <f>"马栏山新媒体学院"</f>
        <v>马栏山新媒体学院</v>
      </c>
    </row>
    <row r="1144" ht="13.5" hidden="1" spans="1:5">
      <c r="A1144" s="2" t="str">
        <f>"童玉雯"</f>
        <v>童玉雯</v>
      </c>
      <c r="B1144" s="2" t="str">
        <f>"B20230906114"</f>
        <v>B20230906114</v>
      </c>
      <c r="C1144" s="2" t="str">
        <f>"女"</f>
        <v>女</v>
      </c>
      <c r="D1144" s="2" t="str">
        <f t="shared" si="238"/>
        <v>12</v>
      </c>
      <c r="E1144" s="2" t="str">
        <f>"经济与管理学院"</f>
        <v>经济与管理学院</v>
      </c>
    </row>
    <row r="1145" ht="13.5" hidden="1" spans="1:5">
      <c r="A1145" s="2" t="str">
        <f>"张俊杰"</f>
        <v>张俊杰</v>
      </c>
      <c r="B1145" s="2" t="str">
        <f>"B20230202428"</f>
        <v>B20230202428</v>
      </c>
      <c r="C1145" s="2" t="str">
        <f t="shared" si="245"/>
        <v>男</v>
      </c>
      <c r="D1145" s="2" t="str">
        <f t="shared" si="238"/>
        <v>12</v>
      </c>
      <c r="E1145" s="2" t="str">
        <f>"机电工程学院"</f>
        <v>机电工程学院</v>
      </c>
    </row>
    <row r="1146" ht="13.5" hidden="1" spans="1:5">
      <c r="A1146" s="2" t="str">
        <f>"吴镇宇"</f>
        <v>吴镇宇</v>
      </c>
      <c r="B1146" s="2" t="str">
        <f>"B20230202123"</f>
        <v>B20230202123</v>
      </c>
      <c r="C1146" s="2" t="str">
        <f t="shared" si="245"/>
        <v>男</v>
      </c>
      <c r="D1146" s="2" t="str">
        <f t="shared" si="238"/>
        <v>12</v>
      </c>
      <c r="E1146" s="2" t="str">
        <f>"机电工程学院"</f>
        <v>机电工程学院</v>
      </c>
    </row>
    <row r="1147" ht="13.5" hidden="1" spans="1:5">
      <c r="A1147" s="2" t="str">
        <f>"马炯"</f>
        <v>马炯</v>
      </c>
      <c r="B1147" s="2" t="str">
        <f>"B20200404128"</f>
        <v>B20200404128</v>
      </c>
      <c r="C1147" s="2" t="str">
        <f t="shared" si="245"/>
        <v>男</v>
      </c>
      <c r="D1147" s="2" t="str">
        <f t="shared" si="238"/>
        <v>12</v>
      </c>
      <c r="E1147" s="2" t="str">
        <f>"电子信息与电气工程学院"</f>
        <v>电子信息与电气工程学院</v>
      </c>
    </row>
    <row r="1148" ht="13.5" hidden="1" spans="1:5">
      <c r="A1148" s="2" t="str">
        <f>"程美思"</f>
        <v>程美思</v>
      </c>
      <c r="B1148" s="2" t="str">
        <f>"B20220702122"</f>
        <v>B20220702122</v>
      </c>
      <c r="C1148" s="2" t="str">
        <f>"女"</f>
        <v>女</v>
      </c>
      <c r="D1148" s="2" t="str">
        <f t="shared" si="238"/>
        <v>12</v>
      </c>
      <c r="E1148" s="2" t="str">
        <f>"马栏山新媒体学院"</f>
        <v>马栏山新媒体学院</v>
      </c>
    </row>
    <row r="1149" ht="13.5" hidden="1" spans="1:5">
      <c r="A1149" s="2" t="str">
        <f>"周东舒"</f>
        <v>周东舒</v>
      </c>
      <c r="B1149" s="2" t="str">
        <f>"B20200504118"</f>
        <v>B20200504118</v>
      </c>
      <c r="C1149" s="2" t="str">
        <f>"女"</f>
        <v>女</v>
      </c>
      <c r="D1149" s="2" t="str">
        <f t="shared" si="238"/>
        <v>12</v>
      </c>
      <c r="E1149" s="2" t="str">
        <f>"生物与环境工程学院"</f>
        <v>生物与环境工程学院</v>
      </c>
    </row>
    <row r="1150" ht="13.5" hidden="1" spans="1:5">
      <c r="A1150" s="2" t="str">
        <f>"周茵"</f>
        <v>周茵</v>
      </c>
      <c r="B1150" s="2" t="str">
        <f>"B20230801320"</f>
        <v>B20230801320</v>
      </c>
      <c r="C1150" s="2" t="str">
        <f>"女"</f>
        <v>女</v>
      </c>
      <c r="D1150" s="2" t="str">
        <f t="shared" si="238"/>
        <v>12</v>
      </c>
      <c r="E1150" s="2" t="str">
        <f t="shared" ref="E1150:E1154" si="246">"外国语学院"</f>
        <v>外国语学院</v>
      </c>
    </row>
    <row r="1151" ht="13.5" hidden="1" spans="1:5">
      <c r="A1151" s="2" t="str">
        <f>"肖一"</f>
        <v>肖一</v>
      </c>
      <c r="B1151" s="2" t="str">
        <f>"B20220803120"</f>
        <v>B20220803120</v>
      </c>
      <c r="C1151" s="2" t="str">
        <f>"女"</f>
        <v>女</v>
      </c>
      <c r="D1151" s="2" t="str">
        <f t="shared" si="238"/>
        <v>12</v>
      </c>
      <c r="E1151" s="2" t="str">
        <f t="shared" si="246"/>
        <v>外国语学院</v>
      </c>
    </row>
    <row r="1152" ht="13.5" hidden="1" spans="1:5">
      <c r="A1152" s="2" t="str">
        <f>"张皓淇"</f>
        <v>张皓淇</v>
      </c>
      <c r="B1152" s="2" t="str">
        <f>"B20200204137"</f>
        <v>B20200204137</v>
      </c>
      <c r="C1152" s="2" t="str">
        <f t="shared" ref="C1152:C1155" si="247">"男"</f>
        <v>男</v>
      </c>
      <c r="D1152" s="2" t="str">
        <f t="shared" si="238"/>
        <v>12</v>
      </c>
      <c r="E1152" s="2" t="str">
        <f>"机电工程学院"</f>
        <v>机电工程学院</v>
      </c>
    </row>
    <row r="1153" ht="13.5" hidden="1" spans="1:5">
      <c r="A1153" s="2" t="str">
        <f>"颜毅权"</f>
        <v>颜毅权</v>
      </c>
      <c r="B1153" s="2" t="str">
        <f>"B20200703116"</f>
        <v>B20200703116</v>
      </c>
      <c r="C1153" s="2" t="str">
        <f t="shared" si="247"/>
        <v>男</v>
      </c>
      <c r="D1153" s="2" t="str">
        <f t="shared" si="238"/>
        <v>12</v>
      </c>
      <c r="E1153" s="2" t="str">
        <f>"马栏山新媒体学院"</f>
        <v>马栏山新媒体学院</v>
      </c>
    </row>
    <row r="1154" ht="13.5" hidden="1" spans="1:5">
      <c r="A1154" s="2" t="str">
        <f>"罗灿"</f>
        <v>罗灿</v>
      </c>
      <c r="B1154" s="2" t="str">
        <f>"B20220803122"</f>
        <v>B20220803122</v>
      </c>
      <c r="C1154" s="2" t="str">
        <f t="shared" ref="C1154:C1157" si="248">"女"</f>
        <v>女</v>
      </c>
      <c r="D1154" s="2" t="str">
        <f t="shared" si="238"/>
        <v>12</v>
      </c>
      <c r="E1154" s="2" t="str">
        <f t="shared" si="246"/>
        <v>外国语学院</v>
      </c>
    </row>
    <row r="1155" ht="13.5" hidden="1" spans="1:5">
      <c r="A1155" s="2" t="str">
        <f>"刘伟杰"</f>
        <v>刘伟杰</v>
      </c>
      <c r="B1155" s="2" t="str">
        <f>"B20200101212"</f>
        <v>B20200101212</v>
      </c>
      <c r="C1155" s="2" t="str">
        <f t="shared" si="247"/>
        <v>男</v>
      </c>
      <c r="D1155" s="2" t="str">
        <f t="shared" si="238"/>
        <v>12</v>
      </c>
      <c r="E1155" s="2" t="str">
        <f t="shared" ref="E1155:E1158" si="249">"土木工程学院"</f>
        <v>土木工程学院</v>
      </c>
    </row>
    <row r="1156" ht="13.5" hidden="1" spans="1:5">
      <c r="A1156" s="2" t="str">
        <f>"危玮琪"</f>
        <v>危玮琪</v>
      </c>
      <c r="B1156" s="2" t="str">
        <f>"B20221302329"</f>
        <v>B20221302329</v>
      </c>
      <c r="C1156" s="2" t="str">
        <f t="shared" si="248"/>
        <v>女</v>
      </c>
      <c r="D1156" s="2" t="str">
        <f t="shared" si="238"/>
        <v>12</v>
      </c>
      <c r="E1156" s="2" t="str">
        <f>"材料与环境工程学院"</f>
        <v>材料与环境工程学院</v>
      </c>
    </row>
    <row r="1157" ht="13.5" hidden="1" spans="1:5">
      <c r="A1157" s="2" t="str">
        <f>"张亦乔"</f>
        <v>张亦乔</v>
      </c>
      <c r="B1157" s="2" t="str">
        <f>"B20230103210"</f>
        <v>B20230103210</v>
      </c>
      <c r="C1157" s="2" t="str">
        <f t="shared" si="248"/>
        <v>女</v>
      </c>
      <c r="D1157" s="2" t="str">
        <f t="shared" si="238"/>
        <v>12</v>
      </c>
      <c r="E1157" s="2" t="str">
        <f t="shared" si="249"/>
        <v>土木工程学院</v>
      </c>
    </row>
    <row r="1158" ht="13.5" hidden="1" spans="1:5">
      <c r="A1158" s="2" t="str">
        <f>"牟绍兵"</f>
        <v>牟绍兵</v>
      </c>
      <c r="B1158" s="2" t="str">
        <f>"B20200104133"</f>
        <v>B20200104133</v>
      </c>
      <c r="C1158" s="2" t="str">
        <f>"男"</f>
        <v>男</v>
      </c>
      <c r="D1158" s="2" t="str">
        <f t="shared" si="238"/>
        <v>12</v>
      </c>
      <c r="E1158" s="2" t="str">
        <f t="shared" si="249"/>
        <v>土木工程学院</v>
      </c>
    </row>
    <row r="1159" ht="13.5" hidden="1" spans="1:5">
      <c r="A1159" s="2" t="str">
        <f>"徐宁宁"</f>
        <v>徐宁宁</v>
      </c>
      <c r="B1159" s="2" t="str">
        <f>"B20211101229"</f>
        <v>B20211101229</v>
      </c>
      <c r="C1159" s="2" t="str">
        <f t="shared" ref="C1159:C1162" si="250">"女"</f>
        <v>女</v>
      </c>
      <c r="D1159" s="2" t="str">
        <f t="shared" si="238"/>
        <v>12</v>
      </c>
      <c r="E1159" s="2" t="str">
        <f>"音乐学院"</f>
        <v>音乐学院</v>
      </c>
    </row>
    <row r="1160" ht="13.5" hidden="1" spans="1:5">
      <c r="A1160" s="2" t="str">
        <f>"李燊睿"</f>
        <v>李燊睿</v>
      </c>
      <c r="B1160" s="2" t="str">
        <f>"B20230704214"</f>
        <v>B20230704214</v>
      </c>
      <c r="C1160" s="2" t="str">
        <f t="shared" si="250"/>
        <v>女</v>
      </c>
      <c r="D1160" s="2" t="str">
        <f t="shared" si="238"/>
        <v>12</v>
      </c>
      <c r="E1160" s="2" t="str">
        <f>"马栏山新媒体学院"</f>
        <v>马栏山新媒体学院</v>
      </c>
    </row>
    <row r="1161" ht="13.5" hidden="1" spans="1:5">
      <c r="A1161" s="2" t="str">
        <f>"史艳龙"</f>
        <v>史艳龙</v>
      </c>
      <c r="B1161" s="2" t="str">
        <f>"B20200503237"</f>
        <v>B20200503237</v>
      </c>
      <c r="C1161" s="2" t="str">
        <f>"男"</f>
        <v>男</v>
      </c>
      <c r="D1161" s="2" t="str">
        <f t="shared" si="238"/>
        <v>12</v>
      </c>
      <c r="E1161" s="2" t="str">
        <f>"生物与环境工程学院"</f>
        <v>生物与环境工程学院</v>
      </c>
    </row>
    <row r="1162" ht="13.5" hidden="1" spans="1:5">
      <c r="A1162" s="2" t="str">
        <f>"王志敏"</f>
        <v>王志敏</v>
      </c>
      <c r="B1162" s="2" t="str">
        <f>"B20230801411"</f>
        <v>B20230801411</v>
      </c>
      <c r="C1162" s="2" t="str">
        <f t="shared" si="250"/>
        <v>女</v>
      </c>
      <c r="D1162" s="2" t="str">
        <f t="shared" si="238"/>
        <v>12</v>
      </c>
      <c r="E1162" s="2" t="str">
        <f>"外国语学院"</f>
        <v>外国语学院</v>
      </c>
    </row>
    <row r="1163" ht="13.5" hidden="1" spans="1:5">
      <c r="A1163" s="2" t="str">
        <f>"雷梓炀"</f>
        <v>雷梓炀</v>
      </c>
      <c r="B1163" s="2" t="str">
        <f>"B20230504306"</f>
        <v>B20230504306</v>
      </c>
      <c r="C1163" s="2" t="str">
        <f>"男"</f>
        <v>男</v>
      </c>
      <c r="D1163" s="2" t="str">
        <f t="shared" si="238"/>
        <v>12</v>
      </c>
      <c r="E1163" s="2" t="str">
        <f>"生物与化学工程学院"</f>
        <v>生物与化学工程学院</v>
      </c>
    </row>
    <row r="1164" ht="13.5" hidden="1" spans="1:5">
      <c r="A1164" s="2" t="str">
        <f>"肖小彬"</f>
        <v>肖小彬</v>
      </c>
      <c r="B1164" s="2" t="str">
        <f>"B20200801218"</f>
        <v>B20200801218</v>
      </c>
      <c r="C1164" s="2" t="str">
        <f>"女"</f>
        <v>女</v>
      </c>
      <c r="D1164" s="2" t="str">
        <f t="shared" si="238"/>
        <v>12</v>
      </c>
      <c r="E1164" s="2" t="str">
        <f>"外国语学院"</f>
        <v>外国语学院</v>
      </c>
    </row>
    <row r="1165" ht="13.5" hidden="1" spans="1:5">
      <c r="A1165" s="2" t="str">
        <f>"岳婷"</f>
        <v>岳婷</v>
      </c>
      <c r="B1165" s="2" t="str">
        <f>"B20220101510"</f>
        <v>B20220101510</v>
      </c>
      <c r="C1165" s="2" t="str">
        <f>"女"</f>
        <v>女</v>
      </c>
      <c r="D1165" s="2" t="str">
        <f t="shared" si="238"/>
        <v>12</v>
      </c>
      <c r="E1165" s="2" t="str">
        <f>"土木工程学院"</f>
        <v>土木工程学院</v>
      </c>
    </row>
    <row r="1166" ht="13.5" hidden="1" spans="1:5">
      <c r="A1166" s="2" t="str">
        <f>"章哲恺"</f>
        <v>章哲恺</v>
      </c>
      <c r="B1166" s="2" t="str">
        <f>"B20220701112"</f>
        <v>B20220701112</v>
      </c>
      <c r="C1166" s="2" t="str">
        <f>"男"</f>
        <v>男</v>
      </c>
      <c r="D1166" s="2" t="str">
        <f t="shared" si="238"/>
        <v>12</v>
      </c>
      <c r="E1166" s="2" t="str">
        <f t="shared" ref="E1166:E1169" si="251">"马栏山新媒体学院"</f>
        <v>马栏山新媒体学院</v>
      </c>
    </row>
    <row r="1167" ht="13.5" hidden="1" spans="1:5">
      <c r="A1167" s="2" t="str">
        <f>"周利娟"</f>
        <v>周利娟</v>
      </c>
      <c r="B1167" s="2" t="str">
        <f>"B20230504117"</f>
        <v>B20230504117</v>
      </c>
      <c r="C1167" s="2" t="str">
        <f t="shared" ref="C1167:C1170" si="252">"女"</f>
        <v>女</v>
      </c>
      <c r="D1167" s="2" t="str">
        <f t="shared" si="238"/>
        <v>12</v>
      </c>
      <c r="E1167" s="2" t="str">
        <f>"生物与化学工程学院"</f>
        <v>生物与化学工程学院</v>
      </c>
    </row>
    <row r="1168" ht="13.5" hidden="1" spans="1:5">
      <c r="A1168" s="2" t="str">
        <f>"张雅婷"</f>
        <v>张雅婷</v>
      </c>
      <c r="B1168" s="2" t="str">
        <f>"B20220701319"</f>
        <v>B20220701319</v>
      </c>
      <c r="C1168" s="2" t="str">
        <f t="shared" si="252"/>
        <v>女</v>
      </c>
      <c r="D1168" s="2" t="str">
        <f t="shared" si="238"/>
        <v>12</v>
      </c>
      <c r="E1168" s="2" t="str">
        <f t="shared" si="251"/>
        <v>马栏山新媒体学院</v>
      </c>
    </row>
    <row r="1169" ht="13.5" hidden="1" spans="1:5">
      <c r="A1169" s="2" t="str">
        <f>"彭欣蕊"</f>
        <v>彭欣蕊</v>
      </c>
      <c r="B1169" s="2" t="str">
        <f>"B20230702111"</f>
        <v>B20230702111</v>
      </c>
      <c r="C1169" s="2" t="str">
        <f t="shared" si="252"/>
        <v>女</v>
      </c>
      <c r="D1169" s="2" t="str">
        <f t="shared" si="238"/>
        <v>12</v>
      </c>
      <c r="E1169" s="2" t="str">
        <f t="shared" si="251"/>
        <v>马栏山新媒体学院</v>
      </c>
    </row>
    <row r="1170" ht="13.5" hidden="1" spans="1:5">
      <c r="A1170" s="2" t="str">
        <f>"王贝尔"</f>
        <v>王贝尔</v>
      </c>
      <c r="B1170" s="2" t="str">
        <f>"B20210601314"</f>
        <v>B20210601314</v>
      </c>
      <c r="C1170" s="2" t="str">
        <f t="shared" si="252"/>
        <v>女</v>
      </c>
      <c r="D1170" s="2" t="str">
        <f t="shared" si="238"/>
        <v>12</v>
      </c>
      <c r="E1170" s="2" t="str">
        <f>"法学院"</f>
        <v>法学院</v>
      </c>
    </row>
    <row r="1171" ht="13.5" hidden="1" spans="1:5">
      <c r="A1171" s="2" t="str">
        <f>"邵梓阳"</f>
        <v>邵梓阳</v>
      </c>
      <c r="B1171" s="2" t="str">
        <f>"B20200904111"</f>
        <v>B20200904111</v>
      </c>
      <c r="C1171" s="2" t="str">
        <f>"男"</f>
        <v>男</v>
      </c>
      <c r="D1171" s="2" t="str">
        <f t="shared" si="238"/>
        <v>12</v>
      </c>
      <c r="E1171" s="2" t="str">
        <f>"经济与管理学院"</f>
        <v>经济与管理学院</v>
      </c>
    </row>
    <row r="1172" ht="13.5" hidden="1" spans="1:5">
      <c r="A1172" s="2" t="str">
        <f>"刘增乐"</f>
        <v>刘增乐</v>
      </c>
      <c r="B1172" s="2" t="str">
        <f>"B20200102228"</f>
        <v>B20200102228</v>
      </c>
      <c r="C1172" s="2" t="str">
        <f>"男"</f>
        <v>男</v>
      </c>
      <c r="D1172" s="2" t="str">
        <f t="shared" si="238"/>
        <v>12</v>
      </c>
      <c r="E1172" s="2" t="str">
        <f>"土木工程学院"</f>
        <v>土木工程学院</v>
      </c>
    </row>
    <row r="1173" ht="13.5" hidden="1" spans="1:5">
      <c r="A1173" s="2" t="str">
        <f>"唐耀鹏"</f>
        <v>唐耀鹏</v>
      </c>
      <c r="B1173" s="2" t="str">
        <f>"B20210801112"</f>
        <v>B20210801112</v>
      </c>
      <c r="C1173" s="2" t="str">
        <f>"男"</f>
        <v>男</v>
      </c>
      <c r="D1173" s="2" t="str">
        <f t="shared" si="238"/>
        <v>12</v>
      </c>
      <c r="E1173" s="2" t="str">
        <f t="shared" ref="E1173:E1178" si="253">"外国语学院"</f>
        <v>外国语学院</v>
      </c>
    </row>
    <row r="1174" ht="13.5" hidden="1" spans="1:5">
      <c r="A1174" s="2" t="str">
        <f>"陈柔静"</f>
        <v>陈柔静</v>
      </c>
      <c r="B1174" s="2" t="str">
        <f>"B20230801121"</f>
        <v>B20230801121</v>
      </c>
      <c r="C1174" s="2" t="str">
        <f>"女"</f>
        <v>女</v>
      </c>
      <c r="D1174" s="2" t="str">
        <f t="shared" ref="D1174:D1183" si="254">"12"</f>
        <v>12</v>
      </c>
      <c r="E1174" s="2" t="str">
        <f t="shared" si="253"/>
        <v>外国语学院</v>
      </c>
    </row>
    <row r="1175" ht="13.5" hidden="1" spans="1:5">
      <c r="A1175" s="2" t="str">
        <f>"李瑞琪"</f>
        <v>李瑞琪</v>
      </c>
      <c r="B1175" s="2" t="str">
        <f>"B20230704319"</f>
        <v>B20230704319</v>
      </c>
      <c r="C1175" s="2" t="str">
        <f>"女"</f>
        <v>女</v>
      </c>
      <c r="D1175" s="2" t="str">
        <f t="shared" si="254"/>
        <v>12</v>
      </c>
      <c r="E1175" s="2" t="str">
        <f>"马栏山新媒体学院"</f>
        <v>马栏山新媒体学院</v>
      </c>
    </row>
    <row r="1176" ht="13.5" hidden="1" spans="1:5">
      <c r="A1176" s="2" t="str">
        <f>"袁嘉威"</f>
        <v>袁嘉威</v>
      </c>
      <c r="B1176" s="2" t="str">
        <f>"B20231301123"</f>
        <v>B20231301123</v>
      </c>
      <c r="C1176" s="2" t="str">
        <f t="shared" ref="C1176:C1179" si="255">"男"</f>
        <v>男</v>
      </c>
      <c r="D1176" s="2" t="str">
        <f t="shared" si="254"/>
        <v>12</v>
      </c>
      <c r="E1176" s="2" t="str">
        <f>"材料与环境工程学院"</f>
        <v>材料与环境工程学院</v>
      </c>
    </row>
    <row r="1177" ht="13.5" hidden="1" spans="1:5">
      <c r="A1177" s="2" t="str">
        <f>"任俊杰"</f>
        <v>任俊杰</v>
      </c>
      <c r="B1177" s="2" t="str">
        <f>"B20220504234"</f>
        <v>B20220504234</v>
      </c>
      <c r="C1177" s="2" t="str">
        <f t="shared" si="255"/>
        <v>男</v>
      </c>
      <c r="D1177" s="2" t="str">
        <f t="shared" si="254"/>
        <v>12</v>
      </c>
      <c r="E1177" s="2" t="str">
        <f>"生物与化学工程学院"</f>
        <v>生物与化学工程学院</v>
      </c>
    </row>
    <row r="1178" ht="13.5" hidden="1" spans="1:5">
      <c r="A1178" s="2" t="str">
        <f>"戴紫悦"</f>
        <v>戴紫悦</v>
      </c>
      <c r="B1178" s="2" t="str">
        <f>"B20230803115"</f>
        <v>B20230803115</v>
      </c>
      <c r="C1178" s="2" t="str">
        <f t="shared" ref="C1178:C1183" si="256">"女"</f>
        <v>女</v>
      </c>
      <c r="D1178" s="2" t="str">
        <f t="shared" si="254"/>
        <v>12</v>
      </c>
      <c r="E1178" s="2" t="str">
        <f t="shared" si="253"/>
        <v>外国语学院</v>
      </c>
    </row>
    <row r="1179" ht="13.5" hidden="1" spans="1:5">
      <c r="A1179" s="2" t="str">
        <f>"袁帅"</f>
        <v>袁帅</v>
      </c>
      <c r="B1179" s="2" t="str">
        <f>"B20220405115"</f>
        <v>B20220405115</v>
      </c>
      <c r="C1179" s="2" t="str">
        <f t="shared" si="255"/>
        <v>男</v>
      </c>
      <c r="D1179" s="2" t="str">
        <f t="shared" si="254"/>
        <v>12</v>
      </c>
      <c r="E1179" s="2" t="str">
        <f>"电子信息与电气工程学院"</f>
        <v>电子信息与电气工程学院</v>
      </c>
    </row>
    <row r="1180" ht="13.5" hidden="1" spans="1:5">
      <c r="A1180" s="2" t="str">
        <f>"王琦"</f>
        <v>王琦</v>
      </c>
      <c r="B1180" s="2" t="str">
        <f>"B20201002219"</f>
        <v>B20201002219</v>
      </c>
      <c r="C1180" s="2" t="str">
        <f t="shared" si="256"/>
        <v>女</v>
      </c>
      <c r="D1180" s="2" t="str">
        <f t="shared" si="254"/>
        <v>12</v>
      </c>
      <c r="E1180" s="2" t="str">
        <f>"艺术设计学院"</f>
        <v>艺术设计学院</v>
      </c>
    </row>
    <row r="1181" ht="13.5" hidden="1" spans="1:5">
      <c r="A1181" s="2" t="str">
        <f>"麻佳玲"</f>
        <v>麻佳玲</v>
      </c>
      <c r="B1181" s="2" t="str">
        <f>"B20201004219"</f>
        <v>B20201004219</v>
      </c>
      <c r="C1181" s="2" t="str">
        <f t="shared" si="256"/>
        <v>女</v>
      </c>
      <c r="D1181" s="2" t="str">
        <f t="shared" si="254"/>
        <v>12</v>
      </c>
      <c r="E1181" s="2" t="str">
        <f>"艺术设计学院"</f>
        <v>艺术设计学院</v>
      </c>
    </row>
    <row r="1182" ht="13.5" hidden="1" spans="1:5">
      <c r="A1182" s="2" t="str">
        <f>"徐璐瑶"</f>
        <v>徐璐瑶</v>
      </c>
      <c r="B1182" s="2" t="str">
        <f>"B20200505127"</f>
        <v>B20200505127</v>
      </c>
      <c r="C1182" s="2" t="str">
        <f t="shared" si="256"/>
        <v>女</v>
      </c>
      <c r="D1182" s="2" t="str">
        <f t="shared" si="254"/>
        <v>12</v>
      </c>
      <c r="E1182" s="2" t="str">
        <f>"生物与环境工程学院"</f>
        <v>生物与环境工程学院</v>
      </c>
    </row>
    <row r="1183" ht="13.5" hidden="1" spans="1:5">
      <c r="A1183" s="2" t="str">
        <f>"王云"</f>
        <v>王云</v>
      </c>
      <c r="B1183" s="2" t="str">
        <f>"B20200705122"</f>
        <v>B20200705122</v>
      </c>
      <c r="C1183" s="2" t="str">
        <f t="shared" si="256"/>
        <v>女</v>
      </c>
      <c r="D1183" s="2" t="str">
        <f t="shared" si="254"/>
        <v>12</v>
      </c>
      <c r="E1183" s="2" t="str">
        <f>"马栏山新媒体学院"</f>
        <v>马栏山新媒体学院</v>
      </c>
    </row>
    <row r="1184" ht="13.5" hidden="1" spans="1:5">
      <c r="A1184" s="2" t="str">
        <f>"林慧丹"</f>
        <v>林慧丹</v>
      </c>
      <c r="B1184" s="2" t="str">
        <f>"B20201003206"</f>
        <v>B20201003206</v>
      </c>
      <c r="C1184" s="2" t="str">
        <f t="shared" ref="C1184:C1188" si="257">"女"</f>
        <v>女</v>
      </c>
      <c r="D1184" s="2" t="str">
        <f t="shared" ref="D1184:D1225" si="258">"12"</f>
        <v>12</v>
      </c>
      <c r="E1184" s="2" t="str">
        <f>"艺术设计学院"</f>
        <v>艺术设计学院</v>
      </c>
    </row>
    <row r="1185" ht="13.5" hidden="1" spans="1:5">
      <c r="A1185" s="2" t="str">
        <f>"龚梓倩"</f>
        <v>龚梓倩</v>
      </c>
      <c r="B1185" s="2" t="str">
        <f>"B20231004124"</f>
        <v>B20231004124</v>
      </c>
      <c r="C1185" s="2" t="str">
        <f t="shared" si="257"/>
        <v>女</v>
      </c>
      <c r="D1185" s="2" t="str">
        <f t="shared" si="258"/>
        <v>12</v>
      </c>
      <c r="E1185" s="2" t="str">
        <f>"艺术设计学院"</f>
        <v>艺术设计学院</v>
      </c>
    </row>
    <row r="1186" ht="13.5" hidden="1" spans="1:5">
      <c r="A1186" s="2" t="str">
        <f>"杨辉"</f>
        <v>杨辉</v>
      </c>
      <c r="B1186" s="2" t="str">
        <f>"B20210402130"</f>
        <v>B20210402130</v>
      </c>
      <c r="C1186" s="2" t="str">
        <f>"男"</f>
        <v>男</v>
      </c>
      <c r="D1186" s="2" t="str">
        <f t="shared" si="258"/>
        <v>12</v>
      </c>
      <c r="E1186" s="2" t="str">
        <f>"电子信息与电气工程学院"</f>
        <v>电子信息与电气工程学院</v>
      </c>
    </row>
    <row r="1187" ht="13.5" hidden="1" spans="1:5">
      <c r="A1187" s="2" t="str">
        <f>"徐思阳"</f>
        <v>徐思阳</v>
      </c>
      <c r="B1187" s="2" t="str">
        <f>"B20200801219"</f>
        <v>B20200801219</v>
      </c>
      <c r="C1187" s="2" t="str">
        <f>"男"</f>
        <v>男</v>
      </c>
      <c r="D1187" s="2" t="str">
        <f t="shared" si="258"/>
        <v>12</v>
      </c>
      <c r="E1187" s="2" t="str">
        <f>"外国语学院"</f>
        <v>外国语学院</v>
      </c>
    </row>
    <row r="1188" ht="13.5" hidden="1" spans="1:5">
      <c r="A1188" s="2" t="str">
        <f>"唐雨洁"</f>
        <v>唐雨洁</v>
      </c>
      <c r="B1188" s="2" t="str">
        <f>"B20200504102"</f>
        <v>B20200504102</v>
      </c>
      <c r="C1188" s="2" t="str">
        <f t="shared" si="257"/>
        <v>女</v>
      </c>
      <c r="D1188" s="2" t="str">
        <f t="shared" si="258"/>
        <v>12</v>
      </c>
      <c r="E1188" s="2" t="str">
        <f>"生物与环境工程学院"</f>
        <v>生物与环境工程学院</v>
      </c>
    </row>
    <row r="1189" ht="13.5" hidden="1" spans="1:5">
      <c r="A1189" s="2" t="str">
        <f>"邓乘淞"</f>
        <v>邓乘淞</v>
      </c>
      <c r="B1189" s="2" t="str">
        <f>"B20220404110"</f>
        <v>B20220404110</v>
      </c>
      <c r="C1189" s="2" t="str">
        <f>"男"</f>
        <v>男</v>
      </c>
      <c r="D1189" s="2" t="str">
        <f t="shared" si="258"/>
        <v>12</v>
      </c>
      <c r="E1189" s="2" t="str">
        <f>"电子信息与电气工程学院"</f>
        <v>电子信息与电气工程学院</v>
      </c>
    </row>
    <row r="1190" ht="13.5" hidden="1" spans="1:5">
      <c r="A1190" s="2" t="str">
        <f>"丁一哲"</f>
        <v>丁一哲</v>
      </c>
      <c r="B1190" s="2" t="str">
        <f>"B20200704201"</f>
        <v>B20200704201</v>
      </c>
      <c r="C1190" s="2" t="str">
        <f t="shared" ref="C1190:C1194" si="259">"女"</f>
        <v>女</v>
      </c>
      <c r="D1190" s="2" t="str">
        <f t="shared" si="258"/>
        <v>12</v>
      </c>
      <c r="E1190" s="2" t="str">
        <f>"马栏山新媒体学院"</f>
        <v>马栏山新媒体学院</v>
      </c>
    </row>
    <row r="1191" ht="13.5" hidden="1" spans="1:5">
      <c r="A1191" s="2" t="str">
        <f>"蒋丽贵"</f>
        <v>蒋丽贵</v>
      </c>
      <c r="B1191" s="2" t="str">
        <f>"B20210202427"</f>
        <v>B20210202427</v>
      </c>
      <c r="C1191" s="2" t="str">
        <f t="shared" si="259"/>
        <v>女</v>
      </c>
      <c r="D1191" s="2" t="str">
        <f t="shared" si="258"/>
        <v>12</v>
      </c>
      <c r="E1191" s="2" t="str">
        <f>"机电工程学院"</f>
        <v>机电工程学院</v>
      </c>
    </row>
    <row r="1192" ht="13.5" hidden="1" spans="1:5">
      <c r="A1192" s="2" t="str">
        <f>"陈凌凌"</f>
        <v>陈凌凌</v>
      </c>
      <c r="B1192" s="2" t="str">
        <f>"B20201002402"</f>
        <v>B20201002402</v>
      </c>
      <c r="C1192" s="2" t="str">
        <f t="shared" si="259"/>
        <v>女</v>
      </c>
      <c r="D1192" s="2" t="str">
        <f t="shared" si="258"/>
        <v>12</v>
      </c>
      <c r="E1192" s="2" t="str">
        <f>"艺术设计学院"</f>
        <v>艺术设计学院</v>
      </c>
    </row>
    <row r="1193" ht="13.5" hidden="1" spans="1:5">
      <c r="A1193" s="2" t="str">
        <f>"刘茜"</f>
        <v>刘茜</v>
      </c>
      <c r="B1193" s="2" t="str">
        <f>"B20220801427"</f>
        <v>B20220801427</v>
      </c>
      <c r="C1193" s="2" t="str">
        <f t="shared" si="259"/>
        <v>女</v>
      </c>
      <c r="D1193" s="2" t="str">
        <f t="shared" si="258"/>
        <v>12</v>
      </c>
      <c r="E1193" s="2" t="str">
        <f>"外国语学院"</f>
        <v>外国语学院</v>
      </c>
    </row>
    <row r="1194" ht="13.5" hidden="1" spans="1:5">
      <c r="A1194" s="2" t="str">
        <f>"曾琳"</f>
        <v>曾琳</v>
      </c>
      <c r="B1194" s="2" t="str">
        <f>"B20210202324"</f>
        <v>B20210202324</v>
      </c>
      <c r="C1194" s="2" t="str">
        <f t="shared" si="259"/>
        <v>女</v>
      </c>
      <c r="D1194" s="2" t="str">
        <f t="shared" si="258"/>
        <v>12</v>
      </c>
      <c r="E1194" s="2" t="str">
        <f>"经济与管理学院"</f>
        <v>经济与管理学院</v>
      </c>
    </row>
    <row r="1195" ht="13.5" hidden="1" spans="1:5">
      <c r="A1195" s="2" t="str">
        <f>"熊子见"</f>
        <v>熊子见</v>
      </c>
      <c r="B1195" s="2" t="str">
        <f>"B20200103112"</f>
        <v>B20200103112</v>
      </c>
      <c r="C1195" s="2" t="str">
        <f>"男"</f>
        <v>男</v>
      </c>
      <c r="D1195" s="2" t="str">
        <f t="shared" si="258"/>
        <v>12</v>
      </c>
      <c r="E1195" s="2" t="str">
        <f>"土木工程学院"</f>
        <v>土木工程学院</v>
      </c>
    </row>
    <row r="1196" ht="13.5" hidden="1" spans="1:5">
      <c r="A1196" s="2" t="str">
        <f>"贺逸轩"</f>
        <v>贺逸轩</v>
      </c>
      <c r="B1196" s="2" t="str">
        <f>"B20230104123"</f>
        <v>B20230104123</v>
      </c>
      <c r="C1196" s="2" t="str">
        <f t="shared" ref="C1196:C1201" si="260">"男"</f>
        <v>男</v>
      </c>
      <c r="D1196" s="2" t="str">
        <f t="shared" si="258"/>
        <v>12</v>
      </c>
      <c r="E1196" s="2" t="str">
        <f>"土木工程学院"</f>
        <v>土木工程学院</v>
      </c>
    </row>
    <row r="1197" ht="13.5" hidden="1" spans="1:5">
      <c r="A1197" s="2" t="str">
        <f>"吴佳"</f>
        <v>吴佳</v>
      </c>
      <c r="B1197" s="2" t="str">
        <f>"B20220601321"</f>
        <v>B20220601321</v>
      </c>
      <c r="C1197" s="2" t="str">
        <f>"女"</f>
        <v>女</v>
      </c>
      <c r="D1197" s="2" t="str">
        <f t="shared" si="258"/>
        <v>12</v>
      </c>
      <c r="E1197" s="2" t="str">
        <f>"法学院"</f>
        <v>法学院</v>
      </c>
    </row>
    <row r="1198" ht="13.5" hidden="1" spans="1:5">
      <c r="A1198" s="2" t="str">
        <f>"王蕴憬"</f>
        <v>王蕴憬</v>
      </c>
      <c r="B1198" s="2" t="str">
        <f>"B20210801210"</f>
        <v>B20210801210</v>
      </c>
      <c r="C1198" s="2" t="str">
        <f>"女"</f>
        <v>女</v>
      </c>
      <c r="D1198" s="2" t="str">
        <f t="shared" si="258"/>
        <v>12</v>
      </c>
      <c r="E1198" s="2" t="str">
        <f>"外国语学院"</f>
        <v>外国语学院</v>
      </c>
    </row>
    <row r="1199" ht="13.5" hidden="1" spans="1:5">
      <c r="A1199" s="2" t="str">
        <f>"李浩楠"</f>
        <v>李浩楠</v>
      </c>
      <c r="B1199" s="2" t="str">
        <f>"B20200202208"</f>
        <v>B20200202208</v>
      </c>
      <c r="C1199" s="2" t="str">
        <f t="shared" si="260"/>
        <v>男</v>
      </c>
      <c r="D1199" s="2" t="str">
        <f t="shared" si="258"/>
        <v>12</v>
      </c>
      <c r="E1199" s="2" t="str">
        <f>"机电工程学院"</f>
        <v>机电工程学院</v>
      </c>
    </row>
    <row r="1200" ht="13.5" hidden="1" spans="1:5">
      <c r="A1200" s="2" t="str">
        <f>"陈素素"</f>
        <v>陈素素</v>
      </c>
      <c r="B1200" s="2" t="str">
        <f>"B20220103235"</f>
        <v>B20220103235</v>
      </c>
      <c r="C1200" s="2" t="str">
        <f>"女"</f>
        <v>女</v>
      </c>
      <c r="D1200" s="2" t="str">
        <f t="shared" si="258"/>
        <v>12</v>
      </c>
      <c r="E1200" s="2" t="str">
        <f>"土木工程学院"</f>
        <v>土木工程学院</v>
      </c>
    </row>
    <row r="1201" ht="13.5" hidden="1" spans="1:5">
      <c r="A1201" s="2" t="str">
        <f>"刘志鹏"</f>
        <v>刘志鹏</v>
      </c>
      <c r="B1201" s="2" t="str">
        <f>"B20221301127"</f>
        <v>B20221301127</v>
      </c>
      <c r="C1201" s="2" t="str">
        <f t="shared" si="260"/>
        <v>男</v>
      </c>
      <c r="D1201" s="2" t="str">
        <f t="shared" si="258"/>
        <v>12</v>
      </c>
      <c r="E1201" s="2" t="str">
        <f>"材料与环境工程学院"</f>
        <v>材料与环境工程学院</v>
      </c>
    </row>
    <row r="1202" ht="13.5" hidden="1" spans="1:5">
      <c r="A1202" s="2" t="str">
        <f>"赵子仪"</f>
        <v>赵子仪</v>
      </c>
      <c r="B1202" s="2" t="str">
        <f>"B20190504123"</f>
        <v>B20190504123</v>
      </c>
      <c r="C1202" s="2" t="str">
        <f>"女"</f>
        <v>女</v>
      </c>
      <c r="D1202" s="2" t="str">
        <f t="shared" si="258"/>
        <v>12</v>
      </c>
      <c r="E1202" s="2" t="str">
        <f>"马栏山新媒体学院"</f>
        <v>马栏山新媒体学院</v>
      </c>
    </row>
    <row r="1203" ht="13.5" hidden="1" spans="1:5">
      <c r="A1203" s="2" t="str">
        <f>"陈璐璐"</f>
        <v>陈璐璐</v>
      </c>
      <c r="B1203" s="2" t="str">
        <f>"B20200505133"</f>
        <v>B20200505133</v>
      </c>
      <c r="C1203" s="2" t="str">
        <f>"女"</f>
        <v>女</v>
      </c>
      <c r="D1203" s="2" t="str">
        <f t="shared" si="258"/>
        <v>12</v>
      </c>
      <c r="E1203" s="2" t="str">
        <f>"生物与环境工程学院"</f>
        <v>生物与环境工程学院</v>
      </c>
    </row>
    <row r="1204" ht="13.5" hidden="1" spans="1:5">
      <c r="A1204" s="2" t="str">
        <f>"皮智宇"</f>
        <v>皮智宇</v>
      </c>
      <c r="B1204" s="2" t="str">
        <f>"B20201001321"</f>
        <v>B20201001321</v>
      </c>
      <c r="C1204" s="2" t="str">
        <f>"男"</f>
        <v>男</v>
      </c>
      <c r="D1204" s="2" t="str">
        <f t="shared" si="258"/>
        <v>12</v>
      </c>
      <c r="E1204" s="2" t="str">
        <f>"艺术设计学院"</f>
        <v>艺术设计学院</v>
      </c>
    </row>
    <row r="1205" ht="13.5" hidden="1" spans="1:5">
      <c r="A1205" s="2" t="str">
        <f>"周思先"</f>
        <v>周思先</v>
      </c>
      <c r="B1205" s="2" t="str">
        <f>"B20231301211"</f>
        <v>B20231301211</v>
      </c>
      <c r="C1205" s="2" t="str">
        <f t="shared" ref="C1205:C1209" si="261">"女"</f>
        <v>女</v>
      </c>
      <c r="D1205" s="2" t="str">
        <f t="shared" si="258"/>
        <v>12</v>
      </c>
      <c r="E1205" s="2" t="str">
        <f>"材料与环境工程学院"</f>
        <v>材料与环境工程学院</v>
      </c>
    </row>
    <row r="1206" ht="13.5" hidden="1" spans="1:5">
      <c r="A1206" s="2" t="str">
        <f>"刘文静"</f>
        <v>刘文静</v>
      </c>
      <c r="B1206" s="2" t="str">
        <f>"B20210906139"</f>
        <v>B20210906139</v>
      </c>
      <c r="C1206" s="2" t="str">
        <f t="shared" si="261"/>
        <v>女</v>
      </c>
      <c r="D1206" s="2" t="str">
        <f t="shared" si="258"/>
        <v>12</v>
      </c>
      <c r="E1206" s="2" t="str">
        <f>"经济与管理学院"</f>
        <v>经济与管理学院</v>
      </c>
    </row>
    <row r="1207" ht="13.5" hidden="1" spans="1:5">
      <c r="A1207" s="2" t="str">
        <f>"阳艳"</f>
        <v>阳艳</v>
      </c>
      <c r="B1207" s="2" t="str">
        <f>"B20220401128"</f>
        <v>B20220401128</v>
      </c>
      <c r="C1207" s="2" t="str">
        <f t="shared" si="261"/>
        <v>女</v>
      </c>
      <c r="D1207" s="2" t="str">
        <f t="shared" si="258"/>
        <v>12</v>
      </c>
      <c r="E1207" s="2" t="str">
        <f>"电子信息与电气工程学院"</f>
        <v>电子信息与电气工程学院</v>
      </c>
    </row>
    <row r="1208" ht="13.5" hidden="1" spans="1:5">
      <c r="A1208" s="2" t="str">
        <f>"邓佳怡"</f>
        <v>邓佳怡</v>
      </c>
      <c r="B1208" s="2" t="str">
        <f>"B20230504222"</f>
        <v>B20230504222</v>
      </c>
      <c r="C1208" s="2" t="str">
        <f t="shared" si="261"/>
        <v>女</v>
      </c>
      <c r="D1208" s="2" t="str">
        <f t="shared" si="258"/>
        <v>12</v>
      </c>
      <c r="E1208" s="2" t="str">
        <f>"生物与化学工程学院"</f>
        <v>生物与化学工程学院</v>
      </c>
    </row>
    <row r="1209" ht="13.5" hidden="1" spans="1:5">
      <c r="A1209" s="2" t="str">
        <f>"魏立霞"</f>
        <v>魏立霞</v>
      </c>
      <c r="B1209" s="2" t="str">
        <f>"B20210903217"</f>
        <v>B20210903217</v>
      </c>
      <c r="C1209" s="2" t="str">
        <f t="shared" si="261"/>
        <v>女</v>
      </c>
      <c r="D1209" s="2" t="str">
        <f t="shared" si="258"/>
        <v>12</v>
      </c>
      <c r="E1209" s="2" t="str">
        <f>"经济与管理学院"</f>
        <v>经济与管理学院</v>
      </c>
    </row>
    <row r="1210" ht="13.5" hidden="1" spans="1:5">
      <c r="A1210" s="2" t="str">
        <f>"韦姿羽"</f>
        <v>韦姿羽</v>
      </c>
      <c r="B1210" s="2" t="str">
        <f>"B20230801129"</f>
        <v>B20230801129</v>
      </c>
      <c r="C1210" s="2" t="str">
        <f t="shared" ref="C1210:C1213" si="262">"女"</f>
        <v>女</v>
      </c>
      <c r="D1210" s="2" t="str">
        <f t="shared" si="258"/>
        <v>12</v>
      </c>
      <c r="E1210" s="2" t="str">
        <f>"外国语学院"</f>
        <v>外国语学院</v>
      </c>
    </row>
    <row r="1211" ht="13.5" hidden="1" spans="1:5">
      <c r="A1211" s="2" t="str">
        <f>"龚涵"</f>
        <v>龚涵</v>
      </c>
      <c r="B1211" s="2" t="str">
        <f>"B20230704302"</f>
        <v>B20230704302</v>
      </c>
      <c r="C1211" s="2" t="str">
        <f t="shared" si="262"/>
        <v>女</v>
      </c>
      <c r="D1211" s="2" t="str">
        <f t="shared" si="258"/>
        <v>12</v>
      </c>
      <c r="E1211" s="2" t="str">
        <f>"马栏山新媒体学院"</f>
        <v>马栏山新媒体学院</v>
      </c>
    </row>
    <row r="1212" ht="13.5" hidden="1" spans="1:5">
      <c r="A1212" s="2" t="str">
        <f>"陈逸繁"</f>
        <v>陈逸繁</v>
      </c>
      <c r="B1212" s="2" t="str">
        <f>"B20230504317"</f>
        <v>B20230504317</v>
      </c>
      <c r="C1212" s="2" t="str">
        <f>"男"</f>
        <v>男</v>
      </c>
      <c r="D1212" s="2" t="str">
        <f t="shared" si="258"/>
        <v>12</v>
      </c>
      <c r="E1212" s="2" t="str">
        <f>"生物与化学工程学院"</f>
        <v>生物与化学工程学院</v>
      </c>
    </row>
    <row r="1213" ht="13.5" hidden="1" spans="1:5">
      <c r="A1213" s="2" t="str">
        <f>"欧阳苏朋"</f>
        <v>欧阳苏朋</v>
      </c>
      <c r="B1213" s="2" t="str">
        <f>"B20230802120"</f>
        <v>B20230802120</v>
      </c>
      <c r="C1213" s="2" t="str">
        <f t="shared" si="262"/>
        <v>女</v>
      </c>
      <c r="D1213" s="2" t="str">
        <f t="shared" si="258"/>
        <v>12</v>
      </c>
      <c r="E1213" s="2" t="str">
        <f>"外国语学院"</f>
        <v>外国语学院</v>
      </c>
    </row>
    <row r="1214" ht="13.5" hidden="1" spans="1:5">
      <c r="A1214" s="2" t="str">
        <f>"高祺瑞"</f>
        <v>高祺瑞</v>
      </c>
      <c r="B1214" s="2" t="str">
        <f>"B20200505132"</f>
        <v>B20200505132</v>
      </c>
      <c r="C1214" s="2" t="str">
        <f>"男"</f>
        <v>男</v>
      </c>
      <c r="D1214" s="2" t="str">
        <f t="shared" si="258"/>
        <v>12</v>
      </c>
      <c r="E1214" s="2" t="str">
        <f>"生物与环境工程学院"</f>
        <v>生物与环境工程学院</v>
      </c>
    </row>
    <row r="1215" ht="13.5" hidden="1" spans="1:5">
      <c r="A1215" s="2" t="str">
        <f>"梁诗雯"</f>
        <v>梁诗雯</v>
      </c>
      <c r="B1215" s="2" t="str">
        <f>"B20201002208"</f>
        <v>B20201002208</v>
      </c>
      <c r="C1215" s="2" t="str">
        <f>"女"</f>
        <v>女</v>
      </c>
      <c r="D1215" s="2" t="str">
        <f t="shared" si="258"/>
        <v>12</v>
      </c>
      <c r="E1215" s="2" t="str">
        <f>"艺术设计学院"</f>
        <v>艺术设计学院</v>
      </c>
    </row>
    <row r="1216" ht="13.5" hidden="1" spans="1:5">
      <c r="A1216" s="2" t="str">
        <f>"段叶露"</f>
        <v>段叶露</v>
      </c>
      <c r="B1216" s="2" t="str">
        <f>"B20200801310"</f>
        <v>B20200801310</v>
      </c>
      <c r="C1216" s="2" t="str">
        <f>"女"</f>
        <v>女</v>
      </c>
      <c r="D1216" s="2" t="str">
        <f t="shared" si="258"/>
        <v>12</v>
      </c>
      <c r="E1216" s="2" t="str">
        <f>"外国语学院"</f>
        <v>外国语学院</v>
      </c>
    </row>
    <row r="1217" ht="13.5" hidden="1" spans="1:5">
      <c r="A1217" s="2" t="str">
        <f>"姚传"</f>
        <v>姚传</v>
      </c>
      <c r="B1217" s="2" t="str">
        <f>"B20200505203"</f>
        <v>B20200505203</v>
      </c>
      <c r="C1217" s="2" t="str">
        <f>"男"</f>
        <v>男</v>
      </c>
      <c r="D1217" s="2" t="str">
        <f t="shared" si="258"/>
        <v>12</v>
      </c>
      <c r="E1217" s="2" t="str">
        <f>"生物与环境工程学院"</f>
        <v>生物与环境工程学院</v>
      </c>
    </row>
    <row r="1218" ht="13.5" hidden="1" spans="1:5">
      <c r="A1218" s="2" t="str">
        <f>"祁宇欣"</f>
        <v>祁宇欣</v>
      </c>
      <c r="B1218" s="2" t="str">
        <f>"B20210701118"</f>
        <v>B20210701118</v>
      </c>
      <c r="C1218" s="2" t="str">
        <f>"女"</f>
        <v>女</v>
      </c>
      <c r="D1218" s="2" t="str">
        <f t="shared" si="258"/>
        <v>12</v>
      </c>
      <c r="E1218" s="2" t="str">
        <f>"马栏山新媒体学院"</f>
        <v>马栏山新媒体学院</v>
      </c>
    </row>
    <row r="1219" ht="13.5" hidden="1" spans="1:5">
      <c r="A1219" s="2" t="str">
        <f>"周茹男"</f>
        <v>周茹男</v>
      </c>
      <c r="B1219" s="2" t="str">
        <f>"B20230801122"</f>
        <v>B20230801122</v>
      </c>
      <c r="C1219" s="2" t="str">
        <f>"女"</f>
        <v>女</v>
      </c>
      <c r="D1219" s="2" t="str">
        <f t="shared" si="258"/>
        <v>12</v>
      </c>
      <c r="E1219" s="2" t="str">
        <f>"外国语学院"</f>
        <v>外国语学院</v>
      </c>
    </row>
    <row r="1220" ht="13.5" hidden="1" spans="1:5">
      <c r="A1220" s="2" t="str">
        <f>"易沫"</f>
        <v>易沫</v>
      </c>
      <c r="B1220" s="2" t="str">
        <f>"B20180403126"</f>
        <v>B20180403126</v>
      </c>
      <c r="C1220" s="2" t="str">
        <f>"男"</f>
        <v>男</v>
      </c>
      <c r="D1220" s="2" t="str">
        <f t="shared" si="258"/>
        <v>12</v>
      </c>
      <c r="E1220" s="2" t="str">
        <f>"电子信息与电气工程学院"</f>
        <v>电子信息与电气工程学院</v>
      </c>
    </row>
    <row r="1221" ht="13.5" hidden="1" spans="1:5">
      <c r="A1221" s="2" t="str">
        <f>"彭翔"</f>
        <v>彭翔</v>
      </c>
      <c r="B1221" s="2" t="str">
        <f>"B20230403326"</f>
        <v>B20230403326</v>
      </c>
      <c r="C1221" s="2" t="str">
        <f>"男"</f>
        <v>男</v>
      </c>
      <c r="D1221" s="2" t="str">
        <f t="shared" si="258"/>
        <v>12</v>
      </c>
      <c r="E1221" s="2" t="str">
        <f>"电子信息与电气工程学院"</f>
        <v>电子信息与电气工程学院</v>
      </c>
    </row>
    <row r="1222" ht="13.5" hidden="1" spans="1:5">
      <c r="A1222" s="2" t="str">
        <f>"姜苗"</f>
        <v>姜苗</v>
      </c>
      <c r="B1222" s="2" t="str">
        <f>"B20200803219"</f>
        <v>B20200803219</v>
      </c>
      <c r="C1222" s="2" t="str">
        <f>"女"</f>
        <v>女</v>
      </c>
      <c r="D1222" s="2" t="str">
        <f t="shared" si="258"/>
        <v>12</v>
      </c>
      <c r="E1222" s="2" t="str">
        <f>"外国语学院"</f>
        <v>外国语学院</v>
      </c>
    </row>
    <row r="1223" ht="13.5" hidden="1" spans="1:5">
      <c r="A1223" s="2" t="str">
        <f>"秦文宇"</f>
        <v>秦文宇</v>
      </c>
      <c r="B1223" s="2" t="str">
        <f>"B20200204215"</f>
        <v>B20200204215</v>
      </c>
      <c r="C1223" s="2" t="str">
        <f>"男"</f>
        <v>男</v>
      </c>
      <c r="D1223" s="2" t="str">
        <f t="shared" si="258"/>
        <v>12</v>
      </c>
      <c r="E1223" s="2" t="str">
        <f>"机电工程学院"</f>
        <v>机电工程学院</v>
      </c>
    </row>
    <row r="1224" ht="13.5" hidden="1" spans="1:5">
      <c r="A1224" s="2" t="str">
        <f>"张家棋"</f>
        <v>张家棋</v>
      </c>
      <c r="B1224" s="2" t="str">
        <f>"B20200503221"</f>
        <v>B20200503221</v>
      </c>
      <c r="C1224" s="2" t="str">
        <f>"男"</f>
        <v>男</v>
      </c>
      <c r="D1224" s="2" t="str">
        <f t="shared" si="258"/>
        <v>12</v>
      </c>
      <c r="E1224" s="2" t="str">
        <f>"生物与环境工程学院"</f>
        <v>生物与环境工程学院</v>
      </c>
    </row>
    <row r="1225" ht="13.5" hidden="1" spans="1:5">
      <c r="A1225" s="2" t="str">
        <f>"刘彦佳"</f>
        <v>刘彦佳</v>
      </c>
      <c r="B1225" s="2" t="str">
        <f>"B20230803214"</f>
        <v>B20230803214</v>
      </c>
      <c r="C1225" s="2" t="str">
        <f>"女"</f>
        <v>女</v>
      </c>
      <c r="D1225" s="2" t="str">
        <f t="shared" si="258"/>
        <v>12</v>
      </c>
      <c r="E1225" s="2" t="str">
        <f>"外国语学院"</f>
        <v>外国语学院</v>
      </c>
    </row>
    <row r="1226" ht="13.5" hidden="1" spans="1:5">
      <c r="A1226" s="2" t="str">
        <f>"李华航"</f>
        <v>李华航</v>
      </c>
      <c r="B1226" s="2" t="str">
        <f>"B20200101411"</f>
        <v>B20200101411</v>
      </c>
      <c r="C1226" s="2" t="str">
        <f>"男"</f>
        <v>男</v>
      </c>
      <c r="D1226" s="2" t="str">
        <f t="shared" ref="D1226:D1289" si="263">"12"</f>
        <v>12</v>
      </c>
      <c r="E1226" s="2" t="str">
        <f>"土木工程学院"</f>
        <v>土木工程学院</v>
      </c>
    </row>
    <row r="1227" ht="13.5" hidden="1" spans="1:5">
      <c r="A1227" s="2" t="str">
        <f>"邓彥昕"</f>
        <v>邓彥昕</v>
      </c>
      <c r="B1227" s="2" t="str">
        <f>"B20230201423"</f>
        <v>B20230201423</v>
      </c>
      <c r="C1227" s="2" t="str">
        <f>"男"</f>
        <v>男</v>
      </c>
      <c r="D1227" s="2" t="str">
        <f t="shared" si="263"/>
        <v>12</v>
      </c>
      <c r="E1227" s="2" t="str">
        <f>"机电工程学院"</f>
        <v>机电工程学院</v>
      </c>
    </row>
    <row r="1228" ht="13.5" hidden="1" spans="1:5">
      <c r="A1228" s="2" t="str">
        <f>"曹兴艺"</f>
        <v>曹兴艺</v>
      </c>
      <c r="B1228" s="2" t="str">
        <f>"B20230801201"</f>
        <v>B20230801201</v>
      </c>
      <c r="C1228" s="2" t="str">
        <f>"女"</f>
        <v>女</v>
      </c>
      <c r="D1228" s="2" t="str">
        <f t="shared" si="263"/>
        <v>12</v>
      </c>
      <c r="E1228" s="2" t="str">
        <f>"外国语学院"</f>
        <v>外国语学院</v>
      </c>
    </row>
    <row r="1229" ht="13.5" hidden="1" spans="1:5">
      <c r="A1229" s="2" t="str">
        <f>"刘香雨"</f>
        <v>刘香雨</v>
      </c>
      <c r="B1229" s="2" t="str">
        <f>"B20230803226"</f>
        <v>B20230803226</v>
      </c>
      <c r="C1229" s="2" t="str">
        <f>"女"</f>
        <v>女</v>
      </c>
      <c r="D1229" s="2" t="str">
        <f t="shared" si="263"/>
        <v>12</v>
      </c>
      <c r="E1229" s="2" t="str">
        <f>"外国语学院"</f>
        <v>外国语学院</v>
      </c>
    </row>
    <row r="1230" ht="13.5" hidden="1" spans="1:5">
      <c r="A1230" s="2" t="str">
        <f>"张钰"</f>
        <v>张钰</v>
      </c>
      <c r="B1230" s="2" t="str">
        <f>"B20221301134"</f>
        <v>B20221301134</v>
      </c>
      <c r="C1230" s="2" t="str">
        <f>"女"</f>
        <v>女</v>
      </c>
      <c r="D1230" s="2" t="str">
        <f t="shared" si="263"/>
        <v>12</v>
      </c>
      <c r="E1230" s="2" t="str">
        <f>"材料与环境工程学院"</f>
        <v>材料与环境工程学院</v>
      </c>
    </row>
    <row r="1231" ht="13.5" hidden="1" spans="1:5">
      <c r="A1231" s="2" t="str">
        <f>"李康"</f>
        <v>李康</v>
      </c>
      <c r="B1231" s="2" t="str">
        <f>"B20230601325"</f>
        <v>B20230601325</v>
      </c>
      <c r="C1231" s="2" t="str">
        <f>"男"</f>
        <v>男</v>
      </c>
      <c r="D1231" s="2" t="str">
        <f t="shared" si="263"/>
        <v>12</v>
      </c>
      <c r="E1231" s="2" t="str">
        <f>"法学院"</f>
        <v>法学院</v>
      </c>
    </row>
    <row r="1232" ht="13.5" hidden="1" spans="1:5">
      <c r="A1232" s="2" t="str">
        <f>"万域"</f>
        <v>万域</v>
      </c>
      <c r="B1232" s="2" t="str">
        <f>"B20210505116"</f>
        <v>B20210505116</v>
      </c>
      <c r="C1232" s="2" t="str">
        <f t="shared" ref="C1232:C1235" si="264">"女"</f>
        <v>女</v>
      </c>
      <c r="D1232" s="2" t="str">
        <f t="shared" si="263"/>
        <v>12</v>
      </c>
      <c r="E1232" s="2" t="str">
        <f>"材料与环境工程学院"</f>
        <v>材料与环境工程学院</v>
      </c>
    </row>
    <row r="1233" ht="13.5" hidden="1" spans="1:5">
      <c r="A1233" s="2" t="str">
        <f>"林雅琴"</f>
        <v>林雅琴</v>
      </c>
      <c r="B1233" s="2" t="str">
        <f>"B20210803108"</f>
        <v>B20210803108</v>
      </c>
      <c r="C1233" s="2" t="str">
        <f t="shared" si="264"/>
        <v>女</v>
      </c>
      <c r="D1233" s="2" t="str">
        <f t="shared" si="263"/>
        <v>12</v>
      </c>
      <c r="E1233" s="2" t="str">
        <f>"外国语学院"</f>
        <v>外国语学院</v>
      </c>
    </row>
    <row r="1234" ht="13.5" hidden="1" spans="1:5">
      <c r="A1234" s="2" t="str">
        <f>"王旭冰"</f>
        <v>王旭冰</v>
      </c>
      <c r="B1234" s="2" t="str">
        <f>"B20230502235"</f>
        <v>B20230502235</v>
      </c>
      <c r="C1234" s="2" t="str">
        <f t="shared" si="264"/>
        <v>女</v>
      </c>
      <c r="D1234" s="2" t="str">
        <f t="shared" si="263"/>
        <v>12</v>
      </c>
      <c r="E1234" s="2" t="str">
        <f>"生物与化学工程学院"</f>
        <v>生物与化学工程学院</v>
      </c>
    </row>
    <row r="1235" ht="13.5" hidden="1" spans="1:5">
      <c r="A1235" s="2" t="str">
        <f>"周彤"</f>
        <v>周彤</v>
      </c>
      <c r="B1235" s="2" t="str">
        <f>"B20230502110"</f>
        <v>B20230502110</v>
      </c>
      <c r="C1235" s="2" t="str">
        <f t="shared" si="264"/>
        <v>女</v>
      </c>
      <c r="D1235" s="2" t="str">
        <f t="shared" si="263"/>
        <v>12</v>
      </c>
      <c r="E1235" s="2" t="str">
        <f>"生物与化学工程学院"</f>
        <v>生物与化学工程学院</v>
      </c>
    </row>
    <row r="1236" ht="13.5" hidden="1" spans="1:5">
      <c r="A1236" s="2" t="str">
        <f>"张彪"</f>
        <v>张彪</v>
      </c>
      <c r="B1236" s="2" t="str">
        <f>"B20200101128"</f>
        <v>B20200101128</v>
      </c>
      <c r="C1236" s="2" t="str">
        <f t="shared" ref="C1236:C1238" si="265">"男"</f>
        <v>男</v>
      </c>
      <c r="D1236" s="2" t="str">
        <f t="shared" si="263"/>
        <v>12</v>
      </c>
      <c r="E1236" s="2" t="str">
        <f>"土木工程学院"</f>
        <v>土木工程学院</v>
      </c>
    </row>
    <row r="1237" ht="13.5" hidden="1" spans="1:5">
      <c r="A1237" s="2" t="str">
        <f>"肖扬"</f>
        <v>肖扬</v>
      </c>
      <c r="B1237" s="2" t="str">
        <f>"B20230802111"</f>
        <v>B20230802111</v>
      </c>
      <c r="C1237" s="2" t="str">
        <f t="shared" si="265"/>
        <v>男</v>
      </c>
      <c r="D1237" s="2" t="str">
        <f t="shared" si="263"/>
        <v>12</v>
      </c>
      <c r="E1237" s="2" t="str">
        <f>"外国语学院"</f>
        <v>外国语学院</v>
      </c>
    </row>
    <row r="1238" ht="13.5" hidden="1" spans="1:5">
      <c r="A1238" s="2" t="str">
        <f>"廖鹏程"</f>
        <v>廖鹏程</v>
      </c>
      <c r="B1238" s="2" t="str">
        <f>"B20220202117"</f>
        <v>B20220202117</v>
      </c>
      <c r="C1238" s="2" t="str">
        <f t="shared" si="265"/>
        <v>男</v>
      </c>
      <c r="D1238" s="2" t="str">
        <f t="shared" si="263"/>
        <v>12</v>
      </c>
      <c r="E1238" s="2" t="str">
        <f>"机电工程学院"</f>
        <v>机电工程学院</v>
      </c>
    </row>
    <row r="1239" ht="13.5" hidden="1" spans="1:5">
      <c r="A1239" s="2" t="str">
        <f>"王怡欢"</f>
        <v>王怡欢</v>
      </c>
      <c r="B1239" s="2" t="str">
        <f>"B20220404216"</f>
        <v>B20220404216</v>
      </c>
      <c r="C1239" s="2" t="str">
        <f>"女"</f>
        <v>女</v>
      </c>
      <c r="D1239" s="2" t="str">
        <f t="shared" si="263"/>
        <v>12</v>
      </c>
      <c r="E1239" s="2" t="str">
        <f>"电子信息与电气工程学院"</f>
        <v>电子信息与电气工程学院</v>
      </c>
    </row>
    <row r="1240" ht="13.5" hidden="1" spans="1:5">
      <c r="A1240" s="2" t="str">
        <f>"张琪儿"</f>
        <v>张琪儿</v>
      </c>
      <c r="B1240" s="2" t="str">
        <f>"B20210202130"</f>
        <v>B20210202130</v>
      </c>
      <c r="C1240" s="2" t="str">
        <f>"女"</f>
        <v>女</v>
      </c>
      <c r="D1240" s="2" t="str">
        <f t="shared" si="263"/>
        <v>12</v>
      </c>
      <c r="E1240" s="2" t="str">
        <f>"机电工程学院"</f>
        <v>机电工程学院</v>
      </c>
    </row>
    <row r="1241" ht="13.5" hidden="1" spans="1:5">
      <c r="A1241" s="2" t="str">
        <f>"王富田"</f>
        <v>王富田</v>
      </c>
      <c r="B1241" s="2" t="str">
        <f>"B20230405121"</f>
        <v>B20230405121</v>
      </c>
      <c r="C1241" s="2" t="str">
        <f>"男"</f>
        <v>男</v>
      </c>
      <c r="D1241" s="2" t="str">
        <f t="shared" si="263"/>
        <v>12</v>
      </c>
      <c r="E1241" s="2" t="str">
        <f>"电子信息与电气工程学院"</f>
        <v>电子信息与电气工程学院</v>
      </c>
    </row>
    <row r="1242" ht="13.5" hidden="1" spans="1:5">
      <c r="A1242" s="2" t="str">
        <f>"谢和研"</f>
        <v>谢和研</v>
      </c>
      <c r="B1242" s="2" t="str">
        <f>"B20220803222"</f>
        <v>B20220803222</v>
      </c>
      <c r="C1242" s="2" t="str">
        <f>"女"</f>
        <v>女</v>
      </c>
      <c r="D1242" s="2" t="str">
        <f t="shared" si="263"/>
        <v>12</v>
      </c>
      <c r="E1242" s="2" t="str">
        <f>"外国语学院"</f>
        <v>外国语学院</v>
      </c>
    </row>
    <row r="1243" ht="13.5" hidden="1" spans="1:5">
      <c r="A1243" s="2" t="str">
        <f>"张城燕"</f>
        <v>张城燕</v>
      </c>
      <c r="B1243" s="2" t="str">
        <f>"B20210903120"</f>
        <v>B20210903120</v>
      </c>
      <c r="C1243" s="2" t="str">
        <f>"女"</f>
        <v>女</v>
      </c>
      <c r="D1243" s="2" t="str">
        <f t="shared" si="263"/>
        <v>12</v>
      </c>
      <c r="E1243" s="2" t="str">
        <f>"经济与管理学院"</f>
        <v>经济与管理学院</v>
      </c>
    </row>
    <row r="1244" ht="13.5" hidden="1" spans="1:5">
      <c r="A1244" s="2" t="str">
        <f>"刘乐"</f>
        <v>刘乐</v>
      </c>
      <c r="B1244" s="2" t="str">
        <f>"B20230801104"</f>
        <v>B20230801104</v>
      </c>
      <c r="C1244" s="2" t="str">
        <f>"女"</f>
        <v>女</v>
      </c>
      <c r="D1244" s="2" t="str">
        <f t="shared" si="263"/>
        <v>12</v>
      </c>
      <c r="E1244" s="2" t="str">
        <f>"外国语学院"</f>
        <v>外国语学院</v>
      </c>
    </row>
    <row r="1245" ht="13.5" hidden="1" spans="1:5">
      <c r="A1245" s="2" t="str">
        <f>"罗倩雅"</f>
        <v>罗倩雅</v>
      </c>
      <c r="B1245" s="2" t="str">
        <f>"B20231301205"</f>
        <v>B20231301205</v>
      </c>
      <c r="C1245" s="2" t="str">
        <f>"女"</f>
        <v>女</v>
      </c>
      <c r="D1245" s="2" t="str">
        <f t="shared" si="263"/>
        <v>12</v>
      </c>
      <c r="E1245" s="2" t="str">
        <f>"材料与环境工程学院"</f>
        <v>材料与环境工程学院</v>
      </c>
    </row>
    <row r="1246" ht="13.5" hidden="1" spans="1:5">
      <c r="A1246" s="2" t="str">
        <f>"赵志杰"</f>
        <v>赵志杰</v>
      </c>
      <c r="B1246" s="2" t="str">
        <f>"B20230202403"</f>
        <v>B20230202403</v>
      </c>
      <c r="C1246" s="2" t="str">
        <f t="shared" ref="C1246:C1250" si="266">"男"</f>
        <v>男</v>
      </c>
      <c r="D1246" s="2" t="str">
        <f t="shared" si="263"/>
        <v>12</v>
      </c>
      <c r="E1246" s="2" t="str">
        <f>"机电工程学院"</f>
        <v>机电工程学院</v>
      </c>
    </row>
    <row r="1247" ht="13.5" hidden="1" spans="1:5">
      <c r="A1247" s="2" t="str">
        <f>"张一铭"</f>
        <v>张一铭</v>
      </c>
      <c r="B1247" s="2" t="str">
        <f>"B20230905215"</f>
        <v>B20230905215</v>
      </c>
      <c r="C1247" s="2" t="str">
        <f t="shared" ref="C1247:C1251" si="267">"女"</f>
        <v>女</v>
      </c>
      <c r="D1247" s="2" t="str">
        <f t="shared" si="263"/>
        <v>12</v>
      </c>
      <c r="E1247" s="2" t="str">
        <f>"经济与管理学院"</f>
        <v>经济与管理学院</v>
      </c>
    </row>
    <row r="1248" ht="13.5" hidden="1" spans="1:5">
      <c r="A1248" s="2" t="str">
        <f>"黎雅怡"</f>
        <v>黎雅怡</v>
      </c>
      <c r="B1248" s="2" t="str">
        <f>"B20201101124"</f>
        <v>B20201101124</v>
      </c>
      <c r="C1248" s="2" t="str">
        <f t="shared" si="267"/>
        <v>女</v>
      </c>
      <c r="D1248" s="2" t="str">
        <f t="shared" si="263"/>
        <v>12</v>
      </c>
      <c r="E1248" s="2" t="str">
        <f>"音乐学院"</f>
        <v>音乐学院</v>
      </c>
    </row>
    <row r="1249" ht="13.5" hidden="1" spans="1:5">
      <c r="A1249" s="2" t="str">
        <f>"马湖圳"</f>
        <v>马湖圳</v>
      </c>
      <c r="B1249" s="2" t="str">
        <f>"B20220101235"</f>
        <v>B20220101235</v>
      </c>
      <c r="C1249" s="2" t="str">
        <f t="shared" si="266"/>
        <v>男</v>
      </c>
      <c r="D1249" s="2" t="str">
        <f t="shared" si="263"/>
        <v>12</v>
      </c>
      <c r="E1249" s="2" t="str">
        <f>"土木工程学院"</f>
        <v>土木工程学院</v>
      </c>
    </row>
    <row r="1250" ht="13.5" hidden="1" spans="1:5">
      <c r="A1250" s="2" t="str">
        <f>"黄黎明"</f>
        <v>黄黎明</v>
      </c>
      <c r="B1250" s="2" t="str">
        <f>"B20220401223"</f>
        <v>B20220401223</v>
      </c>
      <c r="C1250" s="2" t="str">
        <f t="shared" si="266"/>
        <v>男</v>
      </c>
      <c r="D1250" s="2" t="str">
        <f t="shared" si="263"/>
        <v>12</v>
      </c>
      <c r="E1250" s="2" t="str">
        <f>"电子信息与电气工程学院"</f>
        <v>电子信息与电气工程学院</v>
      </c>
    </row>
    <row r="1251" ht="13.5" hidden="1" spans="1:5">
      <c r="A1251" s="2" t="str">
        <f>"彭需兰"</f>
        <v>彭需兰</v>
      </c>
      <c r="B1251" s="2" t="str">
        <f>"B20220102205"</f>
        <v>B20220102205</v>
      </c>
      <c r="C1251" s="2" t="str">
        <f t="shared" si="267"/>
        <v>女</v>
      </c>
      <c r="D1251" s="2" t="str">
        <f t="shared" si="263"/>
        <v>12</v>
      </c>
      <c r="E1251" s="2" t="str">
        <f>"土木工程学院"</f>
        <v>土木工程学院</v>
      </c>
    </row>
    <row r="1252" ht="13.5" hidden="1" spans="1:5">
      <c r="A1252" s="2" t="str">
        <f>"谢锃城"</f>
        <v>谢锃城</v>
      </c>
      <c r="B1252" s="2" t="str">
        <f>"B20200801213"</f>
        <v>B20200801213</v>
      </c>
      <c r="C1252" s="2" t="str">
        <f>"男"</f>
        <v>男</v>
      </c>
      <c r="D1252" s="2" t="str">
        <f t="shared" si="263"/>
        <v>12</v>
      </c>
      <c r="E1252" s="2" t="str">
        <f>"外国语学院"</f>
        <v>外国语学院</v>
      </c>
    </row>
    <row r="1253" ht="13.5" hidden="1" spans="1:5">
      <c r="A1253" s="2" t="str">
        <f>"邓志超"</f>
        <v>邓志超</v>
      </c>
      <c r="B1253" s="2" t="str">
        <f>"B20230504221"</f>
        <v>B20230504221</v>
      </c>
      <c r="C1253" s="2" t="str">
        <f>"男"</f>
        <v>男</v>
      </c>
      <c r="D1253" s="2" t="str">
        <f t="shared" si="263"/>
        <v>12</v>
      </c>
      <c r="E1253" s="2" t="str">
        <f>"生物与化学工程学院"</f>
        <v>生物与化学工程学院</v>
      </c>
    </row>
    <row r="1254" ht="13.5" hidden="1" spans="1:5">
      <c r="A1254" s="2" t="str">
        <f>"唐秋平"</f>
        <v>唐秋平</v>
      </c>
      <c r="B1254" s="2" t="str">
        <f>"B20200801212"</f>
        <v>B20200801212</v>
      </c>
      <c r="C1254" s="2" t="str">
        <f>"女"</f>
        <v>女</v>
      </c>
      <c r="D1254" s="2" t="str">
        <f t="shared" si="263"/>
        <v>12</v>
      </c>
      <c r="E1254" s="2" t="str">
        <f>"外国语学院"</f>
        <v>外国语学院</v>
      </c>
    </row>
    <row r="1255" ht="13.5" hidden="1" spans="1:5">
      <c r="A1255" s="2" t="str">
        <f>"彭婷"</f>
        <v>彭婷</v>
      </c>
      <c r="B1255" s="2" t="str">
        <f>"B20220801409"</f>
        <v>B20220801409</v>
      </c>
      <c r="C1255" s="2" t="str">
        <f>"女"</f>
        <v>女</v>
      </c>
      <c r="D1255" s="2" t="str">
        <f t="shared" si="263"/>
        <v>12</v>
      </c>
      <c r="E1255" s="2" t="str">
        <f>"外国语学院"</f>
        <v>外国语学院</v>
      </c>
    </row>
    <row r="1256" ht="13.5" hidden="1" spans="1:5">
      <c r="A1256" s="2" t="str">
        <f>"郭峰"</f>
        <v>郭峰</v>
      </c>
      <c r="B1256" s="2" t="str">
        <f>"B20200201416"</f>
        <v>B20200201416</v>
      </c>
      <c r="C1256" s="2" t="str">
        <f>"男"</f>
        <v>男</v>
      </c>
      <c r="D1256" s="2" t="str">
        <f t="shared" si="263"/>
        <v>12</v>
      </c>
      <c r="E1256" s="2" t="str">
        <f>"机电工程学院"</f>
        <v>机电工程学院</v>
      </c>
    </row>
    <row r="1257" ht="13.5" hidden="1" spans="1:5">
      <c r="A1257" s="2" t="str">
        <f>"汪淼琛"</f>
        <v>汪淼琛</v>
      </c>
      <c r="B1257" s="2" t="str">
        <f>"B20201003122"</f>
        <v>B20201003122</v>
      </c>
      <c r="C1257" s="2" t="str">
        <f>"女"</f>
        <v>女</v>
      </c>
      <c r="D1257" s="2" t="str">
        <f t="shared" si="263"/>
        <v>12</v>
      </c>
      <c r="E1257" s="2" t="str">
        <f>"艺术设计学院"</f>
        <v>艺术设计学院</v>
      </c>
    </row>
    <row r="1258" ht="13.5" hidden="1" spans="1:5">
      <c r="A1258" s="2" t="str">
        <f>"周天和"</f>
        <v>周天和</v>
      </c>
      <c r="B1258" s="2" t="str">
        <f>"B20200404131"</f>
        <v>B20200404131</v>
      </c>
      <c r="C1258" s="2" t="str">
        <f>"男"</f>
        <v>男</v>
      </c>
      <c r="D1258" s="2" t="str">
        <f t="shared" si="263"/>
        <v>12</v>
      </c>
      <c r="E1258" s="2" t="str">
        <f>"电子信息与电气工程学院"</f>
        <v>电子信息与电气工程学院</v>
      </c>
    </row>
    <row r="1259" ht="13.5" hidden="1" spans="1:5">
      <c r="A1259" s="2" t="str">
        <f>"余小惠"</f>
        <v>余小惠</v>
      </c>
      <c r="B1259" s="2" t="str">
        <f>"B20230901236"</f>
        <v>B20230901236</v>
      </c>
      <c r="C1259" s="2" t="str">
        <f t="shared" ref="C1259:C1263" si="268">"女"</f>
        <v>女</v>
      </c>
      <c r="D1259" s="2" t="str">
        <f t="shared" si="263"/>
        <v>12</v>
      </c>
      <c r="E1259" s="2" t="str">
        <f>"经济与管理学院"</f>
        <v>经济与管理学院</v>
      </c>
    </row>
    <row r="1260" ht="13.5" hidden="1" spans="1:5">
      <c r="A1260" s="2" t="str">
        <f>"马余姗"</f>
        <v>马余姗</v>
      </c>
      <c r="B1260" s="2" t="str">
        <f>"B20220701306"</f>
        <v>B20220701306</v>
      </c>
      <c r="C1260" s="2" t="str">
        <f t="shared" si="268"/>
        <v>女</v>
      </c>
      <c r="D1260" s="2" t="str">
        <f t="shared" si="263"/>
        <v>12</v>
      </c>
      <c r="E1260" s="2" t="str">
        <f>"马栏山新媒体学院"</f>
        <v>马栏山新媒体学院</v>
      </c>
    </row>
    <row r="1261" ht="13.5" hidden="1" spans="1:5">
      <c r="A1261" s="2" t="str">
        <f>"谢嘉昱"</f>
        <v>谢嘉昱</v>
      </c>
      <c r="B1261" s="2" t="str">
        <f>"B20230902117"</f>
        <v>B20230902117</v>
      </c>
      <c r="C1261" s="2" t="str">
        <f t="shared" si="268"/>
        <v>女</v>
      </c>
      <c r="D1261" s="2" t="str">
        <f t="shared" si="263"/>
        <v>12</v>
      </c>
      <c r="E1261" s="2" t="str">
        <f>"经济与管理学院"</f>
        <v>经济与管理学院</v>
      </c>
    </row>
    <row r="1262" ht="13.5" hidden="1" spans="1:5">
      <c r="A1262" s="2" t="str">
        <f>"孙颖"</f>
        <v>孙颖</v>
      </c>
      <c r="B1262" s="2" t="str">
        <f>"B20200101336"</f>
        <v>B20200101336</v>
      </c>
      <c r="C1262" s="2" t="str">
        <f t="shared" si="268"/>
        <v>女</v>
      </c>
      <c r="D1262" s="2" t="str">
        <f t="shared" si="263"/>
        <v>12</v>
      </c>
      <c r="E1262" s="2" t="str">
        <f>"土木工程学院"</f>
        <v>土木工程学院</v>
      </c>
    </row>
    <row r="1263" ht="13.5" hidden="1" spans="1:5">
      <c r="A1263" s="2" t="str">
        <f>"刘丽琼"</f>
        <v>刘丽琼</v>
      </c>
      <c r="B1263" s="2" t="str">
        <f>"B20230101604"</f>
        <v>B20230101604</v>
      </c>
      <c r="C1263" s="2" t="str">
        <f t="shared" si="268"/>
        <v>女</v>
      </c>
      <c r="D1263" s="2" t="str">
        <f t="shared" si="263"/>
        <v>12</v>
      </c>
      <c r="E1263" s="2" t="str">
        <f>"土木工程学院"</f>
        <v>土木工程学院</v>
      </c>
    </row>
    <row r="1264" ht="13.5" hidden="1" spans="1:5">
      <c r="A1264" s="2" t="str">
        <f>"毕明俊"</f>
        <v>毕明俊</v>
      </c>
      <c r="B1264" s="2" t="str">
        <f>"B20230901234"</f>
        <v>B20230901234</v>
      </c>
      <c r="C1264" s="2" t="str">
        <f>"男"</f>
        <v>男</v>
      </c>
      <c r="D1264" s="2" t="str">
        <f t="shared" si="263"/>
        <v>12</v>
      </c>
      <c r="E1264" s="2" t="str">
        <f>"经济与管理学院"</f>
        <v>经济与管理学院</v>
      </c>
    </row>
    <row r="1265" ht="13.5" hidden="1" spans="1:5">
      <c r="A1265" s="2" t="str">
        <f>"李荣荣"</f>
        <v>李荣荣</v>
      </c>
      <c r="B1265" s="2" t="str">
        <f>"B20230504134"</f>
        <v>B20230504134</v>
      </c>
      <c r="C1265" s="2" t="str">
        <f t="shared" ref="C1264:C1272" si="269">"女"</f>
        <v>女</v>
      </c>
      <c r="D1265" s="2" t="str">
        <f t="shared" si="263"/>
        <v>12</v>
      </c>
      <c r="E1265" s="2" t="str">
        <f>"生物与化学工程学院"</f>
        <v>生物与化学工程学院</v>
      </c>
    </row>
    <row r="1266" ht="13.5" hidden="1" spans="1:5">
      <c r="A1266" s="2" t="str">
        <f>"戴嘉怡"</f>
        <v>戴嘉怡</v>
      </c>
      <c r="B1266" s="2" t="str">
        <f>"B20230601318"</f>
        <v>B20230601318</v>
      </c>
      <c r="C1266" s="2" t="str">
        <f t="shared" si="269"/>
        <v>女</v>
      </c>
      <c r="D1266" s="2" t="str">
        <f t="shared" si="263"/>
        <v>12</v>
      </c>
      <c r="E1266" s="2" t="str">
        <f>"法学院"</f>
        <v>法学院</v>
      </c>
    </row>
    <row r="1267" ht="13.5" hidden="1" spans="1:5">
      <c r="A1267" s="2" t="str">
        <f>"李思锦"</f>
        <v>李思锦</v>
      </c>
      <c r="B1267" s="2" t="str">
        <f>"B20200601209"</f>
        <v>B20200601209</v>
      </c>
      <c r="C1267" s="2" t="str">
        <f t="shared" si="269"/>
        <v>女</v>
      </c>
      <c r="D1267" s="2" t="str">
        <f t="shared" si="263"/>
        <v>12</v>
      </c>
      <c r="E1267" s="2" t="str">
        <f>"法学院"</f>
        <v>法学院</v>
      </c>
    </row>
    <row r="1268" ht="13.5" hidden="1" spans="1:5">
      <c r="A1268" s="2" t="str">
        <f>"龚巧雯"</f>
        <v>龚巧雯</v>
      </c>
      <c r="B1268" s="2" t="str">
        <f>"B20200701215"</f>
        <v>B20200701215</v>
      </c>
      <c r="C1268" s="2" t="str">
        <f t="shared" si="269"/>
        <v>女</v>
      </c>
      <c r="D1268" s="2" t="str">
        <f t="shared" si="263"/>
        <v>12</v>
      </c>
      <c r="E1268" s="2" t="str">
        <f>"马栏山新媒体学院"</f>
        <v>马栏山新媒体学院</v>
      </c>
    </row>
    <row r="1269" ht="13.5" hidden="1" spans="1:5">
      <c r="A1269" s="2" t="str">
        <f>"杜佳珍"</f>
        <v>杜佳珍</v>
      </c>
      <c r="B1269" s="2" t="str">
        <f>"B20201101227"</f>
        <v>B20201101227</v>
      </c>
      <c r="C1269" s="2" t="str">
        <f t="shared" si="269"/>
        <v>女</v>
      </c>
      <c r="D1269" s="2" t="str">
        <f t="shared" si="263"/>
        <v>12</v>
      </c>
      <c r="E1269" s="2" t="str">
        <f>"音乐学院"</f>
        <v>音乐学院</v>
      </c>
    </row>
    <row r="1270" ht="13.5" hidden="1" spans="1:5">
      <c r="A1270" s="2" t="str">
        <f>"黄柽钰"</f>
        <v>黄柽钰</v>
      </c>
      <c r="B1270" s="2" t="str">
        <f>"B20221302233"</f>
        <v>B20221302233</v>
      </c>
      <c r="C1270" s="2" t="str">
        <f t="shared" si="269"/>
        <v>女</v>
      </c>
      <c r="D1270" s="2" t="str">
        <f t="shared" si="263"/>
        <v>12</v>
      </c>
      <c r="E1270" s="2" t="str">
        <f>"材料与环境工程学院"</f>
        <v>材料与环境工程学院</v>
      </c>
    </row>
    <row r="1271" ht="13.5" hidden="1" spans="1:5">
      <c r="A1271" s="2" t="str">
        <f>"程雪阳"</f>
        <v>程雪阳</v>
      </c>
      <c r="B1271" s="2" t="str">
        <f>"B20231001320"</f>
        <v>B20231001320</v>
      </c>
      <c r="C1271" s="2" t="str">
        <f t="shared" si="269"/>
        <v>女</v>
      </c>
      <c r="D1271" s="2" t="str">
        <f t="shared" si="263"/>
        <v>12</v>
      </c>
      <c r="E1271" s="2" t="str">
        <f>"艺术设计学院"</f>
        <v>艺术设计学院</v>
      </c>
    </row>
    <row r="1272" ht="13.5" hidden="1" spans="1:5">
      <c r="A1272" s="2" t="str">
        <f>"刘可欣"</f>
        <v>刘可欣</v>
      </c>
      <c r="B1272" s="2" t="str">
        <f>"B20230801315"</f>
        <v>B20230801315</v>
      </c>
      <c r="C1272" s="2" t="str">
        <f t="shared" si="269"/>
        <v>女</v>
      </c>
      <c r="D1272" s="2" t="str">
        <f t="shared" si="263"/>
        <v>12</v>
      </c>
      <c r="E1272" s="2" t="str">
        <f>"外国语学院"</f>
        <v>外国语学院</v>
      </c>
    </row>
    <row r="1273" ht="13.5" hidden="1" spans="1:5">
      <c r="A1273" s="2" t="str">
        <f>"刘舜宇"</f>
        <v>刘舜宇</v>
      </c>
      <c r="B1273" s="2" t="str">
        <f>"B20230905128"</f>
        <v>B20230905128</v>
      </c>
      <c r="C1273" s="2" t="str">
        <f t="shared" ref="C1273:C1278" si="270">"男"</f>
        <v>男</v>
      </c>
      <c r="D1273" s="2" t="str">
        <f t="shared" si="263"/>
        <v>12</v>
      </c>
      <c r="E1273" s="2" t="str">
        <f>"经济与管理学院"</f>
        <v>经济与管理学院</v>
      </c>
    </row>
    <row r="1274" ht="13.5" hidden="1" spans="1:5">
      <c r="A1274" s="2" t="str">
        <f>"田静蕾"</f>
        <v>田静蕾</v>
      </c>
      <c r="B1274" s="2" t="str">
        <f>"B20201001320"</f>
        <v>B20201001320</v>
      </c>
      <c r="C1274" s="2" t="str">
        <f t="shared" ref="C1274:C1276" si="271">"女"</f>
        <v>女</v>
      </c>
      <c r="D1274" s="2" t="str">
        <f t="shared" si="263"/>
        <v>12</v>
      </c>
      <c r="E1274" s="2" t="str">
        <f>"艺术设计学院"</f>
        <v>艺术设计学院</v>
      </c>
    </row>
    <row r="1275" ht="13.5" hidden="1" spans="1:5">
      <c r="A1275" s="2" t="str">
        <f>"马香亚"</f>
        <v>马香亚</v>
      </c>
      <c r="B1275" s="2" t="str">
        <f>"B20220902124"</f>
        <v>B20220902124</v>
      </c>
      <c r="C1275" s="2" t="str">
        <f t="shared" si="271"/>
        <v>女</v>
      </c>
      <c r="D1275" s="2" t="str">
        <f t="shared" si="263"/>
        <v>12</v>
      </c>
      <c r="E1275" s="2" t="str">
        <f>"经济与管理学院"</f>
        <v>经济与管理学院</v>
      </c>
    </row>
    <row r="1276" ht="13.5" hidden="1" spans="1:5">
      <c r="A1276" s="2" t="str">
        <f>"宁姿雅"</f>
        <v>宁姿雅</v>
      </c>
      <c r="B1276" s="2" t="str">
        <f>"B20230801208"</f>
        <v>B20230801208</v>
      </c>
      <c r="C1276" s="2" t="str">
        <f t="shared" si="271"/>
        <v>女</v>
      </c>
      <c r="D1276" s="2" t="str">
        <f t="shared" si="263"/>
        <v>12</v>
      </c>
      <c r="E1276" s="2" t="str">
        <f>"外国语学院"</f>
        <v>外国语学院</v>
      </c>
    </row>
    <row r="1277" ht="13.5" hidden="1" spans="1:5">
      <c r="A1277" s="2" t="str">
        <f>"贺子豪"</f>
        <v>贺子豪</v>
      </c>
      <c r="B1277" s="2" t="str">
        <f>"B20200101228"</f>
        <v>B20200101228</v>
      </c>
      <c r="C1277" s="2" t="str">
        <f t="shared" si="270"/>
        <v>男</v>
      </c>
      <c r="D1277" s="2" t="str">
        <f t="shared" si="263"/>
        <v>12</v>
      </c>
      <c r="E1277" s="2" t="str">
        <f>"土木工程学院"</f>
        <v>土木工程学院</v>
      </c>
    </row>
    <row r="1278" ht="13.5" hidden="1" spans="1:5">
      <c r="A1278" s="2" t="str">
        <f>"何为"</f>
        <v>何为</v>
      </c>
      <c r="B1278" s="2" t="str">
        <f>"B20200101533"</f>
        <v>B20200101533</v>
      </c>
      <c r="C1278" s="2" t="str">
        <f t="shared" si="270"/>
        <v>男</v>
      </c>
      <c r="D1278" s="2" t="str">
        <f t="shared" si="263"/>
        <v>12</v>
      </c>
      <c r="E1278" s="2" t="str">
        <f>"土木工程学院"</f>
        <v>土木工程学院</v>
      </c>
    </row>
    <row r="1279" ht="13.5" hidden="1" spans="1:5">
      <c r="A1279" s="2" t="str">
        <f>"彭映霞"</f>
        <v>彭映霞</v>
      </c>
      <c r="B1279" s="2" t="str">
        <f>"B20230401219"</f>
        <v>B20230401219</v>
      </c>
      <c r="C1279" s="2" t="str">
        <f t="shared" ref="C1279:C1283" si="272">"女"</f>
        <v>女</v>
      </c>
      <c r="D1279" s="2" t="str">
        <f t="shared" si="263"/>
        <v>12</v>
      </c>
      <c r="E1279" s="2" t="str">
        <f>"电子信息与电气工程学院"</f>
        <v>电子信息与电气工程学院</v>
      </c>
    </row>
    <row r="1280" ht="13.5" hidden="1" spans="1:5">
      <c r="A1280" s="2" t="str">
        <f>"罗彭凯"</f>
        <v>罗彭凯</v>
      </c>
      <c r="B1280" s="2" t="str">
        <f>"B20230201221"</f>
        <v>B20230201221</v>
      </c>
      <c r="C1280" s="2" t="str">
        <f>"男"</f>
        <v>男</v>
      </c>
      <c r="D1280" s="2" t="str">
        <f t="shared" si="263"/>
        <v>12</v>
      </c>
      <c r="E1280" s="2" t="str">
        <f>"机电工程学院"</f>
        <v>机电工程学院</v>
      </c>
    </row>
    <row r="1281" ht="13.5" hidden="1" spans="1:5">
      <c r="A1281" s="2" t="str">
        <f>"黄长欣"</f>
        <v>黄长欣</v>
      </c>
      <c r="B1281" s="2" t="str">
        <f>"B20220801411"</f>
        <v>B20220801411</v>
      </c>
      <c r="C1281" s="2" t="str">
        <f t="shared" si="272"/>
        <v>女</v>
      </c>
      <c r="D1281" s="2" t="str">
        <f t="shared" si="263"/>
        <v>12</v>
      </c>
      <c r="E1281" s="2" t="str">
        <f>"外国语学院"</f>
        <v>外国语学院</v>
      </c>
    </row>
    <row r="1282" ht="13.5" hidden="1" spans="1:5">
      <c r="A1282" s="2" t="str">
        <f>"张慧琳"</f>
        <v>张慧琳</v>
      </c>
      <c r="B1282" s="2" t="str">
        <f>"B20220901123"</f>
        <v>B20220901123</v>
      </c>
      <c r="C1282" s="2" t="str">
        <f t="shared" si="272"/>
        <v>女</v>
      </c>
      <c r="D1282" s="2" t="str">
        <f t="shared" si="263"/>
        <v>12</v>
      </c>
      <c r="E1282" s="2" t="str">
        <f>"经济与管理学院"</f>
        <v>经济与管理学院</v>
      </c>
    </row>
    <row r="1283" ht="13.5" hidden="1" spans="1:5">
      <c r="A1283" s="2" t="str">
        <f>"祝孟婷"</f>
        <v>祝孟婷</v>
      </c>
      <c r="B1283" s="2" t="str">
        <f>"B20221001220"</f>
        <v>B20221001220</v>
      </c>
      <c r="C1283" s="2" t="str">
        <f t="shared" si="272"/>
        <v>女</v>
      </c>
      <c r="D1283" s="2" t="str">
        <f t="shared" si="263"/>
        <v>12</v>
      </c>
      <c r="E1283" s="2" t="str">
        <f>"艺术设计学院"</f>
        <v>艺术设计学院</v>
      </c>
    </row>
    <row r="1284" ht="13.5" hidden="1" spans="1:5">
      <c r="A1284" s="2" t="str">
        <f>"周俞成"</f>
        <v>周俞成</v>
      </c>
      <c r="B1284" s="2" t="str">
        <f>"B20230101522"</f>
        <v>B20230101522</v>
      </c>
      <c r="C1284" s="2" t="str">
        <f>"男"</f>
        <v>男</v>
      </c>
      <c r="D1284" s="2" t="str">
        <f t="shared" si="263"/>
        <v>12</v>
      </c>
      <c r="E1284" s="2" t="str">
        <f>"土木工程学院"</f>
        <v>土木工程学院</v>
      </c>
    </row>
    <row r="1285" ht="13.5" hidden="1" spans="1:5">
      <c r="A1285" s="2" t="str">
        <f>"余言灼"</f>
        <v>余言灼</v>
      </c>
      <c r="B1285" s="2" t="str">
        <f>"B20230402212"</f>
        <v>B20230402212</v>
      </c>
      <c r="C1285" s="2" t="str">
        <f>"女"</f>
        <v>女</v>
      </c>
      <c r="D1285" s="2" t="str">
        <f t="shared" si="263"/>
        <v>12</v>
      </c>
      <c r="E1285" s="2" t="str">
        <f>"电子信息与电气工程学院"</f>
        <v>电子信息与电气工程学院</v>
      </c>
    </row>
    <row r="1286" ht="13.5" hidden="1" spans="1:5">
      <c r="A1286" s="2" t="str">
        <f>"邹军"</f>
        <v>邹军</v>
      </c>
      <c r="B1286" s="2" t="str">
        <f>"B20200803108"</f>
        <v>B20200803108</v>
      </c>
      <c r="C1286" s="2" t="str">
        <f>"男"</f>
        <v>男</v>
      </c>
      <c r="D1286" s="2" t="str">
        <f t="shared" si="263"/>
        <v>12</v>
      </c>
      <c r="E1286" s="2" t="str">
        <f>"外国语学院"</f>
        <v>外国语学院</v>
      </c>
    </row>
    <row r="1287" ht="13.5" hidden="1" spans="1:5">
      <c r="A1287" s="2" t="str">
        <f>"陈涛"</f>
        <v>陈涛</v>
      </c>
      <c r="B1287" s="2" t="str">
        <f>"B20230504324"</f>
        <v>B20230504324</v>
      </c>
      <c r="C1287" s="2" t="str">
        <f>"男"</f>
        <v>男</v>
      </c>
      <c r="D1287" s="2" t="str">
        <f t="shared" si="263"/>
        <v>12</v>
      </c>
      <c r="E1287" s="2" t="str">
        <f>"生物与化学工程学院"</f>
        <v>生物与化学工程学院</v>
      </c>
    </row>
    <row r="1288" ht="13.5" hidden="1" spans="1:5">
      <c r="A1288" s="2" t="str">
        <f>"赵肖婷"</f>
        <v>赵肖婷</v>
      </c>
      <c r="B1288" s="2" t="str">
        <f>"B20201002204"</f>
        <v>B20201002204</v>
      </c>
      <c r="C1288" s="2" t="str">
        <f>"女"</f>
        <v>女</v>
      </c>
      <c r="D1288" s="2" t="str">
        <f t="shared" si="263"/>
        <v>12</v>
      </c>
      <c r="E1288" s="2" t="str">
        <f>"艺术设计学院"</f>
        <v>艺术设计学院</v>
      </c>
    </row>
    <row r="1289" ht="13.5" hidden="1" spans="1:5">
      <c r="A1289" s="2" t="str">
        <f>"徐浩洋"</f>
        <v>徐浩洋</v>
      </c>
      <c r="B1289" s="2" t="str">
        <f>"B20230403327"</f>
        <v>B20230403327</v>
      </c>
      <c r="C1289" s="2" t="str">
        <f>"男"</f>
        <v>男</v>
      </c>
      <c r="D1289" s="2" t="str">
        <f t="shared" si="263"/>
        <v>12</v>
      </c>
      <c r="E1289" s="2" t="str">
        <f>"电子信息与电气工程学院"</f>
        <v>电子信息与电气工程学院</v>
      </c>
    </row>
    <row r="1290" ht="13.5" hidden="1" spans="1:5">
      <c r="A1290" s="2" t="str">
        <f>"杨胜安"</f>
        <v>杨胜安</v>
      </c>
      <c r="B1290" s="2" t="str">
        <f>"B20200904230"</f>
        <v>B20200904230</v>
      </c>
      <c r="C1290" s="2" t="str">
        <f>"男"</f>
        <v>男</v>
      </c>
      <c r="D1290" s="2" t="str">
        <f t="shared" ref="D1290:D1316" si="273">"12"</f>
        <v>12</v>
      </c>
      <c r="E1290" s="2" t="str">
        <f>"经济与管理学院"</f>
        <v>经济与管理学院</v>
      </c>
    </row>
    <row r="1291" ht="13.5" hidden="1" spans="1:5">
      <c r="A1291" s="2" t="str">
        <f>"李锟"</f>
        <v>李锟</v>
      </c>
      <c r="B1291" s="2" t="str">
        <f>"B20200204131"</f>
        <v>B20200204131</v>
      </c>
      <c r="C1291" s="2" t="str">
        <f>"男"</f>
        <v>男</v>
      </c>
      <c r="D1291" s="2" t="str">
        <f t="shared" si="273"/>
        <v>12</v>
      </c>
      <c r="E1291" s="2" t="str">
        <f>"机电工程学院"</f>
        <v>机电工程学院</v>
      </c>
    </row>
    <row r="1292" ht="13.5" hidden="1" spans="1:5">
      <c r="A1292" s="2" t="str">
        <f>"曹瑞"</f>
        <v>曹瑞</v>
      </c>
      <c r="B1292" s="2" t="str">
        <f>"B20211004125"</f>
        <v>B20211004125</v>
      </c>
      <c r="C1292" s="2" t="str">
        <f t="shared" ref="C1292:C1294" si="274">"女"</f>
        <v>女</v>
      </c>
      <c r="D1292" s="2" t="str">
        <f t="shared" si="273"/>
        <v>12</v>
      </c>
      <c r="E1292" s="2" t="str">
        <f>"艺术设计学院"</f>
        <v>艺术设计学院</v>
      </c>
    </row>
    <row r="1293" ht="13.5" hidden="1" spans="1:5">
      <c r="A1293" s="2" t="str">
        <f>"赵珊"</f>
        <v>赵珊</v>
      </c>
      <c r="B1293" s="2" t="str">
        <f>"B20210601124"</f>
        <v>B20210601124</v>
      </c>
      <c r="C1293" s="2" t="str">
        <f t="shared" si="274"/>
        <v>女</v>
      </c>
      <c r="D1293" s="2" t="str">
        <f t="shared" si="273"/>
        <v>12</v>
      </c>
      <c r="E1293" s="2" t="str">
        <f>"法学院"</f>
        <v>法学院</v>
      </c>
    </row>
    <row r="1294" ht="13.5" hidden="1" spans="1:5">
      <c r="A1294" s="2" t="str">
        <f>"薄淑仪"</f>
        <v>薄淑仪</v>
      </c>
      <c r="B1294" s="2" t="str">
        <f>"B20231001412"</f>
        <v>B20231001412</v>
      </c>
      <c r="C1294" s="2" t="str">
        <f t="shared" si="274"/>
        <v>女</v>
      </c>
      <c r="D1294" s="2" t="str">
        <f t="shared" si="273"/>
        <v>12</v>
      </c>
      <c r="E1294" s="2" t="str">
        <f>"艺术设计学院"</f>
        <v>艺术设计学院</v>
      </c>
    </row>
    <row r="1295" ht="13.5" hidden="1" spans="1:5">
      <c r="A1295" s="2" t="str">
        <f>"黄子涵"</f>
        <v>黄子涵</v>
      </c>
      <c r="B1295" s="2" t="str">
        <f>"B20230504404"</f>
        <v>B20230504404</v>
      </c>
      <c r="C1295" s="2" t="str">
        <f t="shared" ref="C1295:C1299" si="275">"男"</f>
        <v>男</v>
      </c>
      <c r="D1295" s="2" t="str">
        <f t="shared" si="273"/>
        <v>12</v>
      </c>
      <c r="E1295" s="2" t="str">
        <f>"生物与化学工程学院"</f>
        <v>生物与化学工程学院</v>
      </c>
    </row>
    <row r="1296" ht="13.5" hidden="1" spans="1:5">
      <c r="A1296" s="2" t="str">
        <f>"曹芷菁"</f>
        <v>曹芷菁</v>
      </c>
      <c r="B1296" s="2" t="str">
        <f>"B20230704416"</f>
        <v>B20230704416</v>
      </c>
      <c r="C1296" s="2" t="str">
        <f t="shared" ref="C1296:C1304" si="276">"女"</f>
        <v>女</v>
      </c>
      <c r="D1296" s="2" t="str">
        <f t="shared" si="273"/>
        <v>12</v>
      </c>
      <c r="E1296" s="2" t="str">
        <f>"马栏山新媒体学院"</f>
        <v>马栏山新媒体学院</v>
      </c>
    </row>
    <row r="1297" ht="13.5" hidden="1" spans="1:5">
      <c r="A1297" s="2" t="str">
        <f>"李宇轩"</f>
        <v>李宇轩</v>
      </c>
      <c r="B1297" s="2" t="str">
        <f>"B20230104226"</f>
        <v>B20230104226</v>
      </c>
      <c r="C1297" s="2" t="str">
        <f t="shared" si="275"/>
        <v>男</v>
      </c>
      <c r="D1297" s="2" t="str">
        <f t="shared" si="273"/>
        <v>12</v>
      </c>
      <c r="E1297" s="2" t="str">
        <f>"土木工程学院"</f>
        <v>土木工程学院</v>
      </c>
    </row>
    <row r="1298" ht="13.5" hidden="1" spans="1:5">
      <c r="A1298" s="2" t="str">
        <f>"赵雄"</f>
        <v>赵雄</v>
      </c>
      <c r="B1298" s="2" t="str">
        <f>"B20230101619"</f>
        <v>B20230101619</v>
      </c>
      <c r="C1298" s="2" t="str">
        <f t="shared" si="275"/>
        <v>男</v>
      </c>
      <c r="D1298" s="2" t="str">
        <f t="shared" si="273"/>
        <v>12</v>
      </c>
      <c r="E1298" s="2" t="str">
        <f>"土木工程学院"</f>
        <v>土木工程学院</v>
      </c>
    </row>
    <row r="1299" ht="13.5" hidden="1" spans="1:5">
      <c r="A1299" s="2" t="str">
        <f>"李玉清"</f>
        <v>李玉清</v>
      </c>
      <c r="B1299" s="2" t="str">
        <f>"B20221301205"</f>
        <v>B20221301205</v>
      </c>
      <c r="C1299" s="2" t="str">
        <f t="shared" si="275"/>
        <v>男</v>
      </c>
      <c r="D1299" s="2" t="str">
        <f t="shared" si="273"/>
        <v>12</v>
      </c>
      <c r="E1299" s="2" t="str">
        <f>"材料与环境工程学院"</f>
        <v>材料与环境工程学院</v>
      </c>
    </row>
    <row r="1300" ht="13.5" hidden="1" spans="1:5">
      <c r="A1300" s="2" t="str">
        <f>"肖珂敏"</f>
        <v>肖珂敏</v>
      </c>
      <c r="B1300" s="2" t="str">
        <f>"B20200801216"</f>
        <v>B20200801216</v>
      </c>
      <c r="C1300" s="2" t="str">
        <f t="shared" si="276"/>
        <v>女</v>
      </c>
      <c r="D1300" s="2" t="str">
        <f t="shared" si="273"/>
        <v>12</v>
      </c>
      <c r="E1300" s="2" t="str">
        <f>"外国语学院"</f>
        <v>外国语学院</v>
      </c>
    </row>
    <row r="1301" ht="13.5" hidden="1" spans="1:5">
      <c r="A1301" s="2" t="str">
        <f>"张晴"</f>
        <v>张晴</v>
      </c>
      <c r="B1301" s="2" t="str">
        <f>"B20200702130"</f>
        <v>B20200702130</v>
      </c>
      <c r="C1301" s="2" t="str">
        <f t="shared" si="276"/>
        <v>女</v>
      </c>
      <c r="D1301" s="2" t="str">
        <f t="shared" si="273"/>
        <v>12</v>
      </c>
      <c r="E1301" s="2" t="str">
        <f t="shared" ref="E1301:E1306" si="277">"马栏山新媒体学院"</f>
        <v>马栏山新媒体学院</v>
      </c>
    </row>
    <row r="1302" ht="13.5" hidden="1" spans="1:5">
      <c r="A1302" s="2" t="str">
        <f>"肖玉婷"</f>
        <v>肖玉婷</v>
      </c>
      <c r="B1302" s="2" t="str">
        <f>"B20231302112"</f>
        <v>B20231302112</v>
      </c>
      <c r="C1302" s="2" t="str">
        <f t="shared" si="276"/>
        <v>女</v>
      </c>
      <c r="D1302" s="2" t="str">
        <f t="shared" si="273"/>
        <v>12</v>
      </c>
      <c r="E1302" s="2" t="str">
        <f>"材料与环境工程学院"</f>
        <v>材料与环境工程学院</v>
      </c>
    </row>
    <row r="1303" ht="13.5" hidden="1" spans="1:5">
      <c r="A1303" s="2" t="str">
        <f>"邵云一"</f>
        <v>邵云一</v>
      </c>
      <c r="B1303" s="2" t="str">
        <f>"B20210501119"</f>
        <v>B20210501119</v>
      </c>
      <c r="C1303" s="2" t="str">
        <f t="shared" si="276"/>
        <v>女</v>
      </c>
      <c r="D1303" s="2" t="str">
        <f t="shared" si="273"/>
        <v>12</v>
      </c>
      <c r="E1303" s="2" t="str">
        <f>"生物与化学工程学院"</f>
        <v>生物与化学工程学院</v>
      </c>
    </row>
    <row r="1304" ht="13.5" hidden="1" spans="1:5">
      <c r="A1304" s="2" t="str">
        <f>"滕凤英"</f>
        <v>滕凤英</v>
      </c>
      <c r="B1304" s="2" t="str">
        <f>"B20220702309"</f>
        <v>B20220702309</v>
      </c>
      <c r="C1304" s="2" t="str">
        <f t="shared" si="276"/>
        <v>女</v>
      </c>
      <c r="D1304" s="2" t="str">
        <f t="shared" si="273"/>
        <v>12</v>
      </c>
      <c r="E1304" s="2" t="str">
        <f t="shared" si="277"/>
        <v>马栏山新媒体学院</v>
      </c>
    </row>
    <row r="1305" ht="13.5" hidden="1" spans="1:5">
      <c r="A1305" s="2" t="str">
        <f>"张鹏涛"</f>
        <v>张鹏涛</v>
      </c>
      <c r="B1305" s="2" t="str">
        <f>"B20220701405"</f>
        <v>B20220701405</v>
      </c>
      <c r="C1305" s="2" t="str">
        <f t="shared" ref="C1305:C1308" si="278">"男"</f>
        <v>男</v>
      </c>
      <c r="D1305" s="2" t="str">
        <f t="shared" si="273"/>
        <v>12</v>
      </c>
      <c r="E1305" s="2" t="str">
        <f t="shared" si="277"/>
        <v>马栏山新媒体学院</v>
      </c>
    </row>
    <row r="1306" ht="13.5" hidden="1" spans="1:5">
      <c r="A1306" s="2" t="str">
        <f>"黄盛茂"</f>
        <v>黄盛茂</v>
      </c>
      <c r="B1306" s="2" t="str">
        <f>"B20200701229"</f>
        <v>B20200701229</v>
      </c>
      <c r="C1306" s="2" t="str">
        <f t="shared" si="278"/>
        <v>男</v>
      </c>
      <c r="D1306" s="2" t="str">
        <f t="shared" si="273"/>
        <v>12</v>
      </c>
      <c r="E1306" s="2" t="str">
        <f t="shared" si="277"/>
        <v>马栏山新媒体学院</v>
      </c>
    </row>
    <row r="1307" ht="13.5" hidden="1" spans="1:5">
      <c r="A1307" s="2" t="str">
        <f>"石晟荣"</f>
        <v>石晟荣</v>
      </c>
      <c r="B1307" s="2" t="str">
        <f>"B20200103208"</f>
        <v>B20200103208</v>
      </c>
      <c r="C1307" s="2" t="str">
        <f t="shared" si="278"/>
        <v>男</v>
      </c>
      <c r="D1307" s="2" t="str">
        <f t="shared" si="273"/>
        <v>12</v>
      </c>
      <c r="E1307" s="2" t="str">
        <f>"土木工程学院"</f>
        <v>土木工程学院</v>
      </c>
    </row>
    <row r="1308" ht="13.5" hidden="1" spans="1:5">
      <c r="A1308" s="2" t="str">
        <f>"段子彦"</f>
        <v>段子彦</v>
      </c>
      <c r="B1308" s="2" t="str">
        <f>"B20210401304"</f>
        <v>B20210401304</v>
      </c>
      <c r="C1308" s="2" t="str">
        <f t="shared" si="278"/>
        <v>男</v>
      </c>
      <c r="D1308" s="2" t="str">
        <f t="shared" si="273"/>
        <v>12</v>
      </c>
      <c r="E1308" s="2" t="str">
        <f t="shared" ref="E1308:E1312" si="279">"电子信息与电气工程学院"</f>
        <v>电子信息与电气工程学院</v>
      </c>
    </row>
    <row r="1309" ht="13.5" hidden="1" spans="1:5">
      <c r="A1309" s="2" t="str">
        <f>"李湘湘"</f>
        <v>李湘湘</v>
      </c>
      <c r="B1309" s="2" t="str">
        <f>"B20220702202"</f>
        <v>B20220702202</v>
      </c>
      <c r="C1309" s="2" t="str">
        <f t="shared" ref="C1309:C1319" si="280">"女"</f>
        <v>女</v>
      </c>
      <c r="D1309" s="2" t="str">
        <f t="shared" si="273"/>
        <v>12</v>
      </c>
      <c r="E1309" s="2" t="str">
        <f>"马栏山新媒体学院"</f>
        <v>马栏山新媒体学院</v>
      </c>
    </row>
    <row r="1310" ht="13.5" hidden="1" spans="1:5">
      <c r="A1310" s="2" t="str">
        <f>"谢子菲"</f>
        <v>谢子菲</v>
      </c>
      <c r="B1310" s="2" t="str">
        <f>"B20210902215"</f>
        <v>B20210902215</v>
      </c>
      <c r="C1310" s="2" t="str">
        <f t="shared" si="280"/>
        <v>女</v>
      </c>
      <c r="D1310" s="2" t="str">
        <f t="shared" si="273"/>
        <v>12</v>
      </c>
      <c r="E1310" s="2" t="str">
        <f>"经济与管理学院"</f>
        <v>经济与管理学院</v>
      </c>
    </row>
    <row r="1311" ht="13.5" hidden="1" spans="1:5">
      <c r="A1311" s="2" t="str">
        <f>"吴毓威"</f>
        <v>吴毓威</v>
      </c>
      <c r="B1311" s="2" t="str">
        <f>"B20200401127"</f>
        <v>B20200401127</v>
      </c>
      <c r="C1311" s="2" t="str">
        <f>"男"</f>
        <v>男</v>
      </c>
      <c r="D1311" s="2" t="str">
        <f t="shared" si="273"/>
        <v>12</v>
      </c>
      <c r="E1311" s="2" t="str">
        <f t="shared" si="279"/>
        <v>电子信息与电气工程学院</v>
      </c>
    </row>
    <row r="1312" ht="13.5" hidden="1" spans="1:5">
      <c r="A1312" s="2" t="str">
        <f>"陈俊羽"</f>
        <v>陈俊羽</v>
      </c>
      <c r="B1312" s="2" t="str">
        <f>"B20220402130"</f>
        <v>B20220402130</v>
      </c>
      <c r="C1312" s="2" t="str">
        <f>"男"</f>
        <v>男</v>
      </c>
      <c r="D1312" s="2" t="str">
        <f t="shared" si="273"/>
        <v>12</v>
      </c>
      <c r="E1312" s="2" t="str">
        <f t="shared" si="279"/>
        <v>电子信息与电气工程学院</v>
      </c>
    </row>
    <row r="1313" ht="13.5" hidden="1" spans="1:5">
      <c r="A1313" s="2" t="str">
        <f>"唐宇晴"</f>
        <v>唐宇晴</v>
      </c>
      <c r="B1313" s="2" t="str">
        <f>"B20230801222"</f>
        <v>B20230801222</v>
      </c>
      <c r="C1313" s="2" t="str">
        <f t="shared" si="280"/>
        <v>女</v>
      </c>
      <c r="D1313" s="2" t="str">
        <f t="shared" si="273"/>
        <v>12</v>
      </c>
      <c r="E1313" s="2" t="str">
        <f>"外国语学院"</f>
        <v>外国语学院</v>
      </c>
    </row>
    <row r="1314" ht="13.5" hidden="1" spans="1:5">
      <c r="A1314" s="2" t="str">
        <f>"刘婧"</f>
        <v>刘婧</v>
      </c>
      <c r="B1314" s="2" t="str">
        <f>"B20230701227"</f>
        <v>B20230701227</v>
      </c>
      <c r="C1314" s="2" t="str">
        <f t="shared" si="280"/>
        <v>女</v>
      </c>
      <c r="D1314" s="2" t="str">
        <f t="shared" si="273"/>
        <v>12</v>
      </c>
      <c r="E1314" s="2" t="str">
        <f>"马栏山新媒体学院"</f>
        <v>马栏山新媒体学院</v>
      </c>
    </row>
    <row r="1315" ht="13.5" hidden="1" spans="1:5">
      <c r="A1315" s="2" t="str">
        <f>"刘霜婷"</f>
        <v>刘霜婷</v>
      </c>
      <c r="B1315" s="2" t="str">
        <f>"B20230901101"</f>
        <v>B20230901101</v>
      </c>
      <c r="C1315" s="2" t="str">
        <f t="shared" si="280"/>
        <v>女</v>
      </c>
      <c r="D1315" s="2" t="str">
        <f t="shared" si="273"/>
        <v>12</v>
      </c>
      <c r="E1315" s="2" t="str">
        <f>"经济与管理学院"</f>
        <v>经济与管理学院</v>
      </c>
    </row>
    <row r="1316" ht="13.5" hidden="1" spans="1:5">
      <c r="A1316" s="2" t="str">
        <f>"张泽怡"</f>
        <v>张泽怡</v>
      </c>
      <c r="B1316" s="2" t="str">
        <f>"B20220701314"</f>
        <v>B20220701314</v>
      </c>
      <c r="C1316" s="2" t="str">
        <f t="shared" si="280"/>
        <v>女</v>
      </c>
      <c r="D1316" s="2" t="str">
        <f t="shared" si="273"/>
        <v>12</v>
      </c>
      <c r="E1316" s="2" t="str">
        <f>"马栏山新媒体学院"</f>
        <v>马栏山新媒体学院</v>
      </c>
    </row>
    <row r="1317" ht="13.5" hidden="1" spans="1:5">
      <c r="A1317" s="2" t="str">
        <f>"宋丽"</f>
        <v>宋丽</v>
      </c>
      <c r="B1317" s="2" t="str">
        <f>"B20210705120"</f>
        <v>B20210705120</v>
      </c>
      <c r="C1317" s="2" t="str">
        <f t="shared" si="280"/>
        <v>女</v>
      </c>
      <c r="D1317" s="2" t="str">
        <f t="shared" ref="D1317:D1322" si="281">"12"</f>
        <v>12</v>
      </c>
      <c r="E1317" s="2" t="str">
        <f>"马栏山新媒体学院"</f>
        <v>马栏山新媒体学院</v>
      </c>
    </row>
    <row r="1318" ht="13.5" hidden="1" spans="1:5">
      <c r="A1318" s="2" t="str">
        <f>"张伊凡"</f>
        <v>张伊凡</v>
      </c>
      <c r="B1318" s="2" t="str">
        <f>"B20230701314"</f>
        <v>B20230701314</v>
      </c>
      <c r="C1318" s="2" t="str">
        <f t="shared" si="280"/>
        <v>女</v>
      </c>
      <c r="D1318" s="2" t="str">
        <f t="shared" si="281"/>
        <v>12</v>
      </c>
      <c r="E1318" s="2" t="str">
        <f>"马栏山新媒体学院"</f>
        <v>马栏山新媒体学院</v>
      </c>
    </row>
    <row r="1319" ht="13.5" hidden="1" spans="1:5">
      <c r="A1319" s="2" t="str">
        <f>"张胜兰"</f>
        <v>张胜兰</v>
      </c>
      <c r="B1319" s="2" t="str">
        <f>"B20220801507"</f>
        <v>B20220801507</v>
      </c>
      <c r="C1319" s="2" t="str">
        <f t="shared" si="280"/>
        <v>女</v>
      </c>
      <c r="D1319" s="2" t="str">
        <f t="shared" si="281"/>
        <v>12</v>
      </c>
      <c r="E1319" s="2" t="str">
        <f>"外国语学院"</f>
        <v>外国语学院</v>
      </c>
    </row>
    <row r="1320" ht="13.5" hidden="1" spans="1:5">
      <c r="A1320" s="2" t="str">
        <f>"李智"</f>
        <v>李智</v>
      </c>
      <c r="B1320" s="2" t="str">
        <f>"B20230701329"</f>
        <v>B20230701329</v>
      </c>
      <c r="C1320" s="2" t="str">
        <f t="shared" ref="C1320:C1324" si="282">"男"</f>
        <v>男</v>
      </c>
      <c r="D1320" s="2" t="str">
        <f t="shared" si="281"/>
        <v>12</v>
      </c>
      <c r="E1320" s="2" t="str">
        <f>"马栏山新媒体学院"</f>
        <v>马栏山新媒体学院</v>
      </c>
    </row>
    <row r="1321" ht="13.5" hidden="1" spans="1:5">
      <c r="A1321" s="2" t="str">
        <f>"马慧霞"</f>
        <v>马慧霞</v>
      </c>
      <c r="B1321" s="2" t="str">
        <f>"B20220905226"</f>
        <v>B20220905226</v>
      </c>
      <c r="C1321" s="2" t="str">
        <f t="shared" ref="C1321:C1326" si="283">"女"</f>
        <v>女</v>
      </c>
      <c r="D1321" s="2" t="str">
        <f t="shared" si="281"/>
        <v>12</v>
      </c>
      <c r="E1321" s="2" t="str">
        <f>"经济与管理学院"</f>
        <v>经济与管理学院</v>
      </c>
    </row>
    <row r="1322" ht="13.5" hidden="1" spans="1:5">
      <c r="A1322" s="2" t="str">
        <f>"谭海荣"</f>
        <v>谭海荣</v>
      </c>
      <c r="B1322" s="2" t="str">
        <f>"B20200404102"</f>
        <v>B20200404102</v>
      </c>
      <c r="C1322" s="2" t="str">
        <f t="shared" si="282"/>
        <v>男</v>
      </c>
      <c r="D1322" s="2" t="str">
        <f t="shared" si="281"/>
        <v>12</v>
      </c>
      <c r="E1322" s="2" t="str">
        <f>"电子信息与电气工程学院"</f>
        <v>电子信息与电气工程学院</v>
      </c>
    </row>
    <row r="1323" ht="13.5" hidden="1" spans="1:5">
      <c r="A1323" s="2" t="str">
        <f>"邓艺康"</f>
        <v>邓艺康</v>
      </c>
      <c r="B1323" s="2" t="str">
        <f>"B20200403230"</f>
        <v>B20200403230</v>
      </c>
      <c r="C1323" s="2" t="str">
        <f t="shared" si="282"/>
        <v>男</v>
      </c>
      <c r="D1323" s="2" t="str">
        <f t="shared" ref="D1323:D1357" si="284">"11"</f>
        <v>11</v>
      </c>
      <c r="E1323" s="2" t="str">
        <f>"电子信息与电气工程学院"</f>
        <v>电子信息与电气工程学院</v>
      </c>
    </row>
    <row r="1324" ht="13.5" hidden="1" spans="1:5">
      <c r="A1324" s="2" t="str">
        <f>"赵兵"</f>
        <v>赵兵</v>
      </c>
      <c r="B1324" s="2" t="str">
        <f>"B20231003214"</f>
        <v>B20231003214</v>
      </c>
      <c r="C1324" s="2" t="str">
        <f t="shared" si="282"/>
        <v>男</v>
      </c>
      <c r="D1324" s="2" t="str">
        <f t="shared" si="284"/>
        <v>11</v>
      </c>
      <c r="E1324" s="2" t="str">
        <f>"艺术设计学院"</f>
        <v>艺术设计学院</v>
      </c>
    </row>
    <row r="1325" ht="13.5" hidden="1" spans="1:5">
      <c r="A1325" s="2" t="str">
        <f>"满续缘"</f>
        <v>满续缘</v>
      </c>
      <c r="B1325" s="2" t="str">
        <f>"B20220702316"</f>
        <v>B20220702316</v>
      </c>
      <c r="C1325" s="2" t="str">
        <f t="shared" si="283"/>
        <v>女</v>
      </c>
      <c r="D1325" s="2" t="str">
        <f t="shared" si="284"/>
        <v>11</v>
      </c>
      <c r="E1325" s="2" t="str">
        <f>"马栏山新媒体学院"</f>
        <v>马栏山新媒体学院</v>
      </c>
    </row>
    <row r="1326" ht="13.5" hidden="1" spans="1:5">
      <c r="A1326" s="2" t="str">
        <f>"宋怡佳"</f>
        <v>宋怡佳</v>
      </c>
      <c r="B1326" s="2" t="str">
        <f>"B20230902234"</f>
        <v>B20230902234</v>
      </c>
      <c r="C1326" s="2" t="str">
        <f t="shared" si="283"/>
        <v>女</v>
      </c>
      <c r="D1326" s="2" t="str">
        <f t="shared" si="284"/>
        <v>11</v>
      </c>
      <c r="E1326" s="2" t="str">
        <f>"经济与管理学院"</f>
        <v>经济与管理学院</v>
      </c>
    </row>
    <row r="1327" ht="13.5" hidden="1" spans="1:5">
      <c r="A1327" s="2" t="str">
        <f>"宁峻男"</f>
        <v>宁峻男</v>
      </c>
      <c r="B1327" s="2" t="str">
        <f>"B20231302124"</f>
        <v>B20231302124</v>
      </c>
      <c r="C1327" s="2" t="str">
        <f>"男"</f>
        <v>男</v>
      </c>
      <c r="D1327" s="2" t="str">
        <f t="shared" si="284"/>
        <v>11</v>
      </c>
      <c r="E1327" s="2" t="str">
        <f>"材料与环境工程学院"</f>
        <v>材料与环境工程学院</v>
      </c>
    </row>
    <row r="1328" ht="13.5" hidden="1" spans="1:5">
      <c r="A1328" s="2" t="str">
        <f>"王金容"</f>
        <v>王金容</v>
      </c>
      <c r="B1328" s="2" t="str">
        <f>"B20220701305"</f>
        <v>B20220701305</v>
      </c>
      <c r="C1328" s="2" t="str">
        <f>"女"</f>
        <v>女</v>
      </c>
      <c r="D1328" s="2" t="str">
        <f t="shared" si="284"/>
        <v>11</v>
      </c>
      <c r="E1328" s="2" t="str">
        <f>"马栏山新媒体学院"</f>
        <v>马栏山新媒体学院</v>
      </c>
    </row>
    <row r="1329" ht="13.5" hidden="1" spans="1:5">
      <c r="A1329" s="2" t="str">
        <f>"余浩元泉"</f>
        <v>余浩元泉</v>
      </c>
      <c r="B1329" s="2" t="str">
        <f>"B20231101226"</f>
        <v>B20231101226</v>
      </c>
      <c r="C1329" s="2" t="str">
        <f>"女"</f>
        <v>女</v>
      </c>
      <c r="D1329" s="2" t="str">
        <f t="shared" si="284"/>
        <v>11</v>
      </c>
      <c r="E1329" s="2" t="str">
        <f>"音乐学院"</f>
        <v>音乐学院</v>
      </c>
    </row>
    <row r="1330" ht="13.5" hidden="1" spans="1:5">
      <c r="A1330" s="2" t="str">
        <f>"曾奕维"</f>
        <v>曾奕维</v>
      </c>
      <c r="B1330" s="2" t="str">
        <f>"B20220704110"</f>
        <v>B20220704110</v>
      </c>
      <c r="C1330" s="2" t="str">
        <f>"男"</f>
        <v>男</v>
      </c>
      <c r="D1330" s="2" t="str">
        <f t="shared" si="284"/>
        <v>11</v>
      </c>
      <c r="E1330" s="2" t="str">
        <f>"马栏山新媒体学院"</f>
        <v>马栏山新媒体学院</v>
      </c>
    </row>
    <row r="1331" ht="13.5" hidden="1" spans="1:5">
      <c r="A1331" s="2" t="str">
        <f>"邓卓越"</f>
        <v>邓卓越</v>
      </c>
      <c r="B1331" s="2" t="str">
        <f>"B20220201323"</f>
        <v>B20220201323</v>
      </c>
      <c r="C1331" s="2" t="str">
        <f>"男"</f>
        <v>男</v>
      </c>
      <c r="D1331" s="2" t="str">
        <f t="shared" si="284"/>
        <v>11</v>
      </c>
      <c r="E1331" s="2" t="str">
        <f>"机电工程学院"</f>
        <v>机电工程学院</v>
      </c>
    </row>
    <row r="1332" ht="13.5" hidden="1" spans="1:5">
      <c r="A1332" s="2" t="str">
        <f>"苗果"</f>
        <v>苗果</v>
      </c>
      <c r="B1332" s="2" t="str">
        <f>"B20231002214"</f>
        <v>B20231002214</v>
      </c>
      <c r="C1332" s="2" t="str">
        <f>"女"</f>
        <v>女</v>
      </c>
      <c r="D1332" s="2" t="str">
        <f t="shared" si="284"/>
        <v>11</v>
      </c>
      <c r="E1332" s="2" t="str">
        <f>"艺术设计学院"</f>
        <v>艺术设计学院</v>
      </c>
    </row>
    <row r="1333" ht="13.5" hidden="1" spans="1:5">
      <c r="A1333" s="2" t="str">
        <f>"韩龙雨"</f>
        <v>韩龙雨</v>
      </c>
      <c r="B1333" s="2" t="str">
        <f>"B20230204228"</f>
        <v>B20230204228</v>
      </c>
      <c r="C1333" s="2" t="str">
        <f>"男"</f>
        <v>男</v>
      </c>
      <c r="D1333" s="2" t="str">
        <f t="shared" si="284"/>
        <v>11</v>
      </c>
      <c r="E1333" s="2" t="str">
        <f>"机电工程学院"</f>
        <v>机电工程学院</v>
      </c>
    </row>
    <row r="1334" ht="13.5" hidden="1" spans="1:5">
      <c r="A1334" s="2" t="str">
        <f>"赵慧娟"</f>
        <v>赵慧娟</v>
      </c>
      <c r="B1334" s="2" t="str">
        <f>"B20220905103"</f>
        <v>B20220905103</v>
      </c>
      <c r="C1334" s="2" t="str">
        <f>"女"</f>
        <v>女</v>
      </c>
      <c r="D1334" s="2" t="str">
        <f t="shared" si="284"/>
        <v>11</v>
      </c>
      <c r="E1334" s="2" t="str">
        <f>"经济与管理学院"</f>
        <v>经济与管理学院</v>
      </c>
    </row>
    <row r="1335" ht="13.5" hidden="1" spans="1:5">
      <c r="A1335" s="2" t="str">
        <f>"林典"</f>
        <v>林典</v>
      </c>
      <c r="B1335" s="2" t="str">
        <f>"B20211101225"</f>
        <v>B20211101225</v>
      </c>
      <c r="C1335" s="2" t="str">
        <f>"男"</f>
        <v>男</v>
      </c>
      <c r="D1335" s="2" t="str">
        <f t="shared" si="284"/>
        <v>11</v>
      </c>
      <c r="E1335" s="2" t="str">
        <f>"音乐学院"</f>
        <v>音乐学院</v>
      </c>
    </row>
    <row r="1336" ht="13.5" hidden="1" spans="1:5">
      <c r="A1336" s="2" t="str">
        <f>"刘妍"</f>
        <v>刘妍</v>
      </c>
      <c r="B1336" s="2" t="str">
        <f>"B20230601213"</f>
        <v>B20230601213</v>
      </c>
      <c r="C1336" s="2" t="str">
        <f t="shared" ref="C1336:C1340" si="285">"女"</f>
        <v>女</v>
      </c>
      <c r="D1336" s="2" t="str">
        <f t="shared" si="284"/>
        <v>11</v>
      </c>
      <c r="E1336" s="2" t="str">
        <f>"法学院"</f>
        <v>法学院</v>
      </c>
    </row>
    <row r="1337" ht="13.5" hidden="1" spans="1:5">
      <c r="A1337" s="2" t="str">
        <f>"周弈爽"</f>
        <v>周弈爽</v>
      </c>
      <c r="B1337" s="2" t="str">
        <f>"B20230101532"</f>
        <v>B20230101532</v>
      </c>
      <c r="C1337" s="2" t="str">
        <f>"男"</f>
        <v>男</v>
      </c>
      <c r="D1337" s="2" t="str">
        <f t="shared" si="284"/>
        <v>11</v>
      </c>
      <c r="E1337" s="2" t="str">
        <f>"土木工程学院"</f>
        <v>土木工程学院</v>
      </c>
    </row>
    <row r="1338" ht="13.5" hidden="1" spans="1:5">
      <c r="A1338" s="2" t="str">
        <f>"雷媛"</f>
        <v>雷媛</v>
      </c>
      <c r="B1338" s="2" t="str">
        <f>"B20220902121"</f>
        <v>B20220902121</v>
      </c>
      <c r="C1338" s="2" t="str">
        <f t="shared" si="285"/>
        <v>女</v>
      </c>
      <c r="D1338" s="2" t="str">
        <f t="shared" si="284"/>
        <v>11</v>
      </c>
      <c r="E1338" s="2" t="str">
        <f>"经济与管理学院"</f>
        <v>经济与管理学院</v>
      </c>
    </row>
    <row r="1339" ht="13.5" hidden="1" spans="1:5">
      <c r="A1339" s="2" t="str">
        <f>"周思宇"</f>
        <v>周思宇</v>
      </c>
      <c r="B1339" s="2" t="str">
        <f>"B20220402320"</f>
        <v>B20220402320</v>
      </c>
      <c r="C1339" s="2" t="str">
        <f t="shared" si="285"/>
        <v>女</v>
      </c>
      <c r="D1339" s="2" t="str">
        <f t="shared" si="284"/>
        <v>11</v>
      </c>
      <c r="E1339" s="2" t="str">
        <f>"电子信息与电气工程学院"</f>
        <v>电子信息与电气工程学院</v>
      </c>
    </row>
    <row r="1340" ht="13.5" hidden="1" spans="1:5">
      <c r="A1340" s="2" t="str">
        <f>"曾思思"</f>
        <v>曾思思</v>
      </c>
      <c r="B1340" s="2" t="str">
        <f>"B20230801404"</f>
        <v>B20230801404</v>
      </c>
      <c r="C1340" s="2" t="str">
        <f t="shared" si="285"/>
        <v>女</v>
      </c>
      <c r="D1340" s="2" t="str">
        <f t="shared" si="284"/>
        <v>11</v>
      </c>
      <c r="E1340" s="2" t="str">
        <f>"外国语学院"</f>
        <v>外国语学院</v>
      </c>
    </row>
    <row r="1341" ht="13.5" hidden="1" spans="1:5">
      <c r="A1341" s="2" t="str">
        <f>"舒亚东"</f>
        <v>舒亚东</v>
      </c>
      <c r="B1341" s="2" t="str">
        <f>"B20230802232"</f>
        <v>B20230802232</v>
      </c>
      <c r="C1341" s="2" t="str">
        <f>"男"</f>
        <v>男</v>
      </c>
      <c r="D1341" s="2" t="str">
        <f t="shared" si="284"/>
        <v>11</v>
      </c>
      <c r="E1341" s="2" t="str">
        <f>"外国语学院"</f>
        <v>外国语学院</v>
      </c>
    </row>
    <row r="1342" ht="13.5" hidden="1" spans="1:5">
      <c r="A1342" s="2" t="str">
        <f>"廖静"</f>
        <v>廖静</v>
      </c>
      <c r="B1342" s="2" t="str">
        <f>"B20210402210"</f>
        <v>B20210402210</v>
      </c>
      <c r="C1342" s="2" t="str">
        <f>"男"</f>
        <v>男</v>
      </c>
      <c r="D1342" s="2" t="str">
        <f t="shared" si="284"/>
        <v>11</v>
      </c>
      <c r="E1342" s="2" t="str">
        <f>"电子信息与电气工程学院"</f>
        <v>电子信息与电气工程学院</v>
      </c>
    </row>
    <row r="1343" ht="13.5" hidden="1" spans="1:5">
      <c r="A1343" s="2" t="str">
        <f>"尚博"</f>
        <v>尚博</v>
      </c>
      <c r="B1343" s="2" t="str">
        <f>"B20231301134"</f>
        <v>B20231301134</v>
      </c>
      <c r="C1343" s="2" t="str">
        <f>"男"</f>
        <v>男</v>
      </c>
      <c r="D1343" s="2" t="str">
        <f t="shared" si="284"/>
        <v>11</v>
      </c>
      <c r="E1343" s="2" t="str">
        <f>"材料与环境工程学院"</f>
        <v>材料与环境工程学院</v>
      </c>
    </row>
    <row r="1344" ht="13.5" hidden="1" spans="1:5">
      <c r="A1344" s="2" t="str">
        <f>"秦川琳"</f>
        <v>秦川琳</v>
      </c>
      <c r="B1344" s="2" t="str">
        <f>"B20220704425"</f>
        <v>B20220704425</v>
      </c>
      <c r="C1344" s="2" t="str">
        <f t="shared" ref="C1344:C1347" si="286">"女"</f>
        <v>女</v>
      </c>
      <c r="D1344" s="2" t="str">
        <f t="shared" si="284"/>
        <v>11</v>
      </c>
      <c r="E1344" s="2" t="str">
        <f>"马栏山新媒体学院"</f>
        <v>马栏山新媒体学院</v>
      </c>
    </row>
    <row r="1345" ht="13.5" hidden="1" spans="1:5">
      <c r="A1345" s="2" t="str">
        <f>"李曦权"</f>
        <v>李曦权</v>
      </c>
      <c r="B1345" s="2" t="str">
        <f>"B20220103111"</f>
        <v>B20220103111</v>
      </c>
      <c r="C1345" s="2" t="str">
        <f t="shared" ref="C1345:C1349" si="287">"男"</f>
        <v>男</v>
      </c>
      <c r="D1345" s="2" t="str">
        <f t="shared" si="284"/>
        <v>11</v>
      </c>
      <c r="E1345" s="2" t="str">
        <f>"土木工程学院"</f>
        <v>土木工程学院</v>
      </c>
    </row>
    <row r="1346" ht="13.5" hidden="1" spans="1:5">
      <c r="A1346" s="2" t="str">
        <f>"周诗怡"</f>
        <v>周诗怡</v>
      </c>
      <c r="B1346" s="2" t="str">
        <f>"B20211002324"</f>
        <v>B20211002324</v>
      </c>
      <c r="C1346" s="2" t="str">
        <f t="shared" si="286"/>
        <v>女</v>
      </c>
      <c r="D1346" s="2" t="str">
        <f t="shared" si="284"/>
        <v>11</v>
      </c>
      <c r="E1346" s="2" t="str">
        <f>"艺术设计学院"</f>
        <v>艺术设计学院</v>
      </c>
    </row>
    <row r="1347" ht="13.5" hidden="1" spans="1:5">
      <c r="A1347" s="2" t="str">
        <f>"王余亿"</f>
        <v>王余亿</v>
      </c>
      <c r="B1347" s="2" t="str">
        <f>"B20230901103"</f>
        <v>B20230901103</v>
      </c>
      <c r="C1347" s="2" t="str">
        <f t="shared" si="286"/>
        <v>女</v>
      </c>
      <c r="D1347" s="2" t="str">
        <f t="shared" si="284"/>
        <v>11</v>
      </c>
      <c r="E1347" s="2" t="str">
        <f>"经济与管理学院"</f>
        <v>经济与管理学院</v>
      </c>
    </row>
    <row r="1348" ht="13.5" hidden="1" spans="1:5">
      <c r="A1348" s="2" t="str">
        <f>"张威"</f>
        <v>张威</v>
      </c>
      <c r="B1348" s="2" t="str">
        <f>"B20200101621"</f>
        <v>B20200101621</v>
      </c>
      <c r="C1348" s="2" t="str">
        <f t="shared" si="287"/>
        <v>男</v>
      </c>
      <c r="D1348" s="2" t="str">
        <f t="shared" si="284"/>
        <v>11</v>
      </c>
      <c r="E1348" s="2" t="str">
        <f>"土木工程学院"</f>
        <v>土木工程学院</v>
      </c>
    </row>
    <row r="1349" ht="13.5" hidden="1" spans="1:5">
      <c r="A1349" s="2" t="str">
        <f>"梁云磊"</f>
        <v>梁云磊</v>
      </c>
      <c r="B1349" s="2" t="str">
        <f>"B20210203117"</f>
        <v>B20210203117</v>
      </c>
      <c r="C1349" s="2" t="str">
        <f t="shared" si="287"/>
        <v>男</v>
      </c>
      <c r="D1349" s="2" t="str">
        <f t="shared" si="284"/>
        <v>11</v>
      </c>
      <c r="E1349" s="2" t="str">
        <f>"机电工程学院"</f>
        <v>机电工程学院</v>
      </c>
    </row>
    <row r="1350" ht="13.5" hidden="1" spans="1:5">
      <c r="A1350" s="2" t="str">
        <f>"潘晨"</f>
        <v>潘晨</v>
      </c>
      <c r="B1350" s="2" t="str">
        <f>"B20230702405"</f>
        <v>B20230702405</v>
      </c>
      <c r="C1350" s="2" t="str">
        <f>"女"</f>
        <v>女</v>
      </c>
      <c r="D1350" s="2" t="str">
        <f t="shared" si="284"/>
        <v>11</v>
      </c>
      <c r="E1350" s="2" t="str">
        <f>"马栏山新媒体学院"</f>
        <v>马栏山新媒体学院</v>
      </c>
    </row>
    <row r="1351" ht="13.5" hidden="1" spans="1:5">
      <c r="A1351" s="2" t="str">
        <f>"乐静静"</f>
        <v>乐静静</v>
      </c>
      <c r="B1351" s="2" t="str">
        <f>"B20220501131"</f>
        <v>B20220501131</v>
      </c>
      <c r="C1351" s="2" t="str">
        <f>"女"</f>
        <v>女</v>
      </c>
      <c r="D1351" s="2" t="str">
        <f t="shared" si="284"/>
        <v>11</v>
      </c>
      <c r="E1351" s="2" t="str">
        <f>"生物与化学工程学院"</f>
        <v>生物与化学工程学院</v>
      </c>
    </row>
    <row r="1352" ht="13.5" hidden="1" spans="1:5">
      <c r="A1352" s="2" t="str">
        <f>"胡子喆"</f>
        <v>胡子喆</v>
      </c>
      <c r="B1352" s="2" t="str">
        <f>"B20200402131"</f>
        <v>B20200402131</v>
      </c>
      <c r="C1352" s="2" t="str">
        <f>"男"</f>
        <v>男</v>
      </c>
      <c r="D1352" s="2" t="str">
        <f t="shared" si="284"/>
        <v>11</v>
      </c>
      <c r="E1352" s="2" t="str">
        <f>"电子信息与电气工程学院"</f>
        <v>电子信息与电气工程学院</v>
      </c>
    </row>
    <row r="1353" ht="13.5" hidden="1" spans="1:5">
      <c r="A1353" s="2" t="str">
        <f>"黎婕妤"</f>
        <v>黎婕妤</v>
      </c>
      <c r="B1353" s="2" t="str">
        <f>"B20230702308"</f>
        <v>B20230702308</v>
      </c>
      <c r="C1353" s="2" t="str">
        <f>"女"</f>
        <v>女</v>
      </c>
      <c r="D1353" s="2" t="str">
        <f t="shared" si="284"/>
        <v>11</v>
      </c>
      <c r="E1353" s="2" t="str">
        <f>"马栏山新媒体学院"</f>
        <v>马栏山新媒体学院</v>
      </c>
    </row>
    <row r="1354" ht="13.5" hidden="1" spans="1:5">
      <c r="A1354" s="2" t="str">
        <f>"张雨轩"</f>
        <v>张雨轩</v>
      </c>
      <c r="B1354" s="2" t="str">
        <f>"B20230403329"</f>
        <v>B20230403329</v>
      </c>
      <c r="C1354" s="2" t="str">
        <f>"男"</f>
        <v>男</v>
      </c>
      <c r="D1354" s="2" t="str">
        <f t="shared" si="284"/>
        <v>11</v>
      </c>
      <c r="E1354" s="2" t="str">
        <f>"电子信息与电气工程学院"</f>
        <v>电子信息与电气工程学院</v>
      </c>
    </row>
    <row r="1355" ht="13.5" hidden="1" spans="1:5">
      <c r="A1355" s="2" t="str">
        <f>"毛倩茹"</f>
        <v>毛倩茹</v>
      </c>
      <c r="B1355" s="2" t="str">
        <f>"B20220904311"</f>
        <v>B20220904311</v>
      </c>
      <c r="C1355" s="2" t="str">
        <f>"女"</f>
        <v>女</v>
      </c>
      <c r="D1355" s="2" t="str">
        <f t="shared" si="284"/>
        <v>11</v>
      </c>
      <c r="E1355" s="2" t="str">
        <f>"经济与管理学院"</f>
        <v>经济与管理学院</v>
      </c>
    </row>
    <row r="1356" ht="13.5" hidden="1" spans="1:5">
      <c r="A1356" s="2" t="str">
        <f>"屈能权"</f>
        <v>屈能权</v>
      </c>
      <c r="B1356" s="2" t="str">
        <f>"B20200803107"</f>
        <v>B20200803107</v>
      </c>
      <c r="C1356" s="2" t="str">
        <f>"男"</f>
        <v>男</v>
      </c>
      <c r="D1356" s="2" t="str">
        <f t="shared" si="284"/>
        <v>11</v>
      </c>
      <c r="E1356" s="2" t="str">
        <f>"外国语学院"</f>
        <v>外国语学院</v>
      </c>
    </row>
    <row r="1357" ht="13.5" hidden="1" spans="1:5">
      <c r="A1357" s="2" t="str">
        <f>"邝素娇"</f>
        <v>邝素娇</v>
      </c>
      <c r="B1357" s="2" t="str">
        <f>"B20210903124"</f>
        <v>B20210903124</v>
      </c>
      <c r="C1357" s="2" t="str">
        <f>"女"</f>
        <v>女</v>
      </c>
      <c r="D1357" s="2" t="str">
        <f t="shared" si="284"/>
        <v>11</v>
      </c>
      <c r="E1357" s="2" t="str">
        <f>"经济与管理学院"</f>
        <v>经济与管理学院</v>
      </c>
    </row>
    <row r="1358" ht="13.5" hidden="1" spans="1:5">
      <c r="A1358" s="2" t="str">
        <f>"张慧玲"</f>
        <v>张慧玲</v>
      </c>
      <c r="B1358" s="2" t="str">
        <f>"B20210801405"</f>
        <v>B20210801405</v>
      </c>
      <c r="C1358" s="2" t="str">
        <f>"女"</f>
        <v>女</v>
      </c>
      <c r="D1358" s="2" t="str">
        <f t="shared" ref="D1358:D1415" si="288">"11"</f>
        <v>11</v>
      </c>
      <c r="E1358" s="2" t="str">
        <f>"外国语学院"</f>
        <v>外国语学院</v>
      </c>
    </row>
    <row r="1359" ht="13.5" hidden="1" spans="1:5">
      <c r="A1359" s="2" t="str">
        <f>"聂美祺"</f>
        <v>聂美祺</v>
      </c>
      <c r="B1359" s="2" t="str">
        <f>"B20230903228"</f>
        <v>B20230903228</v>
      </c>
      <c r="C1359" s="2" t="str">
        <f>"女"</f>
        <v>女</v>
      </c>
      <c r="D1359" s="2" t="str">
        <f t="shared" si="288"/>
        <v>11</v>
      </c>
      <c r="E1359" s="2" t="str">
        <f>"经济与管理学院"</f>
        <v>经济与管理学院</v>
      </c>
    </row>
    <row r="1360" ht="13.5" hidden="1" spans="1:5">
      <c r="A1360" s="2" t="str">
        <f>"鲁怡"</f>
        <v>鲁怡</v>
      </c>
      <c r="B1360" s="2" t="str">
        <f>"B20230803209"</f>
        <v>B20230803209</v>
      </c>
      <c r="C1360" s="2" t="str">
        <f>"女"</f>
        <v>女</v>
      </c>
      <c r="D1360" s="2" t="str">
        <f t="shared" si="288"/>
        <v>11</v>
      </c>
      <c r="E1360" s="2" t="str">
        <f>"外国语学院"</f>
        <v>外国语学院</v>
      </c>
    </row>
    <row r="1361" ht="13.5" hidden="1" spans="1:5">
      <c r="A1361" s="2" t="str">
        <f>"王泽浩"</f>
        <v>王泽浩</v>
      </c>
      <c r="B1361" s="2" t="str">
        <f>"B20210903237"</f>
        <v>B20210903237</v>
      </c>
      <c r="C1361" s="2" t="str">
        <f>"男"</f>
        <v>男</v>
      </c>
      <c r="D1361" s="2" t="str">
        <f t="shared" si="288"/>
        <v>11</v>
      </c>
      <c r="E1361" s="2" t="str">
        <f>"经济与管理学院"</f>
        <v>经济与管理学院</v>
      </c>
    </row>
    <row r="1362" ht="13.5" hidden="1" spans="1:5">
      <c r="A1362" s="2" t="str">
        <f>"李欣妍"</f>
        <v>李欣妍</v>
      </c>
      <c r="B1362" s="2" t="str">
        <f>"B20210701212"</f>
        <v>B20210701212</v>
      </c>
      <c r="C1362" s="2" t="str">
        <f t="shared" ref="C1362:C1366" si="289">"女"</f>
        <v>女</v>
      </c>
      <c r="D1362" s="2" t="str">
        <f t="shared" si="288"/>
        <v>11</v>
      </c>
      <c r="E1362" s="2" t="str">
        <f t="shared" ref="E1362:E1365" si="290">"马栏山新媒体学院"</f>
        <v>马栏山新媒体学院</v>
      </c>
    </row>
    <row r="1363" ht="13.5" hidden="1" spans="1:5">
      <c r="A1363" s="2" t="str">
        <f>"周旭晴"</f>
        <v>周旭晴</v>
      </c>
      <c r="B1363" s="2" t="str">
        <f>"B20200701243"</f>
        <v>B20200701243</v>
      </c>
      <c r="C1363" s="2" t="str">
        <f t="shared" si="289"/>
        <v>女</v>
      </c>
      <c r="D1363" s="2" t="str">
        <f t="shared" si="288"/>
        <v>11</v>
      </c>
      <c r="E1363" s="2" t="str">
        <f t="shared" si="290"/>
        <v>马栏山新媒体学院</v>
      </c>
    </row>
    <row r="1364" ht="13.5" hidden="1" spans="1:5">
      <c r="A1364" s="2" t="str">
        <f>"胡曼姝"</f>
        <v>胡曼姝</v>
      </c>
      <c r="B1364" s="2" t="str">
        <f>"B20210103115"</f>
        <v>B20210103115</v>
      </c>
      <c r="C1364" s="2" t="str">
        <f t="shared" si="289"/>
        <v>女</v>
      </c>
      <c r="D1364" s="2" t="str">
        <f t="shared" si="288"/>
        <v>11</v>
      </c>
      <c r="E1364" s="2" t="str">
        <f>"土木工程学院"</f>
        <v>土木工程学院</v>
      </c>
    </row>
    <row r="1365" ht="13.5" hidden="1" spans="1:5">
      <c r="A1365" s="2" t="str">
        <f>"武若曦"</f>
        <v>武若曦</v>
      </c>
      <c r="B1365" s="2" t="str">
        <f>"B20200704320"</f>
        <v>B20200704320</v>
      </c>
      <c r="C1365" s="2" t="str">
        <f t="shared" si="289"/>
        <v>女</v>
      </c>
      <c r="D1365" s="2" t="str">
        <f t="shared" si="288"/>
        <v>11</v>
      </c>
      <c r="E1365" s="2" t="str">
        <f t="shared" si="290"/>
        <v>马栏山新媒体学院</v>
      </c>
    </row>
    <row r="1366" ht="13.5" hidden="1" spans="1:5">
      <c r="A1366" s="2" t="str">
        <f>"王赛兰"</f>
        <v>王赛兰</v>
      </c>
      <c r="B1366" s="2" t="str">
        <f>"B20230803103"</f>
        <v>B20230803103</v>
      </c>
      <c r="C1366" s="2" t="str">
        <f t="shared" si="289"/>
        <v>女</v>
      </c>
      <c r="D1366" s="2" t="str">
        <f t="shared" si="288"/>
        <v>11</v>
      </c>
      <c r="E1366" s="2" t="str">
        <f t="shared" ref="E1366:E1370" si="291">"外国语学院"</f>
        <v>外国语学院</v>
      </c>
    </row>
    <row r="1367" ht="13.5" hidden="1" spans="1:5">
      <c r="A1367" s="2" t="str">
        <f>"何小委"</f>
        <v>何小委</v>
      </c>
      <c r="B1367" s="2" t="str">
        <f>"B20210401229"</f>
        <v>B20210401229</v>
      </c>
      <c r="C1367" s="2" t="str">
        <f>"男"</f>
        <v>男</v>
      </c>
      <c r="D1367" s="2" t="str">
        <f t="shared" si="288"/>
        <v>11</v>
      </c>
      <c r="E1367" s="2" t="str">
        <f>"电子信息与电气工程学院"</f>
        <v>电子信息与电气工程学院</v>
      </c>
    </row>
    <row r="1368" ht="13.5" hidden="1" spans="1:5">
      <c r="A1368" s="2" t="str">
        <f>"杨欣怡"</f>
        <v>杨欣怡</v>
      </c>
      <c r="B1368" s="2" t="str">
        <f>"B20220801514"</f>
        <v>B20220801514</v>
      </c>
      <c r="C1368" s="2" t="str">
        <f>"女"</f>
        <v>女</v>
      </c>
      <c r="D1368" s="2" t="str">
        <f t="shared" si="288"/>
        <v>11</v>
      </c>
      <c r="E1368" s="2" t="str">
        <f t="shared" si="291"/>
        <v>外国语学院</v>
      </c>
    </row>
    <row r="1369" ht="13.5" hidden="1" spans="1:5">
      <c r="A1369" s="2" t="str">
        <f>"宗玉珠"</f>
        <v>宗玉珠</v>
      </c>
      <c r="B1369" s="2" t="str">
        <f>"B20200101601"</f>
        <v>B20200101601</v>
      </c>
      <c r="C1369" s="2" t="str">
        <f>"女"</f>
        <v>女</v>
      </c>
      <c r="D1369" s="2" t="str">
        <f t="shared" si="288"/>
        <v>11</v>
      </c>
      <c r="E1369" s="2" t="str">
        <f>"土木工程学院"</f>
        <v>土木工程学院</v>
      </c>
    </row>
    <row r="1370" ht="13.5" hidden="1" spans="1:5">
      <c r="A1370" s="2" t="str">
        <f>"唐林楠"</f>
        <v>唐林楠</v>
      </c>
      <c r="B1370" s="2" t="str">
        <f>"B20210803222"</f>
        <v>B20210803222</v>
      </c>
      <c r="C1370" s="2" t="str">
        <f>"女"</f>
        <v>女</v>
      </c>
      <c r="D1370" s="2" t="str">
        <f t="shared" si="288"/>
        <v>11</v>
      </c>
      <c r="E1370" s="2" t="str">
        <f t="shared" si="291"/>
        <v>外国语学院</v>
      </c>
    </row>
    <row r="1371" ht="13.5" hidden="1" spans="1:5">
      <c r="A1371" s="2" t="str">
        <f>"熊嘉明"</f>
        <v>熊嘉明</v>
      </c>
      <c r="B1371" s="2" t="str">
        <f>"B20220201212"</f>
        <v>B20220201212</v>
      </c>
      <c r="C1371" s="2" t="str">
        <f>"男"</f>
        <v>男</v>
      </c>
      <c r="D1371" s="2" t="str">
        <f t="shared" si="288"/>
        <v>11</v>
      </c>
      <c r="E1371" s="2" t="str">
        <f>"机电工程学院"</f>
        <v>机电工程学院</v>
      </c>
    </row>
    <row r="1372" ht="13.5" hidden="1" spans="1:5">
      <c r="A1372" s="2" t="str">
        <f>"熊诗"</f>
        <v>熊诗</v>
      </c>
      <c r="B1372" s="2" t="str">
        <f>"B20230906101"</f>
        <v>B20230906101</v>
      </c>
      <c r="C1372" s="2" t="str">
        <f>"女"</f>
        <v>女</v>
      </c>
      <c r="D1372" s="2" t="str">
        <f t="shared" si="288"/>
        <v>11</v>
      </c>
      <c r="E1372" s="2" t="str">
        <f>"经济与管理学院"</f>
        <v>经济与管理学院</v>
      </c>
    </row>
    <row r="1373" ht="13.5" hidden="1" spans="1:5">
      <c r="A1373" s="2" t="str">
        <f>"侯福明"</f>
        <v>侯福明</v>
      </c>
      <c r="B1373" s="2" t="str">
        <f>"B20230202416"</f>
        <v>B20230202416</v>
      </c>
      <c r="C1373" s="2" t="str">
        <f>"男"</f>
        <v>男</v>
      </c>
      <c r="D1373" s="2" t="str">
        <f t="shared" si="288"/>
        <v>11</v>
      </c>
      <c r="E1373" s="2" t="str">
        <f>"机电工程学院"</f>
        <v>机电工程学院</v>
      </c>
    </row>
    <row r="1374" ht="13.5" hidden="1" spans="1:5">
      <c r="A1374" s="2" t="str">
        <f>"王佳瑶"</f>
        <v>王佳瑶</v>
      </c>
      <c r="B1374" s="2" t="str">
        <f>"B20210901201"</f>
        <v>B20210901201</v>
      </c>
      <c r="C1374" s="2" t="str">
        <f>"女"</f>
        <v>女</v>
      </c>
      <c r="D1374" s="2" t="str">
        <f t="shared" si="288"/>
        <v>11</v>
      </c>
      <c r="E1374" s="2" t="str">
        <f>"经济与管理学院"</f>
        <v>经济与管理学院</v>
      </c>
    </row>
    <row r="1375" ht="13.5" hidden="1" spans="1:5">
      <c r="A1375" s="2" t="str">
        <f>"左沛"</f>
        <v>左沛</v>
      </c>
      <c r="B1375" s="2" t="str">
        <f>"B20230903123"</f>
        <v>B20230903123</v>
      </c>
      <c r="C1375" s="2" t="str">
        <f>"男"</f>
        <v>男</v>
      </c>
      <c r="D1375" s="2" t="str">
        <f t="shared" si="288"/>
        <v>11</v>
      </c>
      <c r="E1375" s="2" t="str">
        <f>"经济与管理学院"</f>
        <v>经济与管理学院</v>
      </c>
    </row>
    <row r="1376" ht="13.5" hidden="1" spans="1:5">
      <c r="A1376" s="2" t="str">
        <f>"易文琳"</f>
        <v>易文琳</v>
      </c>
      <c r="B1376" s="2" t="str">
        <f>"B20220801219"</f>
        <v>B20220801219</v>
      </c>
      <c r="C1376" s="2" t="str">
        <f>"女"</f>
        <v>女</v>
      </c>
      <c r="D1376" s="2" t="str">
        <f t="shared" si="288"/>
        <v>11</v>
      </c>
      <c r="E1376" s="2" t="str">
        <f>"外国语学院"</f>
        <v>外国语学院</v>
      </c>
    </row>
    <row r="1377" ht="13.5" hidden="1" spans="1:5">
      <c r="A1377" s="2" t="str">
        <f>"谌俐伶"</f>
        <v>谌俐伶</v>
      </c>
      <c r="B1377" s="2" t="str">
        <f>"B20230803227"</f>
        <v>B20230803227</v>
      </c>
      <c r="C1377" s="2" t="str">
        <f>"女"</f>
        <v>女</v>
      </c>
      <c r="D1377" s="2" t="str">
        <f t="shared" si="288"/>
        <v>11</v>
      </c>
      <c r="E1377" s="2" t="str">
        <f>"外国语学院"</f>
        <v>外国语学院</v>
      </c>
    </row>
    <row r="1378" ht="13.5" hidden="1" spans="1:5">
      <c r="A1378" s="2" t="str">
        <f>"佘宇恒"</f>
        <v>佘宇恒</v>
      </c>
      <c r="B1378" s="2" t="str">
        <f>"B20230201431"</f>
        <v>B20230201431</v>
      </c>
      <c r="C1378" s="2" t="str">
        <f>"男"</f>
        <v>男</v>
      </c>
      <c r="D1378" s="2" t="str">
        <f t="shared" si="288"/>
        <v>11</v>
      </c>
      <c r="E1378" s="2" t="str">
        <f>"机电工程学院"</f>
        <v>机电工程学院</v>
      </c>
    </row>
    <row r="1379" ht="13.5" hidden="1" spans="1:5">
      <c r="A1379" s="2" t="str">
        <f>"何浩"</f>
        <v>何浩</v>
      </c>
      <c r="B1379" s="2" t="str">
        <f>"B20210504102"</f>
        <v>B20210504102</v>
      </c>
      <c r="C1379" s="2" t="str">
        <f>"男"</f>
        <v>男</v>
      </c>
      <c r="D1379" s="2" t="str">
        <f t="shared" si="288"/>
        <v>11</v>
      </c>
      <c r="E1379" s="2" t="str">
        <f>"生物与化学工程学院"</f>
        <v>生物与化学工程学院</v>
      </c>
    </row>
    <row r="1380" ht="13.5" hidden="1" spans="1:5">
      <c r="A1380" s="2" t="str">
        <f>"李真"</f>
        <v>李真</v>
      </c>
      <c r="B1380" s="2" t="str">
        <f>"B20220703314"</f>
        <v>B20220703314</v>
      </c>
      <c r="C1380" s="2" t="str">
        <f>"女"</f>
        <v>女</v>
      </c>
      <c r="D1380" s="2" t="str">
        <f t="shared" si="288"/>
        <v>11</v>
      </c>
      <c r="E1380" s="2" t="str">
        <f>"马栏山新媒体学院"</f>
        <v>马栏山新媒体学院</v>
      </c>
    </row>
    <row r="1381" ht="13.5" hidden="1" spans="1:5">
      <c r="A1381" s="2" t="str">
        <f>"申喜"</f>
        <v>申喜</v>
      </c>
      <c r="B1381" s="2" t="str">
        <f>"B20220101219"</f>
        <v>B20220101219</v>
      </c>
      <c r="C1381" s="2" t="str">
        <f>"男"</f>
        <v>男</v>
      </c>
      <c r="D1381" s="2" t="str">
        <f t="shared" si="288"/>
        <v>11</v>
      </c>
      <c r="E1381" s="2" t="str">
        <f>"土木工程学院"</f>
        <v>土木工程学院</v>
      </c>
    </row>
    <row r="1382" ht="13.5" hidden="1" spans="1:5">
      <c r="A1382" s="2" t="str">
        <f>"张家辉"</f>
        <v>张家辉</v>
      </c>
      <c r="B1382" s="2" t="str">
        <f>"B20220802214"</f>
        <v>B20220802214</v>
      </c>
      <c r="C1382" s="2" t="str">
        <f>"男"</f>
        <v>男</v>
      </c>
      <c r="D1382" s="2" t="str">
        <f t="shared" si="288"/>
        <v>11</v>
      </c>
      <c r="E1382" s="2" t="str">
        <f>"外国语学院"</f>
        <v>外国语学院</v>
      </c>
    </row>
    <row r="1383" ht="13.5" hidden="1" spans="1:5">
      <c r="A1383" s="2" t="str">
        <f>"徐荣琪"</f>
        <v>徐荣琪</v>
      </c>
      <c r="B1383" s="2" t="str">
        <f>"B20230501117"</f>
        <v>B20230501117</v>
      </c>
      <c r="C1383" s="2" t="str">
        <f>"男"</f>
        <v>男</v>
      </c>
      <c r="D1383" s="2" t="str">
        <f t="shared" si="288"/>
        <v>11</v>
      </c>
      <c r="E1383" s="2" t="str">
        <f>"生物与化学工程学院"</f>
        <v>生物与化学工程学院</v>
      </c>
    </row>
    <row r="1384" ht="13.5" hidden="1" spans="1:5">
      <c r="A1384" s="2" t="str">
        <f>"江杰"</f>
        <v>江杰</v>
      </c>
      <c r="B1384" s="2" t="str">
        <f>"B20230204216"</f>
        <v>B20230204216</v>
      </c>
      <c r="C1384" s="2" t="str">
        <f>"男"</f>
        <v>男</v>
      </c>
      <c r="D1384" s="2" t="str">
        <f t="shared" si="288"/>
        <v>11</v>
      </c>
      <c r="E1384" s="2" t="str">
        <f>"机电工程学院"</f>
        <v>机电工程学院</v>
      </c>
    </row>
    <row r="1385" ht="13.5" hidden="1" spans="1:5">
      <c r="A1385" s="2" t="str">
        <f>"文桦"</f>
        <v>文桦</v>
      </c>
      <c r="B1385" s="2" t="str">
        <f>"B20200203210"</f>
        <v>B20200203210</v>
      </c>
      <c r="C1385" s="2" t="str">
        <f>"女"</f>
        <v>女</v>
      </c>
      <c r="D1385" s="2" t="str">
        <f t="shared" si="288"/>
        <v>11</v>
      </c>
      <c r="E1385" s="2" t="str">
        <f>"外国语学院"</f>
        <v>外国语学院</v>
      </c>
    </row>
    <row r="1386" ht="13.5" hidden="1" spans="1:5">
      <c r="A1386" s="2" t="str">
        <f>"付俊杰"</f>
        <v>付俊杰</v>
      </c>
      <c r="B1386" s="2" t="str">
        <f>"B20230504425"</f>
        <v>B20230504425</v>
      </c>
      <c r="C1386" s="2" t="str">
        <f>"男"</f>
        <v>男</v>
      </c>
      <c r="D1386" s="2" t="str">
        <f t="shared" si="288"/>
        <v>11</v>
      </c>
      <c r="E1386" s="2" t="str">
        <f>"生物与化学工程学院"</f>
        <v>生物与化学工程学院</v>
      </c>
    </row>
    <row r="1387" ht="13.5" hidden="1" spans="1:5">
      <c r="A1387" s="2" t="str">
        <f>"徐航"</f>
        <v>徐航</v>
      </c>
      <c r="B1387" s="2" t="str">
        <f>"B20230401133"</f>
        <v>B20230401133</v>
      </c>
      <c r="C1387" s="2" t="str">
        <f>"男"</f>
        <v>男</v>
      </c>
      <c r="D1387" s="2" t="str">
        <f t="shared" si="288"/>
        <v>11</v>
      </c>
      <c r="E1387" s="2" t="str">
        <f>"电子信息与电气工程学院"</f>
        <v>电子信息与电气工程学院</v>
      </c>
    </row>
    <row r="1388" ht="13.5" hidden="1" spans="1:5">
      <c r="A1388" s="2" t="str">
        <f>"熊婷"</f>
        <v>熊婷</v>
      </c>
      <c r="B1388" s="2" t="str">
        <f>"B20210601226"</f>
        <v>B20210601226</v>
      </c>
      <c r="C1388" s="2" t="str">
        <f>"女"</f>
        <v>女</v>
      </c>
      <c r="D1388" s="2" t="str">
        <f t="shared" si="288"/>
        <v>11</v>
      </c>
      <c r="E1388" s="2" t="str">
        <f>"法学院"</f>
        <v>法学院</v>
      </c>
    </row>
    <row r="1389" ht="13.5" hidden="1" spans="1:5">
      <c r="A1389" s="2" t="str">
        <f>"李瑶"</f>
        <v>李瑶</v>
      </c>
      <c r="B1389" s="2" t="str">
        <f>"B20220403219"</f>
        <v>B20220403219</v>
      </c>
      <c r="C1389" s="2" t="str">
        <f>"男"</f>
        <v>男</v>
      </c>
      <c r="D1389" s="2" t="str">
        <f t="shared" si="288"/>
        <v>11</v>
      </c>
      <c r="E1389" s="2" t="str">
        <f>"电子信息与电气工程学院"</f>
        <v>电子信息与电气工程学院</v>
      </c>
    </row>
    <row r="1390" ht="13.5" hidden="1" spans="1:5">
      <c r="A1390" s="2" t="str">
        <f>"周千焱"</f>
        <v>周千焱</v>
      </c>
      <c r="B1390" s="2" t="str">
        <f>"B20210902406"</f>
        <v>B20210902406</v>
      </c>
      <c r="C1390" s="2" t="str">
        <f t="shared" ref="C1390:C1393" si="292">"女"</f>
        <v>女</v>
      </c>
      <c r="D1390" s="2" t="str">
        <f t="shared" si="288"/>
        <v>11</v>
      </c>
      <c r="E1390" s="2" t="str">
        <f>"经济与管理学院"</f>
        <v>经济与管理学院</v>
      </c>
    </row>
    <row r="1391" ht="13.5" hidden="1" spans="1:5">
      <c r="A1391" s="2" t="str">
        <f>"彭丽"</f>
        <v>彭丽</v>
      </c>
      <c r="B1391" s="2" t="str">
        <f>"B20210202412"</f>
        <v>B20210202412</v>
      </c>
      <c r="C1391" s="2" t="str">
        <f t="shared" si="292"/>
        <v>女</v>
      </c>
      <c r="D1391" s="2" t="str">
        <f t="shared" si="288"/>
        <v>11</v>
      </c>
      <c r="E1391" s="2" t="str">
        <f>"机电工程学院"</f>
        <v>机电工程学院</v>
      </c>
    </row>
    <row r="1392" ht="13.5" hidden="1" spans="1:5">
      <c r="A1392" s="2" t="str">
        <f>"龙涵睿"</f>
        <v>龙涵睿</v>
      </c>
      <c r="B1392" s="2" t="str">
        <f>"B20230801223"</f>
        <v>B20230801223</v>
      </c>
      <c r="C1392" s="2" t="str">
        <f t="shared" si="292"/>
        <v>女</v>
      </c>
      <c r="D1392" s="2" t="str">
        <f t="shared" si="288"/>
        <v>11</v>
      </c>
      <c r="E1392" s="2" t="str">
        <f>"外国语学院"</f>
        <v>外国语学院</v>
      </c>
    </row>
    <row r="1393" ht="13.5" hidden="1" spans="1:5">
      <c r="A1393" s="2" t="str">
        <f>"叶晓菁"</f>
        <v>叶晓菁</v>
      </c>
      <c r="B1393" s="2" t="str">
        <f>"B20230601106"</f>
        <v>B20230601106</v>
      </c>
      <c r="C1393" s="2" t="str">
        <f t="shared" si="292"/>
        <v>女</v>
      </c>
      <c r="D1393" s="2" t="str">
        <f t="shared" si="288"/>
        <v>11</v>
      </c>
      <c r="E1393" s="2" t="str">
        <f>"法学院"</f>
        <v>法学院</v>
      </c>
    </row>
    <row r="1394" ht="13.5" hidden="1" spans="1:5">
      <c r="A1394" s="2" t="str">
        <f>"戴威"</f>
        <v>戴威</v>
      </c>
      <c r="B1394" s="2" t="str">
        <f>"B20200204204"</f>
        <v>B20200204204</v>
      </c>
      <c r="C1394" s="2" t="str">
        <f t="shared" ref="C1394:C1398" si="293">"男"</f>
        <v>男</v>
      </c>
      <c r="D1394" s="2" t="str">
        <f t="shared" si="288"/>
        <v>11</v>
      </c>
      <c r="E1394" s="2" t="str">
        <f>"机电工程学院"</f>
        <v>机电工程学院</v>
      </c>
    </row>
    <row r="1395" ht="13.5" hidden="1" spans="1:5">
      <c r="A1395" s="2" t="str">
        <f>"熊婵"</f>
        <v>熊婵</v>
      </c>
      <c r="B1395" s="2" t="str">
        <f>"B20230802216"</f>
        <v>B20230802216</v>
      </c>
      <c r="C1395" s="2" t="str">
        <f t="shared" ref="C1395:C1403" si="294">"女"</f>
        <v>女</v>
      </c>
      <c r="D1395" s="2" t="str">
        <f t="shared" si="288"/>
        <v>11</v>
      </c>
      <c r="E1395" s="2" t="str">
        <f>"外国语学院"</f>
        <v>外国语学院</v>
      </c>
    </row>
    <row r="1396" ht="13.5" hidden="1" spans="1:5">
      <c r="A1396" s="2" t="str">
        <f>"邓国瑞"</f>
        <v>邓国瑞</v>
      </c>
      <c r="B1396" s="2" t="str">
        <f>"B20220405122"</f>
        <v>B20220405122</v>
      </c>
      <c r="C1396" s="2" t="str">
        <f t="shared" si="293"/>
        <v>男</v>
      </c>
      <c r="D1396" s="2" t="str">
        <f t="shared" si="288"/>
        <v>11</v>
      </c>
      <c r="E1396" s="2" t="str">
        <f>"电子信息与电气工程学院"</f>
        <v>电子信息与电气工程学院</v>
      </c>
    </row>
    <row r="1397" ht="13.5" hidden="1" spans="1:5">
      <c r="A1397" s="2" t="str">
        <f>"石宛灵"</f>
        <v>石宛灵</v>
      </c>
      <c r="B1397" s="2" t="str">
        <f>"B20230701405"</f>
        <v>B20230701405</v>
      </c>
      <c r="C1397" s="2" t="str">
        <f t="shared" si="294"/>
        <v>女</v>
      </c>
      <c r="D1397" s="2" t="str">
        <f t="shared" si="288"/>
        <v>11</v>
      </c>
      <c r="E1397" s="2" t="str">
        <f t="shared" ref="E1397:E1401" si="295">"马栏山新媒体学院"</f>
        <v>马栏山新媒体学院</v>
      </c>
    </row>
    <row r="1398" ht="13.5" hidden="1" spans="1:5">
      <c r="A1398" s="2" t="str">
        <f>"敬吉祥"</f>
        <v>敬吉祥</v>
      </c>
      <c r="B1398" s="2" t="str">
        <f>"B20230501106"</f>
        <v>B20230501106</v>
      </c>
      <c r="C1398" s="2" t="str">
        <f t="shared" si="293"/>
        <v>男</v>
      </c>
      <c r="D1398" s="2" t="str">
        <f t="shared" si="288"/>
        <v>11</v>
      </c>
      <c r="E1398" s="2" t="str">
        <f>"生物与化学工程学院"</f>
        <v>生物与化学工程学院</v>
      </c>
    </row>
    <row r="1399" ht="13.5" hidden="1" spans="1:5">
      <c r="A1399" s="2" t="str">
        <f>"李忠群"</f>
        <v>李忠群</v>
      </c>
      <c r="B1399" s="2" t="str">
        <f>"B20201001223"</f>
        <v>B20201001223</v>
      </c>
      <c r="C1399" s="2" t="str">
        <f t="shared" si="294"/>
        <v>女</v>
      </c>
      <c r="D1399" s="2" t="str">
        <f t="shared" si="288"/>
        <v>11</v>
      </c>
      <c r="E1399" s="2" t="str">
        <f>"艺术设计学院"</f>
        <v>艺术设计学院</v>
      </c>
    </row>
    <row r="1400" ht="13.5" hidden="1" spans="1:5">
      <c r="A1400" s="2" t="str">
        <f>"唐晶晶"</f>
        <v>唐晶晶</v>
      </c>
      <c r="B1400" s="2" t="str">
        <f>"B20230701202"</f>
        <v>B20230701202</v>
      </c>
      <c r="C1400" s="2" t="str">
        <f t="shared" si="294"/>
        <v>女</v>
      </c>
      <c r="D1400" s="2" t="str">
        <f t="shared" si="288"/>
        <v>11</v>
      </c>
      <c r="E1400" s="2" t="str">
        <f t="shared" si="295"/>
        <v>马栏山新媒体学院</v>
      </c>
    </row>
    <row r="1401" ht="13.5" hidden="1" spans="1:5">
      <c r="A1401" s="2" t="str">
        <f>"邹盈"</f>
        <v>邹盈</v>
      </c>
      <c r="B1401" s="2" t="str">
        <f>"B20220702204"</f>
        <v>B20220702204</v>
      </c>
      <c r="C1401" s="2" t="str">
        <f t="shared" si="294"/>
        <v>女</v>
      </c>
      <c r="D1401" s="2" t="str">
        <f t="shared" si="288"/>
        <v>11</v>
      </c>
      <c r="E1401" s="2" t="str">
        <f t="shared" si="295"/>
        <v>马栏山新媒体学院</v>
      </c>
    </row>
    <row r="1402" ht="13.5" hidden="1" spans="1:5">
      <c r="A1402" s="2" t="str">
        <f>"王淦榕"</f>
        <v>王淦榕</v>
      </c>
      <c r="B1402" s="2" t="str">
        <f>"B20221111103"</f>
        <v>B20221111103</v>
      </c>
      <c r="C1402" s="2" t="str">
        <f t="shared" si="294"/>
        <v>女</v>
      </c>
      <c r="D1402" s="2" t="str">
        <f t="shared" si="288"/>
        <v>11</v>
      </c>
      <c r="E1402" s="2" t="str">
        <f>"音乐学院"</f>
        <v>音乐学院</v>
      </c>
    </row>
    <row r="1403" ht="13.5" hidden="1" spans="1:5">
      <c r="A1403" s="2" t="str">
        <f>"林佳音"</f>
        <v>林佳音</v>
      </c>
      <c r="B1403" s="2" t="str">
        <f>"B20231101124"</f>
        <v>B20231101124</v>
      </c>
      <c r="C1403" s="2" t="str">
        <f t="shared" si="294"/>
        <v>女</v>
      </c>
      <c r="D1403" s="2" t="str">
        <f t="shared" si="288"/>
        <v>11</v>
      </c>
      <c r="E1403" s="2" t="str">
        <f>"音乐学院"</f>
        <v>音乐学院</v>
      </c>
    </row>
    <row r="1404" ht="13.5" hidden="1" spans="1:5">
      <c r="A1404" s="2" t="str">
        <f>"罗俱进"</f>
        <v>罗俱进</v>
      </c>
      <c r="B1404" s="2" t="str">
        <f>"B20220404224"</f>
        <v>B20220404224</v>
      </c>
      <c r="C1404" s="2" t="str">
        <f t="shared" ref="C1404:C1409" si="296">"男"</f>
        <v>男</v>
      </c>
      <c r="D1404" s="2" t="str">
        <f t="shared" si="288"/>
        <v>11</v>
      </c>
      <c r="E1404" s="2" t="str">
        <f>"电子信息与电气工程学院"</f>
        <v>电子信息与电气工程学院</v>
      </c>
    </row>
    <row r="1405" ht="13.5" hidden="1" spans="1:5">
      <c r="A1405" s="2" t="str">
        <f>"王月梅"</f>
        <v>王月梅</v>
      </c>
      <c r="B1405" s="2" t="str">
        <f>"B20220102202"</f>
        <v>B20220102202</v>
      </c>
      <c r="C1405" s="2" t="str">
        <f t="shared" ref="C1405:C1412" si="297">"女"</f>
        <v>女</v>
      </c>
      <c r="D1405" s="2" t="str">
        <f t="shared" si="288"/>
        <v>11</v>
      </c>
      <c r="E1405" s="2" t="str">
        <f>"土木工程学院"</f>
        <v>土木工程学院</v>
      </c>
    </row>
    <row r="1406" ht="13.5" hidden="1" spans="1:5">
      <c r="A1406" s="2" t="str">
        <f>"曾钰淇"</f>
        <v>曾钰淇</v>
      </c>
      <c r="B1406" s="2" t="str">
        <f>"B20230801228"</f>
        <v>B20230801228</v>
      </c>
      <c r="C1406" s="2" t="str">
        <f t="shared" si="297"/>
        <v>女</v>
      </c>
      <c r="D1406" s="2" t="str">
        <f t="shared" si="288"/>
        <v>11</v>
      </c>
      <c r="E1406" s="2" t="str">
        <f>"外国语学院"</f>
        <v>外国语学院</v>
      </c>
    </row>
    <row r="1407" ht="13.5" hidden="1" spans="1:5">
      <c r="A1407" s="2" t="str">
        <f>"王梓阳"</f>
        <v>王梓阳</v>
      </c>
      <c r="B1407" s="2" t="str">
        <f>"B20231003224"</f>
        <v>B20231003224</v>
      </c>
      <c r="C1407" s="2" t="str">
        <f t="shared" si="296"/>
        <v>男</v>
      </c>
      <c r="D1407" s="2" t="str">
        <f t="shared" si="288"/>
        <v>11</v>
      </c>
      <c r="E1407" s="2" t="str">
        <f>"艺术设计学院"</f>
        <v>艺术设计学院</v>
      </c>
    </row>
    <row r="1408" ht="13.5" hidden="1" spans="1:5">
      <c r="A1408" s="2" t="str">
        <f>"张越宁"</f>
        <v>张越宁</v>
      </c>
      <c r="B1408" s="2" t="str">
        <f>"B20220202304"</f>
        <v>B20220202304</v>
      </c>
      <c r="C1408" s="2" t="str">
        <f t="shared" si="296"/>
        <v>男</v>
      </c>
      <c r="D1408" s="2" t="str">
        <f t="shared" si="288"/>
        <v>11</v>
      </c>
      <c r="E1408" s="2" t="str">
        <f>"机电工程学院"</f>
        <v>机电工程学院</v>
      </c>
    </row>
    <row r="1409" ht="13.5" hidden="1" spans="1:5">
      <c r="A1409" s="2" t="str">
        <f>"高苗"</f>
        <v>高苗</v>
      </c>
      <c r="B1409" s="2" t="str">
        <f>"B20210101218"</f>
        <v>B20210101218</v>
      </c>
      <c r="C1409" s="2" t="str">
        <f t="shared" si="296"/>
        <v>男</v>
      </c>
      <c r="D1409" s="2" t="str">
        <f t="shared" si="288"/>
        <v>11</v>
      </c>
      <c r="E1409" s="2" t="str">
        <f>"土木工程学院"</f>
        <v>土木工程学院</v>
      </c>
    </row>
    <row r="1410" ht="13.5" hidden="1" spans="1:5">
      <c r="A1410" s="2" t="str">
        <f>"任佳佳"</f>
        <v>任佳佳</v>
      </c>
      <c r="B1410" s="2" t="str">
        <f>"B20210402220"</f>
        <v>B20210402220</v>
      </c>
      <c r="C1410" s="2" t="str">
        <f t="shared" si="297"/>
        <v>女</v>
      </c>
      <c r="D1410" s="2" t="str">
        <f t="shared" si="288"/>
        <v>11</v>
      </c>
      <c r="E1410" s="2" t="str">
        <f>"电子信息与电气工程学院"</f>
        <v>电子信息与电气工程学院</v>
      </c>
    </row>
    <row r="1411" ht="13.5" hidden="1" spans="1:5">
      <c r="A1411" s="2" t="str">
        <f>"谢珺颖"</f>
        <v>谢珺颖</v>
      </c>
      <c r="B1411" s="2" t="str">
        <f>"B20200104114"</f>
        <v>B20200104114</v>
      </c>
      <c r="C1411" s="2" t="str">
        <f t="shared" si="297"/>
        <v>女</v>
      </c>
      <c r="D1411" s="2" t="str">
        <f t="shared" si="288"/>
        <v>11</v>
      </c>
      <c r="E1411" s="2" t="str">
        <f>"土木工程学院"</f>
        <v>土木工程学院</v>
      </c>
    </row>
    <row r="1412" ht="13.5" hidden="1" spans="1:5">
      <c r="A1412" s="2" t="str">
        <f>"莫许娆"</f>
        <v>莫许娆</v>
      </c>
      <c r="B1412" s="2" t="str">
        <f>"B20220904116"</f>
        <v>B20220904116</v>
      </c>
      <c r="C1412" s="2" t="str">
        <f t="shared" si="297"/>
        <v>女</v>
      </c>
      <c r="D1412" s="2" t="str">
        <f t="shared" si="288"/>
        <v>11</v>
      </c>
      <c r="E1412" s="2" t="str">
        <f t="shared" ref="E1412:E1414" si="298">"经济与管理学院"</f>
        <v>经济与管理学院</v>
      </c>
    </row>
    <row r="1413" ht="13.5" hidden="1" spans="1:5">
      <c r="A1413" s="2" t="str">
        <f>"刘子鸣"</f>
        <v>刘子鸣</v>
      </c>
      <c r="B1413" s="2" t="str">
        <f>"B20200906125"</f>
        <v>B20200906125</v>
      </c>
      <c r="C1413" s="2" t="str">
        <f>"男"</f>
        <v>男</v>
      </c>
      <c r="D1413" s="2" t="str">
        <f t="shared" si="288"/>
        <v>11</v>
      </c>
      <c r="E1413" s="2" t="str">
        <f t="shared" si="298"/>
        <v>经济与管理学院</v>
      </c>
    </row>
    <row r="1414" ht="13.5" hidden="1" spans="1:5">
      <c r="A1414" s="2" t="str">
        <f>"袁璐"</f>
        <v>袁璐</v>
      </c>
      <c r="B1414" s="2" t="str">
        <f>"B20220901304"</f>
        <v>B20220901304</v>
      </c>
      <c r="C1414" s="2" t="str">
        <f>"女"</f>
        <v>女</v>
      </c>
      <c r="D1414" s="2" t="str">
        <f t="shared" si="288"/>
        <v>11</v>
      </c>
      <c r="E1414" s="2" t="str">
        <f t="shared" si="298"/>
        <v>经济与管理学院</v>
      </c>
    </row>
    <row r="1415" ht="13.5" hidden="1" spans="1:5">
      <c r="A1415" s="2" t="str">
        <f>"杨晴"</f>
        <v>杨晴</v>
      </c>
      <c r="B1415" s="2" t="str">
        <f>"B20220101619"</f>
        <v>B20220101619</v>
      </c>
      <c r="C1415" s="2" t="str">
        <f>"女"</f>
        <v>女</v>
      </c>
      <c r="D1415" s="2" t="str">
        <f t="shared" si="288"/>
        <v>11</v>
      </c>
      <c r="E1415" s="2" t="str">
        <f>"土木工程学院"</f>
        <v>土木工程学院</v>
      </c>
    </row>
    <row r="1416" ht="13.5" hidden="1" spans="1:5">
      <c r="A1416" s="2" t="str">
        <f>"罗怡萍"</f>
        <v>罗怡萍</v>
      </c>
      <c r="B1416" s="2" t="str">
        <f>"B20230601317"</f>
        <v>B20230601317</v>
      </c>
      <c r="C1416" s="2" t="str">
        <f>"女"</f>
        <v>女</v>
      </c>
      <c r="D1416" s="2" t="str">
        <f t="shared" ref="D1416:D1474" si="299">"11"</f>
        <v>11</v>
      </c>
      <c r="E1416" s="2" t="str">
        <f>"法学院"</f>
        <v>法学院</v>
      </c>
    </row>
    <row r="1417" ht="13.5" hidden="1" spans="1:5">
      <c r="A1417" s="2" t="str">
        <f>"李雪梅"</f>
        <v>李雪梅</v>
      </c>
      <c r="B1417" s="2" t="str">
        <f>"B20230901222"</f>
        <v>B20230901222</v>
      </c>
      <c r="C1417" s="2" t="str">
        <f>"女"</f>
        <v>女</v>
      </c>
      <c r="D1417" s="2" t="str">
        <f t="shared" si="299"/>
        <v>11</v>
      </c>
      <c r="E1417" s="2" t="str">
        <f t="shared" ref="E1417:E1420" si="300">"经济与管理学院"</f>
        <v>经济与管理学院</v>
      </c>
    </row>
    <row r="1418" ht="13.5" hidden="1" spans="1:5">
      <c r="A1418" s="2" t="str">
        <f>"郭晶"</f>
        <v>郭晶</v>
      </c>
      <c r="B1418" s="2" t="str">
        <f>"B20221302207"</f>
        <v>B20221302207</v>
      </c>
      <c r="C1418" s="2" t="str">
        <f t="shared" ref="C1418:C1422" si="301">"男"</f>
        <v>男</v>
      </c>
      <c r="D1418" s="2" t="str">
        <f t="shared" si="299"/>
        <v>11</v>
      </c>
      <c r="E1418" s="2" t="str">
        <f>"材料与环境工程学院"</f>
        <v>材料与环境工程学院</v>
      </c>
    </row>
    <row r="1419" ht="13.5" hidden="1" spans="1:5">
      <c r="A1419" s="2" t="str">
        <f>"韩蕾"</f>
        <v>韩蕾</v>
      </c>
      <c r="B1419" s="2" t="str">
        <f>"B20230904101"</f>
        <v>B20230904101</v>
      </c>
      <c r="C1419" s="2" t="str">
        <f t="shared" ref="C1419:C1423" si="302">"女"</f>
        <v>女</v>
      </c>
      <c r="D1419" s="2" t="str">
        <f t="shared" si="299"/>
        <v>11</v>
      </c>
      <c r="E1419" s="2" t="str">
        <f t="shared" si="300"/>
        <v>经济与管理学院</v>
      </c>
    </row>
    <row r="1420" ht="13.5" hidden="1" spans="1:5">
      <c r="A1420" s="2" t="str">
        <f>"郭子莹"</f>
        <v>郭子莹</v>
      </c>
      <c r="B1420" s="2" t="str">
        <f>"B20210901304"</f>
        <v>B20210901304</v>
      </c>
      <c r="C1420" s="2" t="str">
        <f t="shared" si="302"/>
        <v>女</v>
      </c>
      <c r="D1420" s="2" t="str">
        <f t="shared" si="299"/>
        <v>11</v>
      </c>
      <c r="E1420" s="2" t="str">
        <f t="shared" si="300"/>
        <v>经济与管理学院</v>
      </c>
    </row>
    <row r="1421" ht="13.5" hidden="1" spans="1:5">
      <c r="A1421" s="2" t="str">
        <f>"邱琪"</f>
        <v>邱琪</v>
      </c>
      <c r="B1421" s="2" t="str">
        <f>"B20230202303"</f>
        <v>B20230202303</v>
      </c>
      <c r="C1421" s="2" t="str">
        <f t="shared" si="301"/>
        <v>男</v>
      </c>
      <c r="D1421" s="2" t="str">
        <f t="shared" si="299"/>
        <v>11</v>
      </c>
      <c r="E1421" s="2" t="str">
        <f>"机电工程学院"</f>
        <v>机电工程学院</v>
      </c>
    </row>
    <row r="1422" ht="13.5" hidden="1" spans="1:5">
      <c r="A1422" s="2" t="str">
        <f>"龚哲"</f>
        <v>龚哲</v>
      </c>
      <c r="B1422" s="2" t="str">
        <f>"B20230504409"</f>
        <v>B20230504409</v>
      </c>
      <c r="C1422" s="2" t="str">
        <f t="shared" si="301"/>
        <v>男</v>
      </c>
      <c r="D1422" s="2" t="str">
        <f t="shared" si="299"/>
        <v>11</v>
      </c>
      <c r="E1422" s="2" t="str">
        <f>"生物与化学工程学院"</f>
        <v>生物与化学工程学院</v>
      </c>
    </row>
    <row r="1423" ht="13.5" hidden="1" spans="1:5">
      <c r="A1423" s="2" t="str">
        <f>"胡芬芳"</f>
        <v>胡芬芳</v>
      </c>
      <c r="B1423" s="2" t="str">
        <f>"B20230501120"</f>
        <v>B20230501120</v>
      </c>
      <c r="C1423" s="2" t="str">
        <f t="shared" si="302"/>
        <v>女</v>
      </c>
      <c r="D1423" s="2" t="str">
        <f t="shared" si="299"/>
        <v>11</v>
      </c>
      <c r="E1423" s="2" t="str">
        <f>"生物与化学工程学院"</f>
        <v>生物与化学工程学院</v>
      </c>
    </row>
    <row r="1424" ht="13.5" hidden="1" spans="1:5">
      <c r="A1424" s="2" t="str">
        <f>"蒋文辉"</f>
        <v>蒋文辉</v>
      </c>
      <c r="B1424" s="2" t="str">
        <f>"B20230405122"</f>
        <v>B20230405122</v>
      </c>
      <c r="C1424" s="2" t="str">
        <f>"男"</f>
        <v>男</v>
      </c>
      <c r="D1424" s="2" t="str">
        <f t="shared" si="299"/>
        <v>11</v>
      </c>
      <c r="E1424" s="2" t="str">
        <f>"电子信息与电气工程学院"</f>
        <v>电子信息与电气工程学院</v>
      </c>
    </row>
    <row r="1425" ht="13.5" hidden="1" spans="1:5">
      <c r="A1425" s="2" t="str">
        <f>"欧申志"</f>
        <v>欧申志</v>
      </c>
      <c r="B1425" s="2" t="str">
        <f>"B20230102219"</f>
        <v>B20230102219</v>
      </c>
      <c r="C1425" s="2" t="str">
        <f>"男"</f>
        <v>男</v>
      </c>
      <c r="D1425" s="2" t="str">
        <f t="shared" si="299"/>
        <v>11</v>
      </c>
      <c r="E1425" s="2" t="str">
        <f>"土木工程学院"</f>
        <v>土木工程学院</v>
      </c>
    </row>
    <row r="1426" ht="13.5" hidden="1" spans="1:5">
      <c r="A1426" s="2" t="str">
        <f>"邓光民"</f>
        <v>邓光民</v>
      </c>
      <c r="B1426" s="2" t="str">
        <f>"B20200201225"</f>
        <v>B20200201225</v>
      </c>
      <c r="C1426" s="2" t="str">
        <f>"男"</f>
        <v>男</v>
      </c>
      <c r="D1426" s="2" t="str">
        <f t="shared" si="299"/>
        <v>11</v>
      </c>
      <c r="E1426" s="2" t="str">
        <f>"机电工程学院"</f>
        <v>机电工程学院</v>
      </c>
    </row>
    <row r="1427" ht="13.5" hidden="1" spans="1:5">
      <c r="A1427" s="2" t="str">
        <f>"赵天予"</f>
        <v>赵天予</v>
      </c>
      <c r="B1427" s="2" t="str">
        <f>"B20200402329"</f>
        <v>B20200402329</v>
      </c>
      <c r="C1427" s="2" t="str">
        <f>"男"</f>
        <v>男</v>
      </c>
      <c r="D1427" s="2" t="str">
        <f t="shared" si="299"/>
        <v>11</v>
      </c>
      <c r="E1427" s="2" t="str">
        <f>"电子信息与电气工程学院"</f>
        <v>电子信息与电气工程学院</v>
      </c>
    </row>
    <row r="1428" ht="13.5" hidden="1" spans="1:5">
      <c r="A1428" s="2" t="str">
        <f>"虢佳琦"</f>
        <v>虢佳琦</v>
      </c>
      <c r="B1428" s="2" t="str">
        <f>"B20211101313"</f>
        <v>B20211101313</v>
      </c>
      <c r="C1428" s="2" t="str">
        <f>"女"</f>
        <v>女</v>
      </c>
      <c r="D1428" s="2" t="str">
        <f t="shared" si="299"/>
        <v>11</v>
      </c>
      <c r="E1428" s="2" t="str">
        <f>"音乐学院"</f>
        <v>音乐学院</v>
      </c>
    </row>
    <row r="1429" ht="13.5" hidden="1" spans="1:5">
      <c r="A1429" s="2" t="str">
        <f>"邵海涛"</f>
        <v>邵海涛</v>
      </c>
      <c r="B1429" s="2" t="str">
        <f>"B20230101303"</f>
        <v>B20230101303</v>
      </c>
      <c r="C1429" s="2" t="str">
        <f>"男"</f>
        <v>男</v>
      </c>
      <c r="D1429" s="2" t="str">
        <f t="shared" si="299"/>
        <v>11</v>
      </c>
      <c r="E1429" s="2" t="str">
        <f>"土木工程学院"</f>
        <v>土木工程学院</v>
      </c>
    </row>
    <row r="1430" ht="13.5" hidden="1" spans="1:5">
      <c r="A1430" s="2" t="str">
        <f>"黄桔"</f>
        <v>黄桔</v>
      </c>
      <c r="B1430" s="2" t="str">
        <f>"B20210901343"</f>
        <v>B20210901343</v>
      </c>
      <c r="C1430" s="2" t="str">
        <f>"女"</f>
        <v>女</v>
      </c>
      <c r="D1430" s="2" t="str">
        <f t="shared" si="299"/>
        <v>11</v>
      </c>
      <c r="E1430" s="2" t="str">
        <f>"经济与管理学院"</f>
        <v>经济与管理学院</v>
      </c>
    </row>
    <row r="1431" ht="13.5" hidden="1" spans="1:5">
      <c r="A1431" s="2" t="str">
        <f>"张铨"</f>
        <v>张铨</v>
      </c>
      <c r="B1431" s="2" t="str">
        <f>"B20230403109"</f>
        <v>B20230403109</v>
      </c>
      <c r="C1431" s="2" t="str">
        <f>"男"</f>
        <v>男</v>
      </c>
      <c r="D1431" s="2" t="str">
        <f t="shared" si="299"/>
        <v>11</v>
      </c>
      <c r="E1431" s="2" t="str">
        <f>"电子信息与电气工程学院"</f>
        <v>电子信息与电气工程学院</v>
      </c>
    </row>
    <row r="1432" ht="13.5" hidden="1" spans="1:5">
      <c r="A1432" s="2" t="str">
        <f>"张佳璇"</f>
        <v>张佳璇</v>
      </c>
      <c r="B1432" s="2" t="str">
        <f>"B20211002311"</f>
        <v>B20211002311</v>
      </c>
      <c r="C1432" s="2" t="str">
        <f t="shared" ref="C1432:C1437" si="303">"女"</f>
        <v>女</v>
      </c>
      <c r="D1432" s="2" t="str">
        <f t="shared" si="299"/>
        <v>11</v>
      </c>
      <c r="E1432" s="2" t="str">
        <f>"艺术设计学院"</f>
        <v>艺术设计学院</v>
      </c>
    </row>
    <row r="1433" ht="13.5" hidden="1" spans="1:5">
      <c r="A1433" s="2" t="str">
        <f>"蒋美婷"</f>
        <v>蒋美婷</v>
      </c>
      <c r="B1433" s="2" t="str">
        <f>"B20230101536"</f>
        <v>B20230101536</v>
      </c>
      <c r="C1433" s="2" t="str">
        <f t="shared" si="303"/>
        <v>女</v>
      </c>
      <c r="D1433" s="2" t="str">
        <f t="shared" si="299"/>
        <v>11</v>
      </c>
      <c r="E1433" s="2" t="str">
        <f>"土木工程学院"</f>
        <v>土木工程学院</v>
      </c>
    </row>
    <row r="1434" ht="13.5" hidden="1" spans="1:5">
      <c r="A1434" s="2" t="str">
        <f>"伍瑶"</f>
        <v>伍瑶</v>
      </c>
      <c r="B1434" s="2" t="str">
        <f>"B20210702114"</f>
        <v>B20210702114</v>
      </c>
      <c r="C1434" s="2" t="str">
        <f t="shared" si="303"/>
        <v>女</v>
      </c>
      <c r="D1434" s="2" t="str">
        <f t="shared" si="299"/>
        <v>11</v>
      </c>
      <c r="E1434" s="2" t="str">
        <f>"马栏山新媒体学院"</f>
        <v>马栏山新媒体学院</v>
      </c>
    </row>
    <row r="1435" ht="13.5" hidden="1" spans="1:5">
      <c r="A1435" s="2" t="str">
        <f>"谢莹欣"</f>
        <v>谢莹欣</v>
      </c>
      <c r="B1435" s="2" t="str">
        <f>"B20200202111"</f>
        <v>B20200202111</v>
      </c>
      <c r="C1435" s="2" t="str">
        <f t="shared" si="303"/>
        <v>女</v>
      </c>
      <c r="D1435" s="2" t="str">
        <f t="shared" si="299"/>
        <v>11</v>
      </c>
      <c r="E1435" s="2" t="str">
        <f>"机电工程学院"</f>
        <v>机电工程学院</v>
      </c>
    </row>
    <row r="1436" ht="13.5" hidden="1" spans="1:5">
      <c r="A1436" s="2" t="str">
        <f>"李文静"</f>
        <v>李文静</v>
      </c>
      <c r="B1436" s="2" t="str">
        <f>"B20220701211"</f>
        <v>B20220701211</v>
      </c>
      <c r="C1436" s="2" t="str">
        <f t="shared" si="303"/>
        <v>女</v>
      </c>
      <c r="D1436" s="2" t="str">
        <f t="shared" si="299"/>
        <v>11</v>
      </c>
      <c r="E1436" s="2" t="str">
        <f>"马栏山新媒体学院"</f>
        <v>马栏山新媒体学院</v>
      </c>
    </row>
    <row r="1437" ht="13.5" hidden="1" spans="1:5">
      <c r="A1437" s="2" t="str">
        <f>"朱泓羽"</f>
        <v>朱泓羽</v>
      </c>
      <c r="B1437" s="2" t="str">
        <f>"B20231302128"</f>
        <v>B20231302128</v>
      </c>
      <c r="C1437" s="2" t="str">
        <f t="shared" si="303"/>
        <v>女</v>
      </c>
      <c r="D1437" s="2" t="str">
        <f t="shared" si="299"/>
        <v>11</v>
      </c>
      <c r="E1437" s="2" t="str">
        <f>"材料与环境工程学院"</f>
        <v>材料与环境工程学院</v>
      </c>
    </row>
    <row r="1438" ht="13.5" hidden="1" spans="1:5">
      <c r="A1438" s="2" t="str">
        <f>"胡湘东"</f>
        <v>胡湘东</v>
      </c>
      <c r="B1438" s="2" t="str">
        <f>"B20220401211"</f>
        <v>B20220401211</v>
      </c>
      <c r="C1438" s="2" t="str">
        <f>"男"</f>
        <v>男</v>
      </c>
      <c r="D1438" s="2" t="str">
        <f t="shared" si="299"/>
        <v>11</v>
      </c>
      <c r="E1438" s="2" t="str">
        <f>"电子信息与电气工程学院"</f>
        <v>电子信息与电气工程学院</v>
      </c>
    </row>
    <row r="1439" ht="13.5" hidden="1" spans="1:5">
      <c r="A1439" s="2" t="str">
        <f>"桑晓琦"</f>
        <v>桑晓琦</v>
      </c>
      <c r="B1439" s="2" t="str">
        <f>"B20231001214"</f>
        <v>B20231001214</v>
      </c>
      <c r="C1439" s="2" t="str">
        <f>"女"</f>
        <v>女</v>
      </c>
      <c r="D1439" s="2" t="str">
        <f t="shared" si="299"/>
        <v>11</v>
      </c>
      <c r="E1439" s="2" t="str">
        <f>"艺术设计学院"</f>
        <v>艺术设计学院</v>
      </c>
    </row>
    <row r="1440" ht="13.5" hidden="1" spans="1:5">
      <c r="A1440" s="2" t="str">
        <f>"符小林"</f>
        <v>符小林</v>
      </c>
      <c r="B1440" s="2" t="str">
        <f>"B20200901219"</f>
        <v>B20200901219</v>
      </c>
      <c r="C1440" s="2" t="str">
        <f>"女"</f>
        <v>女</v>
      </c>
      <c r="D1440" s="2" t="str">
        <f t="shared" si="299"/>
        <v>11</v>
      </c>
      <c r="E1440" s="2" t="str">
        <f>"经济与管理学院"</f>
        <v>经济与管理学院</v>
      </c>
    </row>
    <row r="1441" ht="13.5" hidden="1" spans="1:5">
      <c r="A1441" s="2" t="str">
        <f>"华波"</f>
        <v>华波</v>
      </c>
      <c r="B1441" s="2" t="str">
        <f>"B20230202422"</f>
        <v>B20230202422</v>
      </c>
      <c r="C1441" s="2" t="str">
        <f>"男"</f>
        <v>男</v>
      </c>
      <c r="D1441" s="2" t="str">
        <f t="shared" si="299"/>
        <v>11</v>
      </c>
      <c r="E1441" s="2" t="str">
        <f t="shared" ref="E1441:E1443" si="304">"机电工程学院"</f>
        <v>机电工程学院</v>
      </c>
    </row>
    <row r="1442" ht="13.5" hidden="1" spans="1:5">
      <c r="A1442" s="2" t="str">
        <f>"袁怡平"</f>
        <v>袁怡平</v>
      </c>
      <c r="B1442" s="2" t="str">
        <f>"B20230201228"</f>
        <v>B20230201228</v>
      </c>
      <c r="C1442" s="2" t="str">
        <f>"女"</f>
        <v>女</v>
      </c>
      <c r="D1442" s="2" t="str">
        <f t="shared" si="299"/>
        <v>11</v>
      </c>
      <c r="E1442" s="2" t="str">
        <f t="shared" si="304"/>
        <v>机电工程学院</v>
      </c>
    </row>
    <row r="1443" ht="13.5" hidden="1" spans="1:5">
      <c r="A1443" s="2" t="str">
        <f>"刘祖泰"</f>
        <v>刘祖泰</v>
      </c>
      <c r="B1443" s="2" t="str">
        <f>"B20230201316"</f>
        <v>B20230201316</v>
      </c>
      <c r="C1443" s="2" t="str">
        <f t="shared" ref="C1443:C1445" si="305">"男"</f>
        <v>男</v>
      </c>
      <c r="D1443" s="2" t="str">
        <f t="shared" si="299"/>
        <v>11</v>
      </c>
      <c r="E1443" s="2" t="str">
        <f t="shared" si="304"/>
        <v>机电工程学院</v>
      </c>
    </row>
    <row r="1444" ht="13.5" hidden="1" spans="1:5">
      <c r="A1444" s="2" t="str">
        <f>"黄翱"</f>
        <v>黄翱</v>
      </c>
      <c r="B1444" s="2" t="str">
        <f>"B20220401401"</f>
        <v>B20220401401</v>
      </c>
      <c r="C1444" s="2" t="str">
        <f t="shared" si="305"/>
        <v>男</v>
      </c>
      <c r="D1444" s="2" t="str">
        <f t="shared" si="299"/>
        <v>11</v>
      </c>
      <c r="E1444" s="2" t="str">
        <f>"电子信息与电气工程学院"</f>
        <v>电子信息与电气工程学院</v>
      </c>
    </row>
    <row r="1445" ht="13.5" hidden="1" spans="1:5">
      <c r="A1445" s="2" t="str">
        <f>"胡斌"</f>
        <v>胡斌</v>
      </c>
      <c r="B1445" s="2" t="str">
        <f>"B20220904105"</f>
        <v>B20220904105</v>
      </c>
      <c r="C1445" s="2" t="str">
        <f t="shared" si="305"/>
        <v>男</v>
      </c>
      <c r="D1445" s="2" t="str">
        <f t="shared" si="299"/>
        <v>11</v>
      </c>
      <c r="E1445" s="2" t="str">
        <f t="shared" ref="E1445:E1449" si="306">"经济与管理学院"</f>
        <v>经济与管理学院</v>
      </c>
    </row>
    <row r="1446" ht="13.5" hidden="1" spans="1:5">
      <c r="A1446" s="2" t="str">
        <f>"李雨鑫"</f>
        <v>李雨鑫</v>
      </c>
      <c r="B1446" s="2" t="str">
        <f>"B20210902425"</f>
        <v>B20210902425</v>
      </c>
      <c r="C1446" s="2" t="str">
        <f t="shared" ref="C1446:C1450" si="307">"女"</f>
        <v>女</v>
      </c>
      <c r="D1446" s="2" t="str">
        <f t="shared" si="299"/>
        <v>11</v>
      </c>
      <c r="E1446" s="2" t="str">
        <f t="shared" si="306"/>
        <v>经济与管理学院</v>
      </c>
    </row>
    <row r="1447" ht="13.5" hidden="1" spans="1:5">
      <c r="A1447" s="2" t="str">
        <f>"唐志博"</f>
        <v>唐志博</v>
      </c>
      <c r="B1447" s="2" t="str">
        <f>"B20210202206"</f>
        <v>B20210202206</v>
      </c>
      <c r="C1447" s="2" t="str">
        <f t="shared" ref="C1447:C1451" si="308">"男"</f>
        <v>男</v>
      </c>
      <c r="D1447" s="2" t="str">
        <f t="shared" si="299"/>
        <v>11</v>
      </c>
      <c r="E1447" s="2" t="str">
        <f>"机电工程学院"</f>
        <v>机电工程学院</v>
      </c>
    </row>
    <row r="1448" ht="13.5" hidden="1" spans="1:5">
      <c r="A1448" s="2" t="str">
        <f>"张明"</f>
        <v>张明</v>
      </c>
      <c r="B1448" s="2" t="str">
        <f>"B20230402218"</f>
        <v>B20230402218</v>
      </c>
      <c r="C1448" s="2" t="str">
        <f t="shared" si="308"/>
        <v>男</v>
      </c>
      <c r="D1448" s="2" t="str">
        <f t="shared" si="299"/>
        <v>11</v>
      </c>
      <c r="E1448" s="2" t="str">
        <f>"电子信息与电气工程学院"</f>
        <v>电子信息与电气工程学院</v>
      </c>
    </row>
    <row r="1449" ht="13.5" hidden="1" spans="1:5">
      <c r="A1449" s="2" t="str">
        <f>"谢欣"</f>
        <v>谢欣</v>
      </c>
      <c r="B1449" s="2" t="str">
        <f>"B20220904118"</f>
        <v>B20220904118</v>
      </c>
      <c r="C1449" s="2" t="str">
        <f t="shared" si="307"/>
        <v>女</v>
      </c>
      <c r="D1449" s="2" t="str">
        <f t="shared" si="299"/>
        <v>11</v>
      </c>
      <c r="E1449" s="2" t="str">
        <f t="shared" si="306"/>
        <v>经济与管理学院</v>
      </c>
    </row>
    <row r="1450" ht="13.5" hidden="1" spans="1:5">
      <c r="A1450" s="2" t="str">
        <f>"粟玲清"</f>
        <v>粟玲清</v>
      </c>
      <c r="B1450" s="2" t="str">
        <f>"B20231101114"</f>
        <v>B20231101114</v>
      </c>
      <c r="C1450" s="2" t="str">
        <f t="shared" si="307"/>
        <v>女</v>
      </c>
      <c r="D1450" s="2" t="str">
        <f t="shared" si="299"/>
        <v>11</v>
      </c>
      <c r="E1450" s="2" t="str">
        <f>"音乐学院"</f>
        <v>音乐学院</v>
      </c>
    </row>
    <row r="1451" ht="13.5" hidden="1" spans="1:5">
      <c r="A1451" s="2" t="str">
        <f>"邓骏"</f>
        <v>邓骏</v>
      </c>
      <c r="B1451" s="2" t="str">
        <f>"B20230905213"</f>
        <v>B20230905213</v>
      </c>
      <c r="C1451" s="2" t="str">
        <f t="shared" si="308"/>
        <v>男</v>
      </c>
      <c r="D1451" s="2" t="str">
        <f t="shared" si="299"/>
        <v>11</v>
      </c>
      <c r="E1451" s="2" t="str">
        <f>"经济与管理学院"</f>
        <v>经济与管理学院</v>
      </c>
    </row>
    <row r="1452" ht="13.5" hidden="1" spans="1:5">
      <c r="A1452" s="2" t="str">
        <f>"陈紫娟"</f>
        <v>陈紫娟</v>
      </c>
      <c r="B1452" s="2" t="str">
        <f>"B20230601304"</f>
        <v>B20230601304</v>
      </c>
      <c r="C1452" s="2" t="str">
        <f>"女"</f>
        <v>女</v>
      </c>
      <c r="D1452" s="2" t="str">
        <f t="shared" si="299"/>
        <v>11</v>
      </c>
      <c r="E1452" s="2" t="str">
        <f>"法学院"</f>
        <v>法学院</v>
      </c>
    </row>
    <row r="1453" ht="13.5" hidden="1" spans="1:5">
      <c r="A1453" s="2" t="str">
        <f>"刘英姿"</f>
        <v>刘英姿</v>
      </c>
      <c r="B1453" s="2" t="str">
        <f>"B20220702415"</f>
        <v>B20220702415</v>
      </c>
      <c r="C1453" s="2" t="str">
        <f t="shared" ref="C1453:C1459" si="309">"女"</f>
        <v>女</v>
      </c>
      <c r="D1453" s="2" t="str">
        <f t="shared" si="299"/>
        <v>11</v>
      </c>
      <c r="E1453" s="2" t="str">
        <f t="shared" ref="E1453:E1458" si="310">"马栏山新媒体学院"</f>
        <v>马栏山新媒体学院</v>
      </c>
    </row>
    <row r="1454" ht="13.5" hidden="1" spans="1:5">
      <c r="A1454" s="2" t="str">
        <f>"熊彩丽"</f>
        <v>熊彩丽</v>
      </c>
      <c r="B1454" s="2" t="str">
        <f>"B20231401206"</f>
        <v>B20231401206</v>
      </c>
      <c r="C1454" s="2" t="str">
        <f t="shared" si="309"/>
        <v>女</v>
      </c>
      <c r="D1454" s="2" t="str">
        <f t="shared" si="299"/>
        <v>11</v>
      </c>
      <c r="E1454" s="2" t="str">
        <f>"马克思主义学院"</f>
        <v>马克思主义学院</v>
      </c>
    </row>
    <row r="1455" ht="13.5" hidden="1" spans="1:5">
      <c r="A1455" s="2" t="str">
        <f>"袁欢星"</f>
        <v>袁欢星</v>
      </c>
      <c r="B1455" s="2" t="str">
        <f>"B20230701123"</f>
        <v>B20230701123</v>
      </c>
      <c r="C1455" s="2" t="str">
        <f t="shared" si="309"/>
        <v>女</v>
      </c>
      <c r="D1455" s="2" t="str">
        <f t="shared" si="299"/>
        <v>11</v>
      </c>
      <c r="E1455" s="2" t="str">
        <f t="shared" si="310"/>
        <v>马栏山新媒体学院</v>
      </c>
    </row>
    <row r="1456" ht="13.5" hidden="1" spans="1:5">
      <c r="A1456" s="2" t="str">
        <f>"邱宇辰"</f>
        <v>邱宇辰</v>
      </c>
      <c r="B1456" s="2" t="str">
        <f>"B20231301204"</f>
        <v>B20231301204</v>
      </c>
      <c r="C1456" s="2" t="str">
        <f t="shared" si="309"/>
        <v>女</v>
      </c>
      <c r="D1456" s="2" t="str">
        <f t="shared" si="299"/>
        <v>11</v>
      </c>
      <c r="E1456" s="2" t="str">
        <f>"材料与环境工程学院"</f>
        <v>材料与环境工程学院</v>
      </c>
    </row>
    <row r="1457" ht="13.5" hidden="1" spans="1:5">
      <c r="A1457" s="2" t="str">
        <f>"任嘉敏"</f>
        <v>任嘉敏</v>
      </c>
      <c r="B1457" s="2" t="str">
        <f>"B20200502136"</f>
        <v>B20200502136</v>
      </c>
      <c r="C1457" s="2" t="str">
        <f t="shared" si="309"/>
        <v>女</v>
      </c>
      <c r="D1457" s="2" t="str">
        <f t="shared" si="299"/>
        <v>11</v>
      </c>
      <c r="E1457" s="2" t="str">
        <f>"生物与环境工程学院"</f>
        <v>生物与环境工程学院</v>
      </c>
    </row>
    <row r="1458" ht="13.5" hidden="1" spans="1:5">
      <c r="A1458" s="2" t="str">
        <f>"姚晓昭"</f>
        <v>姚晓昭</v>
      </c>
      <c r="B1458" s="2" t="str">
        <f>"B20220702211"</f>
        <v>B20220702211</v>
      </c>
      <c r="C1458" s="2" t="str">
        <f t="shared" si="309"/>
        <v>女</v>
      </c>
      <c r="D1458" s="2" t="str">
        <f t="shared" si="299"/>
        <v>11</v>
      </c>
      <c r="E1458" s="2" t="str">
        <f t="shared" si="310"/>
        <v>马栏山新媒体学院</v>
      </c>
    </row>
    <row r="1459" ht="13.5" hidden="1" spans="1:5">
      <c r="A1459" s="2" t="str">
        <f>"秦芹"</f>
        <v>秦芹</v>
      </c>
      <c r="B1459" s="2" t="str">
        <f>"B20230904315"</f>
        <v>B20230904315</v>
      </c>
      <c r="C1459" s="2" t="str">
        <f t="shared" si="309"/>
        <v>女</v>
      </c>
      <c r="D1459" s="2" t="str">
        <f t="shared" si="299"/>
        <v>11</v>
      </c>
      <c r="E1459" s="2" t="str">
        <f>"经济与管理学院"</f>
        <v>经济与管理学院</v>
      </c>
    </row>
    <row r="1460" ht="13.5" hidden="1" spans="1:5">
      <c r="A1460" s="2" t="str">
        <f>"李世奇"</f>
        <v>李世奇</v>
      </c>
      <c r="B1460" s="2" t="str">
        <f>"B20230504116"</f>
        <v>B20230504116</v>
      </c>
      <c r="C1460" s="2" t="str">
        <f t="shared" ref="C1460:C1465" si="311">"男"</f>
        <v>男</v>
      </c>
      <c r="D1460" s="2" t="str">
        <f t="shared" si="299"/>
        <v>11</v>
      </c>
      <c r="E1460" s="2" t="str">
        <f>"生物与化学工程学院"</f>
        <v>生物与化学工程学院</v>
      </c>
    </row>
    <row r="1461" ht="13.5" hidden="1" spans="1:5">
      <c r="A1461" s="2" t="str">
        <f>"陶洁"</f>
        <v>陶洁</v>
      </c>
      <c r="B1461" s="2" t="str">
        <f>"B20220702404"</f>
        <v>B20220702404</v>
      </c>
      <c r="C1461" s="2" t="str">
        <f t="shared" ref="C1461:C1464" si="312">"女"</f>
        <v>女</v>
      </c>
      <c r="D1461" s="2" t="str">
        <f t="shared" si="299"/>
        <v>11</v>
      </c>
      <c r="E1461" s="2" t="str">
        <f>"马栏山新媒体学院"</f>
        <v>马栏山新媒体学院</v>
      </c>
    </row>
    <row r="1462" ht="13.5" hidden="1" spans="1:5">
      <c r="A1462" s="2" t="str">
        <f>"陈佳威"</f>
        <v>陈佳威</v>
      </c>
      <c r="B1462" s="2" t="str">
        <f>"B20231401114"</f>
        <v>B20231401114</v>
      </c>
      <c r="C1462" s="2" t="str">
        <f t="shared" si="311"/>
        <v>男</v>
      </c>
      <c r="D1462" s="2" t="str">
        <f t="shared" si="299"/>
        <v>11</v>
      </c>
      <c r="E1462" s="2" t="str">
        <f>"马克思主义学院"</f>
        <v>马克思主义学院</v>
      </c>
    </row>
    <row r="1463" ht="13.5" hidden="1" spans="1:5">
      <c r="A1463" s="2" t="str">
        <f>"吉思思"</f>
        <v>吉思思</v>
      </c>
      <c r="B1463" s="2" t="str">
        <f>"B20200203226"</f>
        <v>B20200203226</v>
      </c>
      <c r="C1463" s="2" t="str">
        <f t="shared" si="312"/>
        <v>女</v>
      </c>
      <c r="D1463" s="2" t="str">
        <f t="shared" si="299"/>
        <v>11</v>
      </c>
      <c r="E1463" s="2" t="str">
        <f>"机电工程学院"</f>
        <v>机电工程学院</v>
      </c>
    </row>
    <row r="1464" ht="13.5" hidden="1" spans="1:5">
      <c r="A1464" s="2" t="str">
        <f>"刘鑫怡"</f>
        <v>刘鑫怡</v>
      </c>
      <c r="B1464" s="2" t="str">
        <f>"B20220801522"</f>
        <v>B20220801522</v>
      </c>
      <c r="C1464" s="2" t="str">
        <f t="shared" si="312"/>
        <v>女</v>
      </c>
      <c r="D1464" s="2" t="str">
        <f t="shared" si="299"/>
        <v>11</v>
      </c>
      <c r="E1464" s="2" t="str">
        <f>"外国语学院"</f>
        <v>外国语学院</v>
      </c>
    </row>
    <row r="1465" ht="13.5" hidden="1" spans="1:5">
      <c r="A1465" s="2" t="str">
        <f>"胡聪"</f>
        <v>胡聪</v>
      </c>
      <c r="B1465" s="2" t="str">
        <f>"B20210102225"</f>
        <v>B20210102225</v>
      </c>
      <c r="C1465" s="2" t="str">
        <f t="shared" si="311"/>
        <v>男</v>
      </c>
      <c r="D1465" s="2" t="str">
        <f t="shared" si="299"/>
        <v>11</v>
      </c>
      <c r="E1465" s="2" t="str">
        <f>"土木工程学院"</f>
        <v>土木工程学院</v>
      </c>
    </row>
    <row r="1466" ht="13.5" hidden="1" spans="1:5">
      <c r="A1466" s="2" t="str">
        <f>"李雨函"</f>
        <v>李雨函</v>
      </c>
      <c r="B1466" s="2" t="str">
        <f>"B20220903237"</f>
        <v>B20220903237</v>
      </c>
      <c r="C1466" s="2" t="str">
        <f>"女"</f>
        <v>女</v>
      </c>
      <c r="D1466" s="2" t="str">
        <f t="shared" si="299"/>
        <v>11</v>
      </c>
      <c r="E1466" s="2" t="str">
        <f>"经济与管理学院"</f>
        <v>经济与管理学院</v>
      </c>
    </row>
    <row r="1467" ht="13.5" hidden="1" spans="1:5">
      <c r="A1467" s="2" t="str">
        <f>"郭梦婷"</f>
        <v>郭梦婷</v>
      </c>
      <c r="B1467" s="2" t="str">
        <f>"B20220402129"</f>
        <v>B20220402129</v>
      </c>
      <c r="C1467" s="2" t="str">
        <f>"女"</f>
        <v>女</v>
      </c>
      <c r="D1467" s="2" t="str">
        <f t="shared" si="299"/>
        <v>11</v>
      </c>
      <c r="E1467" s="2" t="str">
        <f>"电子信息与电气工程学院"</f>
        <v>电子信息与电气工程学院</v>
      </c>
    </row>
    <row r="1468" ht="13.5" hidden="1" spans="1:5">
      <c r="A1468" s="2" t="str">
        <f>"吴云"</f>
        <v>吴云</v>
      </c>
      <c r="B1468" s="2" t="str">
        <f>"B20200404204"</f>
        <v>B20200404204</v>
      </c>
      <c r="C1468" s="2" t="str">
        <f>"男"</f>
        <v>男</v>
      </c>
      <c r="D1468" s="2" t="str">
        <f t="shared" si="299"/>
        <v>11</v>
      </c>
      <c r="E1468" s="2" t="str">
        <f>"电子信息与电气工程学院"</f>
        <v>电子信息与电气工程学院</v>
      </c>
    </row>
    <row r="1469" ht="13.5" hidden="1" spans="1:5">
      <c r="A1469" s="2" t="str">
        <f>"牛子博"</f>
        <v>牛子博</v>
      </c>
      <c r="B1469" s="2" t="str">
        <f>"B20211002113"</f>
        <v>B20211002113</v>
      </c>
      <c r="C1469" s="2" t="str">
        <f>"女"</f>
        <v>女</v>
      </c>
      <c r="D1469" s="2" t="str">
        <f t="shared" si="299"/>
        <v>11</v>
      </c>
      <c r="E1469" s="2" t="str">
        <f>"艺术设计学院"</f>
        <v>艺术设计学院</v>
      </c>
    </row>
    <row r="1470" ht="13.5" hidden="1" spans="1:5">
      <c r="A1470" s="2" t="str">
        <f>"喻诗琦"</f>
        <v>喻诗琦</v>
      </c>
      <c r="B1470" s="2" t="str">
        <f>"B20220103115"</f>
        <v>B20220103115</v>
      </c>
      <c r="C1470" s="2" t="str">
        <f>"女"</f>
        <v>女</v>
      </c>
      <c r="D1470" s="2" t="str">
        <f t="shared" si="299"/>
        <v>11</v>
      </c>
      <c r="E1470" s="2" t="str">
        <f>"土木工程学院"</f>
        <v>土木工程学院</v>
      </c>
    </row>
    <row r="1471" ht="13.5" hidden="1" spans="1:5">
      <c r="A1471" s="2" t="str">
        <f>"沈栋"</f>
        <v>沈栋</v>
      </c>
      <c r="B1471" s="2" t="str">
        <f>"B20230204104"</f>
        <v>B20230204104</v>
      </c>
      <c r="C1471" s="2" t="str">
        <f>"男"</f>
        <v>男</v>
      </c>
      <c r="D1471" s="2" t="str">
        <f t="shared" si="299"/>
        <v>11</v>
      </c>
      <c r="E1471" s="2" t="str">
        <f>"机电工程学院"</f>
        <v>机电工程学院</v>
      </c>
    </row>
    <row r="1472" ht="13.5" hidden="1" spans="1:5">
      <c r="A1472" s="2" t="str">
        <f>"匡银"</f>
        <v>匡银</v>
      </c>
      <c r="B1472" s="2" t="str">
        <f>"B20210903117"</f>
        <v>B20210903117</v>
      </c>
      <c r="C1472" s="2" t="str">
        <f>"女"</f>
        <v>女</v>
      </c>
      <c r="D1472" s="2" t="str">
        <f t="shared" si="299"/>
        <v>11</v>
      </c>
      <c r="E1472" s="2" t="str">
        <f>"经济与管理学院"</f>
        <v>经济与管理学院</v>
      </c>
    </row>
    <row r="1473" ht="13.5" hidden="1" spans="1:5">
      <c r="A1473" s="2" t="str">
        <f>"王品中"</f>
        <v>王品中</v>
      </c>
      <c r="B1473" s="2" t="str">
        <f>"B20231001322"</f>
        <v>B20231001322</v>
      </c>
      <c r="C1473" s="2" t="str">
        <f>"男"</f>
        <v>男</v>
      </c>
      <c r="D1473" s="2" t="str">
        <f t="shared" si="299"/>
        <v>11</v>
      </c>
      <c r="E1473" s="2" t="str">
        <f>"艺术设计学院"</f>
        <v>艺术设计学院</v>
      </c>
    </row>
    <row r="1474" ht="13.5" hidden="1" spans="1:5">
      <c r="A1474" s="2" t="str">
        <f>"荀萱"</f>
        <v>荀萱</v>
      </c>
      <c r="B1474" s="2" t="str">
        <f>"B20220504208"</f>
        <v>B20220504208</v>
      </c>
      <c r="C1474" s="2" t="str">
        <f>"女"</f>
        <v>女</v>
      </c>
      <c r="D1474" s="2" t="str">
        <f t="shared" si="299"/>
        <v>11</v>
      </c>
      <c r="E1474" s="2" t="str">
        <f>"生物与化学工程学院"</f>
        <v>生物与化学工程学院</v>
      </c>
    </row>
    <row r="1475" ht="13.5" hidden="1" spans="1:5">
      <c r="A1475" s="2" t="str">
        <f>"倪家玲"</f>
        <v>倪家玲</v>
      </c>
      <c r="B1475" s="2" t="str">
        <f>"B20220801508"</f>
        <v>B20220801508</v>
      </c>
      <c r="C1475" s="2" t="str">
        <f>"女"</f>
        <v>女</v>
      </c>
      <c r="D1475" s="2" t="str">
        <f t="shared" ref="D1475:D1503" si="313">"11"</f>
        <v>11</v>
      </c>
      <c r="E1475" s="2" t="str">
        <f>"外国语学院"</f>
        <v>外国语学院</v>
      </c>
    </row>
    <row r="1476" ht="13.5" hidden="1" spans="1:5">
      <c r="A1476" s="2" t="str">
        <f>"郭晨曦"</f>
        <v>郭晨曦</v>
      </c>
      <c r="B1476" s="2" t="str">
        <f>"B20230504214"</f>
        <v>B20230504214</v>
      </c>
      <c r="C1476" s="2" t="str">
        <f>"女"</f>
        <v>女</v>
      </c>
      <c r="D1476" s="2" t="str">
        <f t="shared" si="313"/>
        <v>11</v>
      </c>
      <c r="E1476" s="2" t="str">
        <f>"生物与化学工程学院"</f>
        <v>生物与化学工程学院</v>
      </c>
    </row>
    <row r="1477" ht="13.5" hidden="1" spans="1:5">
      <c r="A1477" s="2" t="str">
        <f>"陈婉溶"</f>
        <v>陈婉溶</v>
      </c>
      <c r="B1477" s="2" t="str">
        <f>"B20200701138"</f>
        <v>B20200701138</v>
      </c>
      <c r="C1477" s="2" t="str">
        <f>"女"</f>
        <v>女</v>
      </c>
      <c r="D1477" s="2" t="str">
        <f t="shared" si="313"/>
        <v>11</v>
      </c>
      <c r="E1477" s="2" t="str">
        <f>"马栏山新媒体学院"</f>
        <v>马栏山新媒体学院</v>
      </c>
    </row>
    <row r="1478" ht="13.5" hidden="1" spans="1:5">
      <c r="A1478" s="2" t="str">
        <f>"陈启盛"</f>
        <v>陈启盛</v>
      </c>
      <c r="B1478" s="2" t="str">
        <f>"B20220202226"</f>
        <v>B20220202226</v>
      </c>
      <c r="C1478" s="2" t="str">
        <f t="shared" ref="C1478:C1482" si="314">"男"</f>
        <v>男</v>
      </c>
      <c r="D1478" s="2" t="str">
        <f t="shared" si="313"/>
        <v>11</v>
      </c>
      <c r="E1478" s="2" t="str">
        <f>"机电工程学院"</f>
        <v>机电工程学院</v>
      </c>
    </row>
    <row r="1479" ht="13.5" hidden="1" spans="1:5">
      <c r="A1479" s="2" t="str">
        <f>"刘佛龙"</f>
        <v>刘佛龙</v>
      </c>
      <c r="B1479" s="2" t="str">
        <f>"B20231003106"</f>
        <v>B20231003106</v>
      </c>
      <c r="C1479" s="2" t="str">
        <f t="shared" si="314"/>
        <v>男</v>
      </c>
      <c r="D1479" s="2" t="str">
        <f t="shared" si="313"/>
        <v>11</v>
      </c>
      <c r="E1479" s="2" t="str">
        <f>"艺术设计学院"</f>
        <v>艺术设计学院</v>
      </c>
    </row>
    <row r="1480" ht="13.5" hidden="1" spans="1:5">
      <c r="A1480" s="2" t="str">
        <f>"于晓洁"</f>
        <v>于晓洁</v>
      </c>
      <c r="B1480" s="2" t="str">
        <f>"B20210903220"</f>
        <v>B20210903220</v>
      </c>
      <c r="C1480" s="2" t="str">
        <f>"女"</f>
        <v>女</v>
      </c>
      <c r="D1480" s="2" t="str">
        <f t="shared" si="313"/>
        <v>11</v>
      </c>
      <c r="E1480" s="2" t="str">
        <f>"经济与管理学院"</f>
        <v>经济与管理学院</v>
      </c>
    </row>
    <row r="1481" ht="13.5" hidden="1" spans="1:5">
      <c r="A1481" s="2" t="str">
        <f>"林杰"</f>
        <v>林杰</v>
      </c>
      <c r="B1481" s="2" t="str">
        <f>"B20200101629"</f>
        <v>B20200101629</v>
      </c>
      <c r="C1481" s="2" t="str">
        <f t="shared" si="314"/>
        <v>男</v>
      </c>
      <c r="D1481" s="2" t="str">
        <f t="shared" si="313"/>
        <v>11</v>
      </c>
      <c r="E1481" s="2" t="str">
        <f>"土木工程学院"</f>
        <v>土木工程学院</v>
      </c>
    </row>
    <row r="1482" ht="13.5" hidden="1" spans="1:5">
      <c r="A1482" s="2" t="str">
        <f>"丁智奇"</f>
        <v>丁智奇</v>
      </c>
      <c r="B1482" s="2" t="str">
        <f>"B20230205117"</f>
        <v>B20230205117</v>
      </c>
      <c r="C1482" s="2" t="str">
        <f t="shared" si="314"/>
        <v>男</v>
      </c>
      <c r="D1482" s="2" t="str">
        <f t="shared" si="313"/>
        <v>11</v>
      </c>
      <c r="E1482" s="2" t="str">
        <f>"机电工程学院"</f>
        <v>机电工程学院</v>
      </c>
    </row>
    <row r="1483" ht="13.5" hidden="1" spans="1:5">
      <c r="A1483" s="2" t="str">
        <f>"戴骞"</f>
        <v>戴骞</v>
      </c>
      <c r="B1483" s="2" t="str">
        <f>"B20220904102"</f>
        <v>B20220904102</v>
      </c>
      <c r="C1483" s="2" t="str">
        <f>"女"</f>
        <v>女</v>
      </c>
      <c r="D1483" s="2" t="str">
        <f t="shared" si="313"/>
        <v>11</v>
      </c>
      <c r="E1483" s="2" t="str">
        <f>"经济与管理学院"</f>
        <v>经济与管理学院</v>
      </c>
    </row>
    <row r="1484" ht="13.5" hidden="1" spans="1:5">
      <c r="A1484" s="2" t="str">
        <f>"常曙"</f>
        <v>常曙</v>
      </c>
      <c r="B1484" s="2" t="str">
        <f>"B20230103219"</f>
        <v>B20230103219</v>
      </c>
      <c r="C1484" s="2" t="str">
        <f>"女"</f>
        <v>女</v>
      </c>
      <c r="D1484" s="2" t="str">
        <f t="shared" si="313"/>
        <v>11</v>
      </c>
      <c r="E1484" s="2" t="str">
        <f>"土木工程学院"</f>
        <v>土木工程学院</v>
      </c>
    </row>
    <row r="1485" ht="13.5" hidden="1" spans="1:5">
      <c r="A1485" s="2" t="str">
        <f>"伍高扬"</f>
        <v>伍高扬</v>
      </c>
      <c r="B1485" s="2" t="str">
        <f>"B20220501232"</f>
        <v>B20220501232</v>
      </c>
      <c r="C1485" s="2" t="str">
        <f>"男"</f>
        <v>男</v>
      </c>
      <c r="D1485" s="2" t="str">
        <f t="shared" si="313"/>
        <v>11</v>
      </c>
      <c r="E1485" s="2" t="str">
        <f>"生物与化学工程学院"</f>
        <v>生物与化学工程学院</v>
      </c>
    </row>
    <row r="1486" ht="13.5" hidden="1" spans="1:5">
      <c r="A1486" s="2" t="str">
        <f>"盘婧"</f>
        <v>盘婧</v>
      </c>
      <c r="B1486" s="2" t="str">
        <f>"B20210906135"</f>
        <v>B20210906135</v>
      </c>
      <c r="C1486" s="2" t="str">
        <f t="shared" ref="C1486:C1488" si="315">"女"</f>
        <v>女</v>
      </c>
      <c r="D1486" s="2" t="str">
        <f t="shared" si="313"/>
        <v>11</v>
      </c>
      <c r="E1486" s="2" t="str">
        <f>"经济与管理学院"</f>
        <v>经济与管理学院</v>
      </c>
    </row>
    <row r="1487" ht="13.5" hidden="1" spans="1:5">
      <c r="A1487" s="2" t="str">
        <f>"徐银银"</f>
        <v>徐银银</v>
      </c>
      <c r="B1487" s="2" t="str">
        <f>"B20230601307"</f>
        <v>B20230601307</v>
      </c>
      <c r="C1487" s="2" t="str">
        <f t="shared" si="315"/>
        <v>女</v>
      </c>
      <c r="D1487" s="2" t="str">
        <f t="shared" si="313"/>
        <v>11</v>
      </c>
      <c r="E1487" s="2" t="str">
        <f>"法学院"</f>
        <v>法学院</v>
      </c>
    </row>
    <row r="1488" ht="13.5" hidden="1" spans="1:5">
      <c r="A1488" s="2" t="str">
        <f>"周桃花"</f>
        <v>周桃花</v>
      </c>
      <c r="B1488" s="2" t="str">
        <f>"B20221301222"</f>
        <v>B20221301222</v>
      </c>
      <c r="C1488" s="2" t="str">
        <f t="shared" si="315"/>
        <v>女</v>
      </c>
      <c r="D1488" s="2" t="str">
        <f t="shared" si="313"/>
        <v>11</v>
      </c>
      <c r="E1488" s="2" t="str">
        <f>"材料与环境工程学院"</f>
        <v>材料与环境工程学院</v>
      </c>
    </row>
    <row r="1489" ht="13.5" hidden="1" spans="1:5">
      <c r="A1489" s="2" t="str">
        <f>"朱金成"</f>
        <v>朱金成</v>
      </c>
      <c r="B1489" s="2" t="str">
        <f>"B20230101611"</f>
        <v>B20230101611</v>
      </c>
      <c r="C1489" s="2" t="str">
        <f>"男"</f>
        <v>男</v>
      </c>
      <c r="D1489" s="2" t="str">
        <f t="shared" si="313"/>
        <v>11</v>
      </c>
      <c r="E1489" s="2" t="str">
        <f>"土木工程学院"</f>
        <v>土木工程学院</v>
      </c>
    </row>
    <row r="1490" ht="13.5" hidden="1" spans="1:5">
      <c r="A1490" s="2" t="str">
        <f>"赵欣瑶"</f>
        <v>赵欣瑶</v>
      </c>
      <c r="B1490" s="2" t="str">
        <f>"B20210703216"</f>
        <v>B20210703216</v>
      </c>
      <c r="C1490" s="2" t="str">
        <f>"女"</f>
        <v>女</v>
      </c>
      <c r="D1490" s="2" t="str">
        <f t="shared" si="313"/>
        <v>11</v>
      </c>
      <c r="E1490" s="2" t="str">
        <f>"马栏山新媒体学院"</f>
        <v>马栏山新媒体学院</v>
      </c>
    </row>
    <row r="1491" ht="13.5" hidden="1" spans="1:5">
      <c r="A1491" s="2" t="str">
        <f>"张咏春"</f>
        <v>张咏春</v>
      </c>
      <c r="B1491" s="2" t="str">
        <f>"B20210503227"</f>
        <v>B20210503227</v>
      </c>
      <c r="C1491" s="2" t="str">
        <f>"女"</f>
        <v>女</v>
      </c>
      <c r="D1491" s="2" t="str">
        <f t="shared" si="313"/>
        <v>11</v>
      </c>
      <c r="E1491" s="2" t="str">
        <f>"材料与环境工程学院"</f>
        <v>材料与环境工程学院</v>
      </c>
    </row>
    <row r="1492" ht="13.5" hidden="1" spans="1:5">
      <c r="A1492" s="2" t="str">
        <f>"李杰伦"</f>
        <v>李杰伦</v>
      </c>
      <c r="B1492" s="2" t="str">
        <f>"B20230504419"</f>
        <v>B20230504419</v>
      </c>
      <c r="C1492" s="2" t="str">
        <f>"男"</f>
        <v>男</v>
      </c>
      <c r="D1492" s="2" t="str">
        <f t="shared" si="313"/>
        <v>11</v>
      </c>
      <c r="E1492" s="2" t="str">
        <f>"生物与化学工程学院"</f>
        <v>生物与化学工程学院</v>
      </c>
    </row>
    <row r="1493" ht="13.5" hidden="1" spans="1:5">
      <c r="A1493" s="2" t="str">
        <f>"唐丹妮"</f>
        <v>唐丹妮</v>
      </c>
      <c r="B1493" s="2" t="str">
        <f>"B20230702419"</f>
        <v>B20230702419</v>
      </c>
      <c r="C1493" s="2" t="str">
        <f>"女"</f>
        <v>女</v>
      </c>
      <c r="D1493" s="2" t="str">
        <f t="shared" si="313"/>
        <v>11</v>
      </c>
      <c r="E1493" s="2" t="str">
        <f>"马栏山新媒体学院"</f>
        <v>马栏山新媒体学院</v>
      </c>
    </row>
    <row r="1494" ht="13.5" hidden="1" spans="1:5">
      <c r="A1494" s="2" t="str">
        <f>"贺熙"</f>
        <v>贺熙</v>
      </c>
      <c r="B1494" s="2" t="str">
        <f>"B20200202310"</f>
        <v>B20200202310</v>
      </c>
      <c r="C1494" s="2" t="str">
        <f>"男"</f>
        <v>男</v>
      </c>
      <c r="D1494" s="2" t="str">
        <f t="shared" si="313"/>
        <v>11</v>
      </c>
      <c r="E1494" s="2" t="str">
        <f>"机电工程学院"</f>
        <v>机电工程学院</v>
      </c>
    </row>
    <row r="1495" ht="13.5" hidden="1" spans="1:5">
      <c r="A1495" s="2" t="str">
        <f>"梁晶晶"</f>
        <v>梁晶晶</v>
      </c>
      <c r="B1495" s="2" t="str">
        <f>"B20230801329"</f>
        <v>B20230801329</v>
      </c>
      <c r="C1495" s="2" t="str">
        <f>"女"</f>
        <v>女</v>
      </c>
      <c r="D1495" s="2" t="str">
        <f t="shared" si="313"/>
        <v>11</v>
      </c>
      <c r="E1495" s="2" t="str">
        <f>"外国语学院"</f>
        <v>外国语学院</v>
      </c>
    </row>
    <row r="1496" ht="13.5" hidden="1" spans="1:5">
      <c r="A1496" s="2" t="str">
        <f>"周志杰"</f>
        <v>周志杰</v>
      </c>
      <c r="B1496" s="2" t="str">
        <f>"B20210405112"</f>
        <v>B20210405112</v>
      </c>
      <c r="C1496" s="2" t="str">
        <f>"男"</f>
        <v>男</v>
      </c>
      <c r="D1496" s="2" t="str">
        <f t="shared" si="313"/>
        <v>11</v>
      </c>
      <c r="E1496" s="2" t="str">
        <f>"电子信息与电气工程学院"</f>
        <v>电子信息与电气工程学院</v>
      </c>
    </row>
    <row r="1497" ht="13.5" hidden="1" spans="1:5">
      <c r="A1497" s="2" t="str">
        <f>"秦瑜蔓"</f>
        <v>秦瑜蔓</v>
      </c>
      <c r="B1497" s="2" t="str">
        <f>"B20231001407"</f>
        <v>B20231001407</v>
      </c>
      <c r="C1497" s="2" t="str">
        <f t="shared" ref="C1497:C1500" si="316">"女"</f>
        <v>女</v>
      </c>
      <c r="D1497" s="2" t="str">
        <f t="shared" si="313"/>
        <v>11</v>
      </c>
      <c r="E1497" s="2" t="str">
        <f>"艺术设计学院"</f>
        <v>艺术设计学院</v>
      </c>
    </row>
    <row r="1498" ht="13.5" hidden="1" spans="1:5">
      <c r="A1498" s="2" t="str">
        <f>"罗小小"</f>
        <v>罗小小</v>
      </c>
      <c r="B1498" s="2" t="str">
        <f>"B20200902207"</f>
        <v>B20200902207</v>
      </c>
      <c r="C1498" s="2" t="str">
        <f t="shared" si="316"/>
        <v>女</v>
      </c>
      <c r="D1498" s="2" t="str">
        <f t="shared" si="313"/>
        <v>11</v>
      </c>
      <c r="E1498" s="2" t="str">
        <f>"经济与管理学院"</f>
        <v>经济与管理学院</v>
      </c>
    </row>
    <row r="1499" ht="13.5" hidden="1" spans="1:5">
      <c r="A1499" s="2" t="str">
        <f>"余泽宏"</f>
        <v>余泽宏</v>
      </c>
      <c r="B1499" s="2" t="str">
        <f>"B20231001121"</f>
        <v>B20231001121</v>
      </c>
      <c r="C1499" s="2" t="str">
        <f>"男"</f>
        <v>男</v>
      </c>
      <c r="D1499" s="2" t="str">
        <f t="shared" si="313"/>
        <v>11</v>
      </c>
      <c r="E1499" s="2" t="str">
        <f>"艺术设计学院"</f>
        <v>艺术设计学院</v>
      </c>
    </row>
    <row r="1500" ht="13.5" hidden="1" spans="1:5">
      <c r="A1500" s="2" t="str">
        <f>"金奕含"</f>
        <v>金奕含</v>
      </c>
      <c r="B1500" s="2" t="str">
        <f>"B20230902205"</f>
        <v>B20230902205</v>
      </c>
      <c r="C1500" s="2" t="str">
        <f t="shared" si="316"/>
        <v>女</v>
      </c>
      <c r="D1500" s="2" t="str">
        <f t="shared" si="313"/>
        <v>11</v>
      </c>
      <c r="E1500" s="2" t="str">
        <f>"经济与管理学院"</f>
        <v>经济与管理学院</v>
      </c>
    </row>
    <row r="1501" ht="13.5" hidden="1" spans="1:5">
      <c r="A1501" s="2" t="str">
        <f>"刘祎达"</f>
        <v>刘祎达</v>
      </c>
      <c r="B1501" s="2" t="str">
        <f>"B20230205227"</f>
        <v>B20230205227</v>
      </c>
      <c r="C1501" s="2" t="str">
        <f>"男"</f>
        <v>男</v>
      </c>
      <c r="D1501" s="2" t="str">
        <f t="shared" si="313"/>
        <v>11</v>
      </c>
      <c r="E1501" s="2" t="str">
        <f>"机电工程学院"</f>
        <v>机电工程学院</v>
      </c>
    </row>
    <row r="1502" ht="13.5" hidden="1" spans="1:5">
      <c r="A1502" s="2" t="str">
        <f>"盛伊凡"</f>
        <v>盛伊凡</v>
      </c>
      <c r="B1502" s="2" t="str">
        <f>"B20230802220"</f>
        <v>B20230802220</v>
      </c>
      <c r="C1502" s="2" t="str">
        <f>"女"</f>
        <v>女</v>
      </c>
      <c r="D1502" s="2" t="str">
        <f t="shared" si="313"/>
        <v>11</v>
      </c>
      <c r="E1502" s="2" t="str">
        <f>"外国语学院"</f>
        <v>外国语学院</v>
      </c>
    </row>
    <row r="1503" ht="13.5" hidden="1" spans="1:5">
      <c r="A1503" s="2" t="str">
        <f>"伍志祥"</f>
        <v>伍志祥</v>
      </c>
      <c r="B1503" s="2" t="str">
        <f>"B20231302222"</f>
        <v>B20231302222</v>
      </c>
      <c r="C1503" s="2" t="str">
        <f>"男"</f>
        <v>男</v>
      </c>
      <c r="D1503" s="2" t="str">
        <f t="shared" si="313"/>
        <v>11</v>
      </c>
      <c r="E1503" s="2" t="str">
        <f>"材料与环境工程学院"</f>
        <v>材料与环境工程学院</v>
      </c>
    </row>
    <row r="1504" ht="13.5" hidden="1" spans="1:5">
      <c r="A1504" s="2" t="str">
        <f>"李文波"</f>
        <v>李文波</v>
      </c>
      <c r="B1504" s="2" t="str">
        <f>"B20220201305"</f>
        <v>B20220201305</v>
      </c>
      <c r="C1504" s="2" t="str">
        <f>"男"</f>
        <v>男</v>
      </c>
      <c r="D1504" s="2" t="str">
        <f t="shared" ref="D1504:D1567" si="317">"11"</f>
        <v>11</v>
      </c>
      <c r="E1504" s="2" t="str">
        <f>"机电工程学院"</f>
        <v>机电工程学院</v>
      </c>
    </row>
    <row r="1505" ht="13.5" hidden="1" spans="1:5">
      <c r="A1505" s="2" t="str">
        <f>"周烁圳"</f>
        <v>周烁圳</v>
      </c>
      <c r="B1505" s="2" t="str">
        <f>"B20230401316"</f>
        <v>B20230401316</v>
      </c>
      <c r="C1505" s="2" t="str">
        <f>"男"</f>
        <v>男</v>
      </c>
      <c r="D1505" s="2" t="str">
        <f t="shared" si="317"/>
        <v>11</v>
      </c>
      <c r="E1505" s="2" t="str">
        <f>"电子信息与电气工程学院"</f>
        <v>电子信息与电气工程学院</v>
      </c>
    </row>
    <row r="1506" ht="13.5" hidden="1" spans="1:5">
      <c r="A1506" s="2" t="str">
        <f>"刘志坤"</f>
        <v>刘志坤</v>
      </c>
      <c r="B1506" s="2" t="str">
        <f>"B20210102120"</f>
        <v>B20210102120</v>
      </c>
      <c r="C1506" s="2" t="str">
        <f>"男"</f>
        <v>男</v>
      </c>
      <c r="D1506" s="2" t="str">
        <f t="shared" si="317"/>
        <v>11</v>
      </c>
      <c r="E1506" s="2" t="str">
        <f>"土木工程学院"</f>
        <v>土木工程学院</v>
      </c>
    </row>
    <row r="1507" ht="13.5" hidden="1" spans="1:5">
      <c r="A1507" s="2" t="str">
        <f>"熊诗源"</f>
        <v>熊诗源</v>
      </c>
      <c r="B1507" s="2" t="str">
        <f>"B20231002117"</f>
        <v>B20231002117</v>
      </c>
      <c r="C1507" s="2" t="str">
        <f t="shared" ref="C1507:C1511" si="318">"女"</f>
        <v>女</v>
      </c>
      <c r="D1507" s="2" t="str">
        <f t="shared" si="317"/>
        <v>11</v>
      </c>
      <c r="E1507" s="2" t="str">
        <f>"艺术设计学院"</f>
        <v>艺术设计学院</v>
      </c>
    </row>
    <row r="1508" ht="13.5" hidden="1" spans="1:5">
      <c r="A1508" s="2" t="str">
        <f>"刘彤"</f>
        <v>刘彤</v>
      </c>
      <c r="B1508" s="2" t="str">
        <f>"B20200502128"</f>
        <v>B20200502128</v>
      </c>
      <c r="C1508" s="2" t="str">
        <f t="shared" ref="C1508:C1513" si="319">"男"</f>
        <v>男</v>
      </c>
      <c r="D1508" s="2" t="str">
        <f t="shared" si="317"/>
        <v>11</v>
      </c>
      <c r="E1508" s="2" t="str">
        <f>"生物与环境工程学院"</f>
        <v>生物与环境工程学院</v>
      </c>
    </row>
    <row r="1509" ht="13.5" hidden="1" spans="1:5">
      <c r="A1509" s="2" t="str">
        <f>"杨燕"</f>
        <v>杨燕</v>
      </c>
      <c r="B1509" s="2" t="str">
        <f>"B20221302331"</f>
        <v>B20221302331</v>
      </c>
      <c r="C1509" s="2" t="str">
        <f t="shared" si="318"/>
        <v>女</v>
      </c>
      <c r="D1509" s="2" t="str">
        <f t="shared" si="317"/>
        <v>11</v>
      </c>
      <c r="E1509" s="2" t="str">
        <f>"材料与环境工程学院"</f>
        <v>材料与环境工程学院</v>
      </c>
    </row>
    <row r="1510" ht="13.5" hidden="1" spans="1:5">
      <c r="A1510" s="2" t="str">
        <f>"陈阳"</f>
        <v>陈阳</v>
      </c>
      <c r="B1510" s="2" t="str">
        <f>"B20220403213"</f>
        <v>B20220403213</v>
      </c>
      <c r="C1510" s="2" t="str">
        <f t="shared" si="319"/>
        <v>男</v>
      </c>
      <c r="D1510" s="2" t="str">
        <f t="shared" si="317"/>
        <v>11</v>
      </c>
      <c r="E1510" s="2" t="str">
        <f t="shared" ref="E1510:E1513" si="320">"电子信息与电气工程学院"</f>
        <v>电子信息与电气工程学院</v>
      </c>
    </row>
    <row r="1511" ht="13.5" hidden="1" spans="1:5">
      <c r="A1511" s="2" t="str">
        <f>"张清婷"</f>
        <v>张清婷</v>
      </c>
      <c r="B1511" s="2" t="str">
        <f>"B20210403228"</f>
        <v>B20210403228</v>
      </c>
      <c r="C1511" s="2" t="str">
        <f t="shared" si="318"/>
        <v>女</v>
      </c>
      <c r="D1511" s="2" t="str">
        <f t="shared" si="317"/>
        <v>11</v>
      </c>
      <c r="E1511" s="2" t="str">
        <f t="shared" si="320"/>
        <v>电子信息与电气工程学院</v>
      </c>
    </row>
    <row r="1512" ht="13.5" hidden="1" spans="1:5">
      <c r="A1512" s="2" t="str">
        <f>"杨志豪"</f>
        <v>杨志豪</v>
      </c>
      <c r="B1512" s="2" t="str">
        <f>"B20230704420"</f>
        <v>B20230704420</v>
      </c>
      <c r="C1512" s="2" t="str">
        <f t="shared" si="319"/>
        <v>男</v>
      </c>
      <c r="D1512" s="2" t="str">
        <f t="shared" si="317"/>
        <v>11</v>
      </c>
      <c r="E1512" s="2" t="str">
        <f>"马栏山新媒体学院"</f>
        <v>马栏山新媒体学院</v>
      </c>
    </row>
    <row r="1513" ht="13.5" hidden="1" spans="1:5">
      <c r="A1513" s="2" t="str">
        <f>"陈才"</f>
        <v>陈才</v>
      </c>
      <c r="B1513" s="2" t="str">
        <f>"B20220401322"</f>
        <v>B20220401322</v>
      </c>
      <c r="C1513" s="2" t="str">
        <f t="shared" si="319"/>
        <v>男</v>
      </c>
      <c r="D1513" s="2" t="str">
        <f t="shared" si="317"/>
        <v>11</v>
      </c>
      <c r="E1513" s="2" t="str">
        <f t="shared" si="320"/>
        <v>电子信息与电气工程学院</v>
      </c>
    </row>
    <row r="1514" ht="13.5" hidden="1" spans="1:5">
      <c r="A1514" s="2" t="str">
        <f>"谭欣"</f>
        <v>谭欣</v>
      </c>
      <c r="B1514" s="2" t="str">
        <f>"B20230702125"</f>
        <v>B20230702125</v>
      </c>
      <c r="C1514" s="2" t="str">
        <f>"女"</f>
        <v>女</v>
      </c>
      <c r="D1514" s="2" t="str">
        <f t="shared" si="317"/>
        <v>11</v>
      </c>
      <c r="E1514" s="2" t="str">
        <f>"马栏山新媒体学院"</f>
        <v>马栏山新媒体学院</v>
      </c>
    </row>
    <row r="1515" ht="13.5" hidden="1" spans="1:5">
      <c r="A1515" s="2" t="str">
        <f>"杨鸿骏"</f>
        <v>杨鸿骏</v>
      </c>
      <c r="B1515" s="2" t="str">
        <f>"B20230402332"</f>
        <v>B20230402332</v>
      </c>
      <c r="C1515" s="2" t="str">
        <f t="shared" ref="C1515:C1519" si="321">"男"</f>
        <v>男</v>
      </c>
      <c r="D1515" s="2" t="str">
        <f t="shared" si="317"/>
        <v>11</v>
      </c>
      <c r="E1515" s="2" t="str">
        <f>"电子信息与电气工程学院"</f>
        <v>电子信息与电气工程学院</v>
      </c>
    </row>
    <row r="1516" ht="13.5" hidden="1" spans="1:5">
      <c r="A1516" s="2" t="str">
        <f>"龚俊华"</f>
        <v>龚俊华</v>
      </c>
      <c r="B1516" s="2" t="str">
        <f>"B20210202234"</f>
        <v>B20210202234</v>
      </c>
      <c r="C1516" s="2" t="str">
        <f t="shared" si="321"/>
        <v>男</v>
      </c>
      <c r="D1516" s="2" t="str">
        <f t="shared" si="317"/>
        <v>11</v>
      </c>
      <c r="E1516" s="2" t="str">
        <f>"机电工程学院"</f>
        <v>机电工程学院</v>
      </c>
    </row>
    <row r="1517" ht="13.5" hidden="1" spans="1:5">
      <c r="A1517" s="2" t="str">
        <f>"周扬"</f>
        <v>周扬</v>
      </c>
      <c r="B1517" s="2" t="str">
        <f>"B20220904129"</f>
        <v>B20220904129</v>
      </c>
      <c r="C1517" s="2" t="str">
        <f t="shared" ref="C1517:C1522" si="322">"女"</f>
        <v>女</v>
      </c>
      <c r="D1517" s="2" t="str">
        <f t="shared" si="317"/>
        <v>11</v>
      </c>
      <c r="E1517" s="2" t="str">
        <f>"经济与管理学院"</f>
        <v>经济与管理学院</v>
      </c>
    </row>
    <row r="1518" ht="13.5" hidden="1" spans="1:5">
      <c r="A1518" s="2" t="str">
        <f>"邓棋樯"</f>
        <v>邓棋樯</v>
      </c>
      <c r="B1518" s="2" t="str">
        <f>"B20230101614"</f>
        <v>B20230101614</v>
      </c>
      <c r="C1518" s="2" t="str">
        <f t="shared" si="321"/>
        <v>男</v>
      </c>
      <c r="D1518" s="2" t="str">
        <f t="shared" si="317"/>
        <v>11</v>
      </c>
      <c r="E1518" s="2" t="str">
        <f t="shared" ref="E1518:E1520" si="323">"土木工程学院"</f>
        <v>土木工程学院</v>
      </c>
    </row>
    <row r="1519" ht="13.5" hidden="1" spans="1:5">
      <c r="A1519" s="2" t="str">
        <f>"陈智涵"</f>
        <v>陈智涵</v>
      </c>
      <c r="B1519" s="2" t="str">
        <f>"B20230101521"</f>
        <v>B20230101521</v>
      </c>
      <c r="C1519" s="2" t="str">
        <f t="shared" si="321"/>
        <v>男</v>
      </c>
      <c r="D1519" s="2" t="str">
        <f t="shared" si="317"/>
        <v>11</v>
      </c>
      <c r="E1519" s="2" t="str">
        <f t="shared" si="323"/>
        <v>土木工程学院</v>
      </c>
    </row>
    <row r="1520" ht="13.5" hidden="1" spans="1:5">
      <c r="A1520" s="2" t="str">
        <f>"严晓华"</f>
        <v>严晓华</v>
      </c>
      <c r="B1520" s="2" t="str">
        <f>"B20230103232"</f>
        <v>B20230103232</v>
      </c>
      <c r="C1520" s="2" t="str">
        <f t="shared" si="322"/>
        <v>女</v>
      </c>
      <c r="D1520" s="2" t="str">
        <f t="shared" si="317"/>
        <v>11</v>
      </c>
      <c r="E1520" s="2" t="str">
        <f t="shared" si="323"/>
        <v>土木工程学院</v>
      </c>
    </row>
    <row r="1521" ht="13.5" hidden="1" spans="1:5">
      <c r="A1521" s="2" t="str">
        <f>"伍海琳"</f>
        <v>伍海琳</v>
      </c>
      <c r="B1521" s="2" t="str">
        <f>"B20230601205"</f>
        <v>B20230601205</v>
      </c>
      <c r="C1521" s="2" t="str">
        <f t="shared" si="322"/>
        <v>女</v>
      </c>
      <c r="D1521" s="2" t="str">
        <f t="shared" si="317"/>
        <v>11</v>
      </c>
      <c r="E1521" s="2" t="str">
        <f>"法学院"</f>
        <v>法学院</v>
      </c>
    </row>
    <row r="1522" ht="13.5" hidden="1" spans="1:5">
      <c r="A1522" s="2" t="str">
        <f>"王静"</f>
        <v>王静</v>
      </c>
      <c r="B1522" s="2" t="str">
        <f>"B20210903111"</f>
        <v>B20210903111</v>
      </c>
      <c r="C1522" s="2" t="str">
        <f t="shared" si="322"/>
        <v>女</v>
      </c>
      <c r="D1522" s="2" t="str">
        <f t="shared" si="317"/>
        <v>11</v>
      </c>
      <c r="E1522" s="2" t="str">
        <f>"经济与管理学院"</f>
        <v>经济与管理学院</v>
      </c>
    </row>
    <row r="1523" ht="13.5" hidden="1" spans="1:5">
      <c r="A1523" s="2" t="str">
        <f>"郭睿轩"</f>
        <v>郭睿轩</v>
      </c>
      <c r="B1523" s="2" t="str">
        <f>"B20200801111"</f>
        <v>B20200801111</v>
      </c>
      <c r="C1523" s="2" t="str">
        <f>"男"</f>
        <v>男</v>
      </c>
      <c r="D1523" s="2" t="str">
        <f t="shared" si="317"/>
        <v>11</v>
      </c>
      <c r="E1523" s="2" t="str">
        <f>"外国语学院"</f>
        <v>外国语学院</v>
      </c>
    </row>
    <row r="1524" ht="13.5" hidden="1" spans="1:5">
      <c r="A1524" s="2" t="str">
        <f>"于珈"</f>
        <v>于珈</v>
      </c>
      <c r="B1524" s="2" t="str">
        <f>"B20220104234"</f>
        <v>B20220104234</v>
      </c>
      <c r="C1524" s="2" t="str">
        <f>"女"</f>
        <v>女</v>
      </c>
      <c r="D1524" s="2" t="str">
        <f t="shared" si="317"/>
        <v>11</v>
      </c>
      <c r="E1524" s="2" t="str">
        <f>"土木工程学院"</f>
        <v>土木工程学院</v>
      </c>
    </row>
    <row r="1525" ht="13.5" hidden="1" spans="1:5">
      <c r="A1525" s="2" t="str">
        <f>"邓志昶"</f>
        <v>邓志昶</v>
      </c>
      <c r="B1525" s="2" t="str">
        <f>"B20200201211"</f>
        <v>B20200201211</v>
      </c>
      <c r="C1525" s="2" t="str">
        <f>"男"</f>
        <v>男</v>
      </c>
      <c r="D1525" s="2" t="str">
        <f t="shared" si="317"/>
        <v>11</v>
      </c>
      <c r="E1525" s="2" t="str">
        <f>"机电工程学院"</f>
        <v>机电工程学院</v>
      </c>
    </row>
    <row r="1526" ht="13.5" hidden="1" spans="1:5">
      <c r="A1526" s="2" t="str">
        <f>"文赢赢"</f>
        <v>文赢赢</v>
      </c>
      <c r="B1526" s="2" t="str">
        <f>"B20220803105"</f>
        <v>B20220803105</v>
      </c>
      <c r="C1526" s="2" t="str">
        <f>"女"</f>
        <v>女</v>
      </c>
      <c r="D1526" s="2" t="str">
        <f t="shared" si="317"/>
        <v>11</v>
      </c>
      <c r="E1526" s="2" t="str">
        <f>"外国语学院"</f>
        <v>外国语学院</v>
      </c>
    </row>
    <row r="1527" ht="13.5" hidden="1" spans="1:5">
      <c r="A1527" s="2" t="str">
        <f>"朱芬"</f>
        <v>朱芬</v>
      </c>
      <c r="B1527" s="2" t="str">
        <f>"B20220904104"</f>
        <v>B20220904104</v>
      </c>
      <c r="C1527" s="2" t="str">
        <f>"女"</f>
        <v>女</v>
      </c>
      <c r="D1527" s="2" t="str">
        <f t="shared" si="317"/>
        <v>11</v>
      </c>
      <c r="E1527" s="2" t="str">
        <f>"经济与管理学院"</f>
        <v>经济与管理学院</v>
      </c>
    </row>
    <row r="1528" ht="13.5" hidden="1" spans="1:5">
      <c r="A1528" s="2" t="str">
        <f>"封航"</f>
        <v>封航</v>
      </c>
      <c r="B1528" s="2" t="str">
        <f>"B20220204120"</f>
        <v>B20220204120</v>
      </c>
      <c r="C1528" s="2" t="str">
        <f>"男"</f>
        <v>男</v>
      </c>
      <c r="D1528" s="2" t="str">
        <f t="shared" si="317"/>
        <v>11</v>
      </c>
      <c r="E1528" s="2" t="str">
        <f>"机电工程学院"</f>
        <v>机电工程学院</v>
      </c>
    </row>
    <row r="1529" ht="13.5" hidden="1" spans="1:5">
      <c r="A1529" s="2" t="str">
        <f>"王艺璇"</f>
        <v>王艺璇</v>
      </c>
      <c r="B1529" s="2" t="str">
        <f>"B20220202106"</f>
        <v>B20220202106</v>
      </c>
      <c r="C1529" s="2" t="str">
        <f t="shared" ref="C1529:C1531" si="324">"女"</f>
        <v>女</v>
      </c>
      <c r="D1529" s="2" t="str">
        <f t="shared" si="317"/>
        <v>11</v>
      </c>
      <c r="E1529" s="2" t="str">
        <f>"机电工程学院"</f>
        <v>机电工程学院</v>
      </c>
    </row>
    <row r="1530" ht="13.5" hidden="1" spans="1:5">
      <c r="A1530" s="2" t="str">
        <f>"符敏美"</f>
        <v>符敏美</v>
      </c>
      <c r="B1530" s="2" t="str">
        <f>"B20220601419"</f>
        <v>B20220601419</v>
      </c>
      <c r="C1530" s="2" t="str">
        <f t="shared" si="324"/>
        <v>女</v>
      </c>
      <c r="D1530" s="2" t="str">
        <f t="shared" si="317"/>
        <v>11</v>
      </c>
      <c r="E1530" s="2" t="str">
        <f>"法学院"</f>
        <v>法学院</v>
      </c>
    </row>
    <row r="1531" ht="13.5" hidden="1" spans="1:5">
      <c r="A1531" s="2" t="str">
        <f>"孙娜"</f>
        <v>孙娜</v>
      </c>
      <c r="B1531" s="2" t="str">
        <f>"B20200402332"</f>
        <v>B20200402332</v>
      </c>
      <c r="C1531" s="2" t="str">
        <f t="shared" si="324"/>
        <v>女</v>
      </c>
      <c r="D1531" s="2" t="str">
        <f t="shared" si="317"/>
        <v>11</v>
      </c>
      <c r="E1531" s="2" t="str">
        <f>"电子信息与电气工程学院"</f>
        <v>电子信息与电气工程学院</v>
      </c>
    </row>
    <row r="1532" ht="13.5" hidden="1" spans="1:5">
      <c r="A1532" s="2" t="str">
        <f>"林梓鑫"</f>
        <v>林梓鑫</v>
      </c>
      <c r="B1532" s="2" t="str">
        <f>"B20210503120"</f>
        <v>B20210503120</v>
      </c>
      <c r="C1532" s="2" t="str">
        <f>"男"</f>
        <v>男</v>
      </c>
      <c r="D1532" s="2" t="str">
        <f t="shared" si="317"/>
        <v>11</v>
      </c>
      <c r="E1532" s="2" t="str">
        <f>"材料与环境工程学院"</f>
        <v>材料与环境工程学院</v>
      </c>
    </row>
    <row r="1533" ht="13.5" hidden="1" spans="1:5">
      <c r="A1533" s="2" t="str">
        <f>"祝湘君"</f>
        <v>祝湘君</v>
      </c>
      <c r="B1533" s="2" t="str">
        <f>"B20231111227"</f>
        <v>B20231111227</v>
      </c>
      <c r="C1533" s="2" t="str">
        <f t="shared" ref="C1533:C1536" si="325">"女"</f>
        <v>女</v>
      </c>
      <c r="D1533" s="2" t="str">
        <f t="shared" si="317"/>
        <v>11</v>
      </c>
      <c r="E1533" s="2" t="str">
        <f>"音乐学院"</f>
        <v>音乐学院</v>
      </c>
    </row>
    <row r="1534" ht="13.5" hidden="1" spans="1:5">
      <c r="A1534" s="2" t="str">
        <f>"熊雪玲"</f>
        <v>熊雪玲</v>
      </c>
      <c r="B1534" s="2" t="str">
        <f>"B20210402127"</f>
        <v>B20210402127</v>
      </c>
      <c r="C1534" s="2" t="str">
        <f t="shared" si="325"/>
        <v>女</v>
      </c>
      <c r="D1534" s="2" t="str">
        <f t="shared" si="317"/>
        <v>11</v>
      </c>
      <c r="E1534" s="2" t="str">
        <f>"电子信息与电气工程学院"</f>
        <v>电子信息与电气工程学院</v>
      </c>
    </row>
    <row r="1535" ht="13.5" hidden="1" spans="1:5">
      <c r="A1535" s="2" t="str">
        <f>"赵梦"</f>
        <v>赵梦</v>
      </c>
      <c r="B1535" s="2" t="str">
        <f>"B20230103220"</f>
        <v>B20230103220</v>
      </c>
      <c r="C1535" s="2" t="str">
        <f t="shared" si="325"/>
        <v>女</v>
      </c>
      <c r="D1535" s="2" t="str">
        <f t="shared" si="317"/>
        <v>11</v>
      </c>
      <c r="E1535" s="2" t="str">
        <f>"土木工程学院"</f>
        <v>土木工程学院</v>
      </c>
    </row>
    <row r="1536" ht="13.5" hidden="1" spans="1:5">
      <c r="A1536" s="2" t="str">
        <f>"齐银静"</f>
        <v>齐银静</v>
      </c>
      <c r="B1536" s="2" t="str">
        <f>"B20210803209"</f>
        <v>B20210803209</v>
      </c>
      <c r="C1536" s="2" t="str">
        <f t="shared" si="325"/>
        <v>女</v>
      </c>
      <c r="D1536" s="2" t="str">
        <f t="shared" si="317"/>
        <v>11</v>
      </c>
      <c r="E1536" s="2" t="str">
        <f>"外国语学院"</f>
        <v>外国语学院</v>
      </c>
    </row>
    <row r="1537" ht="13.5" hidden="1" spans="1:5">
      <c r="A1537" s="2" t="str">
        <f>"邹智超"</f>
        <v>邹智超</v>
      </c>
      <c r="B1537" s="2" t="str">
        <f>"B20210601416"</f>
        <v>B20210601416</v>
      </c>
      <c r="C1537" s="2" t="str">
        <f t="shared" ref="C1537:C1540" si="326">"女"</f>
        <v>女</v>
      </c>
      <c r="D1537" s="2" t="str">
        <f t="shared" si="317"/>
        <v>11</v>
      </c>
      <c r="E1537" s="2" t="str">
        <f>"法学院"</f>
        <v>法学院</v>
      </c>
    </row>
    <row r="1538" ht="13.5" hidden="1" spans="1:5">
      <c r="A1538" s="2" t="str">
        <f>"蒙婧"</f>
        <v>蒙婧</v>
      </c>
      <c r="B1538" s="2" t="str">
        <f>"B20200101633"</f>
        <v>B20200101633</v>
      </c>
      <c r="C1538" s="2" t="str">
        <f t="shared" si="326"/>
        <v>女</v>
      </c>
      <c r="D1538" s="2" t="str">
        <f t="shared" si="317"/>
        <v>11</v>
      </c>
      <c r="E1538" s="2" t="str">
        <f t="shared" ref="E1538:E1542" si="327">"土木工程学院"</f>
        <v>土木工程学院</v>
      </c>
    </row>
    <row r="1539" ht="13.5" hidden="1" spans="1:5">
      <c r="A1539" s="2" t="str">
        <f>"颜梁军"</f>
        <v>颜梁军</v>
      </c>
      <c r="B1539" s="2" t="str">
        <f>"B20230504422"</f>
        <v>B20230504422</v>
      </c>
      <c r="C1539" s="2" t="str">
        <f t="shared" ref="C1537:C1545" si="328">"男"</f>
        <v>男</v>
      </c>
      <c r="D1539" s="2" t="str">
        <f t="shared" si="317"/>
        <v>11</v>
      </c>
      <c r="E1539" s="2" t="str">
        <f>"生物与化学工程学院"</f>
        <v>生物与化学工程学院</v>
      </c>
    </row>
    <row r="1540" ht="13.5" hidden="1" spans="1:5">
      <c r="A1540" s="2" t="str">
        <f>"谢怡"</f>
        <v>谢怡</v>
      </c>
      <c r="B1540" s="2" t="str">
        <f>"B20230701326"</f>
        <v>B20230701326</v>
      </c>
      <c r="C1540" s="2" t="str">
        <f t="shared" si="326"/>
        <v>女</v>
      </c>
      <c r="D1540" s="2" t="str">
        <f t="shared" si="317"/>
        <v>11</v>
      </c>
      <c r="E1540" s="2" t="str">
        <f>"马栏山新媒体学院"</f>
        <v>马栏山新媒体学院</v>
      </c>
    </row>
    <row r="1541" ht="13.5" hidden="1" spans="1:5">
      <c r="A1541" s="2" t="str">
        <f>"邓见元"</f>
        <v>邓见元</v>
      </c>
      <c r="B1541" s="2" t="str">
        <f>"B20230103123"</f>
        <v>B20230103123</v>
      </c>
      <c r="C1541" s="2" t="str">
        <f t="shared" si="328"/>
        <v>男</v>
      </c>
      <c r="D1541" s="2" t="str">
        <f t="shared" si="317"/>
        <v>11</v>
      </c>
      <c r="E1541" s="2" t="str">
        <f t="shared" si="327"/>
        <v>土木工程学院</v>
      </c>
    </row>
    <row r="1542" ht="13.5" hidden="1" spans="1:5">
      <c r="A1542" s="2" t="str">
        <f>"朱凌凯"</f>
        <v>朱凌凯</v>
      </c>
      <c r="B1542" s="2" t="str">
        <f>"B20200102117"</f>
        <v>B20200102117</v>
      </c>
      <c r="C1542" s="2" t="str">
        <f t="shared" si="328"/>
        <v>男</v>
      </c>
      <c r="D1542" s="2" t="str">
        <f t="shared" si="317"/>
        <v>11</v>
      </c>
      <c r="E1542" s="2" t="str">
        <f t="shared" si="327"/>
        <v>土木工程学院</v>
      </c>
    </row>
    <row r="1543" ht="13.5" hidden="1" spans="1:5">
      <c r="A1543" s="2" t="str">
        <f>"廖浩文"</f>
        <v>廖浩文</v>
      </c>
      <c r="B1543" s="2" t="str">
        <f>"B20210404219"</f>
        <v>B20210404219</v>
      </c>
      <c r="C1543" s="2" t="str">
        <f t="shared" si="328"/>
        <v>男</v>
      </c>
      <c r="D1543" s="2" t="str">
        <f t="shared" si="317"/>
        <v>11</v>
      </c>
      <c r="E1543" s="2" t="str">
        <f>"电子信息与电气工程学院"</f>
        <v>电子信息与电气工程学院</v>
      </c>
    </row>
    <row r="1544" ht="13.5" hidden="1" spans="1:5">
      <c r="A1544" s="2" t="str">
        <f>"谭笑凯"</f>
        <v>谭笑凯</v>
      </c>
      <c r="B1544" s="2" t="str">
        <f>"B20231302232"</f>
        <v>B20231302232</v>
      </c>
      <c r="C1544" s="2" t="str">
        <f t="shared" si="328"/>
        <v>男</v>
      </c>
      <c r="D1544" s="2" t="str">
        <f t="shared" si="317"/>
        <v>11</v>
      </c>
      <c r="E1544" s="2" t="str">
        <f>"材料与环境工程学院"</f>
        <v>材料与环境工程学院</v>
      </c>
    </row>
    <row r="1545" ht="13.5" hidden="1" spans="1:5">
      <c r="A1545" s="2" t="str">
        <f>"李梓彬"</f>
        <v>李梓彬</v>
      </c>
      <c r="B1545" s="2" t="str">
        <f>"B20210203220"</f>
        <v>B20210203220</v>
      </c>
      <c r="C1545" s="2" t="str">
        <f t="shared" si="328"/>
        <v>男</v>
      </c>
      <c r="D1545" s="2" t="str">
        <f t="shared" si="317"/>
        <v>11</v>
      </c>
      <c r="E1545" s="2" t="str">
        <f>"机电工程学院"</f>
        <v>机电工程学院</v>
      </c>
    </row>
    <row r="1546" ht="13.5" hidden="1" spans="1:5">
      <c r="A1546" s="2" t="str">
        <f>"张梦"</f>
        <v>张梦</v>
      </c>
      <c r="B1546" s="2" t="str">
        <f>"B20230905229"</f>
        <v>B20230905229</v>
      </c>
      <c r="C1546" s="2" t="str">
        <f>"女"</f>
        <v>女</v>
      </c>
      <c r="D1546" s="2" t="str">
        <f t="shared" si="317"/>
        <v>11</v>
      </c>
      <c r="E1546" s="2" t="str">
        <f>"经济与管理学院"</f>
        <v>经济与管理学院</v>
      </c>
    </row>
    <row r="1547" ht="13.5" hidden="1" spans="1:5">
      <c r="A1547" s="2" t="str">
        <f>"陈泽轩"</f>
        <v>陈泽轩</v>
      </c>
      <c r="B1547" s="2" t="str">
        <f>"B20230903120"</f>
        <v>B20230903120</v>
      </c>
      <c r="C1547" s="2" t="str">
        <f>"男"</f>
        <v>男</v>
      </c>
      <c r="D1547" s="2" t="str">
        <f t="shared" si="317"/>
        <v>11</v>
      </c>
      <c r="E1547" s="2" t="str">
        <f>"经济与管理学院"</f>
        <v>经济与管理学院</v>
      </c>
    </row>
    <row r="1548" ht="13.5" hidden="1" spans="1:5">
      <c r="A1548" s="2" t="str">
        <f>"元广"</f>
        <v>元广</v>
      </c>
      <c r="B1548" s="2" t="str">
        <f>"B20230701315"</f>
        <v>B20230701315</v>
      </c>
      <c r="C1548" s="2" t="str">
        <f>"男"</f>
        <v>男</v>
      </c>
      <c r="D1548" s="2" t="str">
        <f t="shared" si="317"/>
        <v>11</v>
      </c>
      <c r="E1548" s="2" t="str">
        <f>"马栏山新媒体学院"</f>
        <v>马栏山新媒体学院</v>
      </c>
    </row>
    <row r="1549" ht="13.5" hidden="1" spans="1:5">
      <c r="A1549" s="2" t="str">
        <f>"李佳"</f>
        <v>李佳</v>
      </c>
      <c r="B1549" s="2" t="str">
        <f>"B20210201403"</f>
        <v>B20210201403</v>
      </c>
      <c r="C1549" s="2" t="str">
        <f t="shared" ref="C1549:C1552" si="329">"女"</f>
        <v>女</v>
      </c>
      <c r="D1549" s="2" t="str">
        <f t="shared" si="317"/>
        <v>11</v>
      </c>
      <c r="E1549" s="2" t="str">
        <f>"机电工程学院"</f>
        <v>机电工程学院</v>
      </c>
    </row>
    <row r="1550" ht="13.5" hidden="1" spans="1:5">
      <c r="A1550" s="2" t="str">
        <f>"张俊"</f>
        <v>张俊</v>
      </c>
      <c r="B1550" s="2" t="str">
        <f>"B20230504420"</f>
        <v>B20230504420</v>
      </c>
      <c r="C1550" s="2" t="str">
        <f t="shared" ref="C1550:C1558" si="330">"男"</f>
        <v>男</v>
      </c>
      <c r="D1550" s="2" t="str">
        <f t="shared" si="317"/>
        <v>11</v>
      </c>
      <c r="E1550" s="2" t="str">
        <f>"生物与化学工程学院"</f>
        <v>生物与化学工程学院</v>
      </c>
    </row>
    <row r="1551" ht="13.5" hidden="1" spans="1:5">
      <c r="A1551" s="2" t="str">
        <f>"张美琦"</f>
        <v>张美琦</v>
      </c>
      <c r="B1551" s="2" t="str">
        <f>"B20200904128"</f>
        <v>B20200904128</v>
      </c>
      <c r="C1551" s="2" t="str">
        <f t="shared" si="329"/>
        <v>女</v>
      </c>
      <c r="D1551" s="2" t="str">
        <f t="shared" si="317"/>
        <v>11</v>
      </c>
      <c r="E1551" s="2" t="str">
        <f>"经济与管理学院"</f>
        <v>经济与管理学院</v>
      </c>
    </row>
    <row r="1552" ht="13.5" hidden="1" spans="1:5">
      <c r="A1552" s="2" t="str">
        <f>"张金秀"</f>
        <v>张金秀</v>
      </c>
      <c r="B1552" s="2" t="str">
        <f>"B20230906129"</f>
        <v>B20230906129</v>
      </c>
      <c r="C1552" s="2" t="str">
        <f t="shared" si="329"/>
        <v>女</v>
      </c>
      <c r="D1552" s="2" t="str">
        <f t="shared" si="317"/>
        <v>11</v>
      </c>
      <c r="E1552" s="2" t="str">
        <f>"经济与管理学院"</f>
        <v>经济与管理学院</v>
      </c>
    </row>
    <row r="1553" ht="13.5" hidden="1" spans="1:5">
      <c r="A1553" s="2" t="str">
        <f>"夏墨轩"</f>
        <v>夏墨轩</v>
      </c>
      <c r="B1553" s="2" t="str">
        <f>"B20220701202"</f>
        <v>B20220701202</v>
      </c>
      <c r="C1553" s="2" t="str">
        <f t="shared" si="330"/>
        <v>男</v>
      </c>
      <c r="D1553" s="2" t="str">
        <f t="shared" si="317"/>
        <v>11</v>
      </c>
      <c r="E1553" s="2" t="str">
        <f>"马栏山新媒体学院"</f>
        <v>马栏山新媒体学院</v>
      </c>
    </row>
    <row r="1554" ht="13.5" hidden="1" spans="1:5">
      <c r="A1554" s="2" t="str">
        <f>"陈怡雯"</f>
        <v>陈怡雯</v>
      </c>
      <c r="B1554" s="2" t="str">
        <f>"B20201003208"</f>
        <v>B20201003208</v>
      </c>
      <c r="C1554" s="2" t="str">
        <f>"女"</f>
        <v>女</v>
      </c>
      <c r="D1554" s="2" t="str">
        <f t="shared" si="317"/>
        <v>11</v>
      </c>
      <c r="E1554" s="2" t="str">
        <f>"艺术设计学院"</f>
        <v>艺术设计学院</v>
      </c>
    </row>
    <row r="1555" ht="13.5" hidden="1" spans="1:5">
      <c r="A1555" s="2" t="str">
        <f>"张煜栋"</f>
        <v>张煜栋</v>
      </c>
      <c r="B1555" s="2" t="str">
        <f>"B20210402122"</f>
        <v>B20210402122</v>
      </c>
      <c r="C1555" s="2" t="str">
        <f t="shared" si="330"/>
        <v>男</v>
      </c>
      <c r="D1555" s="2" t="str">
        <f t="shared" si="317"/>
        <v>11</v>
      </c>
      <c r="E1555" s="2" t="str">
        <f t="shared" ref="E1555:E1557" si="331">"电子信息与电气工程学院"</f>
        <v>电子信息与电气工程学院</v>
      </c>
    </row>
    <row r="1556" ht="13.5" hidden="1" spans="1:5">
      <c r="A1556" s="2" t="str">
        <f>"袁一题"</f>
        <v>袁一题</v>
      </c>
      <c r="B1556" s="2" t="str">
        <f>"B20210403125"</f>
        <v>B20210403125</v>
      </c>
      <c r="C1556" s="2" t="str">
        <f t="shared" si="330"/>
        <v>男</v>
      </c>
      <c r="D1556" s="2" t="str">
        <f t="shared" si="317"/>
        <v>11</v>
      </c>
      <c r="E1556" s="2" t="str">
        <f t="shared" si="331"/>
        <v>电子信息与电气工程学院</v>
      </c>
    </row>
    <row r="1557" ht="13.5" hidden="1" spans="1:5">
      <c r="A1557" s="2" t="str">
        <f>"柯尊宇"</f>
        <v>柯尊宇</v>
      </c>
      <c r="B1557" s="2" t="str">
        <f>"B20220401414"</f>
        <v>B20220401414</v>
      </c>
      <c r="C1557" s="2" t="str">
        <f t="shared" si="330"/>
        <v>男</v>
      </c>
      <c r="D1557" s="2" t="str">
        <f t="shared" si="317"/>
        <v>11</v>
      </c>
      <c r="E1557" s="2" t="str">
        <f t="shared" si="331"/>
        <v>电子信息与电气工程学院</v>
      </c>
    </row>
    <row r="1558" ht="13.5" hidden="1" spans="1:5">
      <c r="A1558" s="2" t="str">
        <f>"李嘉琦"</f>
        <v>李嘉琦</v>
      </c>
      <c r="B1558" s="2" t="str">
        <f>"B20231003205"</f>
        <v>B20231003205</v>
      </c>
      <c r="C1558" s="2" t="str">
        <f t="shared" si="330"/>
        <v>男</v>
      </c>
      <c r="D1558" s="2" t="str">
        <f t="shared" si="317"/>
        <v>11</v>
      </c>
      <c r="E1558" s="2" t="str">
        <f>"艺术设计学院"</f>
        <v>艺术设计学院</v>
      </c>
    </row>
    <row r="1559" ht="13.5" hidden="1" spans="1:5">
      <c r="A1559" s="2" t="str">
        <f>"林青青"</f>
        <v>林青青</v>
      </c>
      <c r="B1559" s="2" t="str">
        <f>"B20210904112"</f>
        <v>B20210904112</v>
      </c>
      <c r="C1559" s="2" t="str">
        <f t="shared" ref="C1559:C1568" si="332">"女"</f>
        <v>女</v>
      </c>
      <c r="D1559" s="2" t="str">
        <f t="shared" si="317"/>
        <v>11</v>
      </c>
      <c r="E1559" s="2" t="str">
        <f t="shared" ref="E1559:E1561" si="333">"经济与管理学院"</f>
        <v>经济与管理学院</v>
      </c>
    </row>
    <row r="1560" ht="13.5" hidden="1" spans="1:5">
      <c r="A1560" s="2" t="str">
        <f>"段伟琦"</f>
        <v>段伟琦</v>
      </c>
      <c r="B1560" s="2" t="str">
        <f>"B20230902326"</f>
        <v>B20230902326</v>
      </c>
      <c r="C1560" s="2" t="str">
        <f t="shared" si="332"/>
        <v>女</v>
      </c>
      <c r="D1560" s="2" t="str">
        <f t="shared" si="317"/>
        <v>11</v>
      </c>
      <c r="E1560" s="2" t="str">
        <f t="shared" si="333"/>
        <v>经济与管理学院</v>
      </c>
    </row>
    <row r="1561" ht="13.5" hidden="1" spans="1:5">
      <c r="A1561" s="2" t="str">
        <f>"易京雁"</f>
        <v>易京雁</v>
      </c>
      <c r="B1561" s="2" t="str">
        <f>"B20230901226"</f>
        <v>B20230901226</v>
      </c>
      <c r="C1561" s="2" t="str">
        <f t="shared" si="332"/>
        <v>女</v>
      </c>
      <c r="D1561" s="2" t="str">
        <f t="shared" si="317"/>
        <v>11</v>
      </c>
      <c r="E1561" s="2" t="str">
        <f t="shared" si="333"/>
        <v>经济与管理学院</v>
      </c>
    </row>
    <row r="1562" ht="13.5" hidden="1" spans="1:5">
      <c r="A1562" s="2" t="str">
        <f>"蒋乐"</f>
        <v>蒋乐</v>
      </c>
      <c r="B1562" s="2" t="str">
        <f>"B20231401214"</f>
        <v>B20231401214</v>
      </c>
      <c r="C1562" s="2" t="str">
        <f t="shared" si="332"/>
        <v>女</v>
      </c>
      <c r="D1562" s="2" t="str">
        <f t="shared" si="317"/>
        <v>11</v>
      </c>
      <c r="E1562" s="2" t="str">
        <f>"马克思主义学院"</f>
        <v>马克思主义学院</v>
      </c>
    </row>
    <row r="1563" ht="13.5" hidden="1" spans="1:5">
      <c r="A1563" s="2" t="str">
        <f>"吴雯怡"</f>
        <v>吴雯怡</v>
      </c>
      <c r="B1563" s="2" t="str">
        <f>"B20210601113"</f>
        <v>B20210601113</v>
      </c>
      <c r="C1563" s="2" t="str">
        <f t="shared" si="332"/>
        <v>女</v>
      </c>
      <c r="D1563" s="2" t="str">
        <f t="shared" si="317"/>
        <v>11</v>
      </c>
      <c r="E1563" s="2" t="str">
        <f>"法学院"</f>
        <v>法学院</v>
      </c>
    </row>
    <row r="1564" ht="13.5" hidden="1" spans="1:5">
      <c r="A1564" s="2" t="str">
        <f>"余敏"</f>
        <v>余敏</v>
      </c>
      <c r="B1564" s="2" t="str">
        <f>"B20200801628"</f>
        <v>B20200801628</v>
      </c>
      <c r="C1564" s="2" t="str">
        <f t="shared" si="332"/>
        <v>女</v>
      </c>
      <c r="D1564" s="2" t="str">
        <f t="shared" si="317"/>
        <v>11</v>
      </c>
      <c r="E1564" s="2" t="str">
        <f>"外国语学院"</f>
        <v>外国语学院</v>
      </c>
    </row>
    <row r="1565" ht="13.5" hidden="1" spans="1:5">
      <c r="A1565" s="2" t="str">
        <f>"李静"</f>
        <v>李静</v>
      </c>
      <c r="B1565" s="2" t="str">
        <f>"B20220902313"</f>
        <v>B20220902313</v>
      </c>
      <c r="C1565" s="2" t="str">
        <f t="shared" si="332"/>
        <v>女</v>
      </c>
      <c r="D1565" s="2" t="str">
        <f t="shared" si="317"/>
        <v>11</v>
      </c>
      <c r="E1565" s="2" t="str">
        <f>"经济与管理学院"</f>
        <v>经济与管理学院</v>
      </c>
    </row>
    <row r="1566" ht="13.5" hidden="1" spans="1:5">
      <c r="A1566" s="2" t="str">
        <f>"邓江晴"</f>
        <v>邓江晴</v>
      </c>
      <c r="B1566" s="2" t="str">
        <f>"B20231302118"</f>
        <v>B20231302118</v>
      </c>
      <c r="C1566" s="2" t="str">
        <f t="shared" si="332"/>
        <v>女</v>
      </c>
      <c r="D1566" s="2" t="str">
        <f t="shared" si="317"/>
        <v>11</v>
      </c>
      <c r="E1566" s="2" t="str">
        <f>"材料与环境工程学院"</f>
        <v>材料与环境工程学院</v>
      </c>
    </row>
    <row r="1567" ht="13.5" hidden="1" spans="1:5">
      <c r="A1567" s="2" t="str">
        <f>"杨艳君"</f>
        <v>杨艳君</v>
      </c>
      <c r="B1567" s="2" t="str">
        <f>"B20211001213"</f>
        <v>B20211001213</v>
      </c>
      <c r="C1567" s="2" t="str">
        <f t="shared" si="332"/>
        <v>女</v>
      </c>
      <c r="D1567" s="2" t="str">
        <f t="shared" si="317"/>
        <v>11</v>
      </c>
      <c r="E1567" s="2" t="str">
        <f>"艺术设计学院"</f>
        <v>艺术设计学院</v>
      </c>
    </row>
    <row r="1568" ht="13.5" hidden="1" spans="1:5">
      <c r="A1568" s="2" t="str">
        <f>"曹惠"</f>
        <v>曹惠</v>
      </c>
      <c r="B1568" s="2" t="str">
        <f>"B20220504329"</f>
        <v>B20220504329</v>
      </c>
      <c r="C1568" s="2" t="str">
        <f t="shared" si="332"/>
        <v>女</v>
      </c>
      <c r="D1568" s="2" t="str">
        <f>"11"</f>
        <v>11</v>
      </c>
      <c r="E1568" s="2" t="str">
        <f>"生物与化学工程学院"</f>
        <v>生物与化学工程学院</v>
      </c>
    </row>
    <row r="1569" ht="13.5" hidden="1" spans="1:5">
      <c r="A1569" s="2" t="str">
        <f>"吴凯旋"</f>
        <v>吴凯旋</v>
      </c>
      <c r="B1569" s="2" t="str">
        <f>"B20220502206"</f>
        <v>B20220502206</v>
      </c>
      <c r="C1569" s="2" t="str">
        <f>"男"</f>
        <v>男</v>
      </c>
      <c r="D1569" s="2" t="str">
        <f>"11"</f>
        <v>11</v>
      </c>
      <c r="E1569" s="2" t="str">
        <f>"生物与化学工程学院"</f>
        <v>生物与化学工程学院</v>
      </c>
    </row>
    <row r="1570" ht="13.5" hidden="1" spans="1:5">
      <c r="A1570" s="2" t="str">
        <f>"唐琳"</f>
        <v>唐琳</v>
      </c>
      <c r="B1570" s="2" t="str">
        <f>"B20210801121"</f>
        <v>B20210801121</v>
      </c>
      <c r="C1570" s="2" t="str">
        <f t="shared" ref="C1570:C1572" si="334">"女"</f>
        <v>女</v>
      </c>
      <c r="D1570" s="2" t="str">
        <f>"11"</f>
        <v>11</v>
      </c>
      <c r="E1570" s="2" t="str">
        <f>"外国语学院"</f>
        <v>外国语学院</v>
      </c>
    </row>
    <row r="1571" ht="13.5" hidden="1" spans="1:5">
      <c r="A1571" s="2" t="str">
        <f>"张雨婷"</f>
        <v>张雨婷</v>
      </c>
      <c r="B1571" s="2" t="str">
        <f>"B20220502102"</f>
        <v>B20220502102</v>
      </c>
      <c r="C1571" s="2" t="str">
        <f t="shared" si="334"/>
        <v>女</v>
      </c>
      <c r="D1571" s="2" t="str">
        <f>"11"</f>
        <v>11</v>
      </c>
      <c r="E1571" s="2" t="str">
        <f>"生物与化学工程学院"</f>
        <v>生物与化学工程学院</v>
      </c>
    </row>
    <row r="1572" ht="13.5" hidden="1" spans="1:5">
      <c r="A1572" s="2" t="str">
        <f>"缪秋雨"</f>
        <v>缪秋雨</v>
      </c>
      <c r="B1572" s="2" t="str">
        <f>"B20201101211"</f>
        <v>B20201101211</v>
      </c>
      <c r="C1572" s="2" t="str">
        <f t="shared" si="334"/>
        <v>女</v>
      </c>
      <c r="D1572" s="2" t="str">
        <f>"11"</f>
        <v>11</v>
      </c>
      <c r="E1572" s="2" t="str">
        <f>"音乐学院"</f>
        <v>音乐学院</v>
      </c>
    </row>
    <row r="1573" ht="13.5" hidden="1" spans="1:5">
      <c r="A1573" s="2" t="str">
        <f>"刘硕"</f>
        <v>刘硕</v>
      </c>
      <c r="B1573" s="2" t="str">
        <f>"B20230801302"</f>
        <v>B20230801302</v>
      </c>
      <c r="C1573" s="2" t="str">
        <f t="shared" ref="C1573:C1577" si="335">"女"</f>
        <v>女</v>
      </c>
      <c r="D1573" s="2" t="str">
        <f t="shared" ref="D1573:D1592" si="336">"11"</f>
        <v>11</v>
      </c>
      <c r="E1573" s="2" t="str">
        <f>"外国语学院"</f>
        <v>外国语学院</v>
      </c>
    </row>
    <row r="1574" ht="13.5" hidden="1" spans="1:5">
      <c r="A1574" s="2" t="str">
        <f>"李映蓉"</f>
        <v>李映蓉</v>
      </c>
      <c r="B1574" s="2" t="str">
        <f>"B20220801218"</f>
        <v>B20220801218</v>
      </c>
      <c r="C1574" s="2" t="str">
        <f t="shared" si="335"/>
        <v>女</v>
      </c>
      <c r="D1574" s="2" t="str">
        <f t="shared" si="336"/>
        <v>11</v>
      </c>
      <c r="E1574" s="2" t="str">
        <f>"外国语学院"</f>
        <v>外国语学院</v>
      </c>
    </row>
    <row r="1575" ht="13.5" hidden="1" spans="1:5">
      <c r="A1575" s="2" t="str">
        <f>"何子凡"</f>
        <v>何子凡</v>
      </c>
      <c r="B1575" s="2" t="str">
        <f>"B20231301225"</f>
        <v>B20231301225</v>
      </c>
      <c r="C1575" s="2" t="str">
        <f>"男"</f>
        <v>男</v>
      </c>
      <c r="D1575" s="2" t="str">
        <f t="shared" si="336"/>
        <v>11</v>
      </c>
      <c r="E1575" s="2" t="str">
        <f>"材料与环境工程学院"</f>
        <v>材料与环境工程学院</v>
      </c>
    </row>
    <row r="1576" ht="13.5" hidden="1" spans="1:5">
      <c r="A1576" s="2" t="str">
        <f>"陈戈怡"</f>
        <v>陈戈怡</v>
      </c>
      <c r="B1576" s="2" t="str">
        <f>"B20230802106"</f>
        <v>B20230802106</v>
      </c>
      <c r="C1576" s="2" t="str">
        <f t="shared" si="335"/>
        <v>女</v>
      </c>
      <c r="D1576" s="2" t="str">
        <f t="shared" si="336"/>
        <v>11</v>
      </c>
      <c r="E1576" s="2" t="str">
        <f>"外国语学院"</f>
        <v>外国语学院</v>
      </c>
    </row>
    <row r="1577" ht="13.5" hidden="1" spans="1:5">
      <c r="A1577" s="2" t="str">
        <f>"黄燕姿"</f>
        <v>黄燕姿</v>
      </c>
      <c r="B1577" s="2" t="str">
        <f>"B20231401224"</f>
        <v>B20231401224</v>
      </c>
      <c r="C1577" s="2" t="str">
        <f t="shared" si="335"/>
        <v>女</v>
      </c>
      <c r="D1577" s="2" t="str">
        <f t="shared" si="336"/>
        <v>11</v>
      </c>
      <c r="E1577" s="2" t="str">
        <f>"马克思主义学院"</f>
        <v>马克思主义学院</v>
      </c>
    </row>
    <row r="1578" ht="13.5" hidden="1" spans="1:5">
      <c r="A1578" s="2" t="str">
        <f>"张立洲"</f>
        <v>张立洲</v>
      </c>
      <c r="B1578" s="2" t="str">
        <f>"B20220402101"</f>
        <v>B20220402101</v>
      </c>
      <c r="C1578" s="2" t="str">
        <f>"男"</f>
        <v>男</v>
      </c>
      <c r="D1578" s="2" t="str">
        <f t="shared" si="336"/>
        <v>11</v>
      </c>
      <c r="E1578" s="2" t="str">
        <f t="shared" ref="E1578:E1582" si="337">"电子信息与电气工程学院"</f>
        <v>电子信息与电气工程学院</v>
      </c>
    </row>
    <row r="1579" ht="13.5" hidden="1" spans="1:5">
      <c r="A1579" s="2" t="str">
        <f>"徐叶盈"</f>
        <v>徐叶盈</v>
      </c>
      <c r="B1579" s="2" t="str">
        <f>"B20230801105"</f>
        <v>B20230801105</v>
      </c>
      <c r="C1579" s="2" t="str">
        <f t="shared" ref="C1579:C1584" si="338">"女"</f>
        <v>女</v>
      </c>
      <c r="D1579" s="2" t="str">
        <f t="shared" si="336"/>
        <v>11</v>
      </c>
      <c r="E1579" s="2" t="str">
        <f>"外国语学院"</f>
        <v>外国语学院</v>
      </c>
    </row>
    <row r="1580" ht="13.5" hidden="1" spans="1:5">
      <c r="A1580" s="2" t="str">
        <f>"彭婷钰"</f>
        <v>彭婷钰</v>
      </c>
      <c r="B1580" s="2" t="str">
        <f>"B20220403123"</f>
        <v>B20220403123</v>
      </c>
      <c r="C1580" s="2" t="str">
        <f t="shared" si="338"/>
        <v>女</v>
      </c>
      <c r="D1580" s="2" t="str">
        <f t="shared" si="336"/>
        <v>11</v>
      </c>
      <c r="E1580" s="2" t="str">
        <f t="shared" si="337"/>
        <v>电子信息与电气工程学院</v>
      </c>
    </row>
    <row r="1581" ht="13.5" hidden="1" spans="1:5">
      <c r="A1581" s="2" t="str">
        <f>"张富才"</f>
        <v>张富才</v>
      </c>
      <c r="B1581" s="2" t="str">
        <f>"B20220904136"</f>
        <v>B20220904136</v>
      </c>
      <c r="C1581" s="2" t="str">
        <f>"男"</f>
        <v>男</v>
      </c>
      <c r="D1581" s="2" t="str">
        <f t="shared" si="336"/>
        <v>11</v>
      </c>
      <c r="E1581" s="2" t="str">
        <f>"经济与管理学院"</f>
        <v>经济与管理学院</v>
      </c>
    </row>
    <row r="1582" ht="13.5" hidden="1" spans="1:5">
      <c r="A1582" s="2" t="str">
        <f>"陈欣"</f>
        <v>陈欣</v>
      </c>
      <c r="B1582" s="2" t="str">
        <f>"B20230404202"</f>
        <v>B20230404202</v>
      </c>
      <c r="C1582" s="2" t="str">
        <f t="shared" si="338"/>
        <v>女</v>
      </c>
      <c r="D1582" s="2" t="str">
        <f t="shared" si="336"/>
        <v>11</v>
      </c>
      <c r="E1582" s="2" t="str">
        <f t="shared" si="337"/>
        <v>电子信息与电气工程学院</v>
      </c>
    </row>
    <row r="1583" ht="13.5" hidden="1" spans="1:5">
      <c r="A1583" s="2" t="str">
        <f>"谢妍"</f>
        <v>谢妍</v>
      </c>
      <c r="B1583" s="2" t="str">
        <f>"B20230601209"</f>
        <v>B20230601209</v>
      </c>
      <c r="C1583" s="2" t="str">
        <f t="shared" si="338"/>
        <v>女</v>
      </c>
      <c r="D1583" s="2" t="str">
        <f t="shared" si="336"/>
        <v>11</v>
      </c>
      <c r="E1583" s="2" t="str">
        <f>"法学院"</f>
        <v>法学院</v>
      </c>
    </row>
    <row r="1584" ht="13.5" hidden="1" spans="1:5">
      <c r="A1584" s="2" t="str">
        <f>"廖心悦"</f>
        <v>廖心悦</v>
      </c>
      <c r="B1584" s="2" t="str">
        <f>"B20230704204"</f>
        <v>B20230704204</v>
      </c>
      <c r="C1584" s="2" t="str">
        <f t="shared" si="338"/>
        <v>女</v>
      </c>
      <c r="D1584" s="2" t="str">
        <f t="shared" si="336"/>
        <v>11</v>
      </c>
      <c r="E1584" s="2" t="str">
        <f>"马栏山新媒体学院"</f>
        <v>马栏山新媒体学院</v>
      </c>
    </row>
    <row r="1585" ht="13.5" hidden="1" spans="1:5">
      <c r="A1585" s="2" t="str">
        <f>"杨帆"</f>
        <v>杨帆</v>
      </c>
      <c r="B1585" s="2" t="str">
        <f>"B20230802103"</f>
        <v>B20230802103</v>
      </c>
      <c r="C1585" s="2" t="str">
        <f>"男"</f>
        <v>男</v>
      </c>
      <c r="D1585" s="2" t="str">
        <f t="shared" si="336"/>
        <v>11</v>
      </c>
      <c r="E1585" s="2" t="str">
        <f>"外国语学院"</f>
        <v>外国语学院</v>
      </c>
    </row>
    <row r="1586" ht="13.5" hidden="1" spans="1:5">
      <c r="A1586" s="2" t="str">
        <f>"岳志明"</f>
        <v>岳志明</v>
      </c>
      <c r="B1586" s="2" t="str">
        <f>"B20230504120"</f>
        <v>B20230504120</v>
      </c>
      <c r="C1586" s="2" t="str">
        <f t="shared" ref="C1586:C1591" si="339">"男"</f>
        <v>男</v>
      </c>
      <c r="D1586" s="2" t="str">
        <f t="shared" si="336"/>
        <v>11</v>
      </c>
      <c r="E1586" s="2" t="str">
        <f>"生物与化学工程学院"</f>
        <v>生物与化学工程学院</v>
      </c>
    </row>
    <row r="1587" ht="13.5" hidden="1" spans="1:5">
      <c r="A1587" s="2" t="str">
        <f>"梁伦川"</f>
        <v>梁伦川</v>
      </c>
      <c r="B1587" s="2" t="str">
        <f>"B20230404122"</f>
        <v>B20230404122</v>
      </c>
      <c r="C1587" s="2" t="str">
        <f t="shared" si="339"/>
        <v>男</v>
      </c>
      <c r="D1587" s="2" t="str">
        <f t="shared" si="336"/>
        <v>11</v>
      </c>
      <c r="E1587" s="2" t="str">
        <f>"电子信息与电气工程学院"</f>
        <v>电子信息与电气工程学院</v>
      </c>
    </row>
    <row r="1588" ht="13.5" hidden="1" spans="1:5">
      <c r="A1588" s="2" t="str">
        <f>"周扬铭"</f>
        <v>周扬铭</v>
      </c>
      <c r="B1588" s="2" t="str">
        <f>"B20230404221"</f>
        <v>B20230404221</v>
      </c>
      <c r="C1588" s="2" t="str">
        <f t="shared" si="339"/>
        <v>男</v>
      </c>
      <c r="D1588" s="2" t="str">
        <f t="shared" si="336"/>
        <v>11</v>
      </c>
      <c r="E1588" s="2" t="str">
        <f>"电子信息与电气工程学院"</f>
        <v>电子信息与电气工程学院</v>
      </c>
    </row>
    <row r="1589" ht="13.5" hidden="1" spans="1:5">
      <c r="A1589" s="2" t="str">
        <f>"张志文"</f>
        <v>张志文</v>
      </c>
      <c r="B1589" s="2" t="str">
        <f>"B20210204207"</f>
        <v>B20210204207</v>
      </c>
      <c r="C1589" s="2" t="str">
        <f t="shared" si="339"/>
        <v>男</v>
      </c>
      <c r="D1589" s="2" t="str">
        <f t="shared" si="336"/>
        <v>11</v>
      </c>
      <c r="E1589" s="2" t="str">
        <f>"机电工程学院"</f>
        <v>机电工程学院</v>
      </c>
    </row>
    <row r="1590" ht="13.5" hidden="1" spans="1:5">
      <c r="A1590" s="2" t="str">
        <f>"李明宇"</f>
        <v>李明宇</v>
      </c>
      <c r="B1590" s="2" t="str">
        <f>"B20210902321"</f>
        <v>B20210902321</v>
      </c>
      <c r="C1590" s="2" t="str">
        <f t="shared" si="339"/>
        <v>男</v>
      </c>
      <c r="D1590" s="2" t="str">
        <f t="shared" si="336"/>
        <v>11</v>
      </c>
      <c r="E1590" s="2" t="str">
        <f>"经济与管理学院"</f>
        <v>经济与管理学院</v>
      </c>
    </row>
    <row r="1591" ht="13.5" hidden="1" spans="1:5">
      <c r="A1591" s="2" t="str">
        <f>"郭浩天"</f>
        <v>郭浩天</v>
      </c>
      <c r="B1591" s="2" t="str">
        <f>"B20211001103"</f>
        <v>B20211001103</v>
      </c>
      <c r="C1591" s="2" t="str">
        <f t="shared" si="339"/>
        <v>男</v>
      </c>
      <c r="D1591" s="2" t="str">
        <f t="shared" si="336"/>
        <v>11</v>
      </c>
      <c r="E1591" s="2" t="str">
        <f>"艺术设计学院"</f>
        <v>艺术设计学院</v>
      </c>
    </row>
    <row r="1592" ht="13.5" hidden="1" spans="1:5">
      <c r="A1592" s="2" t="str">
        <f>"胡雪妮"</f>
        <v>胡雪妮</v>
      </c>
      <c r="B1592" s="2" t="str">
        <f>"B20200901217"</f>
        <v>B20200901217</v>
      </c>
      <c r="C1592" s="2" t="str">
        <f>"女"</f>
        <v>女</v>
      </c>
      <c r="D1592" s="2" t="str">
        <f t="shared" si="336"/>
        <v>11</v>
      </c>
      <c r="E1592" s="2" t="str">
        <f>"马栏山新媒体学院"</f>
        <v>马栏山新媒体学院</v>
      </c>
    </row>
    <row r="1593" ht="13.5" hidden="1" spans="1:5">
      <c r="A1593" s="2" t="str">
        <f>"陈子杰"</f>
        <v>陈子杰</v>
      </c>
      <c r="B1593" s="2" t="str">
        <f>"B20210202322"</f>
        <v>B20210202322</v>
      </c>
      <c r="C1593" s="2" t="str">
        <f t="shared" ref="C1593:C1596" si="340">"男"</f>
        <v>男</v>
      </c>
      <c r="D1593" s="2" t="str">
        <f t="shared" ref="D1593:D1625" si="341">"10"</f>
        <v>10</v>
      </c>
      <c r="E1593" s="2" t="str">
        <f>"机电工程学院"</f>
        <v>机电工程学院</v>
      </c>
    </row>
    <row r="1594" ht="13.5" hidden="1" spans="1:5">
      <c r="A1594" s="2" t="str">
        <f>"郑凯齐"</f>
        <v>郑凯齐</v>
      </c>
      <c r="B1594" s="2" t="str">
        <f>"B20210901137"</f>
        <v>B20210901137</v>
      </c>
      <c r="C1594" s="2" t="str">
        <f t="shared" si="340"/>
        <v>男</v>
      </c>
      <c r="D1594" s="2" t="str">
        <f t="shared" si="341"/>
        <v>10</v>
      </c>
      <c r="E1594" s="2" t="str">
        <f>"经济与管理学院"</f>
        <v>经济与管理学院</v>
      </c>
    </row>
    <row r="1595" ht="13.5" hidden="1" spans="1:5">
      <c r="A1595" s="2" t="str">
        <f>"赵移桐"</f>
        <v>赵移桐</v>
      </c>
      <c r="B1595" s="2" t="str">
        <f>"B20210904318"</f>
        <v>B20210904318</v>
      </c>
      <c r="C1595" s="2" t="str">
        <f>"女"</f>
        <v>女</v>
      </c>
      <c r="D1595" s="2" t="str">
        <f t="shared" si="341"/>
        <v>10</v>
      </c>
      <c r="E1595" s="2" t="str">
        <f>"经济与管理学院"</f>
        <v>经济与管理学院</v>
      </c>
    </row>
    <row r="1596" ht="13.5" hidden="1" spans="1:5">
      <c r="A1596" s="2" t="str">
        <f>"朱奥翔"</f>
        <v>朱奥翔</v>
      </c>
      <c r="B1596" s="2" t="str">
        <f>"B20230504426"</f>
        <v>B20230504426</v>
      </c>
      <c r="C1596" s="2" t="str">
        <f t="shared" si="340"/>
        <v>男</v>
      </c>
      <c r="D1596" s="2" t="str">
        <f t="shared" si="341"/>
        <v>10</v>
      </c>
      <c r="E1596" s="2" t="str">
        <f>"生物与化学工程学院"</f>
        <v>生物与化学工程学院</v>
      </c>
    </row>
    <row r="1597" ht="13.5" hidden="1" spans="1:5">
      <c r="A1597" s="2" t="str">
        <f>"姜心如"</f>
        <v>姜心如</v>
      </c>
      <c r="B1597" s="2" t="str">
        <f>"B20200503220"</f>
        <v>B20200503220</v>
      </c>
      <c r="C1597" s="2" t="str">
        <f t="shared" ref="C1597:C1601" si="342">"女"</f>
        <v>女</v>
      </c>
      <c r="D1597" s="2" t="str">
        <f t="shared" si="341"/>
        <v>10</v>
      </c>
      <c r="E1597" s="2" t="str">
        <f>"生物与环境工程学院"</f>
        <v>生物与环境工程学院</v>
      </c>
    </row>
    <row r="1598" ht="13.5" hidden="1" spans="1:5">
      <c r="A1598" s="2" t="str">
        <f>"贺小龙"</f>
        <v>贺小龙</v>
      </c>
      <c r="B1598" s="2" t="str">
        <f>"B20200404109"</f>
        <v>B20200404109</v>
      </c>
      <c r="C1598" s="2" t="str">
        <f>"男"</f>
        <v>男</v>
      </c>
      <c r="D1598" s="2" t="str">
        <f t="shared" si="341"/>
        <v>10</v>
      </c>
      <c r="E1598" s="2" t="str">
        <f>"电子信息与电气工程学院"</f>
        <v>电子信息与电气工程学院</v>
      </c>
    </row>
    <row r="1599" ht="13.5" hidden="1" spans="1:5">
      <c r="A1599" s="2" t="str">
        <f>"刘思源"</f>
        <v>刘思源</v>
      </c>
      <c r="B1599" s="2" t="str">
        <f>"B20211002111"</f>
        <v>B20211002111</v>
      </c>
      <c r="C1599" s="2" t="str">
        <f t="shared" si="342"/>
        <v>女</v>
      </c>
      <c r="D1599" s="2" t="str">
        <f t="shared" si="341"/>
        <v>10</v>
      </c>
      <c r="E1599" s="2" t="str">
        <f>"艺术设计学院"</f>
        <v>艺术设计学院</v>
      </c>
    </row>
    <row r="1600" ht="13.5" hidden="1" spans="1:5">
      <c r="A1600" s="2" t="str">
        <f>"周蜜伊典"</f>
        <v>周蜜伊典</v>
      </c>
      <c r="B1600" s="2" t="str">
        <f>"B20210801209"</f>
        <v>B20210801209</v>
      </c>
      <c r="C1600" s="2" t="str">
        <f t="shared" si="342"/>
        <v>女</v>
      </c>
      <c r="D1600" s="2" t="str">
        <f t="shared" si="341"/>
        <v>10</v>
      </c>
      <c r="E1600" s="2" t="str">
        <f>"外国语学院"</f>
        <v>外国语学院</v>
      </c>
    </row>
    <row r="1601" ht="13.5" hidden="1" spans="1:5">
      <c r="A1601" s="2" t="str">
        <f>"周琪"</f>
        <v>周琪</v>
      </c>
      <c r="B1601" s="2" t="str">
        <f>"B20210202121"</f>
        <v>B20210202121</v>
      </c>
      <c r="C1601" s="2" t="str">
        <f t="shared" si="342"/>
        <v>女</v>
      </c>
      <c r="D1601" s="2" t="str">
        <f t="shared" si="341"/>
        <v>10</v>
      </c>
      <c r="E1601" s="2" t="str">
        <f>"机电工程学院"</f>
        <v>机电工程学院</v>
      </c>
    </row>
    <row r="1602" ht="13.5" hidden="1" spans="1:5">
      <c r="A1602" s="2" t="str">
        <f>"黄林云"</f>
        <v>黄林云</v>
      </c>
      <c r="B1602" s="2" t="str">
        <f>"B20210202311"</f>
        <v>B20210202311</v>
      </c>
      <c r="C1602" s="2" t="str">
        <f>"男"</f>
        <v>男</v>
      </c>
      <c r="D1602" s="2" t="str">
        <f t="shared" si="341"/>
        <v>10</v>
      </c>
      <c r="E1602" s="2" t="str">
        <f>"机电工程学院"</f>
        <v>机电工程学院</v>
      </c>
    </row>
    <row r="1603" ht="13.5" hidden="1" spans="1:5">
      <c r="A1603" s="2" t="str">
        <f>"黄天乐"</f>
        <v>黄天乐</v>
      </c>
      <c r="B1603" s="2" t="str">
        <f>"B20220903213"</f>
        <v>B20220903213</v>
      </c>
      <c r="C1603" s="2" t="str">
        <f>"女"</f>
        <v>女</v>
      </c>
      <c r="D1603" s="2" t="str">
        <f t="shared" si="341"/>
        <v>10</v>
      </c>
      <c r="E1603" s="2" t="str">
        <f>"经济与管理学院"</f>
        <v>经济与管理学院</v>
      </c>
    </row>
    <row r="1604" ht="13.5" hidden="1" spans="1:5">
      <c r="A1604" s="2" t="str">
        <f>"贺子鸣"</f>
        <v>贺子鸣</v>
      </c>
      <c r="B1604" s="2" t="str">
        <f>"B20210402125"</f>
        <v>B20210402125</v>
      </c>
      <c r="C1604" s="2" t="str">
        <f>"男"</f>
        <v>男</v>
      </c>
      <c r="D1604" s="2" t="str">
        <f t="shared" si="341"/>
        <v>10</v>
      </c>
      <c r="E1604" s="2" t="str">
        <f>"电子信息与电气工程学院"</f>
        <v>电子信息与电气工程学院</v>
      </c>
    </row>
    <row r="1605" ht="13.5" hidden="1" spans="1:5">
      <c r="A1605" s="2" t="str">
        <f>"时淑媛"</f>
        <v>时淑媛</v>
      </c>
      <c r="B1605" s="2" t="str">
        <f>"B20220902218"</f>
        <v>B20220902218</v>
      </c>
      <c r="C1605" s="2" t="str">
        <f>"女"</f>
        <v>女</v>
      </c>
      <c r="D1605" s="2" t="str">
        <f t="shared" si="341"/>
        <v>10</v>
      </c>
      <c r="E1605" s="2" t="str">
        <f>"经济与管理学院"</f>
        <v>经济与管理学院</v>
      </c>
    </row>
    <row r="1606" ht="13.5" hidden="1" spans="1:5">
      <c r="A1606" s="2" t="str">
        <f>"戴雅静"</f>
        <v>戴雅静</v>
      </c>
      <c r="B1606" s="2" t="str">
        <f>"B20220703118"</f>
        <v>B20220703118</v>
      </c>
      <c r="C1606" s="2" t="str">
        <f>"女"</f>
        <v>女</v>
      </c>
      <c r="D1606" s="2" t="str">
        <f t="shared" si="341"/>
        <v>10</v>
      </c>
      <c r="E1606" s="2" t="str">
        <f>"马栏山新媒体学院"</f>
        <v>马栏山新媒体学院</v>
      </c>
    </row>
    <row r="1607" ht="13.5" hidden="1" spans="1:5">
      <c r="A1607" s="2" t="str">
        <f>"吴志伟"</f>
        <v>吴志伟</v>
      </c>
      <c r="B1607" s="2" t="str">
        <f>"B20200403129"</f>
        <v>B20200403129</v>
      </c>
      <c r="C1607" s="2" t="str">
        <f>"男"</f>
        <v>男</v>
      </c>
      <c r="D1607" s="2" t="str">
        <f t="shared" si="341"/>
        <v>10</v>
      </c>
      <c r="E1607" s="2" t="str">
        <f>"电子信息与电气工程学院"</f>
        <v>电子信息与电气工程学院</v>
      </c>
    </row>
    <row r="1608" ht="13.5" hidden="1" spans="1:5">
      <c r="A1608" s="2" t="str">
        <f>"徐梦麟"</f>
        <v>徐梦麟</v>
      </c>
      <c r="B1608" s="2" t="str">
        <f>"B20200101510"</f>
        <v>B20200101510</v>
      </c>
      <c r="C1608" s="2" t="str">
        <f>"男"</f>
        <v>男</v>
      </c>
      <c r="D1608" s="2" t="str">
        <f t="shared" si="341"/>
        <v>10</v>
      </c>
      <c r="E1608" s="2" t="str">
        <f>"土木工程学院"</f>
        <v>土木工程学院</v>
      </c>
    </row>
    <row r="1609" ht="13.5" hidden="1" spans="1:5">
      <c r="A1609" s="2" t="str">
        <f>"王嘉琦"</f>
        <v>王嘉琦</v>
      </c>
      <c r="B1609" s="2" t="str">
        <f>"B20230905121"</f>
        <v>B20230905121</v>
      </c>
      <c r="C1609" s="2" t="str">
        <f>"女"</f>
        <v>女</v>
      </c>
      <c r="D1609" s="2" t="str">
        <f t="shared" si="341"/>
        <v>10</v>
      </c>
      <c r="E1609" s="2" t="str">
        <f>"经济与管理学院"</f>
        <v>经济与管理学院</v>
      </c>
    </row>
    <row r="1610" ht="13.5" hidden="1" spans="1:5">
      <c r="A1610" s="2" t="str">
        <f>"卢玉婷"</f>
        <v>卢玉婷</v>
      </c>
      <c r="B1610" s="2" t="str">
        <f>"B20200701238"</f>
        <v>B20200701238</v>
      </c>
      <c r="C1610" s="2" t="str">
        <f>"女"</f>
        <v>女</v>
      </c>
      <c r="D1610" s="2" t="str">
        <f t="shared" si="341"/>
        <v>10</v>
      </c>
      <c r="E1610" s="2" t="str">
        <f>"马栏山新媒体学院"</f>
        <v>马栏山新媒体学院</v>
      </c>
    </row>
    <row r="1611" ht="13.5" hidden="1" spans="1:5">
      <c r="A1611" s="2" t="str">
        <f>"聂熙颖"</f>
        <v>聂熙颖</v>
      </c>
      <c r="B1611" s="2" t="str">
        <f>"B20210601327"</f>
        <v>B20210601327</v>
      </c>
      <c r="C1611" s="2" t="str">
        <f>"女"</f>
        <v>女</v>
      </c>
      <c r="D1611" s="2" t="str">
        <f t="shared" si="341"/>
        <v>10</v>
      </c>
      <c r="E1611" s="2" t="str">
        <f>"法学院"</f>
        <v>法学院</v>
      </c>
    </row>
    <row r="1612" ht="13.5" hidden="1" spans="1:5">
      <c r="A1612" s="2" t="str">
        <f>"徐亦隆"</f>
        <v>徐亦隆</v>
      </c>
      <c r="B1612" s="2" t="str">
        <f>"B20210701304"</f>
        <v>B20210701304</v>
      </c>
      <c r="C1612" s="2" t="str">
        <f>"男"</f>
        <v>男</v>
      </c>
      <c r="D1612" s="2" t="str">
        <f t="shared" si="341"/>
        <v>10</v>
      </c>
      <c r="E1612" s="2" t="str">
        <f>"马栏山新媒体学院"</f>
        <v>马栏山新媒体学院</v>
      </c>
    </row>
    <row r="1613" ht="13.5" hidden="1" spans="1:5">
      <c r="A1613" s="2" t="str">
        <f>"刘金辉"</f>
        <v>刘金辉</v>
      </c>
      <c r="B1613" s="2" t="str">
        <f>"B20230204101"</f>
        <v>B20230204101</v>
      </c>
      <c r="C1613" s="2" t="str">
        <f>"男"</f>
        <v>男</v>
      </c>
      <c r="D1613" s="2" t="str">
        <f t="shared" si="341"/>
        <v>10</v>
      </c>
      <c r="E1613" s="2" t="str">
        <f>"机电工程学院"</f>
        <v>机电工程学院</v>
      </c>
    </row>
    <row r="1614" ht="13.5" hidden="1" spans="1:5">
      <c r="A1614" s="2" t="str">
        <f>"王浩"</f>
        <v>王浩</v>
      </c>
      <c r="B1614" s="2" t="str">
        <f>"B20230402205"</f>
        <v>B20230402205</v>
      </c>
      <c r="C1614" s="2" t="str">
        <f>"男"</f>
        <v>男</v>
      </c>
      <c r="D1614" s="2" t="str">
        <f t="shared" si="341"/>
        <v>10</v>
      </c>
      <c r="E1614" s="2" t="str">
        <f>"电子信息与电气工程学院"</f>
        <v>电子信息与电气工程学院</v>
      </c>
    </row>
    <row r="1615" ht="13.5" hidden="1" spans="1:5">
      <c r="A1615" s="2" t="str">
        <f>"丁博文"</f>
        <v>丁博文</v>
      </c>
      <c r="B1615" s="2" t="str">
        <f>"B20220601525"</f>
        <v>B20220601525</v>
      </c>
      <c r="C1615" s="2" t="str">
        <f>"男"</f>
        <v>男</v>
      </c>
      <c r="D1615" s="2" t="str">
        <f t="shared" si="341"/>
        <v>10</v>
      </c>
      <c r="E1615" s="2" t="str">
        <f>"法学院"</f>
        <v>法学院</v>
      </c>
    </row>
    <row r="1616" ht="13.5" hidden="1" spans="1:5">
      <c r="A1616" s="2" t="str">
        <f>"胡梦婕"</f>
        <v>胡梦婕</v>
      </c>
      <c r="B1616" s="2" t="str">
        <f>"B20231001217"</f>
        <v>B20231001217</v>
      </c>
      <c r="C1616" s="2" t="str">
        <f>"女"</f>
        <v>女</v>
      </c>
      <c r="D1616" s="2" t="str">
        <f t="shared" si="341"/>
        <v>10</v>
      </c>
      <c r="E1616" s="2" t="str">
        <f>"艺术设计学院"</f>
        <v>艺术设计学院</v>
      </c>
    </row>
    <row r="1617" ht="13.5" hidden="1" spans="1:5">
      <c r="A1617" s="2" t="str">
        <f>"黄娜婷"</f>
        <v>黄娜婷</v>
      </c>
      <c r="B1617" s="2" t="str">
        <f>"B20231001220"</f>
        <v>B20231001220</v>
      </c>
      <c r="C1617" s="2" t="str">
        <f>"女"</f>
        <v>女</v>
      </c>
      <c r="D1617" s="2" t="str">
        <f t="shared" si="341"/>
        <v>10</v>
      </c>
      <c r="E1617" s="2" t="str">
        <f>"艺术设计学院"</f>
        <v>艺术设计学院</v>
      </c>
    </row>
    <row r="1618" ht="13.5" hidden="1" spans="1:5">
      <c r="A1618" s="2" t="str">
        <f>"潘妍茹"</f>
        <v>潘妍茹</v>
      </c>
      <c r="B1618" s="2" t="str">
        <f>"B20210902424"</f>
        <v>B20210902424</v>
      </c>
      <c r="C1618" s="2" t="str">
        <f>"女"</f>
        <v>女</v>
      </c>
      <c r="D1618" s="2" t="str">
        <f t="shared" si="341"/>
        <v>10</v>
      </c>
      <c r="E1618" s="2" t="str">
        <f>"经济与管理学院"</f>
        <v>经济与管理学院</v>
      </c>
    </row>
    <row r="1619" ht="13.5" hidden="1" spans="1:5">
      <c r="A1619" s="2" t="str">
        <f>"余佳熙"</f>
        <v>余佳熙</v>
      </c>
      <c r="B1619" s="2" t="str">
        <f>"B20210905139"</f>
        <v>B20210905139</v>
      </c>
      <c r="C1619" s="2" t="str">
        <f>"女"</f>
        <v>女</v>
      </c>
      <c r="D1619" s="2" t="str">
        <f t="shared" si="341"/>
        <v>10</v>
      </c>
      <c r="E1619" s="2" t="str">
        <f>"经济与管理学院"</f>
        <v>经济与管理学院</v>
      </c>
    </row>
    <row r="1620" ht="13.5" hidden="1" spans="1:5">
      <c r="A1620" s="2" t="str">
        <f>"吴家意"</f>
        <v>吴家意</v>
      </c>
      <c r="B1620" s="2" t="str">
        <f>"B20230101622"</f>
        <v>B20230101622</v>
      </c>
      <c r="C1620" s="2" t="str">
        <f>"男"</f>
        <v>男</v>
      </c>
      <c r="D1620" s="2" t="str">
        <f t="shared" si="341"/>
        <v>10</v>
      </c>
      <c r="E1620" s="2" t="str">
        <f>"土木工程学院"</f>
        <v>土木工程学院</v>
      </c>
    </row>
    <row r="1621" ht="13.5" hidden="1" spans="1:5">
      <c r="A1621" s="2" t="str">
        <f>"陈晨"</f>
        <v>陈晨</v>
      </c>
      <c r="B1621" s="2" t="str">
        <f>"B20201001107"</f>
        <v>B20201001107</v>
      </c>
      <c r="C1621" s="2" t="str">
        <f>"男"</f>
        <v>男</v>
      </c>
      <c r="D1621" s="2" t="str">
        <f t="shared" si="341"/>
        <v>10</v>
      </c>
      <c r="E1621" s="2" t="str">
        <f>"艺术设计学院"</f>
        <v>艺术设计学院</v>
      </c>
    </row>
    <row r="1622" ht="13.5" hidden="1" spans="1:5">
      <c r="A1622" s="2" t="str">
        <f>"赵芙蓉"</f>
        <v>赵芙蓉</v>
      </c>
      <c r="B1622" s="2" t="str">
        <f>"B20220801521"</f>
        <v>B20220801521</v>
      </c>
      <c r="C1622" s="2" t="str">
        <f>"女"</f>
        <v>女</v>
      </c>
      <c r="D1622" s="2" t="str">
        <f t="shared" si="341"/>
        <v>10</v>
      </c>
      <c r="E1622" s="2" t="str">
        <f>"外国语学院"</f>
        <v>外国语学院</v>
      </c>
    </row>
    <row r="1623" ht="13.5" hidden="1" spans="1:5">
      <c r="A1623" s="2" t="str">
        <f>"张贵钰"</f>
        <v>张贵钰</v>
      </c>
      <c r="B1623" s="2" t="str">
        <f>"B20220801512"</f>
        <v>B20220801512</v>
      </c>
      <c r="C1623" s="2" t="str">
        <f>"女"</f>
        <v>女</v>
      </c>
      <c r="D1623" s="2" t="str">
        <f t="shared" si="341"/>
        <v>10</v>
      </c>
      <c r="E1623" s="2" t="str">
        <f>"外国语学院"</f>
        <v>外国语学院</v>
      </c>
    </row>
    <row r="1624" ht="13.5" hidden="1" spans="1:5">
      <c r="A1624" s="2" t="str">
        <f>"兰李杨"</f>
        <v>兰李杨</v>
      </c>
      <c r="B1624" s="2" t="str">
        <f>"B20210101426"</f>
        <v>B20210101426</v>
      </c>
      <c r="C1624" s="2" t="str">
        <f>"男"</f>
        <v>男</v>
      </c>
      <c r="D1624" s="2" t="str">
        <f t="shared" si="341"/>
        <v>10</v>
      </c>
      <c r="E1624" s="2" t="str">
        <f>"土木工程学院"</f>
        <v>土木工程学院</v>
      </c>
    </row>
    <row r="1625" ht="13.5" hidden="1" spans="1:5">
      <c r="A1625" s="2" t="str">
        <f>"杨洋"</f>
        <v>杨洋</v>
      </c>
      <c r="B1625" s="2" t="str">
        <f>"B20230704412"</f>
        <v>B20230704412</v>
      </c>
      <c r="C1625" s="2" t="str">
        <f>"女"</f>
        <v>女</v>
      </c>
      <c r="D1625" s="2" t="str">
        <f t="shared" si="341"/>
        <v>10</v>
      </c>
      <c r="E1625" s="2" t="str">
        <f>"马栏山新媒体学院"</f>
        <v>马栏山新媒体学院</v>
      </c>
    </row>
    <row r="1626" ht="13.5" hidden="1" spans="1:5">
      <c r="A1626" s="2" t="str">
        <f>"廖明俊"</f>
        <v>廖明俊</v>
      </c>
      <c r="B1626" s="2" t="str">
        <f>"B20230201426"</f>
        <v>B20230201426</v>
      </c>
      <c r="C1626" s="2" t="str">
        <f>"男"</f>
        <v>男</v>
      </c>
      <c r="D1626" s="2" t="str">
        <f t="shared" ref="D1626:D1679" si="343">"10"</f>
        <v>10</v>
      </c>
      <c r="E1626" s="2" t="str">
        <f>"机电工程学院"</f>
        <v>机电工程学院</v>
      </c>
    </row>
    <row r="1627" ht="13.5" hidden="1" spans="1:5">
      <c r="A1627" s="2" t="str">
        <f>"刘滨"</f>
        <v>刘滨</v>
      </c>
      <c r="B1627" s="2" t="str">
        <f>"B20210201423"</f>
        <v>B20210201423</v>
      </c>
      <c r="C1627" s="2" t="str">
        <f>"男"</f>
        <v>男</v>
      </c>
      <c r="D1627" s="2" t="str">
        <f t="shared" si="343"/>
        <v>10</v>
      </c>
      <c r="E1627" s="2" t="str">
        <f>"机电工程学院"</f>
        <v>机电工程学院</v>
      </c>
    </row>
    <row r="1628" ht="13.5" hidden="1" spans="1:5">
      <c r="A1628" s="2" t="str">
        <f>"唐诗"</f>
        <v>唐诗</v>
      </c>
      <c r="B1628" s="2" t="str">
        <f>"B20230803119"</f>
        <v>B20230803119</v>
      </c>
      <c r="C1628" s="2" t="str">
        <f>"女"</f>
        <v>女</v>
      </c>
      <c r="D1628" s="2" t="str">
        <f t="shared" si="343"/>
        <v>10</v>
      </c>
      <c r="E1628" s="2" t="str">
        <f>"外国语学院"</f>
        <v>外国语学院</v>
      </c>
    </row>
    <row r="1629" ht="13.5" hidden="1" spans="1:5">
      <c r="A1629" s="2" t="str">
        <f>"贺美荣"</f>
        <v>贺美荣</v>
      </c>
      <c r="B1629" s="2" t="str">
        <f>"B20230902121"</f>
        <v>B20230902121</v>
      </c>
      <c r="C1629" s="2" t="str">
        <f>"女"</f>
        <v>女</v>
      </c>
      <c r="D1629" s="2" t="str">
        <f t="shared" si="343"/>
        <v>10</v>
      </c>
      <c r="E1629" s="2" t="str">
        <f t="shared" ref="E1629:E1633" si="344">"经济与管理学院"</f>
        <v>经济与管理学院</v>
      </c>
    </row>
    <row r="1630" ht="13.5" hidden="1" spans="1:5">
      <c r="A1630" s="2" t="str">
        <f>"左文强"</f>
        <v>左文强</v>
      </c>
      <c r="B1630" s="2" t="str">
        <f>"B20230906235"</f>
        <v>B20230906235</v>
      </c>
      <c r="C1630" s="2" t="str">
        <f>"男"</f>
        <v>男</v>
      </c>
      <c r="D1630" s="2" t="str">
        <f t="shared" si="343"/>
        <v>10</v>
      </c>
      <c r="E1630" s="2" t="str">
        <f t="shared" si="344"/>
        <v>经济与管理学院</v>
      </c>
    </row>
    <row r="1631" ht="13.5" hidden="1" spans="1:5">
      <c r="A1631" s="2" t="str">
        <f>"姚同芳"</f>
        <v>姚同芳</v>
      </c>
      <c r="B1631" s="2" t="str">
        <f>"B20211002325"</f>
        <v>B20211002325</v>
      </c>
      <c r="C1631" s="2" t="str">
        <f t="shared" ref="C1631:C1635" si="345">"女"</f>
        <v>女</v>
      </c>
      <c r="D1631" s="2" t="str">
        <f t="shared" si="343"/>
        <v>10</v>
      </c>
      <c r="E1631" s="2" t="str">
        <f>"艺术设计学院"</f>
        <v>艺术设计学院</v>
      </c>
    </row>
    <row r="1632" ht="13.5" hidden="1" spans="1:5">
      <c r="A1632" s="2" t="str">
        <f>"范科胜"</f>
        <v>范科胜</v>
      </c>
      <c r="B1632" s="2" t="str">
        <f>"B20231301220"</f>
        <v>B20231301220</v>
      </c>
      <c r="C1632" s="2" t="str">
        <f t="shared" ref="C1632:C1637" si="346">"男"</f>
        <v>男</v>
      </c>
      <c r="D1632" s="2" t="str">
        <f t="shared" si="343"/>
        <v>10</v>
      </c>
      <c r="E1632" s="2" t="str">
        <f>"材料与环境工程学院"</f>
        <v>材料与环境工程学院</v>
      </c>
    </row>
    <row r="1633" ht="13.5" hidden="1" spans="1:5">
      <c r="A1633" s="2" t="str">
        <f>"曾川"</f>
        <v>曾川</v>
      </c>
      <c r="B1633" s="2" t="str">
        <f>"B20220902103"</f>
        <v>B20220902103</v>
      </c>
      <c r="C1633" s="2" t="str">
        <f t="shared" si="345"/>
        <v>女</v>
      </c>
      <c r="D1633" s="2" t="str">
        <f t="shared" si="343"/>
        <v>10</v>
      </c>
      <c r="E1633" s="2" t="str">
        <f t="shared" si="344"/>
        <v>经济与管理学院</v>
      </c>
    </row>
    <row r="1634" ht="13.5" hidden="1" spans="1:5">
      <c r="A1634" s="2" t="str">
        <f>"刘桂琪"</f>
        <v>刘桂琪</v>
      </c>
      <c r="B1634" s="2" t="str">
        <f>"B20230801210"</f>
        <v>B20230801210</v>
      </c>
      <c r="C1634" s="2" t="str">
        <f t="shared" si="345"/>
        <v>女</v>
      </c>
      <c r="D1634" s="2" t="str">
        <f t="shared" si="343"/>
        <v>10</v>
      </c>
      <c r="E1634" s="2" t="str">
        <f>"外国语学院"</f>
        <v>外国语学院</v>
      </c>
    </row>
    <row r="1635" ht="13.5" hidden="1" spans="1:5">
      <c r="A1635" s="2" t="str">
        <f>"候晓"</f>
        <v>候晓</v>
      </c>
      <c r="B1635" s="2" t="str">
        <f>"B20230901105"</f>
        <v>B20230901105</v>
      </c>
      <c r="C1635" s="2" t="str">
        <f t="shared" si="345"/>
        <v>女</v>
      </c>
      <c r="D1635" s="2" t="str">
        <f t="shared" si="343"/>
        <v>10</v>
      </c>
      <c r="E1635" s="2" t="str">
        <f>"经济与管理学院"</f>
        <v>经济与管理学院</v>
      </c>
    </row>
    <row r="1636" ht="13.5" hidden="1" spans="1:5">
      <c r="A1636" s="2" t="str">
        <f>"李昊霖"</f>
        <v>李昊霖</v>
      </c>
      <c r="B1636" s="2" t="str">
        <f>"B20230504423"</f>
        <v>B20230504423</v>
      </c>
      <c r="C1636" s="2" t="str">
        <f t="shared" si="346"/>
        <v>男</v>
      </c>
      <c r="D1636" s="2" t="str">
        <f t="shared" si="343"/>
        <v>10</v>
      </c>
      <c r="E1636" s="2" t="str">
        <f>"生物与化学工程学院"</f>
        <v>生物与化学工程学院</v>
      </c>
    </row>
    <row r="1637" ht="13.5" hidden="1" spans="1:5">
      <c r="A1637" s="2" t="str">
        <f>"欧阳进江"</f>
        <v>欧阳进江</v>
      </c>
      <c r="B1637" s="2" t="str">
        <f>"B20200201412"</f>
        <v>B20200201412</v>
      </c>
      <c r="C1637" s="2" t="str">
        <f t="shared" si="346"/>
        <v>男</v>
      </c>
      <c r="D1637" s="2" t="str">
        <f t="shared" si="343"/>
        <v>10</v>
      </c>
      <c r="E1637" s="2" t="str">
        <f>"机电工程学院"</f>
        <v>机电工程学院</v>
      </c>
    </row>
    <row r="1638" ht="13.5" hidden="1" spans="1:5">
      <c r="A1638" s="2" t="str">
        <f>"贺诗婷"</f>
        <v>贺诗婷</v>
      </c>
      <c r="B1638" s="2" t="str">
        <f>"B20230702116"</f>
        <v>B20230702116</v>
      </c>
      <c r="C1638" s="2" t="str">
        <f t="shared" ref="C1638:C1640" si="347">"女"</f>
        <v>女</v>
      </c>
      <c r="D1638" s="2" t="str">
        <f t="shared" si="343"/>
        <v>10</v>
      </c>
      <c r="E1638" s="2" t="str">
        <f>"马栏山新媒体学院"</f>
        <v>马栏山新媒体学院</v>
      </c>
    </row>
    <row r="1639" ht="13.5" hidden="1" spans="1:5">
      <c r="A1639" s="2" t="str">
        <f>"赵惋纤"</f>
        <v>赵惋纤</v>
      </c>
      <c r="B1639" s="2" t="str">
        <f>"B20230702404"</f>
        <v>B20230702404</v>
      </c>
      <c r="C1639" s="2" t="str">
        <f t="shared" si="347"/>
        <v>女</v>
      </c>
      <c r="D1639" s="2" t="str">
        <f t="shared" si="343"/>
        <v>10</v>
      </c>
      <c r="E1639" s="2" t="str">
        <f>"马栏山新媒体学院"</f>
        <v>马栏山新媒体学院</v>
      </c>
    </row>
    <row r="1640" ht="13.5" hidden="1" spans="1:5">
      <c r="A1640" s="2" t="str">
        <f>"罗嘉玲"</f>
        <v>罗嘉玲</v>
      </c>
      <c r="B1640" s="2" t="str">
        <f>"B20230103215"</f>
        <v>B20230103215</v>
      </c>
      <c r="C1640" s="2" t="str">
        <f t="shared" si="347"/>
        <v>女</v>
      </c>
      <c r="D1640" s="2" t="str">
        <f t="shared" si="343"/>
        <v>10</v>
      </c>
      <c r="E1640" s="2" t="str">
        <f>"土木工程学院"</f>
        <v>土木工程学院</v>
      </c>
    </row>
    <row r="1641" ht="13.5" hidden="1" spans="1:5">
      <c r="A1641" s="2" t="str">
        <f>"谷宇婷"</f>
        <v>谷宇婷</v>
      </c>
      <c r="B1641" s="2" t="str">
        <f>"B20220801216"</f>
        <v>B20220801216</v>
      </c>
      <c r="C1641" s="2" t="str">
        <f t="shared" ref="C1641:C1645" si="348">"女"</f>
        <v>女</v>
      </c>
      <c r="D1641" s="2" t="str">
        <f t="shared" si="343"/>
        <v>10</v>
      </c>
      <c r="E1641" s="2" t="str">
        <f t="shared" ref="E1641:E1645" si="349">"外国语学院"</f>
        <v>外国语学院</v>
      </c>
    </row>
    <row r="1642" ht="13.5" hidden="1" spans="1:5">
      <c r="A1642" s="2" t="str">
        <f>"陈娇文"</f>
        <v>陈娇文</v>
      </c>
      <c r="B1642" s="2" t="str">
        <f>"B20210601320"</f>
        <v>B20210601320</v>
      </c>
      <c r="C1642" s="2" t="str">
        <f t="shared" si="348"/>
        <v>女</v>
      </c>
      <c r="D1642" s="2" t="str">
        <f t="shared" si="343"/>
        <v>10</v>
      </c>
      <c r="E1642" s="2" t="str">
        <f>"法学院"</f>
        <v>法学院</v>
      </c>
    </row>
    <row r="1643" ht="13.5" hidden="1" spans="1:5">
      <c r="A1643" s="2" t="str">
        <f>"董婉毓"</f>
        <v>董婉毓</v>
      </c>
      <c r="B1643" s="2" t="str">
        <f>"B20201001206"</f>
        <v>B20201001206</v>
      </c>
      <c r="C1643" s="2" t="str">
        <f t="shared" si="348"/>
        <v>女</v>
      </c>
      <c r="D1643" s="2" t="str">
        <f t="shared" si="343"/>
        <v>10</v>
      </c>
      <c r="E1643" s="2" t="str">
        <f>"艺术设计学院"</f>
        <v>艺术设计学院</v>
      </c>
    </row>
    <row r="1644" ht="13.5" hidden="1" spans="1:5">
      <c r="A1644" s="2" t="str">
        <f>"肖曼芸"</f>
        <v>肖曼芸</v>
      </c>
      <c r="B1644" s="2" t="str">
        <f>"B20230803121"</f>
        <v>B20230803121</v>
      </c>
      <c r="C1644" s="2" t="str">
        <f t="shared" si="348"/>
        <v>女</v>
      </c>
      <c r="D1644" s="2" t="str">
        <f t="shared" si="343"/>
        <v>10</v>
      </c>
      <c r="E1644" s="2" t="str">
        <f t="shared" si="349"/>
        <v>外国语学院</v>
      </c>
    </row>
    <row r="1645" ht="13.5" hidden="1" spans="1:5">
      <c r="A1645" s="2" t="str">
        <f>"王振雯"</f>
        <v>王振雯</v>
      </c>
      <c r="B1645" s="2" t="str">
        <f>"B20210801504"</f>
        <v>B20210801504</v>
      </c>
      <c r="C1645" s="2" t="str">
        <f t="shared" si="348"/>
        <v>女</v>
      </c>
      <c r="D1645" s="2" t="str">
        <f t="shared" si="343"/>
        <v>10</v>
      </c>
      <c r="E1645" s="2" t="str">
        <f t="shared" si="349"/>
        <v>外国语学院</v>
      </c>
    </row>
    <row r="1646" ht="13.5" hidden="1" spans="1:5">
      <c r="A1646" s="2" t="str">
        <f>"李易明"</f>
        <v>李易明</v>
      </c>
      <c r="B1646" s="2" t="str">
        <f>"B20230405126"</f>
        <v>B20230405126</v>
      </c>
      <c r="C1646" s="2" t="str">
        <f>"男"</f>
        <v>男</v>
      </c>
      <c r="D1646" s="2" t="str">
        <f t="shared" si="343"/>
        <v>10</v>
      </c>
      <c r="E1646" s="2" t="str">
        <f>"电子信息与电气工程学院"</f>
        <v>电子信息与电气工程学院</v>
      </c>
    </row>
    <row r="1647" ht="13.5" hidden="1" spans="1:5">
      <c r="A1647" s="2" t="str">
        <f>"肖洁"</f>
        <v>肖洁</v>
      </c>
      <c r="B1647" s="2" t="str">
        <f>"B20200204207"</f>
        <v>B20200204207</v>
      </c>
      <c r="C1647" s="2" t="str">
        <f t="shared" ref="C1647:C1650" si="350">"女"</f>
        <v>女</v>
      </c>
      <c r="D1647" s="2" t="str">
        <f t="shared" si="343"/>
        <v>10</v>
      </c>
      <c r="E1647" s="2" t="str">
        <f>"机电工程学院"</f>
        <v>机电工程学院</v>
      </c>
    </row>
    <row r="1648" ht="13.5" hidden="1" spans="1:5">
      <c r="A1648" s="2" t="str">
        <f>"周丹"</f>
        <v>周丹</v>
      </c>
      <c r="B1648" s="2" t="str">
        <f>"B20220704120"</f>
        <v>B20220704120</v>
      </c>
      <c r="C1648" s="2" t="str">
        <f t="shared" si="350"/>
        <v>女</v>
      </c>
      <c r="D1648" s="2" t="str">
        <f t="shared" si="343"/>
        <v>10</v>
      </c>
      <c r="E1648" s="2" t="str">
        <f>"马栏山新媒体学院"</f>
        <v>马栏山新媒体学院</v>
      </c>
    </row>
    <row r="1649" ht="13.5" hidden="1" spans="1:5">
      <c r="A1649" s="2" t="str">
        <f>"欧汝杰"</f>
        <v>欧汝杰</v>
      </c>
      <c r="B1649" s="2" t="str">
        <f>"B20200902403"</f>
        <v>B20200902403</v>
      </c>
      <c r="C1649" s="2" t="str">
        <f>"男"</f>
        <v>男</v>
      </c>
      <c r="D1649" s="2" t="str">
        <f t="shared" si="343"/>
        <v>10</v>
      </c>
      <c r="E1649" s="2" t="str">
        <f>"经济与管理学院"</f>
        <v>经济与管理学院</v>
      </c>
    </row>
    <row r="1650" ht="13.5" hidden="1" spans="1:5">
      <c r="A1650" s="2" t="str">
        <f>"何锦茵"</f>
        <v>何锦茵</v>
      </c>
      <c r="B1650" s="2" t="str">
        <f>"B20220101134"</f>
        <v>B20220101134</v>
      </c>
      <c r="C1650" s="2" t="str">
        <f t="shared" si="350"/>
        <v>女</v>
      </c>
      <c r="D1650" s="2" t="str">
        <f t="shared" si="343"/>
        <v>10</v>
      </c>
      <c r="E1650" s="2" t="str">
        <f>"土木工程学院"</f>
        <v>土木工程学院</v>
      </c>
    </row>
    <row r="1651" ht="13.5" hidden="1" spans="1:5">
      <c r="A1651" s="2" t="str">
        <f>"陈祉希"</f>
        <v>陈祉希</v>
      </c>
      <c r="B1651" s="2" t="str">
        <f>"B20200904127"</f>
        <v>B20200904127</v>
      </c>
      <c r="C1651" s="2" t="str">
        <f t="shared" ref="C1651:C1658" si="351">"女"</f>
        <v>女</v>
      </c>
      <c r="D1651" s="2" t="str">
        <f t="shared" si="343"/>
        <v>10</v>
      </c>
      <c r="E1651" s="2" t="str">
        <f>"经济与管理学院"</f>
        <v>经济与管理学院</v>
      </c>
    </row>
    <row r="1652" ht="13.5" hidden="1" spans="1:5">
      <c r="A1652" s="2" t="str">
        <f>"文志杰"</f>
        <v>文志杰</v>
      </c>
      <c r="B1652" s="2" t="str">
        <f>"B20210903228"</f>
        <v>B20210903228</v>
      </c>
      <c r="C1652" s="2" t="str">
        <f t="shared" ref="C1652:C1654" si="352">"男"</f>
        <v>男</v>
      </c>
      <c r="D1652" s="2" t="str">
        <f t="shared" si="343"/>
        <v>10</v>
      </c>
      <c r="E1652" s="2" t="str">
        <f>"经济与管理学院"</f>
        <v>经济与管理学院</v>
      </c>
    </row>
    <row r="1653" ht="13.5" hidden="1" spans="1:5">
      <c r="A1653" s="2" t="str">
        <f>"郑楷弋"</f>
        <v>郑楷弋</v>
      </c>
      <c r="B1653" s="2" t="str">
        <f>"B20201002316"</f>
        <v>B20201002316</v>
      </c>
      <c r="C1653" s="2" t="str">
        <f t="shared" si="352"/>
        <v>男</v>
      </c>
      <c r="D1653" s="2" t="str">
        <f t="shared" si="343"/>
        <v>10</v>
      </c>
      <c r="E1653" s="2" t="str">
        <f t="shared" ref="E1653:E1656" si="353">"艺术设计学院"</f>
        <v>艺术设计学院</v>
      </c>
    </row>
    <row r="1654" ht="13.5" hidden="1" spans="1:5">
      <c r="A1654" s="2" t="str">
        <f>"袁文略"</f>
        <v>袁文略</v>
      </c>
      <c r="B1654" s="2" t="str">
        <f>"B20200503124"</f>
        <v>B20200503124</v>
      </c>
      <c r="C1654" s="2" t="str">
        <f t="shared" si="352"/>
        <v>男</v>
      </c>
      <c r="D1654" s="2" t="str">
        <f t="shared" si="343"/>
        <v>10</v>
      </c>
      <c r="E1654" s="2" t="str">
        <f>"生物与环境工程学院"</f>
        <v>生物与环境工程学院</v>
      </c>
    </row>
    <row r="1655" ht="13.5" hidden="1" spans="1:5">
      <c r="A1655" s="2" t="str">
        <f>"杨心怡"</f>
        <v>杨心怡</v>
      </c>
      <c r="B1655" s="2" t="str">
        <f>"B20201003120"</f>
        <v>B20201003120</v>
      </c>
      <c r="C1655" s="2" t="str">
        <f t="shared" si="351"/>
        <v>女</v>
      </c>
      <c r="D1655" s="2" t="str">
        <f t="shared" si="343"/>
        <v>10</v>
      </c>
      <c r="E1655" s="2" t="str">
        <f t="shared" si="353"/>
        <v>艺术设计学院</v>
      </c>
    </row>
    <row r="1656" ht="13.5" hidden="1" spans="1:5">
      <c r="A1656" s="2" t="str">
        <f>"胡芊芊"</f>
        <v>胡芊芊</v>
      </c>
      <c r="B1656" s="2" t="str">
        <f>"B20201004125"</f>
        <v>B20201004125</v>
      </c>
      <c r="C1656" s="2" t="str">
        <f t="shared" si="351"/>
        <v>女</v>
      </c>
      <c r="D1656" s="2" t="str">
        <f t="shared" si="343"/>
        <v>10</v>
      </c>
      <c r="E1656" s="2" t="str">
        <f t="shared" si="353"/>
        <v>艺术设计学院</v>
      </c>
    </row>
    <row r="1657" ht="13.5" hidden="1" spans="1:5">
      <c r="A1657" s="2" t="str">
        <f>"刘梦霞"</f>
        <v>刘梦霞</v>
      </c>
      <c r="B1657" s="2" t="str">
        <f>"B20230701221"</f>
        <v>B20230701221</v>
      </c>
      <c r="C1657" s="2" t="str">
        <f t="shared" si="351"/>
        <v>女</v>
      </c>
      <c r="D1657" s="2" t="str">
        <f t="shared" si="343"/>
        <v>10</v>
      </c>
      <c r="E1657" s="2" t="str">
        <f>"马栏山新媒体学院"</f>
        <v>马栏山新媒体学院</v>
      </c>
    </row>
    <row r="1658" ht="13.5" hidden="1" spans="1:5">
      <c r="A1658" s="2" t="str">
        <f>"江欣竹"</f>
        <v>江欣竹</v>
      </c>
      <c r="B1658" s="2" t="str">
        <f>"B20210801124"</f>
        <v>B20210801124</v>
      </c>
      <c r="C1658" s="2" t="str">
        <f t="shared" si="351"/>
        <v>女</v>
      </c>
      <c r="D1658" s="2" t="str">
        <f t="shared" si="343"/>
        <v>10</v>
      </c>
      <c r="E1658" s="2" t="str">
        <f t="shared" ref="E1658:E1663" si="354">"外国语学院"</f>
        <v>外国语学院</v>
      </c>
    </row>
    <row r="1659" ht="13.5" hidden="1" spans="1:5">
      <c r="A1659" s="2" t="str">
        <f>"柏家俊"</f>
        <v>柏家俊</v>
      </c>
      <c r="B1659" s="2" t="str">
        <f>"B20231002413"</f>
        <v>B20231002413</v>
      </c>
      <c r="C1659" s="2" t="str">
        <f t="shared" ref="C1659:C1662" si="355">"男"</f>
        <v>男</v>
      </c>
      <c r="D1659" s="2" t="str">
        <f t="shared" si="343"/>
        <v>10</v>
      </c>
      <c r="E1659" s="2" t="str">
        <f>"艺术设计学院"</f>
        <v>艺术设计学院</v>
      </c>
    </row>
    <row r="1660" ht="13.5" hidden="1" spans="1:5">
      <c r="A1660" s="2" t="str">
        <f>"龚湖疆"</f>
        <v>龚湖疆</v>
      </c>
      <c r="B1660" s="2" t="str">
        <f>"B20200501215"</f>
        <v>B20200501215</v>
      </c>
      <c r="C1660" s="2" t="str">
        <f t="shared" si="355"/>
        <v>男</v>
      </c>
      <c r="D1660" s="2" t="str">
        <f t="shared" si="343"/>
        <v>10</v>
      </c>
      <c r="E1660" s="2" t="str">
        <f>"生物与环境工程学院"</f>
        <v>生物与环境工程学院</v>
      </c>
    </row>
    <row r="1661" ht="13.5" hidden="1" spans="1:5">
      <c r="A1661" s="2" t="str">
        <f>"冯彦妮"</f>
        <v>冯彦妮</v>
      </c>
      <c r="B1661" s="2" t="str">
        <f>"B20220801519"</f>
        <v>B20220801519</v>
      </c>
      <c r="C1661" s="2" t="str">
        <f t="shared" ref="C1661:C1666" si="356">"女"</f>
        <v>女</v>
      </c>
      <c r="D1661" s="2" t="str">
        <f t="shared" si="343"/>
        <v>10</v>
      </c>
      <c r="E1661" s="2" t="str">
        <f t="shared" si="354"/>
        <v>外国语学院</v>
      </c>
    </row>
    <row r="1662" ht="13.5" hidden="1" spans="1:5">
      <c r="A1662" s="2" t="str">
        <f>"陈宇轩"</f>
        <v>陈宇轩</v>
      </c>
      <c r="B1662" s="2" t="str">
        <f>"B20230904114"</f>
        <v>B20230904114</v>
      </c>
      <c r="C1662" s="2" t="str">
        <f t="shared" si="355"/>
        <v>男</v>
      </c>
      <c r="D1662" s="2" t="str">
        <f t="shared" si="343"/>
        <v>10</v>
      </c>
      <c r="E1662" s="2" t="str">
        <f>"经济与管理学院"</f>
        <v>经济与管理学院</v>
      </c>
    </row>
    <row r="1663" ht="13.5" hidden="1" spans="1:5">
      <c r="A1663" s="2" t="str">
        <f>"吴丹阳"</f>
        <v>吴丹阳</v>
      </c>
      <c r="B1663" s="2" t="str">
        <f>"B20210801425"</f>
        <v>B20210801425</v>
      </c>
      <c r="C1663" s="2" t="str">
        <f t="shared" si="356"/>
        <v>女</v>
      </c>
      <c r="D1663" s="2" t="str">
        <f t="shared" si="343"/>
        <v>10</v>
      </c>
      <c r="E1663" s="2" t="str">
        <f t="shared" si="354"/>
        <v>外国语学院</v>
      </c>
    </row>
    <row r="1664" ht="13.5" hidden="1" spans="1:5">
      <c r="A1664" s="2" t="str">
        <f>"黄志燕"</f>
        <v>黄志燕</v>
      </c>
      <c r="B1664" s="2" t="str">
        <f>"B20231111219"</f>
        <v>B20231111219</v>
      </c>
      <c r="C1664" s="2" t="str">
        <f t="shared" si="356"/>
        <v>女</v>
      </c>
      <c r="D1664" s="2" t="str">
        <f t="shared" si="343"/>
        <v>10</v>
      </c>
      <c r="E1664" s="2" t="str">
        <f>"音乐学院"</f>
        <v>音乐学院</v>
      </c>
    </row>
    <row r="1665" ht="13.5" hidden="1" spans="1:5">
      <c r="A1665" s="2" t="str">
        <f>"王俞雯"</f>
        <v>王俞雯</v>
      </c>
      <c r="B1665" s="2" t="str">
        <f>"B20220801420"</f>
        <v>B20220801420</v>
      </c>
      <c r="C1665" s="2" t="str">
        <f t="shared" si="356"/>
        <v>女</v>
      </c>
      <c r="D1665" s="2" t="str">
        <f t="shared" si="343"/>
        <v>10</v>
      </c>
      <c r="E1665" s="2" t="str">
        <f>"外国语学院"</f>
        <v>外国语学院</v>
      </c>
    </row>
    <row r="1666" ht="13.5" hidden="1" spans="1:5">
      <c r="A1666" s="2" t="str">
        <f>"黄荣"</f>
        <v>黄荣</v>
      </c>
      <c r="B1666" s="2" t="str">
        <f>"B20210902221"</f>
        <v>B20210902221</v>
      </c>
      <c r="C1666" s="2" t="str">
        <f t="shared" si="356"/>
        <v>女</v>
      </c>
      <c r="D1666" s="2" t="str">
        <f t="shared" si="343"/>
        <v>10</v>
      </c>
      <c r="E1666" s="2" t="str">
        <f>"经济与管理学院"</f>
        <v>经济与管理学院</v>
      </c>
    </row>
    <row r="1667" ht="13.5" hidden="1" spans="1:5">
      <c r="A1667" s="2" t="str">
        <f>"马耀辉"</f>
        <v>马耀辉</v>
      </c>
      <c r="B1667" s="2" t="str">
        <f>"B20210601301"</f>
        <v>B20210601301</v>
      </c>
      <c r="C1667" s="2" t="str">
        <f t="shared" ref="C1667:C1672" si="357">"男"</f>
        <v>男</v>
      </c>
      <c r="D1667" s="2" t="str">
        <f t="shared" si="343"/>
        <v>10</v>
      </c>
      <c r="E1667" s="2" t="str">
        <f>"法学院"</f>
        <v>法学院</v>
      </c>
    </row>
    <row r="1668" ht="13.5" hidden="1" spans="1:5">
      <c r="A1668" s="2" t="str">
        <f>"屈思涵"</f>
        <v>屈思涵</v>
      </c>
      <c r="B1668" s="2" t="str">
        <f>"B20210704323"</f>
        <v>B20210704323</v>
      </c>
      <c r="C1668" s="2" t="str">
        <f>"女"</f>
        <v>女</v>
      </c>
      <c r="D1668" s="2" t="str">
        <f t="shared" si="343"/>
        <v>10</v>
      </c>
      <c r="E1668" s="2" t="str">
        <f>"马栏山新媒体学院"</f>
        <v>马栏山新媒体学院</v>
      </c>
    </row>
    <row r="1669" ht="13.5" hidden="1" spans="1:5">
      <c r="A1669" s="2" t="str">
        <f>"谭欣怡"</f>
        <v>谭欣怡</v>
      </c>
      <c r="B1669" s="2" t="str">
        <f>"B20230901213"</f>
        <v>B20230901213</v>
      </c>
      <c r="C1669" s="2" t="str">
        <f>"女"</f>
        <v>女</v>
      </c>
      <c r="D1669" s="2" t="str">
        <f t="shared" si="343"/>
        <v>10</v>
      </c>
      <c r="E1669" s="2" t="str">
        <f>"经济与管理学院"</f>
        <v>经济与管理学院</v>
      </c>
    </row>
    <row r="1670" ht="13.5" hidden="1" spans="1:5">
      <c r="A1670" s="2" t="str">
        <f>"丁旺"</f>
        <v>丁旺</v>
      </c>
      <c r="B1670" s="2" t="str">
        <f>"B20211003206"</f>
        <v>B20211003206</v>
      </c>
      <c r="C1670" s="2" t="str">
        <f t="shared" si="357"/>
        <v>男</v>
      </c>
      <c r="D1670" s="2" t="str">
        <f t="shared" si="343"/>
        <v>10</v>
      </c>
      <c r="E1670" s="2" t="str">
        <f>"艺术设计学院"</f>
        <v>艺术设计学院</v>
      </c>
    </row>
    <row r="1671" ht="13.5" hidden="1" spans="1:5">
      <c r="A1671" s="2" t="str">
        <f>"贺亮"</f>
        <v>贺亮</v>
      </c>
      <c r="B1671" s="2" t="str">
        <f>"B20231302219"</f>
        <v>B20231302219</v>
      </c>
      <c r="C1671" s="2" t="str">
        <f t="shared" si="357"/>
        <v>男</v>
      </c>
      <c r="D1671" s="2" t="str">
        <f t="shared" si="343"/>
        <v>10</v>
      </c>
      <c r="E1671" s="2" t="str">
        <f>"材料与环境工程学院"</f>
        <v>材料与环境工程学院</v>
      </c>
    </row>
    <row r="1672" ht="13.5" hidden="1" spans="1:5">
      <c r="A1672" s="2" t="str">
        <f>"冯世武"</f>
        <v>冯世武</v>
      </c>
      <c r="B1672" s="2" t="str">
        <f>"B20210901233"</f>
        <v>B20210901233</v>
      </c>
      <c r="C1672" s="2" t="str">
        <f t="shared" si="357"/>
        <v>男</v>
      </c>
      <c r="D1672" s="2" t="str">
        <f t="shared" si="343"/>
        <v>10</v>
      </c>
      <c r="E1672" s="2" t="str">
        <f>"经济与管理学院"</f>
        <v>经济与管理学院</v>
      </c>
    </row>
    <row r="1673" ht="13.5" hidden="1" spans="1:5">
      <c r="A1673" s="2" t="str">
        <f>"孙旖"</f>
        <v>孙旖</v>
      </c>
      <c r="B1673" s="2" t="str">
        <f>"B20200401128"</f>
        <v>B20200401128</v>
      </c>
      <c r="C1673" s="2" t="str">
        <f t="shared" ref="C1673:C1678" si="358">"女"</f>
        <v>女</v>
      </c>
      <c r="D1673" s="2" t="str">
        <f t="shared" si="343"/>
        <v>10</v>
      </c>
      <c r="E1673" s="2" t="str">
        <f>"电子信息与电气工程学院"</f>
        <v>电子信息与电气工程学院</v>
      </c>
    </row>
    <row r="1674" ht="13.5" hidden="1" spans="1:5">
      <c r="A1674" s="2" t="str">
        <f>"张羽欣"</f>
        <v>张羽欣</v>
      </c>
      <c r="B1674" s="2" t="str">
        <f>"B20210803204"</f>
        <v>B20210803204</v>
      </c>
      <c r="C1674" s="2" t="str">
        <f t="shared" si="358"/>
        <v>女</v>
      </c>
      <c r="D1674" s="2" t="str">
        <f t="shared" si="343"/>
        <v>10</v>
      </c>
      <c r="E1674" s="2" t="str">
        <f>"外国语学院"</f>
        <v>外国语学院</v>
      </c>
    </row>
    <row r="1675" ht="13.5" hidden="1" spans="1:5">
      <c r="A1675" s="2" t="str">
        <f>"黄悦"</f>
        <v>黄悦</v>
      </c>
      <c r="B1675" s="2" t="str">
        <f>"B20220204132"</f>
        <v>B20220204132</v>
      </c>
      <c r="C1675" s="2" t="str">
        <f>"男"</f>
        <v>男</v>
      </c>
      <c r="D1675" s="2" t="str">
        <f t="shared" si="343"/>
        <v>10</v>
      </c>
      <c r="E1675" s="2" t="str">
        <f>"机电工程学院"</f>
        <v>机电工程学院</v>
      </c>
    </row>
    <row r="1676" ht="13.5" hidden="1" spans="1:5">
      <c r="A1676" s="2" t="str">
        <f>"阳雨荷"</f>
        <v>阳雨荷</v>
      </c>
      <c r="B1676" s="2" t="str">
        <f>"B20220904319"</f>
        <v>B20220904319</v>
      </c>
      <c r="C1676" s="2" t="str">
        <f t="shared" si="358"/>
        <v>女</v>
      </c>
      <c r="D1676" s="2" t="str">
        <f t="shared" si="343"/>
        <v>10</v>
      </c>
      <c r="E1676" s="2" t="str">
        <f>"经济与管理学院"</f>
        <v>经济与管理学院</v>
      </c>
    </row>
    <row r="1677" ht="13.5" hidden="1" spans="1:5">
      <c r="A1677" s="2" t="str">
        <f>"张芷凌"</f>
        <v>张芷凌</v>
      </c>
      <c r="B1677" s="2" t="str">
        <f>"B20201001115"</f>
        <v>B20201001115</v>
      </c>
      <c r="C1677" s="2" t="str">
        <f t="shared" si="358"/>
        <v>女</v>
      </c>
      <c r="D1677" s="2" t="str">
        <f t="shared" si="343"/>
        <v>10</v>
      </c>
      <c r="E1677" s="2" t="str">
        <f>"艺术设计学院"</f>
        <v>艺术设计学院</v>
      </c>
    </row>
    <row r="1678" ht="13.5" hidden="1" spans="1:5">
      <c r="A1678" s="2" t="str">
        <f>"刘颖慧"</f>
        <v>刘颖慧</v>
      </c>
      <c r="B1678" s="2" t="str">
        <f>"B20220802205"</f>
        <v>B20220802205</v>
      </c>
      <c r="C1678" s="2" t="str">
        <f t="shared" si="358"/>
        <v>女</v>
      </c>
      <c r="D1678" s="2" t="str">
        <f t="shared" si="343"/>
        <v>10</v>
      </c>
      <c r="E1678" s="2" t="str">
        <f>"外国语学院"</f>
        <v>外国语学院</v>
      </c>
    </row>
    <row r="1679" ht="13.5" hidden="1" spans="1:5">
      <c r="A1679" s="2" t="str">
        <f>"全涛"</f>
        <v>全涛</v>
      </c>
      <c r="B1679" s="2" t="str">
        <f>"B20220201311"</f>
        <v>B20220201311</v>
      </c>
      <c r="C1679" s="2" t="str">
        <f>"男"</f>
        <v>男</v>
      </c>
      <c r="D1679" s="2" t="str">
        <f t="shared" si="343"/>
        <v>10</v>
      </c>
      <c r="E1679" s="2" t="str">
        <f>"机电工程学院"</f>
        <v>机电工程学院</v>
      </c>
    </row>
    <row r="1680" ht="13.5" hidden="1" spans="1:5">
      <c r="A1680" s="2" t="str">
        <f>"吴霞"</f>
        <v>吴霞</v>
      </c>
      <c r="B1680" s="2" t="str">
        <f>"B20230801119"</f>
        <v>B20230801119</v>
      </c>
      <c r="C1680" s="2" t="str">
        <f>"女"</f>
        <v>女</v>
      </c>
      <c r="D1680" s="2" t="str">
        <f t="shared" ref="D1680:D1743" si="359">"10"</f>
        <v>10</v>
      </c>
      <c r="E1680" s="2" t="str">
        <f>"外国语学院"</f>
        <v>外国语学院</v>
      </c>
    </row>
    <row r="1681" ht="13.5" hidden="1" spans="1:5">
      <c r="A1681" s="2" t="str">
        <f>"陈诺"</f>
        <v>陈诺</v>
      </c>
      <c r="B1681" s="2" t="str">
        <f>"B20200101634"</f>
        <v>B20200101634</v>
      </c>
      <c r="C1681" s="2" t="str">
        <f t="shared" ref="C1681:C1684" si="360">"男"</f>
        <v>男</v>
      </c>
      <c r="D1681" s="2" t="str">
        <f t="shared" si="359"/>
        <v>10</v>
      </c>
      <c r="E1681" s="2" t="str">
        <f>"土木工程学院"</f>
        <v>土木工程学院</v>
      </c>
    </row>
    <row r="1682" ht="13.5" hidden="1" spans="1:5">
      <c r="A1682" s="2" t="str">
        <f>"袁磊"</f>
        <v>袁磊</v>
      </c>
      <c r="B1682" s="2" t="str">
        <f>"B20200102222"</f>
        <v>B20200102222</v>
      </c>
      <c r="C1682" s="2" t="str">
        <f t="shared" si="360"/>
        <v>男</v>
      </c>
      <c r="D1682" s="2" t="str">
        <f t="shared" si="359"/>
        <v>10</v>
      </c>
      <c r="E1682" s="2" t="str">
        <f>"土木工程学院"</f>
        <v>土木工程学院</v>
      </c>
    </row>
    <row r="1683" ht="13.5" hidden="1" spans="1:5">
      <c r="A1683" s="2" t="str">
        <f>"张雨行"</f>
        <v>张雨行</v>
      </c>
      <c r="B1683" s="2" t="str">
        <f>"B20210204230"</f>
        <v>B20210204230</v>
      </c>
      <c r="C1683" s="2" t="str">
        <f t="shared" si="360"/>
        <v>男</v>
      </c>
      <c r="D1683" s="2" t="str">
        <f t="shared" si="359"/>
        <v>10</v>
      </c>
      <c r="E1683" s="2" t="str">
        <f>"机电工程学院"</f>
        <v>机电工程学院</v>
      </c>
    </row>
    <row r="1684" ht="13.5" hidden="1" spans="1:5">
      <c r="A1684" s="2" t="str">
        <f>"李明阳"</f>
        <v>李明阳</v>
      </c>
      <c r="B1684" s="2" t="str">
        <f>"B20220204403"</f>
        <v>B20220204403</v>
      </c>
      <c r="C1684" s="2" t="str">
        <f t="shared" si="360"/>
        <v>男</v>
      </c>
      <c r="D1684" s="2" t="str">
        <f t="shared" si="359"/>
        <v>10</v>
      </c>
      <c r="E1684" s="2" t="str">
        <f>"机电工程学院"</f>
        <v>机电工程学院</v>
      </c>
    </row>
    <row r="1685" ht="13.5" hidden="1" spans="1:5">
      <c r="A1685" s="2" t="str">
        <f>"覃一顺"</f>
        <v>覃一顺</v>
      </c>
      <c r="B1685" s="2" t="str">
        <f>"B20230801120"</f>
        <v>B20230801120</v>
      </c>
      <c r="C1685" s="2" t="str">
        <f>"女"</f>
        <v>女</v>
      </c>
      <c r="D1685" s="2" t="str">
        <f t="shared" si="359"/>
        <v>10</v>
      </c>
      <c r="E1685" s="2" t="str">
        <f>"外国语学院"</f>
        <v>外国语学院</v>
      </c>
    </row>
    <row r="1686" ht="13.5" hidden="1" spans="1:5">
      <c r="A1686" s="2" t="str">
        <f>"资娇婧"</f>
        <v>资娇婧</v>
      </c>
      <c r="B1686" s="2" t="str">
        <f>"B20230801409"</f>
        <v>B20230801409</v>
      </c>
      <c r="C1686" s="2" t="str">
        <f>"女"</f>
        <v>女</v>
      </c>
      <c r="D1686" s="2" t="str">
        <f t="shared" si="359"/>
        <v>10</v>
      </c>
      <c r="E1686" s="2" t="str">
        <f>"外国语学院"</f>
        <v>外国语学院</v>
      </c>
    </row>
    <row r="1687" ht="13.5" hidden="1" spans="1:5">
      <c r="A1687" s="2" t="str">
        <f>"刘济铭"</f>
        <v>刘济铭</v>
      </c>
      <c r="B1687" s="2" t="str">
        <f>"B20210402218"</f>
        <v>B20210402218</v>
      </c>
      <c r="C1687" s="2" t="str">
        <f t="shared" ref="C1687:C1691" si="361">"男"</f>
        <v>男</v>
      </c>
      <c r="D1687" s="2" t="str">
        <f t="shared" si="359"/>
        <v>10</v>
      </c>
      <c r="E1687" s="2" t="str">
        <f>"电子信息与电气工程学院"</f>
        <v>电子信息与电气工程学院</v>
      </c>
    </row>
    <row r="1688" ht="13.5" hidden="1" spans="1:5">
      <c r="A1688" s="2" t="str">
        <f>"廖昱凯"</f>
        <v>廖昱凯</v>
      </c>
      <c r="B1688" s="2" t="str">
        <f>"B20230905227"</f>
        <v>B20230905227</v>
      </c>
      <c r="C1688" s="2" t="str">
        <f t="shared" si="361"/>
        <v>男</v>
      </c>
      <c r="D1688" s="2" t="str">
        <f t="shared" si="359"/>
        <v>10</v>
      </c>
      <c r="E1688" s="2" t="str">
        <f>"经济与管理学院"</f>
        <v>经济与管理学院</v>
      </c>
    </row>
    <row r="1689" ht="13.5" hidden="1" spans="1:5">
      <c r="A1689" s="2" t="str">
        <f>"胡俊彪"</f>
        <v>胡俊彪</v>
      </c>
      <c r="B1689" s="2" t="str">
        <f>"B20210402129"</f>
        <v>B20210402129</v>
      </c>
      <c r="C1689" s="2" t="str">
        <f t="shared" si="361"/>
        <v>男</v>
      </c>
      <c r="D1689" s="2" t="str">
        <f t="shared" si="359"/>
        <v>10</v>
      </c>
      <c r="E1689" s="2" t="str">
        <f>"电子信息与电气工程学院"</f>
        <v>电子信息与电气工程学院</v>
      </c>
    </row>
    <row r="1690" ht="13.5" hidden="1" spans="1:5">
      <c r="A1690" s="2" t="str">
        <f>"仇怀保"</f>
        <v>仇怀保</v>
      </c>
      <c r="B1690" s="2" t="str">
        <f>"B20221302215"</f>
        <v>B20221302215</v>
      </c>
      <c r="C1690" s="2" t="str">
        <f t="shared" si="361"/>
        <v>男</v>
      </c>
      <c r="D1690" s="2" t="str">
        <f t="shared" si="359"/>
        <v>10</v>
      </c>
      <c r="E1690" s="2" t="str">
        <f>"材料与环境工程学院"</f>
        <v>材料与环境工程学院</v>
      </c>
    </row>
    <row r="1691" ht="13.5" hidden="1" spans="1:5">
      <c r="A1691" s="2" t="str">
        <f>"陈广银"</f>
        <v>陈广银</v>
      </c>
      <c r="B1691" s="2" t="str">
        <f>"B20200101419"</f>
        <v>B20200101419</v>
      </c>
      <c r="C1691" s="2" t="str">
        <f t="shared" si="361"/>
        <v>男</v>
      </c>
      <c r="D1691" s="2" t="str">
        <f t="shared" si="359"/>
        <v>10</v>
      </c>
      <c r="E1691" s="2" t="str">
        <f>"土木工程学院"</f>
        <v>土木工程学院</v>
      </c>
    </row>
    <row r="1692" ht="13.5" hidden="1" spans="1:5">
      <c r="A1692" s="2" t="str">
        <f>"吴宇君"</f>
        <v>吴宇君</v>
      </c>
      <c r="B1692" s="2" t="str">
        <f>"B20230903129"</f>
        <v>B20230903129</v>
      </c>
      <c r="C1692" s="2" t="str">
        <f t="shared" ref="C1692:C1697" si="362">"女"</f>
        <v>女</v>
      </c>
      <c r="D1692" s="2" t="str">
        <f t="shared" si="359"/>
        <v>10</v>
      </c>
      <c r="E1692" s="2" t="str">
        <f>"经济与管理学院"</f>
        <v>经济与管理学院</v>
      </c>
    </row>
    <row r="1693" ht="13.5" hidden="1" spans="1:5">
      <c r="A1693" s="2" t="str">
        <f>"潘依婷"</f>
        <v>潘依婷</v>
      </c>
      <c r="B1693" s="2" t="str">
        <f>"B20220801526"</f>
        <v>B20220801526</v>
      </c>
      <c r="C1693" s="2" t="str">
        <f t="shared" si="362"/>
        <v>女</v>
      </c>
      <c r="D1693" s="2" t="str">
        <f t="shared" si="359"/>
        <v>10</v>
      </c>
      <c r="E1693" s="2" t="str">
        <f>"外国语学院"</f>
        <v>外国语学院</v>
      </c>
    </row>
    <row r="1694" ht="13.5" hidden="1" spans="1:5">
      <c r="A1694" s="2" t="str">
        <f>"梁洁萍"</f>
        <v>梁洁萍</v>
      </c>
      <c r="B1694" s="2" t="str">
        <f>"B20231101228"</f>
        <v>B20231101228</v>
      </c>
      <c r="C1694" s="2" t="str">
        <f t="shared" si="362"/>
        <v>女</v>
      </c>
      <c r="D1694" s="2" t="str">
        <f t="shared" si="359"/>
        <v>10</v>
      </c>
      <c r="E1694" s="2" t="str">
        <f>"音乐学院"</f>
        <v>音乐学院</v>
      </c>
    </row>
    <row r="1695" ht="13.5" hidden="1" spans="1:5">
      <c r="A1695" s="2" t="str">
        <f>"陈含嫣"</f>
        <v>陈含嫣</v>
      </c>
      <c r="B1695" s="2" t="str">
        <f>"B20230601515"</f>
        <v>B20230601515</v>
      </c>
      <c r="C1695" s="2" t="str">
        <f t="shared" si="362"/>
        <v>女</v>
      </c>
      <c r="D1695" s="2" t="str">
        <f t="shared" si="359"/>
        <v>10</v>
      </c>
      <c r="E1695" s="2" t="str">
        <f>"法学院"</f>
        <v>法学院</v>
      </c>
    </row>
    <row r="1696" ht="13.5" hidden="1" spans="1:5">
      <c r="A1696" s="2" t="str">
        <f>"伍洁"</f>
        <v>伍洁</v>
      </c>
      <c r="B1696" s="2" t="str">
        <f>"B20220702108"</f>
        <v>B20220702108</v>
      </c>
      <c r="C1696" s="2" t="str">
        <f t="shared" si="362"/>
        <v>女</v>
      </c>
      <c r="D1696" s="2" t="str">
        <f t="shared" si="359"/>
        <v>10</v>
      </c>
      <c r="E1696" s="2" t="str">
        <f t="shared" ref="E1696:E1698" si="363">"马栏山新媒体学院"</f>
        <v>马栏山新媒体学院</v>
      </c>
    </row>
    <row r="1697" ht="13.5" hidden="1" spans="1:5">
      <c r="A1697" s="2" t="str">
        <f>"夏毓新"</f>
        <v>夏毓新</v>
      </c>
      <c r="B1697" s="2" t="str">
        <f>"B20220704319"</f>
        <v>B20220704319</v>
      </c>
      <c r="C1697" s="2" t="str">
        <f t="shared" si="362"/>
        <v>女</v>
      </c>
      <c r="D1697" s="2" t="str">
        <f t="shared" si="359"/>
        <v>10</v>
      </c>
      <c r="E1697" s="2" t="str">
        <f t="shared" si="363"/>
        <v>马栏山新媒体学院</v>
      </c>
    </row>
    <row r="1698" ht="13.5" hidden="1" spans="1:5">
      <c r="A1698" s="2" t="str">
        <f>"张雲鑫"</f>
        <v>张雲鑫</v>
      </c>
      <c r="B1698" s="2" t="str">
        <f>"B20230704115"</f>
        <v>B20230704115</v>
      </c>
      <c r="C1698" s="2" t="str">
        <f>"男"</f>
        <v>男</v>
      </c>
      <c r="D1698" s="2" t="str">
        <f t="shared" si="359"/>
        <v>10</v>
      </c>
      <c r="E1698" s="2" t="str">
        <f t="shared" si="363"/>
        <v>马栏山新媒体学院</v>
      </c>
    </row>
    <row r="1699" ht="13.5" hidden="1" spans="1:5">
      <c r="A1699" s="2" t="str">
        <f>"肖娜"</f>
        <v>肖娜</v>
      </c>
      <c r="B1699" s="2" t="str">
        <f>"B20220102125"</f>
        <v>B20220102125</v>
      </c>
      <c r="C1699" s="2" t="str">
        <f>"女"</f>
        <v>女</v>
      </c>
      <c r="D1699" s="2" t="str">
        <f t="shared" si="359"/>
        <v>10</v>
      </c>
      <c r="E1699" s="2" t="str">
        <f>"土木工程学院"</f>
        <v>土木工程学院</v>
      </c>
    </row>
    <row r="1700" ht="13.5" hidden="1" spans="1:5">
      <c r="A1700" s="2" t="str">
        <f>"肖丰"</f>
        <v>肖丰</v>
      </c>
      <c r="B1700" s="2" t="str">
        <f>"B20210404120"</f>
        <v>B20210404120</v>
      </c>
      <c r="C1700" s="2" t="str">
        <f>"男"</f>
        <v>男</v>
      </c>
      <c r="D1700" s="2" t="str">
        <f t="shared" si="359"/>
        <v>10</v>
      </c>
      <c r="E1700" s="2" t="str">
        <f>"电子信息与电气工程学院"</f>
        <v>电子信息与电气工程学院</v>
      </c>
    </row>
    <row r="1701" ht="13.5" hidden="1" spans="1:5">
      <c r="A1701" s="2" t="str">
        <f>"朱千索"</f>
        <v>朱千索</v>
      </c>
      <c r="B1701" s="2" t="str">
        <f>"B20220705128"</f>
        <v>B20220705128</v>
      </c>
      <c r="C1701" s="2" t="str">
        <f>"女"</f>
        <v>女</v>
      </c>
      <c r="D1701" s="2" t="str">
        <f t="shared" si="359"/>
        <v>10</v>
      </c>
      <c r="E1701" s="2" t="str">
        <f>"马栏山新媒体学院"</f>
        <v>马栏山新媒体学院</v>
      </c>
    </row>
    <row r="1702" ht="13.5" hidden="1" spans="1:5">
      <c r="A1702" s="2" t="str">
        <f>"刘舜"</f>
        <v>刘舜</v>
      </c>
      <c r="B1702" s="2" t="str">
        <f>"B20230802119"</f>
        <v>B20230802119</v>
      </c>
      <c r="C1702" s="2" t="str">
        <f>"女"</f>
        <v>女</v>
      </c>
      <c r="D1702" s="2" t="str">
        <f t="shared" si="359"/>
        <v>10</v>
      </c>
      <c r="E1702" s="2" t="str">
        <f>"外国语学院"</f>
        <v>外国语学院</v>
      </c>
    </row>
    <row r="1703" ht="13.5" hidden="1" spans="1:5">
      <c r="A1703" s="2" t="str">
        <f>"蒋欣园"</f>
        <v>蒋欣园</v>
      </c>
      <c r="B1703" s="2" t="str">
        <f>"B20220701330"</f>
        <v>B20220701330</v>
      </c>
      <c r="C1703" s="2" t="str">
        <f>"女"</f>
        <v>女</v>
      </c>
      <c r="D1703" s="2" t="str">
        <f t="shared" si="359"/>
        <v>10</v>
      </c>
      <c r="E1703" s="2" t="str">
        <f>"马栏山新媒体学院"</f>
        <v>马栏山新媒体学院</v>
      </c>
    </row>
    <row r="1704" ht="13.5" hidden="1" spans="1:5">
      <c r="A1704" s="2" t="str">
        <f>"陈敏"</f>
        <v>陈敏</v>
      </c>
      <c r="B1704" s="2" t="str">
        <f>"B20230901308"</f>
        <v>B20230901308</v>
      </c>
      <c r="C1704" s="2" t="str">
        <f>"女"</f>
        <v>女</v>
      </c>
      <c r="D1704" s="2" t="str">
        <f t="shared" si="359"/>
        <v>10</v>
      </c>
      <c r="E1704" s="2" t="str">
        <f>"经济与管理学院"</f>
        <v>经济与管理学院</v>
      </c>
    </row>
    <row r="1705" ht="13.5" hidden="1" spans="1:5">
      <c r="A1705" s="2" t="str">
        <f>"黄腾"</f>
        <v>黄腾</v>
      </c>
      <c r="B1705" s="2" t="str">
        <f>"B20200503210"</f>
        <v>B20200503210</v>
      </c>
      <c r="C1705" s="2" t="str">
        <f>"男"</f>
        <v>男</v>
      </c>
      <c r="D1705" s="2" t="str">
        <f t="shared" si="359"/>
        <v>10</v>
      </c>
      <c r="E1705" s="2" t="str">
        <f>"生物与环境工程学院"</f>
        <v>生物与环境工程学院</v>
      </c>
    </row>
    <row r="1706" ht="13.5" hidden="1" spans="1:5">
      <c r="A1706" s="2" t="str">
        <f>"谢灿"</f>
        <v>谢灿</v>
      </c>
      <c r="B1706" s="2" t="str">
        <f>"B20220801524"</f>
        <v>B20220801524</v>
      </c>
      <c r="C1706" s="2" t="str">
        <f t="shared" ref="C1706:C1710" si="364">"女"</f>
        <v>女</v>
      </c>
      <c r="D1706" s="2" t="str">
        <f t="shared" si="359"/>
        <v>10</v>
      </c>
      <c r="E1706" s="2" t="str">
        <f>"外国语学院"</f>
        <v>外国语学院</v>
      </c>
    </row>
    <row r="1707" ht="13.5" hidden="1" spans="1:5">
      <c r="A1707" s="2" t="str">
        <f>"王子安"</f>
        <v>王子安</v>
      </c>
      <c r="B1707" s="2" t="str">
        <f>"B20220703221"</f>
        <v>B20220703221</v>
      </c>
      <c r="C1707" s="2" t="str">
        <f>"男"</f>
        <v>男</v>
      </c>
      <c r="D1707" s="2" t="str">
        <f t="shared" si="359"/>
        <v>10</v>
      </c>
      <c r="E1707" s="2" t="str">
        <f t="shared" ref="E1707:E1710" si="365">"马栏山新媒体学院"</f>
        <v>马栏山新媒体学院</v>
      </c>
    </row>
    <row r="1708" ht="13.5" hidden="1" spans="1:5">
      <c r="A1708" s="2" t="str">
        <f>"阳雨轩"</f>
        <v>阳雨轩</v>
      </c>
      <c r="B1708" s="2" t="str">
        <f>"B20230702422"</f>
        <v>B20230702422</v>
      </c>
      <c r="C1708" s="2" t="str">
        <f t="shared" si="364"/>
        <v>女</v>
      </c>
      <c r="D1708" s="2" t="str">
        <f t="shared" si="359"/>
        <v>10</v>
      </c>
      <c r="E1708" s="2" t="str">
        <f t="shared" si="365"/>
        <v>马栏山新媒体学院</v>
      </c>
    </row>
    <row r="1709" ht="13.5" hidden="1" spans="1:5">
      <c r="A1709" s="2" t="str">
        <f>"刘添程"</f>
        <v>刘添程</v>
      </c>
      <c r="B1709" s="2" t="str">
        <f>"B20200101112"</f>
        <v>B20200101112</v>
      </c>
      <c r="C1709" s="2" t="str">
        <f>"男"</f>
        <v>男</v>
      </c>
      <c r="D1709" s="2" t="str">
        <f t="shared" si="359"/>
        <v>10</v>
      </c>
      <c r="E1709" s="2" t="str">
        <f>"土木工程学院"</f>
        <v>土木工程学院</v>
      </c>
    </row>
    <row r="1710" ht="13.5" hidden="1" spans="1:5">
      <c r="A1710" s="2" t="str">
        <f>"邓琦"</f>
        <v>邓琦</v>
      </c>
      <c r="B1710" s="2" t="str">
        <f>"B20200705119"</f>
        <v>B20200705119</v>
      </c>
      <c r="C1710" s="2" t="str">
        <f t="shared" si="364"/>
        <v>女</v>
      </c>
      <c r="D1710" s="2" t="str">
        <f t="shared" si="359"/>
        <v>10</v>
      </c>
      <c r="E1710" s="2" t="str">
        <f t="shared" si="365"/>
        <v>马栏山新媒体学院</v>
      </c>
    </row>
    <row r="1711" ht="13.5" hidden="1" spans="1:5">
      <c r="A1711" s="2" t="str">
        <f>"叶碧峰"</f>
        <v>叶碧峰</v>
      </c>
      <c r="B1711" s="2" t="str">
        <f>"B20200403209"</f>
        <v>B20200403209</v>
      </c>
      <c r="C1711" s="2" t="str">
        <f>"男"</f>
        <v>男</v>
      </c>
      <c r="D1711" s="2" t="str">
        <f t="shared" si="359"/>
        <v>10</v>
      </c>
      <c r="E1711" s="2" t="str">
        <f>"电子信息与电气工程学院"</f>
        <v>电子信息与电气工程学院</v>
      </c>
    </row>
    <row r="1712" ht="13.5" hidden="1" spans="1:5">
      <c r="A1712" s="2" t="str">
        <f>"艾建渊"</f>
        <v>艾建渊</v>
      </c>
      <c r="B1712" s="2" t="str">
        <f>"B20230403104"</f>
        <v>B20230403104</v>
      </c>
      <c r="C1712" s="2" t="str">
        <f>"男"</f>
        <v>男</v>
      </c>
      <c r="D1712" s="2" t="str">
        <f t="shared" si="359"/>
        <v>10</v>
      </c>
      <c r="E1712" s="2" t="str">
        <f>"电子信息与电气工程学院"</f>
        <v>电子信息与电气工程学院</v>
      </c>
    </row>
    <row r="1713" ht="13.5" hidden="1" spans="1:5">
      <c r="A1713" s="2" t="str">
        <f>"万钰琦"</f>
        <v>万钰琦</v>
      </c>
      <c r="B1713" s="2" t="str">
        <f>"B20210801604"</f>
        <v>B20210801604</v>
      </c>
      <c r="C1713" s="2" t="str">
        <f t="shared" ref="C1713:C1717" si="366">"女"</f>
        <v>女</v>
      </c>
      <c r="D1713" s="2" t="str">
        <f t="shared" si="359"/>
        <v>10</v>
      </c>
      <c r="E1713" s="2" t="str">
        <f t="shared" ref="E1713:E1716" si="367">"外国语学院"</f>
        <v>外国语学院</v>
      </c>
    </row>
    <row r="1714" ht="13.5" hidden="1" spans="1:5">
      <c r="A1714" s="2" t="str">
        <f>"王刘志"</f>
        <v>王刘志</v>
      </c>
      <c r="B1714" s="2" t="str">
        <f>"B20200101526"</f>
        <v>B20200101526</v>
      </c>
      <c r="C1714" s="2" t="str">
        <f t="shared" ref="C1714:C1718" si="368">"男"</f>
        <v>男</v>
      </c>
      <c r="D1714" s="2" t="str">
        <f t="shared" si="359"/>
        <v>10</v>
      </c>
      <c r="E1714" s="2" t="str">
        <f>"土木工程学院"</f>
        <v>土木工程学院</v>
      </c>
    </row>
    <row r="1715" ht="13.5" hidden="1" spans="1:5">
      <c r="A1715" s="2" t="str">
        <f>"舒富椿"</f>
        <v>舒富椿</v>
      </c>
      <c r="B1715" s="2" t="str">
        <f>"B20230803213"</f>
        <v>B20230803213</v>
      </c>
      <c r="C1715" s="2" t="str">
        <f t="shared" si="368"/>
        <v>男</v>
      </c>
      <c r="D1715" s="2" t="str">
        <f t="shared" si="359"/>
        <v>10</v>
      </c>
      <c r="E1715" s="2" t="str">
        <f t="shared" si="367"/>
        <v>外国语学院</v>
      </c>
    </row>
    <row r="1716" ht="13.5" hidden="1" spans="1:5">
      <c r="A1716" s="2" t="str">
        <f>"陈明珍"</f>
        <v>陈明珍</v>
      </c>
      <c r="B1716" s="2" t="str">
        <f>"B20230803126"</f>
        <v>B20230803126</v>
      </c>
      <c r="C1716" s="2" t="str">
        <f t="shared" si="366"/>
        <v>女</v>
      </c>
      <c r="D1716" s="2" t="str">
        <f t="shared" si="359"/>
        <v>10</v>
      </c>
      <c r="E1716" s="2" t="str">
        <f t="shared" si="367"/>
        <v>外国语学院</v>
      </c>
    </row>
    <row r="1717" ht="13.5" hidden="1" spans="1:5">
      <c r="A1717" s="2" t="str">
        <f>"何琪"</f>
        <v>何琪</v>
      </c>
      <c r="B1717" s="2" t="str">
        <f>"B20230701129"</f>
        <v>B20230701129</v>
      </c>
      <c r="C1717" s="2" t="str">
        <f t="shared" si="366"/>
        <v>女</v>
      </c>
      <c r="D1717" s="2" t="str">
        <f t="shared" si="359"/>
        <v>10</v>
      </c>
      <c r="E1717" s="2" t="str">
        <f t="shared" ref="E1717:E1720" si="369">"马栏山新媒体学院"</f>
        <v>马栏山新媒体学院</v>
      </c>
    </row>
    <row r="1718" ht="13.5" hidden="1" spans="1:5">
      <c r="A1718" s="2" t="str">
        <f>"李宏远"</f>
        <v>李宏远</v>
      </c>
      <c r="B1718" s="2" t="str">
        <f>"B20230702330"</f>
        <v>B20230702330</v>
      </c>
      <c r="C1718" s="2" t="str">
        <f t="shared" si="368"/>
        <v>男</v>
      </c>
      <c r="D1718" s="2" t="str">
        <f t="shared" si="359"/>
        <v>10</v>
      </c>
      <c r="E1718" s="2" t="str">
        <f t="shared" si="369"/>
        <v>马栏山新媒体学院</v>
      </c>
    </row>
    <row r="1719" ht="13.5" hidden="1" spans="1:5">
      <c r="A1719" s="2" t="str">
        <f>"史苏琳"</f>
        <v>史苏琳</v>
      </c>
      <c r="B1719" s="2" t="str">
        <f>"B20230504218"</f>
        <v>B20230504218</v>
      </c>
      <c r="C1719" s="2" t="str">
        <f>"女"</f>
        <v>女</v>
      </c>
      <c r="D1719" s="2" t="str">
        <f t="shared" si="359"/>
        <v>10</v>
      </c>
      <c r="E1719" s="2" t="str">
        <f>"生物与化学工程学院"</f>
        <v>生物与化学工程学院</v>
      </c>
    </row>
    <row r="1720" ht="13.5" hidden="1" spans="1:5">
      <c r="A1720" s="2" t="str">
        <f>"易佳瑜"</f>
        <v>易佳瑜</v>
      </c>
      <c r="B1720" s="2" t="str">
        <f>"B20200701217"</f>
        <v>B20200701217</v>
      </c>
      <c r="C1720" s="2" t="str">
        <f>"女"</f>
        <v>女</v>
      </c>
      <c r="D1720" s="2" t="str">
        <f t="shared" si="359"/>
        <v>10</v>
      </c>
      <c r="E1720" s="2" t="str">
        <f t="shared" si="369"/>
        <v>马栏山新媒体学院</v>
      </c>
    </row>
    <row r="1721" ht="13.5" hidden="1" spans="1:5">
      <c r="A1721" s="2" t="str">
        <f>"刘姗"</f>
        <v>刘姗</v>
      </c>
      <c r="B1721" s="2" t="str">
        <f>"B20201111207"</f>
        <v>B20201111207</v>
      </c>
      <c r="C1721" s="2" t="str">
        <f>"女"</f>
        <v>女</v>
      </c>
      <c r="D1721" s="2" t="str">
        <f t="shared" si="359"/>
        <v>10</v>
      </c>
      <c r="E1721" s="2" t="str">
        <f>"音乐学院"</f>
        <v>音乐学院</v>
      </c>
    </row>
    <row r="1722" ht="13.5" hidden="1" spans="1:5">
      <c r="A1722" s="2" t="str">
        <f>"沈祥森"</f>
        <v>沈祥森</v>
      </c>
      <c r="B1722" s="2" t="str">
        <f>"B20230501112"</f>
        <v>B20230501112</v>
      </c>
      <c r="C1722" s="2" t="str">
        <f>"男"</f>
        <v>男</v>
      </c>
      <c r="D1722" s="2" t="str">
        <f t="shared" si="359"/>
        <v>10</v>
      </c>
      <c r="E1722" s="2" t="str">
        <f>"生物与化学工程学院"</f>
        <v>生物与化学工程学院</v>
      </c>
    </row>
    <row r="1723" ht="13.5" hidden="1" spans="1:5">
      <c r="A1723" s="2" t="str">
        <f>"晁静轩"</f>
        <v>晁静轩</v>
      </c>
      <c r="B1723" s="2" t="str">
        <f>"B20231003117"</f>
        <v>B20231003117</v>
      </c>
      <c r="C1723" s="2" t="str">
        <f t="shared" ref="C1723:C1726" si="370">"女"</f>
        <v>女</v>
      </c>
      <c r="D1723" s="2" t="str">
        <f t="shared" si="359"/>
        <v>10</v>
      </c>
      <c r="E1723" s="2" t="str">
        <f>"艺术设计学院"</f>
        <v>艺术设计学院</v>
      </c>
    </row>
    <row r="1724" ht="13.5" hidden="1" spans="1:5">
      <c r="A1724" s="2" t="str">
        <f>"郭慧琪"</f>
        <v>郭慧琪</v>
      </c>
      <c r="B1724" s="2" t="str">
        <f>"B20230802219"</f>
        <v>B20230802219</v>
      </c>
      <c r="C1724" s="2" t="str">
        <f t="shared" si="370"/>
        <v>女</v>
      </c>
      <c r="D1724" s="2" t="str">
        <f t="shared" si="359"/>
        <v>10</v>
      </c>
      <c r="E1724" s="2" t="str">
        <f>"外国语学院"</f>
        <v>外国语学院</v>
      </c>
    </row>
    <row r="1725" ht="13.5" hidden="1" spans="1:5">
      <c r="A1725" s="2" t="str">
        <f>"邱欣怡"</f>
        <v>邱欣怡</v>
      </c>
      <c r="B1725" s="2" t="str">
        <f>"B20220601518"</f>
        <v>B20220601518</v>
      </c>
      <c r="C1725" s="2" t="str">
        <f t="shared" si="370"/>
        <v>女</v>
      </c>
      <c r="D1725" s="2" t="str">
        <f t="shared" si="359"/>
        <v>10</v>
      </c>
      <c r="E1725" s="2" t="str">
        <f>"法学院"</f>
        <v>法学院</v>
      </c>
    </row>
    <row r="1726" ht="13.5" hidden="1" spans="1:5">
      <c r="A1726" s="2" t="str">
        <f>"李思涵"</f>
        <v>李思涵</v>
      </c>
      <c r="B1726" s="2" t="str">
        <f>"B20230701117"</f>
        <v>B20230701117</v>
      </c>
      <c r="C1726" s="2" t="str">
        <f t="shared" si="370"/>
        <v>女</v>
      </c>
      <c r="D1726" s="2" t="str">
        <f t="shared" si="359"/>
        <v>10</v>
      </c>
      <c r="E1726" s="2" t="str">
        <f>"马栏山新媒体学院"</f>
        <v>马栏山新媒体学院</v>
      </c>
    </row>
    <row r="1727" ht="13.5" hidden="1" spans="1:5">
      <c r="A1727" s="2" t="str">
        <f>"席朝明"</f>
        <v>席朝明</v>
      </c>
      <c r="B1727" s="2" t="str">
        <f>"B20220201225"</f>
        <v>B20220201225</v>
      </c>
      <c r="C1727" s="2" t="str">
        <f>"男"</f>
        <v>男</v>
      </c>
      <c r="D1727" s="2" t="str">
        <f t="shared" si="359"/>
        <v>10</v>
      </c>
      <c r="E1727" s="2" t="str">
        <f>"机电工程学院"</f>
        <v>机电工程学院</v>
      </c>
    </row>
    <row r="1728" ht="13.5" hidden="1" spans="1:5">
      <c r="A1728" s="2" t="str">
        <f>"周馨宇"</f>
        <v>周馨宇</v>
      </c>
      <c r="B1728" s="2" t="str">
        <f>"B20220704315"</f>
        <v>B20220704315</v>
      </c>
      <c r="C1728" s="2" t="str">
        <f t="shared" ref="C1728:C1732" si="371">"女"</f>
        <v>女</v>
      </c>
      <c r="D1728" s="2" t="str">
        <f t="shared" si="359"/>
        <v>10</v>
      </c>
      <c r="E1728" s="2" t="str">
        <f>"马栏山新媒体学院"</f>
        <v>马栏山新媒体学院</v>
      </c>
    </row>
    <row r="1729" ht="13.5" hidden="1" spans="1:5">
      <c r="A1729" s="2" t="str">
        <f>"刘韵莹"</f>
        <v>刘韵莹</v>
      </c>
      <c r="B1729" s="2" t="str">
        <f>"B20220202428"</f>
        <v>B20220202428</v>
      </c>
      <c r="C1729" s="2" t="str">
        <f t="shared" si="371"/>
        <v>女</v>
      </c>
      <c r="D1729" s="2" t="str">
        <f t="shared" si="359"/>
        <v>10</v>
      </c>
      <c r="E1729" s="2" t="str">
        <f>"机电工程学院"</f>
        <v>机电工程学院</v>
      </c>
    </row>
    <row r="1730" ht="13.5" hidden="1" spans="1:5">
      <c r="A1730" s="2" t="str">
        <f>"司徒国威"</f>
        <v>司徒国威</v>
      </c>
      <c r="B1730" s="2" t="str">
        <f>"B20230802105"</f>
        <v>B20230802105</v>
      </c>
      <c r="C1730" s="2" t="str">
        <f>"男"</f>
        <v>男</v>
      </c>
      <c r="D1730" s="2" t="str">
        <f t="shared" si="359"/>
        <v>10</v>
      </c>
      <c r="E1730" s="2" t="str">
        <f>"外国语学院"</f>
        <v>外国语学院</v>
      </c>
    </row>
    <row r="1731" ht="13.5" hidden="1" spans="1:5">
      <c r="A1731" s="2" t="str">
        <f>"陈蓉蓉"</f>
        <v>陈蓉蓉</v>
      </c>
      <c r="B1731" s="2" t="str">
        <f>"B20210902130"</f>
        <v>B20210902130</v>
      </c>
      <c r="C1731" s="2" t="str">
        <f t="shared" si="371"/>
        <v>女</v>
      </c>
      <c r="D1731" s="2" t="str">
        <f t="shared" si="359"/>
        <v>10</v>
      </c>
      <c r="E1731" s="2" t="str">
        <f>"经济与管理学院"</f>
        <v>经济与管理学院</v>
      </c>
    </row>
    <row r="1732" ht="13.5" hidden="1" spans="1:5">
      <c r="A1732" s="2" t="str">
        <f>"邱琪静"</f>
        <v>邱琪静</v>
      </c>
      <c r="B1732" s="2" t="str">
        <f>"B20220403305"</f>
        <v>B20220403305</v>
      </c>
      <c r="C1732" s="2" t="str">
        <f t="shared" si="371"/>
        <v>女</v>
      </c>
      <c r="D1732" s="2" t="str">
        <f t="shared" si="359"/>
        <v>10</v>
      </c>
      <c r="E1732" s="2" t="str">
        <f>"电子信息与电气工程学院"</f>
        <v>电子信息与电气工程学院</v>
      </c>
    </row>
    <row r="1733" ht="13.5" hidden="1" spans="1:5">
      <c r="A1733" s="2" t="str">
        <f>"朱兴宇"</f>
        <v>朱兴宇</v>
      </c>
      <c r="B1733" s="2" t="str">
        <f>"B20200102213"</f>
        <v>B20200102213</v>
      </c>
      <c r="C1733" s="2" t="str">
        <f t="shared" ref="C1733:C1737" si="372">"男"</f>
        <v>男</v>
      </c>
      <c r="D1733" s="2" t="str">
        <f t="shared" si="359"/>
        <v>10</v>
      </c>
      <c r="E1733" s="2" t="str">
        <f>"土木工程学院"</f>
        <v>土木工程学院</v>
      </c>
    </row>
    <row r="1734" ht="13.5" hidden="1" spans="1:5">
      <c r="A1734" s="2" t="str">
        <f>"石小龙"</f>
        <v>石小龙</v>
      </c>
      <c r="B1734" s="2" t="str">
        <f>"B20200201205"</f>
        <v>B20200201205</v>
      </c>
      <c r="C1734" s="2" t="str">
        <f t="shared" si="372"/>
        <v>男</v>
      </c>
      <c r="D1734" s="2" t="str">
        <f t="shared" si="359"/>
        <v>10</v>
      </c>
      <c r="E1734" s="2" t="str">
        <f>"机电工程学院"</f>
        <v>机电工程学院</v>
      </c>
    </row>
    <row r="1735" ht="13.5" hidden="1" spans="1:5">
      <c r="A1735" s="2" t="str">
        <f>"李秀文"</f>
        <v>李秀文</v>
      </c>
      <c r="B1735" s="2" t="str">
        <f>"B20230504230"</f>
        <v>B20230504230</v>
      </c>
      <c r="C1735" s="2" t="str">
        <f>"女"</f>
        <v>女</v>
      </c>
      <c r="D1735" s="2" t="str">
        <f t="shared" si="359"/>
        <v>10</v>
      </c>
      <c r="E1735" s="2" t="str">
        <f>"生物与化学工程学院"</f>
        <v>生物与化学工程学院</v>
      </c>
    </row>
    <row r="1736" ht="13.5" hidden="1" spans="1:5">
      <c r="A1736" s="2" t="str">
        <f>"董旺"</f>
        <v>董旺</v>
      </c>
      <c r="B1736" s="2" t="str">
        <f>"B20201101308"</f>
        <v>B20201101308</v>
      </c>
      <c r="C1736" s="2" t="str">
        <f t="shared" si="372"/>
        <v>男</v>
      </c>
      <c r="D1736" s="2" t="str">
        <f t="shared" si="359"/>
        <v>10</v>
      </c>
      <c r="E1736" s="2" t="str">
        <f>"音乐学院"</f>
        <v>音乐学院</v>
      </c>
    </row>
    <row r="1737" ht="13.5" hidden="1" spans="1:5">
      <c r="A1737" s="2" t="str">
        <f>"邹佳晨"</f>
        <v>邹佳晨</v>
      </c>
      <c r="B1737" s="2" t="str">
        <f>"B20210402201"</f>
        <v>B20210402201</v>
      </c>
      <c r="C1737" s="2" t="str">
        <f t="shared" si="372"/>
        <v>男</v>
      </c>
      <c r="D1737" s="2" t="str">
        <f t="shared" si="359"/>
        <v>10</v>
      </c>
      <c r="E1737" s="2" t="str">
        <f>"电子信息与电气工程学院"</f>
        <v>电子信息与电气工程学院</v>
      </c>
    </row>
    <row r="1738" ht="13.5" hidden="1" spans="1:5">
      <c r="A1738" s="2" t="str">
        <f>"周坤蓓"</f>
        <v>周坤蓓</v>
      </c>
      <c r="B1738" s="2" t="str">
        <f>"B20210403204"</f>
        <v>B20210403204</v>
      </c>
      <c r="C1738" s="2" t="str">
        <f>"女"</f>
        <v>女</v>
      </c>
      <c r="D1738" s="2" t="str">
        <f t="shared" si="359"/>
        <v>10</v>
      </c>
      <c r="E1738" s="2" t="str">
        <f>"电子信息与电气工程学院"</f>
        <v>电子信息与电气工程学院</v>
      </c>
    </row>
    <row r="1739" ht="13.5" hidden="1" spans="1:5">
      <c r="A1739" s="2" t="str">
        <f>"龙莲"</f>
        <v>龙莲</v>
      </c>
      <c r="B1739" s="2" t="str">
        <f>"B20220905104"</f>
        <v>B20220905104</v>
      </c>
      <c r="C1739" s="2" t="str">
        <f>"女"</f>
        <v>女</v>
      </c>
      <c r="D1739" s="2" t="str">
        <f t="shared" si="359"/>
        <v>10</v>
      </c>
      <c r="E1739" s="2" t="str">
        <f>"经济与管理学院"</f>
        <v>经济与管理学院</v>
      </c>
    </row>
    <row r="1740" ht="13.5" hidden="1" spans="1:5">
      <c r="A1740" s="2" t="str">
        <f>"刘楚豪"</f>
        <v>刘楚豪</v>
      </c>
      <c r="B1740" s="2" t="str">
        <f>"B20230401131"</f>
        <v>B20230401131</v>
      </c>
      <c r="C1740" s="2" t="str">
        <f>"男"</f>
        <v>男</v>
      </c>
      <c r="D1740" s="2" t="str">
        <f t="shared" si="359"/>
        <v>10</v>
      </c>
      <c r="E1740" s="2" t="str">
        <f>"电子信息与电气工程学院"</f>
        <v>电子信息与电气工程学院</v>
      </c>
    </row>
    <row r="1741" ht="13.5" hidden="1" spans="1:5">
      <c r="A1741" s="2" t="str">
        <f>"张容榕"</f>
        <v>张容榕</v>
      </c>
      <c r="B1741" s="2" t="str">
        <f>"B20201002319"</f>
        <v>B20201002319</v>
      </c>
      <c r="C1741" s="2" t="str">
        <f t="shared" ref="C1741:C1747" si="373">"女"</f>
        <v>女</v>
      </c>
      <c r="D1741" s="2" t="str">
        <f t="shared" si="359"/>
        <v>10</v>
      </c>
      <c r="E1741" s="2" t="str">
        <f>"艺术设计学院"</f>
        <v>艺术设计学院</v>
      </c>
    </row>
    <row r="1742" ht="13.5" hidden="1" spans="1:5">
      <c r="A1742" s="2" t="str">
        <f>"严爱玉"</f>
        <v>严爱玉</v>
      </c>
      <c r="B1742" s="2" t="str">
        <f>"B20230904321"</f>
        <v>B20230904321</v>
      </c>
      <c r="C1742" s="2" t="str">
        <f t="shared" si="373"/>
        <v>女</v>
      </c>
      <c r="D1742" s="2" t="str">
        <f t="shared" si="359"/>
        <v>10</v>
      </c>
      <c r="E1742" s="2" t="str">
        <f>"经济与管理学院"</f>
        <v>经济与管理学院</v>
      </c>
    </row>
    <row r="1743" ht="13.5" hidden="1" spans="1:5">
      <c r="A1743" s="2" t="str">
        <f>"毛洋"</f>
        <v>毛洋</v>
      </c>
      <c r="B1743" s="2" t="str">
        <f>"B20200101224"</f>
        <v>B20200101224</v>
      </c>
      <c r="C1743" s="2" t="str">
        <f>"男"</f>
        <v>男</v>
      </c>
      <c r="D1743" s="2" t="str">
        <f t="shared" si="359"/>
        <v>10</v>
      </c>
      <c r="E1743" s="2" t="str">
        <f>"土木工程学院"</f>
        <v>土木工程学院</v>
      </c>
    </row>
    <row r="1744" ht="13.5" hidden="1" spans="1:5">
      <c r="A1744" s="2" t="str">
        <f>"李妍"</f>
        <v>李妍</v>
      </c>
      <c r="B1744" s="2" t="str">
        <f>"B20231111201"</f>
        <v>B20231111201</v>
      </c>
      <c r="C1744" s="2" t="str">
        <f t="shared" si="373"/>
        <v>女</v>
      </c>
      <c r="D1744" s="2" t="str">
        <f t="shared" ref="D1744:D1749" si="374">"10"</f>
        <v>10</v>
      </c>
      <c r="E1744" s="2" t="str">
        <f>"音乐学院"</f>
        <v>音乐学院</v>
      </c>
    </row>
    <row r="1745" ht="13.5" hidden="1" spans="1:5">
      <c r="A1745" s="2" t="str">
        <f>"向景瑶"</f>
        <v>向景瑶</v>
      </c>
      <c r="B1745" s="2" t="str">
        <f>"B20230905210"</f>
        <v>B20230905210</v>
      </c>
      <c r="C1745" s="2" t="str">
        <f t="shared" si="373"/>
        <v>女</v>
      </c>
      <c r="D1745" s="2" t="str">
        <f t="shared" si="374"/>
        <v>10</v>
      </c>
      <c r="E1745" s="2" t="str">
        <f>"经济与管理学院"</f>
        <v>经济与管理学院</v>
      </c>
    </row>
    <row r="1746" ht="13.5" hidden="1" spans="1:5">
      <c r="A1746" s="2" t="str">
        <f>"王诺诗"</f>
        <v>王诺诗</v>
      </c>
      <c r="B1746" s="2" t="str">
        <f>"B20210401423"</f>
        <v>B20210401423</v>
      </c>
      <c r="C1746" s="2" t="str">
        <f t="shared" si="373"/>
        <v>女</v>
      </c>
      <c r="D1746" s="2" t="str">
        <f t="shared" si="374"/>
        <v>10</v>
      </c>
      <c r="E1746" s="2" t="str">
        <f>"电子信息与电气工程学院"</f>
        <v>电子信息与电气工程学院</v>
      </c>
    </row>
    <row r="1747" ht="13.5" hidden="1" spans="1:5">
      <c r="A1747" s="2" t="str">
        <f>"金海婷"</f>
        <v>金海婷</v>
      </c>
      <c r="B1747" s="2" t="str">
        <f>"B20231001406"</f>
        <v>B20231001406</v>
      </c>
      <c r="C1747" s="2" t="str">
        <f t="shared" si="373"/>
        <v>女</v>
      </c>
      <c r="D1747" s="2" t="str">
        <f t="shared" si="374"/>
        <v>10</v>
      </c>
      <c r="E1747" s="2" t="str">
        <f>"艺术设计学院"</f>
        <v>艺术设计学院</v>
      </c>
    </row>
    <row r="1748" ht="13.5" hidden="1" spans="1:5">
      <c r="A1748" s="2" t="str">
        <f>"彭乐凯"</f>
        <v>彭乐凯</v>
      </c>
      <c r="B1748" s="2" t="str">
        <f>"B20210101233"</f>
        <v>B20210101233</v>
      </c>
      <c r="C1748" s="2" t="str">
        <f>"男"</f>
        <v>男</v>
      </c>
      <c r="D1748" s="2" t="str">
        <f t="shared" si="374"/>
        <v>10</v>
      </c>
      <c r="E1748" s="2" t="str">
        <f>"土木工程学院"</f>
        <v>土木工程学院</v>
      </c>
    </row>
    <row r="1749" ht="13.5" hidden="1" spans="1:5">
      <c r="A1749" s="2" t="str">
        <f>"胡航"</f>
        <v>胡航</v>
      </c>
      <c r="B1749" s="2" t="str">
        <f>"B20220202310"</f>
        <v>B20220202310</v>
      </c>
      <c r="C1749" s="2" t="str">
        <f>"男"</f>
        <v>男</v>
      </c>
      <c r="D1749" s="2" t="str">
        <f t="shared" si="374"/>
        <v>10</v>
      </c>
      <c r="E1749" s="2" t="str">
        <f>"机电工程学院"</f>
        <v>机电工程学院</v>
      </c>
    </row>
    <row r="1750" ht="13.5" hidden="1" spans="1:5">
      <c r="A1750" s="2" t="str">
        <f>"李艺"</f>
        <v>李艺</v>
      </c>
      <c r="B1750" s="2" t="str">
        <f>"B20230204110"</f>
        <v>B20230204110</v>
      </c>
      <c r="C1750" s="2" t="str">
        <f>"男"</f>
        <v>男</v>
      </c>
      <c r="D1750" s="2" t="str">
        <f t="shared" ref="D1750:D1810" si="375">"10"</f>
        <v>10</v>
      </c>
      <c r="E1750" s="2" t="str">
        <f>"机电工程学院"</f>
        <v>机电工程学院</v>
      </c>
    </row>
    <row r="1751" ht="13.5" hidden="1" spans="1:5">
      <c r="A1751" s="2" t="str">
        <f>"章慈艳"</f>
        <v>章慈艳</v>
      </c>
      <c r="B1751" s="2" t="str">
        <f>"B20220801504"</f>
        <v>B20220801504</v>
      </c>
      <c r="C1751" s="2" t="str">
        <f>"女"</f>
        <v>女</v>
      </c>
      <c r="D1751" s="2" t="str">
        <f t="shared" si="375"/>
        <v>10</v>
      </c>
      <c r="E1751" s="2" t="str">
        <f t="shared" ref="E1751:E1755" si="376">"外国语学院"</f>
        <v>外国语学院</v>
      </c>
    </row>
    <row r="1752" ht="13.5" hidden="1" spans="1:5">
      <c r="A1752" s="2" t="str">
        <f>"肖传松"</f>
        <v>肖传松</v>
      </c>
      <c r="B1752" s="2" t="str">
        <f>"B20201002317"</f>
        <v>B20201002317</v>
      </c>
      <c r="C1752" s="2" t="str">
        <f>"男"</f>
        <v>男</v>
      </c>
      <c r="D1752" s="2" t="str">
        <f t="shared" si="375"/>
        <v>10</v>
      </c>
      <c r="E1752" s="2" t="str">
        <f>"艺术设计学院"</f>
        <v>艺术设计学院</v>
      </c>
    </row>
    <row r="1753" ht="13.5" hidden="1" spans="1:5">
      <c r="A1753" s="2" t="str">
        <f>"何焕晓"</f>
        <v>何焕晓</v>
      </c>
      <c r="B1753" s="2" t="str">
        <f>"B20180702113"</f>
        <v>B20180702113</v>
      </c>
      <c r="C1753" s="2" t="str">
        <f>"女"</f>
        <v>女</v>
      </c>
      <c r="D1753" s="2" t="str">
        <f t="shared" si="375"/>
        <v>10</v>
      </c>
      <c r="E1753" s="2" t="str">
        <f>"马栏山新媒体学院"</f>
        <v>马栏山新媒体学院</v>
      </c>
    </row>
    <row r="1754" ht="13.5" hidden="1" spans="1:5">
      <c r="A1754" s="2" t="str">
        <f>"陈芳"</f>
        <v>陈芳</v>
      </c>
      <c r="B1754" s="2" t="str">
        <f>"B20200801430"</f>
        <v>B20200801430</v>
      </c>
      <c r="C1754" s="2" t="str">
        <f>"女"</f>
        <v>女</v>
      </c>
      <c r="D1754" s="2" t="str">
        <f t="shared" si="375"/>
        <v>10</v>
      </c>
      <c r="E1754" s="2" t="str">
        <f t="shared" si="376"/>
        <v>外国语学院</v>
      </c>
    </row>
    <row r="1755" ht="13.5" hidden="1" spans="1:5">
      <c r="A1755" s="2" t="str">
        <f>"彭新棠"</f>
        <v>彭新棠</v>
      </c>
      <c r="B1755" s="2" t="str">
        <f>"B20200802313"</f>
        <v>B20200802313</v>
      </c>
      <c r="C1755" s="2" t="str">
        <f t="shared" ref="C1755:C1759" si="377">"男"</f>
        <v>男</v>
      </c>
      <c r="D1755" s="2" t="str">
        <f t="shared" si="375"/>
        <v>10</v>
      </c>
      <c r="E1755" s="2" t="str">
        <f t="shared" si="376"/>
        <v>外国语学院</v>
      </c>
    </row>
    <row r="1756" ht="13.5" hidden="1" spans="1:5">
      <c r="A1756" s="2" t="str">
        <f>"郑亚方"</f>
        <v>郑亚方</v>
      </c>
      <c r="B1756" s="2" t="str">
        <f>"B20220901215"</f>
        <v>B20220901215</v>
      </c>
      <c r="C1756" s="2" t="str">
        <f t="shared" ref="C1756:C1761" si="378">"女"</f>
        <v>女</v>
      </c>
      <c r="D1756" s="2" t="str">
        <f t="shared" si="375"/>
        <v>10</v>
      </c>
      <c r="E1756" s="2" t="str">
        <f t="shared" ref="E1756:E1761" si="379">"经济与管理学院"</f>
        <v>经济与管理学院</v>
      </c>
    </row>
    <row r="1757" ht="13.5" hidden="1" spans="1:5">
      <c r="A1757" s="2" t="str">
        <f>"施慧珍"</f>
        <v>施慧珍</v>
      </c>
      <c r="B1757" s="2" t="str">
        <f>"B20230905224"</f>
        <v>B20230905224</v>
      </c>
      <c r="C1757" s="2" t="str">
        <f t="shared" si="378"/>
        <v>女</v>
      </c>
      <c r="D1757" s="2" t="str">
        <f t="shared" si="375"/>
        <v>10</v>
      </c>
      <c r="E1757" s="2" t="str">
        <f t="shared" si="379"/>
        <v>经济与管理学院</v>
      </c>
    </row>
    <row r="1758" ht="13.5" hidden="1" spans="1:5">
      <c r="A1758" s="2" t="str">
        <f>"杨石红"</f>
        <v>杨石红</v>
      </c>
      <c r="B1758" s="2" t="str">
        <f>"B20200203219"</f>
        <v>B20200203219</v>
      </c>
      <c r="C1758" s="2" t="str">
        <f t="shared" si="377"/>
        <v>男</v>
      </c>
      <c r="D1758" s="2" t="str">
        <f t="shared" si="375"/>
        <v>10</v>
      </c>
      <c r="E1758" s="2" t="str">
        <f>"机电工程学院"</f>
        <v>机电工程学院</v>
      </c>
    </row>
    <row r="1759" ht="13.5" hidden="1" spans="1:5">
      <c r="A1759" s="2" t="str">
        <f>"刘帅隆"</f>
        <v>刘帅隆</v>
      </c>
      <c r="B1759" s="2" t="str">
        <f>"B20231004216"</f>
        <v>B20231004216</v>
      </c>
      <c r="C1759" s="2" t="str">
        <f t="shared" si="377"/>
        <v>男</v>
      </c>
      <c r="D1759" s="2" t="str">
        <f t="shared" si="375"/>
        <v>10</v>
      </c>
      <c r="E1759" s="2" t="str">
        <f>"艺术设计学院"</f>
        <v>艺术设计学院</v>
      </c>
    </row>
    <row r="1760" ht="13.5" hidden="1" spans="1:5">
      <c r="A1760" s="2" t="str">
        <f>"刘娜"</f>
        <v>刘娜</v>
      </c>
      <c r="B1760" s="2" t="str">
        <f>"B20230901107"</f>
        <v>B20230901107</v>
      </c>
      <c r="C1760" s="2" t="str">
        <f t="shared" si="378"/>
        <v>女</v>
      </c>
      <c r="D1760" s="2" t="str">
        <f t="shared" si="375"/>
        <v>10</v>
      </c>
      <c r="E1760" s="2" t="str">
        <f t="shared" si="379"/>
        <v>经济与管理学院</v>
      </c>
    </row>
    <row r="1761" ht="13.5" hidden="1" spans="1:5">
      <c r="A1761" s="2" t="str">
        <f>"王进"</f>
        <v>王进</v>
      </c>
      <c r="B1761" s="2" t="str">
        <f>"B20200904129"</f>
        <v>B20200904129</v>
      </c>
      <c r="C1761" s="2" t="str">
        <f t="shared" si="378"/>
        <v>女</v>
      </c>
      <c r="D1761" s="2" t="str">
        <f t="shared" si="375"/>
        <v>10</v>
      </c>
      <c r="E1761" s="2" t="str">
        <f t="shared" si="379"/>
        <v>经济与管理学院</v>
      </c>
    </row>
    <row r="1762" ht="13.5" hidden="1" spans="1:5">
      <c r="A1762" s="2" t="str">
        <f>"陶骏"</f>
        <v>陶骏</v>
      </c>
      <c r="B1762" s="2" t="str">
        <f>"B20210704116"</f>
        <v>B20210704116</v>
      </c>
      <c r="C1762" s="2" t="str">
        <f>"男"</f>
        <v>男</v>
      </c>
      <c r="D1762" s="2" t="str">
        <f t="shared" si="375"/>
        <v>10</v>
      </c>
      <c r="E1762" s="2" t="str">
        <f>"马栏山新媒体学院"</f>
        <v>马栏山新媒体学院</v>
      </c>
    </row>
    <row r="1763" ht="13.5" hidden="1" spans="1:5">
      <c r="A1763" s="2" t="str">
        <f>"胡兴宇"</f>
        <v>胡兴宇</v>
      </c>
      <c r="B1763" s="2" t="str">
        <f>"B20230204125"</f>
        <v>B20230204125</v>
      </c>
      <c r="C1763" s="2" t="str">
        <f>"男"</f>
        <v>男</v>
      </c>
      <c r="D1763" s="2" t="str">
        <f t="shared" si="375"/>
        <v>10</v>
      </c>
      <c r="E1763" s="2" t="str">
        <f>"机电工程学院"</f>
        <v>机电工程学院</v>
      </c>
    </row>
    <row r="1764" ht="13.5" hidden="1" spans="1:5">
      <c r="A1764" s="2" t="str">
        <f>"贺佳俊"</f>
        <v>贺佳俊</v>
      </c>
      <c r="B1764" s="2" t="str">
        <f>"B20200503111"</f>
        <v>B20200503111</v>
      </c>
      <c r="C1764" s="2" t="str">
        <f>"男"</f>
        <v>男</v>
      </c>
      <c r="D1764" s="2" t="str">
        <f t="shared" si="375"/>
        <v>10</v>
      </c>
      <c r="E1764" s="2" t="str">
        <f>"生物与环境工程学院"</f>
        <v>生物与环境工程学院</v>
      </c>
    </row>
    <row r="1765" ht="13.5" hidden="1" spans="1:5">
      <c r="A1765" s="2" t="str">
        <f>"姚晓弋"</f>
        <v>姚晓弋</v>
      </c>
      <c r="B1765" s="2" t="str">
        <f>"B20220401418"</f>
        <v>B20220401418</v>
      </c>
      <c r="C1765" s="2" t="str">
        <f>"男"</f>
        <v>男</v>
      </c>
      <c r="D1765" s="2" t="str">
        <f t="shared" si="375"/>
        <v>10</v>
      </c>
      <c r="E1765" s="2" t="str">
        <f>"电子信息与电气工程学院"</f>
        <v>电子信息与电气工程学院</v>
      </c>
    </row>
    <row r="1766" ht="13.5" hidden="1" spans="1:5">
      <c r="A1766" s="2" t="str">
        <f>"杨菊花"</f>
        <v>杨菊花</v>
      </c>
      <c r="B1766" s="2" t="str">
        <f>"B20220702410"</f>
        <v>B20220702410</v>
      </c>
      <c r="C1766" s="2" t="str">
        <f t="shared" ref="C1766:C1769" si="380">"女"</f>
        <v>女</v>
      </c>
      <c r="D1766" s="2" t="str">
        <f t="shared" si="375"/>
        <v>10</v>
      </c>
      <c r="E1766" s="2" t="str">
        <f>"马栏山新媒体学院"</f>
        <v>马栏山新媒体学院</v>
      </c>
    </row>
    <row r="1767" ht="13.5" hidden="1" spans="1:5">
      <c r="A1767" s="2" t="str">
        <f>"禹蓉蓉"</f>
        <v>禹蓉蓉</v>
      </c>
      <c r="B1767" s="2" t="str">
        <f>"B20230205212"</f>
        <v>B20230205212</v>
      </c>
      <c r="C1767" s="2" t="str">
        <f t="shared" si="380"/>
        <v>女</v>
      </c>
      <c r="D1767" s="2" t="str">
        <f t="shared" si="375"/>
        <v>10</v>
      </c>
      <c r="E1767" s="2" t="str">
        <f>"机电工程学院"</f>
        <v>机电工程学院</v>
      </c>
    </row>
    <row r="1768" ht="13.5" hidden="1" spans="1:5">
      <c r="A1768" s="2" t="str">
        <f>"史怀阳"</f>
        <v>史怀阳</v>
      </c>
      <c r="B1768" s="2" t="str">
        <f>"B20210504104"</f>
        <v>B20210504104</v>
      </c>
      <c r="C1768" s="2" t="str">
        <f t="shared" ref="C1768:C1774" si="381">"男"</f>
        <v>男</v>
      </c>
      <c r="D1768" s="2" t="str">
        <f t="shared" si="375"/>
        <v>10</v>
      </c>
      <c r="E1768" s="2" t="str">
        <f>"生物与化学工程学院"</f>
        <v>生物与化学工程学院</v>
      </c>
    </row>
    <row r="1769" ht="13.5" hidden="1" spans="1:5">
      <c r="A1769" s="2" t="str">
        <f>"刘文慧"</f>
        <v>刘文慧</v>
      </c>
      <c r="B1769" s="2" t="str">
        <f>"B20230704113"</f>
        <v>B20230704113</v>
      </c>
      <c r="C1769" s="2" t="str">
        <f t="shared" si="380"/>
        <v>女</v>
      </c>
      <c r="D1769" s="2" t="str">
        <f t="shared" si="375"/>
        <v>10</v>
      </c>
      <c r="E1769" s="2" t="str">
        <f>"马栏山新媒体学院"</f>
        <v>马栏山新媒体学院</v>
      </c>
    </row>
    <row r="1770" ht="13.5" hidden="1" spans="1:5">
      <c r="A1770" s="2" t="str">
        <f>"罗国枫"</f>
        <v>罗国枫</v>
      </c>
      <c r="B1770" s="2" t="str">
        <f>"B20230906238"</f>
        <v>B20230906238</v>
      </c>
      <c r="C1770" s="2" t="str">
        <f t="shared" si="381"/>
        <v>男</v>
      </c>
      <c r="D1770" s="2" t="str">
        <f t="shared" si="375"/>
        <v>10</v>
      </c>
      <c r="E1770" s="2" t="str">
        <f t="shared" ref="E1770:E1772" si="382">"经济与管理学院"</f>
        <v>经济与管理学院</v>
      </c>
    </row>
    <row r="1771" ht="13.5" hidden="1" spans="1:5">
      <c r="A1771" s="2" t="str">
        <f>"罗贵如"</f>
        <v>罗贵如</v>
      </c>
      <c r="B1771" s="2" t="str">
        <f>"B20210901243"</f>
        <v>B20210901243</v>
      </c>
      <c r="C1771" s="2" t="str">
        <f t="shared" ref="C1771:C1776" si="383">"女"</f>
        <v>女</v>
      </c>
      <c r="D1771" s="2" t="str">
        <f t="shared" si="375"/>
        <v>10</v>
      </c>
      <c r="E1771" s="2" t="str">
        <f t="shared" si="382"/>
        <v>经济与管理学院</v>
      </c>
    </row>
    <row r="1772" ht="13.5" hidden="1" spans="1:5">
      <c r="A1772" s="2" t="str">
        <f>"谢浩"</f>
        <v>谢浩</v>
      </c>
      <c r="B1772" s="2" t="str">
        <f>"B20200906205"</f>
        <v>B20200906205</v>
      </c>
      <c r="C1772" s="2" t="str">
        <f t="shared" si="381"/>
        <v>男</v>
      </c>
      <c r="D1772" s="2" t="str">
        <f t="shared" si="375"/>
        <v>10</v>
      </c>
      <c r="E1772" s="2" t="str">
        <f t="shared" si="382"/>
        <v>经济与管理学院</v>
      </c>
    </row>
    <row r="1773" ht="13.5" hidden="1" spans="1:5">
      <c r="A1773" s="2" t="str">
        <f>"孔德智"</f>
        <v>孔德智</v>
      </c>
      <c r="B1773" s="2" t="str">
        <f>"B20200505122"</f>
        <v>B20200505122</v>
      </c>
      <c r="C1773" s="2" t="str">
        <f t="shared" si="381"/>
        <v>男</v>
      </c>
      <c r="D1773" s="2" t="str">
        <f t="shared" si="375"/>
        <v>10</v>
      </c>
      <c r="E1773" s="2" t="str">
        <f>"生物与环境工程学院"</f>
        <v>生物与环境工程学院</v>
      </c>
    </row>
    <row r="1774" ht="13.5" hidden="1" spans="1:5">
      <c r="A1774" s="2" t="str">
        <f>"安泰锡"</f>
        <v>安泰锡</v>
      </c>
      <c r="B1774" s="2" t="str">
        <f>"B20220601421"</f>
        <v>B20220601421</v>
      </c>
      <c r="C1774" s="2" t="str">
        <f t="shared" si="381"/>
        <v>男</v>
      </c>
      <c r="D1774" s="2" t="str">
        <f t="shared" si="375"/>
        <v>10</v>
      </c>
      <c r="E1774" s="2" t="str">
        <f>"法学院"</f>
        <v>法学院</v>
      </c>
    </row>
    <row r="1775" ht="13.5" hidden="1" spans="1:5">
      <c r="A1775" s="2" t="str">
        <f>"胡瑶"</f>
        <v>胡瑶</v>
      </c>
      <c r="B1775" s="2" t="str">
        <f>"B20230502119"</f>
        <v>B20230502119</v>
      </c>
      <c r="C1775" s="2" t="str">
        <f t="shared" si="383"/>
        <v>女</v>
      </c>
      <c r="D1775" s="2" t="str">
        <f t="shared" si="375"/>
        <v>10</v>
      </c>
      <c r="E1775" s="2" t="str">
        <f>"生物与化学工程学院"</f>
        <v>生物与化学工程学院</v>
      </c>
    </row>
    <row r="1776" ht="13.5" hidden="1" spans="1:5">
      <c r="A1776" s="2" t="str">
        <f>"杨秋歌"</f>
        <v>杨秋歌</v>
      </c>
      <c r="B1776" s="2" t="str">
        <f>"B20210201201"</f>
        <v>B20210201201</v>
      </c>
      <c r="C1776" s="2" t="str">
        <f t="shared" si="383"/>
        <v>女</v>
      </c>
      <c r="D1776" s="2" t="str">
        <f t="shared" si="375"/>
        <v>10</v>
      </c>
      <c r="E1776" s="2" t="str">
        <f>"机电工程学院"</f>
        <v>机电工程学院</v>
      </c>
    </row>
    <row r="1777" ht="13.5" hidden="1" spans="1:5">
      <c r="A1777" s="2" t="str">
        <f>"汤展翅"</f>
        <v>汤展翅</v>
      </c>
      <c r="B1777" s="2" t="str">
        <f>"B20220201220"</f>
        <v>B20220201220</v>
      </c>
      <c r="C1777" s="2" t="str">
        <f t="shared" ref="C1777:C1786" si="384">"男"</f>
        <v>男</v>
      </c>
      <c r="D1777" s="2" t="str">
        <f t="shared" si="375"/>
        <v>10</v>
      </c>
      <c r="E1777" s="2" t="str">
        <f>"机电工程学院"</f>
        <v>机电工程学院</v>
      </c>
    </row>
    <row r="1778" ht="13.5" hidden="1" spans="1:5">
      <c r="A1778" s="2" t="str">
        <f>"梁爽"</f>
        <v>梁爽</v>
      </c>
      <c r="B1778" s="2" t="str">
        <f>"B20210901223"</f>
        <v>B20210901223</v>
      </c>
      <c r="C1778" s="2" t="str">
        <f>"女"</f>
        <v>女</v>
      </c>
      <c r="D1778" s="2" t="str">
        <f t="shared" si="375"/>
        <v>10</v>
      </c>
      <c r="E1778" s="2" t="str">
        <f>"经济与管理学院"</f>
        <v>经济与管理学院</v>
      </c>
    </row>
    <row r="1779" ht="13.5" hidden="1" spans="1:5">
      <c r="A1779" s="2" t="str">
        <f>"李恭一"</f>
        <v>李恭一</v>
      </c>
      <c r="B1779" s="2" t="str">
        <f>"B20220905108"</f>
        <v>B20220905108</v>
      </c>
      <c r="C1779" s="2" t="str">
        <f t="shared" si="384"/>
        <v>男</v>
      </c>
      <c r="D1779" s="2" t="str">
        <f t="shared" si="375"/>
        <v>10</v>
      </c>
      <c r="E1779" s="2" t="str">
        <f>"经济与管理学院"</f>
        <v>经济与管理学院</v>
      </c>
    </row>
    <row r="1780" ht="13.5" hidden="1" spans="1:5">
      <c r="A1780" s="2" t="str">
        <f>"廖梅娜"</f>
        <v>廖梅娜</v>
      </c>
      <c r="B1780" s="2" t="str">
        <f>"B20220101515"</f>
        <v>B20220101515</v>
      </c>
      <c r="C1780" s="2" t="str">
        <f>"女"</f>
        <v>女</v>
      </c>
      <c r="D1780" s="2" t="str">
        <f t="shared" si="375"/>
        <v>10</v>
      </c>
      <c r="E1780" s="2" t="str">
        <f>"土木工程学院"</f>
        <v>土木工程学院</v>
      </c>
    </row>
    <row r="1781" ht="13.5" hidden="1" spans="1:5">
      <c r="A1781" s="2" t="str">
        <f>"张锦程"</f>
        <v>张锦程</v>
      </c>
      <c r="B1781" s="2" t="str">
        <f>"B20220501129"</f>
        <v>B20220501129</v>
      </c>
      <c r="C1781" s="2" t="str">
        <f t="shared" si="384"/>
        <v>男</v>
      </c>
      <c r="D1781" s="2" t="str">
        <f t="shared" si="375"/>
        <v>10</v>
      </c>
      <c r="E1781" s="2" t="str">
        <f>"生物与化学工程学院"</f>
        <v>生物与化学工程学院</v>
      </c>
    </row>
    <row r="1782" ht="13.5" hidden="1" spans="1:5">
      <c r="A1782" s="2" t="str">
        <f>"温王胜"</f>
        <v>温王胜</v>
      </c>
      <c r="B1782" s="2" t="str">
        <f>"B20210601209"</f>
        <v>B20210601209</v>
      </c>
      <c r="C1782" s="2" t="str">
        <f t="shared" si="384"/>
        <v>男</v>
      </c>
      <c r="D1782" s="2" t="str">
        <f t="shared" si="375"/>
        <v>10</v>
      </c>
      <c r="E1782" s="2" t="str">
        <f>"法学院"</f>
        <v>法学院</v>
      </c>
    </row>
    <row r="1783" ht="13.5" hidden="1" spans="1:5">
      <c r="A1783" s="2" t="str">
        <f>"蔡子诚"</f>
        <v>蔡子诚</v>
      </c>
      <c r="B1783" s="2" t="str">
        <f>"B20231302418"</f>
        <v>B20231302418</v>
      </c>
      <c r="C1783" s="2" t="str">
        <f t="shared" si="384"/>
        <v>男</v>
      </c>
      <c r="D1783" s="2" t="str">
        <f t="shared" si="375"/>
        <v>10</v>
      </c>
      <c r="E1783" s="2" t="str">
        <f>"材料与环境工程学院"</f>
        <v>材料与环境工程学院</v>
      </c>
    </row>
    <row r="1784" ht="13.5" hidden="1" spans="1:5">
      <c r="A1784" s="2" t="str">
        <f>"陈宇"</f>
        <v>陈宇</v>
      </c>
      <c r="B1784" s="2" t="str">
        <f>"B20200101324"</f>
        <v>B20200101324</v>
      </c>
      <c r="C1784" s="2" t="str">
        <f t="shared" si="384"/>
        <v>男</v>
      </c>
      <c r="D1784" s="2" t="str">
        <f t="shared" si="375"/>
        <v>10</v>
      </c>
      <c r="E1784" s="2" t="str">
        <f>"土木工程学院"</f>
        <v>土木工程学院</v>
      </c>
    </row>
    <row r="1785" ht="13.5" hidden="1" spans="1:5">
      <c r="A1785" s="2" t="str">
        <f>"欧帆"</f>
        <v>欧帆</v>
      </c>
      <c r="B1785" s="2" t="str">
        <f>"B20220405102"</f>
        <v>B20220405102</v>
      </c>
      <c r="C1785" s="2" t="str">
        <f t="shared" si="384"/>
        <v>男</v>
      </c>
      <c r="D1785" s="2" t="str">
        <f t="shared" si="375"/>
        <v>10</v>
      </c>
      <c r="E1785" s="2" t="str">
        <f>"电子信息与电气工程学院"</f>
        <v>电子信息与电气工程学院</v>
      </c>
    </row>
    <row r="1786" ht="13.5" hidden="1" spans="1:5">
      <c r="A1786" s="2" t="str">
        <f>"刘剑琴"</f>
        <v>刘剑琴</v>
      </c>
      <c r="B1786" s="2" t="str">
        <f>"B20231301129"</f>
        <v>B20231301129</v>
      </c>
      <c r="C1786" s="2" t="str">
        <f t="shared" si="384"/>
        <v>男</v>
      </c>
      <c r="D1786" s="2" t="str">
        <f t="shared" si="375"/>
        <v>10</v>
      </c>
      <c r="E1786" s="2" t="str">
        <f>"材料与环境工程学院"</f>
        <v>材料与环境工程学院</v>
      </c>
    </row>
    <row r="1787" ht="13.5" hidden="1" spans="1:5">
      <c r="A1787" s="2" t="str">
        <f>"杨雪婷"</f>
        <v>杨雪婷</v>
      </c>
      <c r="B1787" s="2" t="str">
        <f>"B20210101205"</f>
        <v>B20210101205</v>
      </c>
      <c r="C1787" s="2" t="str">
        <f>"女"</f>
        <v>女</v>
      </c>
      <c r="D1787" s="2" t="str">
        <f t="shared" si="375"/>
        <v>10</v>
      </c>
      <c r="E1787" s="2" t="str">
        <f>"土木工程学院"</f>
        <v>土木工程学院</v>
      </c>
    </row>
    <row r="1788" ht="13.5" hidden="1" spans="1:5">
      <c r="A1788" s="2" t="str">
        <f>"杨易晔"</f>
        <v>杨易晔</v>
      </c>
      <c r="B1788" s="2" t="str">
        <f>"B20220405105"</f>
        <v>B20220405105</v>
      </c>
      <c r="C1788" s="2" t="str">
        <f>"男"</f>
        <v>男</v>
      </c>
      <c r="D1788" s="2" t="str">
        <f t="shared" si="375"/>
        <v>10</v>
      </c>
      <c r="E1788" s="2" t="str">
        <f>"电子信息与电气工程学院"</f>
        <v>电子信息与电气工程学院</v>
      </c>
    </row>
    <row r="1789" ht="13.5" hidden="1" spans="1:5">
      <c r="A1789" s="2" t="str">
        <f>"罗刚山"</f>
        <v>罗刚山</v>
      </c>
      <c r="B1789" s="2" t="str">
        <f>"B20210401410"</f>
        <v>B20210401410</v>
      </c>
      <c r="C1789" s="2" t="str">
        <f>"男"</f>
        <v>男</v>
      </c>
      <c r="D1789" s="2" t="str">
        <f t="shared" si="375"/>
        <v>10</v>
      </c>
      <c r="E1789" s="2" t="str">
        <f>"电子信息与电气工程学院"</f>
        <v>电子信息与电气工程学院</v>
      </c>
    </row>
    <row r="1790" ht="13.5" hidden="1" spans="1:5">
      <c r="A1790" s="2" t="str">
        <f>"成子奇"</f>
        <v>成子奇</v>
      </c>
      <c r="B1790" s="2" t="str">
        <f>"B20210402219"</f>
        <v>B20210402219</v>
      </c>
      <c r="C1790" s="2" t="str">
        <f>"男"</f>
        <v>男</v>
      </c>
      <c r="D1790" s="2" t="str">
        <f t="shared" si="375"/>
        <v>10</v>
      </c>
      <c r="E1790" s="2" t="str">
        <f>"电子信息与电气工程学院"</f>
        <v>电子信息与电气工程学院</v>
      </c>
    </row>
    <row r="1791" ht="13.5" hidden="1" spans="1:5">
      <c r="A1791" s="2" t="str">
        <f>"何宗鹏"</f>
        <v>何宗鹏</v>
      </c>
      <c r="B1791" s="2" t="str">
        <f>"B20220403218"</f>
        <v>B20220403218</v>
      </c>
      <c r="C1791" s="2" t="str">
        <f>"男"</f>
        <v>男</v>
      </c>
      <c r="D1791" s="2" t="str">
        <f t="shared" si="375"/>
        <v>10</v>
      </c>
      <c r="E1791" s="2" t="str">
        <f>"电子信息与电气工程学院"</f>
        <v>电子信息与电气工程学院</v>
      </c>
    </row>
    <row r="1792" ht="13.5" hidden="1" spans="1:5">
      <c r="A1792" s="2" t="str">
        <f>"甘晶晶"</f>
        <v>甘晶晶</v>
      </c>
      <c r="B1792" s="2" t="str">
        <f>"B20230902132"</f>
        <v>B20230902132</v>
      </c>
      <c r="C1792" s="2" t="str">
        <f t="shared" ref="C1792:C1795" si="385">"女"</f>
        <v>女</v>
      </c>
      <c r="D1792" s="2" t="str">
        <f t="shared" si="375"/>
        <v>10</v>
      </c>
      <c r="E1792" s="2" t="str">
        <f>"经济与管理学院"</f>
        <v>经济与管理学院</v>
      </c>
    </row>
    <row r="1793" ht="13.5" hidden="1" spans="1:5">
      <c r="A1793" s="2" t="str">
        <f>"唐铭璇"</f>
        <v>唐铭璇</v>
      </c>
      <c r="B1793" s="2" t="str">
        <f>"B20230801305"</f>
        <v>B20230801305</v>
      </c>
      <c r="C1793" s="2" t="str">
        <f t="shared" si="385"/>
        <v>女</v>
      </c>
      <c r="D1793" s="2" t="str">
        <f t="shared" si="375"/>
        <v>10</v>
      </c>
      <c r="E1793" s="2" t="str">
        <f>"外国语学院"</f>
        <v>外国语学院</v>
      </c>
    </row>
    <row r="1794" ht="13.5" hidden="1" spans="1:5">
      <c r="A1794" s="2" t="str">
        <f>"朱育君"</f>
        <v>朱育君</v>
      </c>
      <c r="B1794" s="2" t="str">
        <f>"B20230701432"</f>
        <v>B20230701432</v>
      </c>
      <c r="C1794" s="2" t="str">
        <f t="shared" si="385"/>
        <v>女</v>
      </c>
      <c r="D1794" s="2" t="str">
        <f t="shared" si="375"/>
        <v>10</v>
      </c>
      <c r="E1794" s="2" t="str">
        <f>"马栏山新媒体学院"</f>
        <v>马栏山新媒体学院</v>
      </c>
    </row>
    <row r="1795" ht="13.5" hidden="1" spans="1:5">
      <c r="A1795" s="2" t="str">
        <f>"段倩梅"</f>
        <v>段倩梅</v>
      </c>
      <c r="B1795" s="2" t="str">
        <f>"B20230902102"</f>
        <v>B20230902102</v>
      </c>
      <c r="C1795" s="2" t="str">
        <f t="shared" si="385"/>
        <v>女</v>
      </c>
      <c r="D1795" s="2" t="str">
        <f t="shared" si="375"/>
        <v>10</v>
      </c>
      <c r="E1795" s="2" t="str">
        <f>"经济与管理学院"</f>
        <v>经济与管理学院</v>
      </c>
    </row>
    <row r="1796" ht="13.5" hidden="1" spans="1:5">
      <c r="A1796" s="2" t="str">
        <f>"袁权"</f>
        <v>袁权</v>
      </c>
      <c r="B1796" s="2" t="str">
        <f>"B20230403331"</f>
        <v>B20230403331</v>
      </c>
      <c r="C1796" s="2" t="str">
        <f>"男"</f>
        <v>男</v>
      </c>
      <c r="D1796" s="2" t="str">
        <f t="shared" si="375"/>
        <v>10</v>
      </c>
      <c r="E1796" s="2" t="str">
        <f>"电子信息与电气工程学院"</f>
        <v>电子信息与电气工程学院</v>
      </c>
    </row>
    <row r="1797" ht="13.5" hidden="1" spans="1:5">
      <c r="A1797" s="2" t="str">
        <f>"符美琴"</f>
        <v>符美琴</v>
      </c>
      <c r="B1797" s="2" t="str">
        <f>"B20210102133"</f>
        <v>B20210102133</v>
      </c>
      <c r="C1797" s="2" t="str">
        <f t="shared" ref="C1797:C1799" si="386">"女"</f>
        <v>女</v>
      </c>
      <c r="D1797" s="2" t="str">
        <f t="shared" si="375"/>
        <v>10</v>
      </c>
      <c r="E1797" s="2" t="str">
        <f>"土木工程学院"</f>
        <v>土木工程学院</v>
      </c>
    </row>
    <row r="1798" ht="13.5" hidden="1" spans="1:5">
      <c r="A1798" s="2" t="str">
        <f>"王雅婷"</f>
        <v>王雅婷</v>
      </c>
      <c r="B1798" s="2" t="str">
        <f>"B20230802207"</f>
        <v>B20230802207</v>
      </c>
      <c r="C1798" s="2" t="str">
        <f t="shared" si="386"/>
        <v>女</v>
      </c>
      <c r="D1798" s="2" t="str">
        <f t="shared" si="375"/>
        <v>10</v>
      </c>
      <c r="E1798" s="2" t="str">
        <f>"外国语学院"</f>
        <v>外国语学院</v>
      </c>
    </row>
    <row r="1799" ht="13.5" hidden="1" spans="1:5">
      <c r="A1799" s="2" t="str">
        <f>"王怡涵"</f>
        <v>王怡涵</v>
      </c>
      <c r="B1799" s="2" t="str">
        <f>"B20221301232"</f>
        <v>B20221301232</v>
      </c>
      <c r="C1799" s="2" t="str">
        <f t="shared" si="386"/>
        <v>女</v>
      </c>
      <c r="D1799" s="2" t="str">
        <f t="shared" si="375"/>
        <v>10</v>
      </c>
      <c r="E1799" s="2" t="str">
        <f>"材料与环境工程学院"</f>
        <v>材料与环境工程学院</v>
      </c>
    </row>
    <row r="1800" ht="13.5" hidden="1" spans="1:5">
      <c r="A1800" s="2" t="str">
        <f>"陈子涵"</f>
        <v>陈子涵</v>
      </c>
      <c r="B1800" s="2" t="str">
        <f>"B20230702128"</f>
        <v>B20230702128</v>
      </c>
      <c r="C1800" s="2" t="str">
        <f>"男"</f>
        <v>男</v>
      </c>
      <c r="D1800" s="2" t="str">
        <f t="shared" si="375"/>
        <v>10</v>
      </c>
      <c r="E1800" s="2" t="str">
        <f>"马栏山新媒体学院"</f>
        <v>马栏山新媒体学院</v>
      </c>
    </row>
    <row r="1801" ht="13.5" hidden="1" spans="1:5">
      <c r="A1801" s="2" t="str">
        <f>"陆思汝"</f>
        <v>陆思汝</v>
      </c>
      <c r="B1801" s="2" t="str">
        <f>"B20210704103"</f>
        <v>B20210704103</v>
      </c>
      <c r="C1801" s="2" t="str">
        <f>"女"</f>
        <v>女</v>
      </c>
      <c r="D1801" s="2" t="str">
        <f t="shared" si="375"/>
        <v>10</v>
      </c>
      <c r="E1801" s="2" t="str">
        <f>"马栏山新媒体学院"</f>
        <v>马栏山新媒体学院</v>
      </c>
    </row>
    <row r="1802" ht="13.5" hidden="1" spans="1:5">
      <c r="A1802" s="2" t="str">
        <f>"崔瀚涛"</f>
        <v>崔瀚涛</v>
      </c>
      <c r="B1802" s="2" t="str">
        <f>"B20230502128"</f>
        <v>B20230502128</v>
      </c>
      <c r="C1802" s="2" t="str">
        <f>"男"</f>
        <v>男</v>
      </c>
      <c r="D1802" s="2" t="str">
        <f t="shared" si="375"/>
        <v>10</v>
      </c>
      <c r="E1802" s="2" t="str">
        <f>"生物与化学工程学院"</f>
        <v>生物与化学工程学院</v>
      </c>
    </row>
    <row r="1803" ht="13.5" hidden="1" spans="1:5">
      <c r="A1803" s="2" t="str">
        <f>"胡楚仪"</f>
        <v>胡楚仪</v>
      </c>
      <c r="B1803" s="2" t="str">
        <f>"B20221004210"</f>
        <v>B20221004210</v>
      </c>
      <c r="C1803" s="2" t="str">
        <f>"女"</f>
        <v>女</v>
      </c>
      <c r="D1803" s="2" t="str">
        <f t="shared" si="375"/>
        <v>10</v>
      </c>
      <c r="E1803" s="2" t="str">
        <f>"艺术设计学院"</f>
        <v>艺术设计学院</v>
      </c>
    </row>
    <row r="1804" ht="13.5" hidden="1" spans="1:5">
      <c r="A1804" s="2" t="str">
        <f>"王文芬"</f>
        <v>王文芬</v>
      </c>
      <c r="B1804" s="2" t="str">
        <f>"B20220501236"</f>
        <v>B20220501236</v>
      </c>
      <c r="C1804" s="2" t="str">
        <f>"女"</f>
        <v>女</v>
      </c>
      <c r="D1804" s="2" t="str">
        <f t="shared" si="375"/>
        <v>10</v>
      </c>
      <c r="E1804" s="2" t="str">
        <f>"生物与化学工程学院"</f>
        <v>生物与化学工程学院</v>
      </c>
    </row>
    <row r="1805" ht="13.5" hidden="1" spans="1:5">
      <c r="A1805" s="2" t="str">
        <f>"童辰宇"</f>
        <v>童辰宇</v>
      </c>
      <c r="B1805" s="2" t="str">
        <f>"B20201002323"</f>
        <v>B20201002323</v>
      </c>
      <c r="C1805" s="2" t="str">
        <f>"男"</f>
        <v>男</v>
      </c>
      <c r="D1805" s="2" t="str">
        <f t="shared" si="375"/>
        <v>10</v>
      </c>
      <c r="E1805" s="2" t="str">
        <f>"艺术设计学院"</f>
        <v>艺术设计学院</v>
      </c>
    </row>
    <row r="1806" ht="13.5" hidden="1" spans="1:5">
      <c r="A1806" s="2" t="str">
        <f>"陈雪"</f>
        <v>陈雪</v>
      </c>
      <c r="B1806" s="2" t="str">
        <f>"B20210902102"</f>
        <v>B20210902102</v>
      </c>
      <c r="C1806" s="2" t="str">
        <f>"女"</f>
        <v>女</v>
      </c>
      <c r="D1806" s="2" t="str">
        <f t="shared" si="375"/>
        <v>10</v>
      </c>
      <c r="E1806" s="2" t="str">
        <f>"经济与管理学院"</f>
        <v>经济与管理学院</v>
      </c>
    </row>
    <row r="1807" ht="13.5" hidden="1" spans="1:5">
      <c r="A1807" s="2" t="str">
        <f>"陈俊佳"</f>
        <v>陈俊佳</v>
      </c>
      <c r="B1807" s="2" t="str">
        <f>"B20210202310"</f>
        <v>B20210202310</v>
      </c>
      <c r="C1807" s="2" t="str">
        <f>"男"</f>
        <v>男</v>
      </c>
      <c r="D1807" s="2" t="str">
        <f t="shared" si="375"/>
        <v>10</v>
      </c>
      <c r="E1807" s="2" t="str">
        <f>"机电工程学院"</f>
        <v>机电工程学院</v>
      </c>
    </row>
    <row r="1808" ht="13.5" hidden="1" spans="1:5">
      <c r="A1808" s="2" t="str">
        <f>"何星帅"</f>
        <v>何星帅</v>
      </c>
      <c r="B1808" s="2" t="str">
        <f>"B20210503103"</f>
        <v>B20210503103</v>
      </c>
      <c r="C1808" s="2" t="str">
        <f>"男"</f>
        <v>男</v>
      </c>
      <c r="D1808" s="2" t="str">
        <f t="shared" si="375"/>
        <v>10</v>
      </c>
      <c r="E1808" s="2" t="str">
        <f>"材料与环境工程学院"</f>
        <v>材料与环境工程学院</v>
      </c>
    </row>
    <row r="1809" ht="13.5" hidden="1" spans="1:5">
      <c r="A1809" s="2" t="str">
        <f>"杨淦"</f>
        <v>杨淦</v>
      </c>
      <c r="B1809" s="2" t="str">
        <f>"B20220704410"</f>
        <v>B20220704410</v>
      </c>
      <c r="C1809" s="2" t="str">
        <f>"女"</f>
        <v>女</v>
      </c>
      <c r="D1809" s="2" t="str">
        <f t="shared" si="375"/>
        <v>10</v>
      </c>
      <c r="E1809" s="2" t="str">
        <f>"马栏山新媒体学院"</f>
        <v>马栏山新媒体学院</v>
      </c>
    </row>
    <row r="1810" ht="13.5" hidden="1" spans="1:5">
      <c r="A1810" s="2" t="str">
        <f>"雍坤坤"</f>
        <v>雍坤坤</v>
      </c>
      <c r="B1810" s="2" t="str">
        <f>"B20201001401"</f>
        <v>B20201001401</v>
      </c>
      <c r="C1810" s="2" t="str">
        <f>"女"</f>
        <v>女</v>
      </c>
      <c r="D1810" s="2" t="str">
        <f t="shared" si="375"/>
        <v>10</v>
      </c>
      <c r="E1810" s="2" t="str">
        <f>"艺术设计学院"</f>
        <v>艺术设计学院</v>
      </c>
    </row>
    <row r="1811" ht="13.5" hidden="1" spans="1:5">
      <c r="A1811" s="2" t="str">
        <f>"黄灿"</f>
        <v>黄灿</v>
      </c>
      <c r="B1811" s="2" t="str">
        <f>"B20220504315"</f>
        <v>B20220504315</v>
      </c>
      <c r="C1811" s="2" t="str">
        <f>"男"</f>
        <v>男</v>
      </c>
      <c r="D1811" s="2" t="str">
        <f t="shared" ref="D1811:D1851" si="387">"10"</f>
        <v>10</v>
      </c>
      <c r="E1811" s="2" t="str">
        <f>"生物与化学工程学院"</f>
        <v>生物与化学工程学院</v>
      </c>
    </row>
    <row r="1812" ht="13.5" hidden="1" spans="1:5">
      <c r="A1812" s="2" t="str">
        <f>"庞存岳"</f>
        <v>庞存岳</v>
      </c>
      <c r="B1812" s="2" t="str">
        <f>"B20231302104"</f>
        <v>B20231302104</v>
      </c>
      <c r="C1812" s="2" t="str">
        <f>"男"</f>
        <v>男</v>
      </c>
      <c r="D1812" s="2" t="str">
        <f t="shared" si="387"/>
        <v>10</v>
      </c>
      <c r="E1812" s="2" t="str">
        <f>"材料与环境工程学院"</f>
        <v>材料与环境工程学院</v>
      </c>
    </row>
    <row r="1813" ht="13.5" hidden="1" spans="1:5">
      <c r="A1813" s="2" t="str">
        <f>"谢乐瑶"</f>
        <v>谢乐瑶</v>
      </c>
      <c r="B1813" s="2" t="str">
        <f>"B20230704207"</f>
        <v>B20230704207</v>
      </c>
      <c r="C1813" s="2" t="str">
        <f t="shared" ref="C1813:C1817" si="388">"女"</f>
        <v>女</v>
      </c>
      <c r="D1813" s="2" t="str">
        <f t="shared" si="387"/>
        <v>10</v>
      </c>
      <c r="E1813" s="2" t="str">
        <f>"马栏山新媒体学院"</f>
        <v>马栏山新媒体学院</v>
      </c>
    </row>
    <row r="1814" ht="13.5" hidden="1" spans="1:5">
      <c r="A1814" s="2" t="str">
        <f>"焦成"</f>
        <v>焦成</v>
      </c>
      <c r="B1814" s="2" t="str">
        <f>"B20210403130"</f>
        <v>B20210403130</v>
      </c>
      <c r="C1814" s="2" t="str">
        <f t="shared" ref="C1814:C1818" si="389">"男"</f>
        <v>男</v>
      </c>
      <c r="D1814" s="2" t="str">
        <f t="shared" si="387"/>
        <v>10</v>
      </c>
      <c r="E1814" s="2" t="str">
        <f>"电子信息与电气工程学院"</f>
        <v>电子信息与电气工程学院</v>
      </c>
    </row>
    <row r="1815" ht="13.5" hidden="1" spans="1:5">
      <c r="A1815" s="2" t="str">
        <f>"龙舰庭"</f>
        <v>龙舰庭</v>
      </c>
      <c r="B1815" s="2" t="str">
        <f>"B20230904314"</f>
        <v>B20230904314</v>
      </c>
      <c r="C1815" s="2" t="str">
        <f t="shared" si="389"/>
        <v>男</v>
      </c>
      <c r="D1815" s="2" t="str">
        <f t="shared" si="387"/>
        <v>10</v>
      </c>
      <c r="E1815" s="2" t="str">
        <f>"经济与管理学院"</f>
        <v>经济与管理学院</v>
      </c>
    </row>
    <row r="1816" ht="13.5" hidden="1" spans="1:5">
      <c r="A1816" s="2" t="str">
        <f>"王嘉贤"</f>
        <v>王嘉贤</v>
      </c>
      <c r="B1816" s="2" t="str">
        <f>"B20220601124"</f>
        <v>B20220601124</v>
      </c>
      <c r="C1816" s="2" t="str">
        <f t="shared" si="388"/>
        <v>女</v>
      </c>
      <c r="D1816" s="2" t="str">
        <f t="shared" si="387"/>
        <v>10</v>
      </c>
      <c r="E1816" s="2" t="str">
        <f>"法学院"</f>
        <v>法学院</v>
      </c>
    </row>
    <row r="1817" ht="13.5" hidden="1" spans="1:5">
      <c r="A1817" s="2" t="str">
        <f>"赵璐"</f>
        <v>赵璐</v>
      </c>
      <c r="B1817" s="2" t="str">
        <f>"B20210202111"</f>
        <v>B20210202111</v>
      </c>
      <c r="C1817" s="2" t="str">
        <f t="shared" si="388"/>
        <v>女</v>
      </c>
      <c r="D1817" s="2" t="str">
        <f t="shared" si="387"/>
        <v>10</v>
      </c>
      <c r="E1817" s="2" t="str">
        <f>"机电工程学院"</f>
        <v>机电工程学院</v>
      </c>
    </row>
    <row r="1818" ht="13.5" hidden="1" spans="1:5">
      <c r="A1818" s="2" t="str">
        <f>"黄任跃"</f>
        <v>黄任跃</v>
      </c>
      <c r="B1818" s="2" t="str">
        <f>"B20230201402"</f>
        <v>B20230201402</v>
      </c>
      <c r="C1818" s="2" t="str">
        <f t="shared" si="389"/>
        <v>男</v>
      </c>
      <c r="D1818" s="2" t="str">
        <f t="shared" si="387"/>
        <v>10</v>
      </c>
      <c r="E1818" s="2" t="str">
        <f>"机电工程学院"</f>
        <v>机电工程学院</v>
      </c>
    </row>
    <row r="1819" ht="13.5" hidden="1" spans="1:5">
      <c r="A1819" s="2" t="str">
        <f>"程宇婷"</f>
        <v>程宇婷</v>
      </c>
      <c r="B1819" s="2" t="str">
        <f>"B20221002119"</f>
        <v>B20221002119</v>
      </c>
      <c r="C1819" s="2" t="str">
        <f t="shared" ref="C1819:C1824" si="390">"女"</f>
        <v>女</v>
      </c>
      <c r="D1819" s="2" t="str">
        <f t="shared" si="387"/>
        <v>10</v>
      </c>
      <c r="E1819" s="2" t="str">
        <f>"艺术设计学院"</f>
        <v>艺术设计学院</v>
      </c>
    </row>
    <row r="1820" ht="13.5" hidden="1" spans="1:5">
      <c r="A1820" s="2" t="str">
        <f>"曹佳"</f>
        <v>曹佳</v>
      </c>
      <c r="B1820" s="2" t="str">
        <f>"B20210503208"</f>
        <v>B20210503208</v>
      </c>
      <c r="C1820" s="2" t="str">
        <f t="shared" ref="C1820:C1826" si="391">"男"</f>
        <v>男</v>
      </c>
      <c r="D1820" s="2" t="str">
        <f t="shared" si="387"/>
        <v>10</v>
      </c>
      <c r="E1820" s="2" t="str">
        <f>"材料与环境工程学院"</f>
        <v>材料与环境工程学院</v>
      </c>
    </row>
    <row r="1821" ht="13.5" hidden="1" spans="1:5">
      <c r="A1821" s="2" t="str">
        <f>"张皓"</f>
        <v>张皓</v>
      </c>
      <c r="B1821" s="2" t="str">
        <f>"B20230103109"</f>
        <v>B20230103109</v>
      </c>
      <c r="C1821" s="2" t="str">
        <f t="shared" si="391"/>
        <v>男</v>
      </c>
      <c r="D1821" s="2" t="str">
        <f t="shared" si="387"/>
        <v>10</v>
      </c>
      <c r="E1821" s="2" t="str">
        <f>"土木工程学院"</f>
        <v>土木工程学院</v>
      </c>
    </row>
    <row r="1822" ht="13.5" hidden="1" spans="1:5">
      <c r="A1822" s="2" t="str">
        <f>"曾婷"</f>
        <v>曾婷</v>
      </c>
      <c r="B1822" s="2" t="str">
        <f>"B20220702213"</f>
        <v>B20220702213</v>
      </c>
      <c r="C1822" s="2" t="str">
        <f t="shared" si="390"/>
        <v>女</v>
      </c>
      <c r="D1822" s="2" t="str">
        <f t="shared" si="387"/>
        <v>10</v>
      </c>
      <c r="E1822" s="2" t="str">
        <f>"马栏山新媒体学院"</f>
        <v>马栏山新媒体学院</v>
      </c>
    </row>
    <row r="1823" ht="13.5" hidden="1" spans="1:5">
      <c r="A1823" s="2" t="str">
        <f>"周晨晨"</f>
        <v>周晨晨</v>
      </c>
      <c r="B1823" s="2" t="str">
        <f>"B20210801220"</f>
        <v>B20210801220</v>
      </c>
      <c r="C1823" s="2" t="str">
        <f t="shared" si="390"/>
        <v>女</v>
      </c>
      <c r="D1823" s="2" t="str">
        <f t="shared" si="387"/>
        <v>10</v>
      </c>
      <c r="E1823" s="2" t="str">
        <f>"外国语学院"</f>
        <v>外国语学院</v>
      </c>
    </row>
    <row r="1824" ht="13.5" hidden="1" spans="1:5">
      <c r="A1824" s="2" t="str">
        <f>"潘星颖"</f>
        <v>潘星颖</v>
      </c>
      <c r="B1824" s="2" t="str">
        <f>"B20230801419"</f>
        <v>B20230801419</v>
      </c>
      <c r="C1824" s="2" t="str">
        <f t="shared" si="390"/>
        <v>女</v>
      </c>
      <c r="D1824" s="2" t="str">
        <f t="shared" si="387"/>
        <v>10</v>
      </c>
      <c r="E1824" s="2" t="str">
        <f>"外国语学院"</f>
        <v>外国语学院</v>
      </c>
    </row>
    <row r="1825" ht="13.5" hidden="1" spans="1:5">
      <c r="A1825" s="2" t="str">
        <f>"陈幼迪"</f>
        <v>陈幼迪</v>
      </c>
      <c r="B1825" s="2" t="str">
        <f>"B20230205211"</f>
        <v>B20230205211</v>
      </c>
      <c r="C1825" s="2" t="str">
        <f t="shared" si="391"/>
        <v>男</v>
      </c>
      <c r="D1825" s="2" t="str">
        <f t="shared" si="387"/>
        <v>10</v>
      </c>
      <c r="E1825" s="2" t="str">
        <f>"机电工程学院"</f>
        <v>机电工程学院</v>
      </c>
    </row>
    <row r="1826" ht="13.5" hidden="1" spans="1:5">
      <c r="A1826" s="2" t="str">
        <f>"肖佳恩"</f>
        <v>肖佳恩</v>
      </c>
      <c r="B1826" s="2" t="str">
        <f>"B20230504310"</f>
        <v>B20230504310</v>
      </c>
      <c r="C1826" s="2" t="str">
        <f t="shared" si="391"/>
        <v>男</v>
      </c>
      <c r="D1826" s="2" t="str">
        <f t="shared" si="387"/>
        <v>10</v>
      </c>
      <c r="E1826" s="2" t="str">
        <f>"生物与化学工程学院"</f>
        <v>生物与化学工程学院</v>
      </c>
    </row>
    <row r="1827" ht="13.5" hidden="1" spans="1:5">
      <c r="A1827" s="2" t="str">
        <f>"何雨灿"</f>
        <v>何雨灿</v>
      </c>
      <c r="B1827" s="2" t="str">
        <f>"B20211101119"</f>
        <v>B20211101119</v>
      </c>
      <c r="C1827" s="2" t="str">
        <f>"女"</f>
        <v>女</v>
      </c>
      <c r="D1827" s="2" t="str">
        <f t="shared" si="387"/>
        <v>10</v>
      </c>
      <c r="E1827" s="2" t="str">
        <f>"音乐学院"</f>
        <v>音乐学院</v>
      </c>
    </row>
    <row r="1828" ht="13.5" hidden="1" spans="1:5">
      <c r="A1828" s="2" t="str">
        <f>"李怀昕"</f>
        <v>李怀昕</v>
      </c>
      <c r="B1828" s="2" t="str">
        <f>"B20210902304"</f>
        <v>B20210902304</v>
      </c>
      <c r="C1828" s="2" t="str">
        <f>"女"</f>
        <v>女</v>
      </c>
      <c r="D1828" s="2" t="str">
        <f t="shared" si="387"/>
        <v>10</v>
      </c>
      <c r="E1828" s="2" t="str">
        <f>"经济与管理学院"</f>
        <v>经济与管理学院</v>
      </c>
    </row>
    <row r="1829" ht="13.5" hidden="1" spans="1:5">
      <c r="A1829" s="2" t="str">
        <f>"陈杨昊"</f>
        <v>陈杨昊</v>
      </c>
      <c r="B1829" s="2" t="str">
        <f>"B20210201323"</f>
        <v>B20210201323</v>
      </c>
      <c r="C1829" s="2" t="str">
        <f>"男"</f>
        <v>男</v>
      </c>
      <c r="D1829" s="2" t="str">
        <f t="shared" si="387"/>
        <v>10</v>
      </c>
      <c r="E1829" s="2" t="str">
        <f>"机电工程学院"</f>
        <v>机电工程学院</v>
      </c>
    </row>
    <row r="1830" ht="13.5" hidden="1" spans="1:5">
      <c r="A1830" s="2" t="str">
        <f>"雷佳顺"</f>
        <v>雷佳顺</v>
      </c>
      <c r="B1830" s="2" t="str">
        <f>"B20231111225"</f>
        <v>B20231111225</v>
      </c>
      <c r="C1830" s="2" t="str">
        <f>"女"</f>
        <v>女</v>
      </c>
      <c r="D1830" s="2" t="str">
        <f t="shared" si="387"/>
        <v>10</v>
      </c>
      <c r="E1830" s="2" t="str">
        <f>"音乐学院"</f>
        <v>音乐学院</v>
      </c>
    </row>
    <row r="1831" ht="13.5" hidden="1" spans="1:5">
      <c r="A1831" s="2" t="str">
        <f>"周佳莹"</f>
        <v>周佳莹</v>
      </c>
      <c r="B1831" s="2" t="str">
        <f>"B20220801211"</f>
        <v>B20220801211</v>
      </c>
      <c r="C1831" s="2" t="str">
        <f>"女"</f>
        <v>女</v>
      </c>
      <c r="D1831" s="2" t="str">
        <f t="shared" si="387"/>
        <v>10</v>
      </c>
      <c r="E1831" s="2" t="str">
        <f>"外国语学院"</f>
        <v>外国语学院</v>
      </c>
    </row>
    <row r="1832" ht="13.5" hidden="1" spans="1:5">
      <c r="A1832" s="2" t="str">
        <f>"何佳堃"</f>
        <v>何佳堃</v>
      </c>
      <c r="B1832" s="2" t="str">
        <f>"B20230101430"</f>
        <v>B20230101430</v>
      </c>
      <c r="C1832" s="2" t="str">
        <f>"男"</f>
        <v>男</v>
      </c>
      <c r="D1832" s="2" t="str">
        <f t="shared" si="387"/>
        <v>10</v>
      </c>
      <c r="E1832" s="2" t="str">
        <f t="shared" ref="E1832:E1836" si="392">"土木工程学院"</f>
        <v>土木工程学院</v>
      </c>
    </row>
    <row r="1833" ht="13.5" hidden="1" spans="1:5">
      <c r="A1833" s="2" t="str">
        <f>"曹银霞"</f>
        <v>曹银霞</v>
      </c>
      <c r="B1833" s="2" t="str">
        <f>"B20230103233"</f>
        <v>B20230103233</v>
      </c>
      <c r="C1833" s="2" t="str">
        <f>"女"</f>
        <v>女</v>
      </c>
      <c r="D1833" s="2" t="str">
        <f t="shared" si="387"/>
        <v>10</v>
      </c>
      <c r="E1833" s="2" t="str">
        <f t="shared" si="392"/>
        <v>土木工程学院</v>
      </c>
    </row>
    <row r="1834" ht="13.5" hidden="1" spans="1:5">
      <c r="A1834" s="2" t="str">
        <f>"王思凯"</f>
        <v>王思凯</v>
      </c>
      <c r="B1834" s="2" t="str">
        <f>"B20230701125"</f>
        <v>B20230701125</v>
      </c>
      <c r="C1834" s="2" t="str">
        <f>"男"</f>
        <v>男</v>
      </c>
      <c r="D1834" s="2" t="str">
        <f t="shared" si="387"/>
        <v>10</v>
      </c>
      <c r="E1834" s="2" t="str">
        <f>"马栏山新媒体学院"</f>
        <v>马栏山新媒体学院</v>
      </c>
    </row>
    <row r="1835" ht="13.5" hidden="1" spans="1:5">
      <c r="A1835" s="2" t="str">
        <f>"姚晶凝"</f>
        <v>姚晶凝</v>
      </c>
      <c r="B1835" s="2" t="str">
        <f>"B20230704124"</f>
        <v>B20230704124</v>
      </c>
      <c r="C1835" s="2" t="str">
        <f>"女"</f>
        <v>女</v>
      </c>
      <c r="D1835" s="2" t="str">
        <f t="shared" si="387"/>
        <v>10</v>
      </c>
      <c r="E1835" s="2" t="str">
        <f>"马栏山新媒体学院"</f>
        <v>马栏山新媒体学院</v>
      </c>
    </row>
    <row r="1836" ht="13.5" hidden="1" spans="1:5">
      <c r="A1836" s="2" t="str">
        <f>"陈子健"</f>
        <v>陈子健</v>
      </c>
      <c r="B1836" s="2" t="str">
        <f>"B20220101227"</f>
        <v>B20220101227</v>
      </c>
      <c r="C1836" s="2" t="str">
        <f>"男"</f>
        <v>男</v>
      </c>
      <c r="D1836" s="2" t="str">
        <f t="shared" si="387"/>
        <v>10</v>
      </c>
      <c r="E1836" s="2" t="str">
        <f t="shared" si="392"/>
        <v>土木工程学院</v>
      </c>
    </row>
    <row r="1837" ht="13.5" hidden="1" spans="1:5">
      <c r="A1837" s="2" t="str">
        <f>"周巧"</f>
        <v>周巧</v>
      </c>
      <c r="B1837" s="2" t="str">
        <f>"B20200203125"</f>
        <v>B20200203125</v>
      </c>
      <c r="C1837" s="2" t="str">
        <f t="shared" ref="C1837:C1839" si="393">"女"</f>
        <v>女</v>
      </c>
      <c r="D1837" s="2" t="str">
        <f t="shared" si="387"/>
        <v>10</v>
      </c>
      <c r="E1837" s="2" t="str">
        <f>"机电工程学院"</f>
        <v>机电工程学院</v>
      </c>
    </row>
    <row r="1838" ht="13.5" hidden="1" spans="1:5">
      <c r="A1838" s="2" t="str">
        <f>"杨秀丽"</f>
        <v>杨秀丽</v>
      </c>
      <c r="B1838" s="2" t="str">
        <f>"B20220402210"</f>
        <v>B20220402210</v>
      </c>
      <c r="C1838" s="2" t="str">
        <f t="shared" si="393"/>
        <v>女</v>
      </c>
      <c r="D1838" s="2" t="str">
        <f t="shared" si="387"/>
        <v>10</v>
      </c>
      <c r="E1838" s="2" t="str">
        <f>"电子信息与电气工程学院"</f>
        <v>电子信息与电气工程学院</v>
      </c>
    </row>
    <row r="1839" ht="13.5" hidden="1" spans="1:5">
      <c r="A1839" s="2" t="str">
        <f>"李欢妃"</f>
        <v>李欢妃</v>
      </c>
      <c r="B1839" s="2" t="str">
        <f>"B20210803124"</f>
        <v>B20210803124</v>
      </c>
      <c r="C1839" s="2" t="str">
        <f t="shared" si="393"/>
        <v>女</v>
      </c>
      <c r="D1839" s="2" t="str">
        <f t="shared" si="387"/>
        <v>10</v>
      </c>
      <c r="E1839" s="2" t="str">
        <f>"外国语学院"</f>
        <v>外国语学院</v>
      </c>
    </row>
    <row r="1840" ht="13.5" hidden="1" spans="1:5">
      <c r="A1840" s="2" t="str">
        <f>"熊永诗"</f>
        <v>熊永诗</v>
      </c>
      <c r="B1840" s="2" t="str">
        <f>"B20220902311"</f>
        <v>B20220902311</v>
      </c>
      <c r="C1840" s="2" t="str">
        <f t="shared" ref="C1840:C1850" si="394">"女"</f>
        <v>女</v>
      </c>
      <c r="D1840" s="2" t="str">
        <f t="shared" si="387"/>
        <v>10</v>
      </c>
      <c r="E1840" s="2" t="str">
        <f>"经济与管理学院"</f>
        <v>经济与管理学院</v>
      </c>
    </row>
    <row r="1841" ht="13.5" hidden="1" spans="1:5">
      <c r="A1841" s="2" t="str">
        <f>"唐罗婧"</f>
        <v>唐罗婧</v>
      </c>
      <c r="B1841" s="2" t="str">
        <f>"B20201001203"</f>
        <v>B20201001203</v>
      </c>
      <c r="C1841" s="2" t="str">
        <f t="shared" si="394"/>
        <v>女</v>
      </c>
      <c r="D1841" s="2" t="str">
        <f t="shared" si="387"/>
        <v>10</v>
      </c>
      <c r="E1841" s="2" t="str">
        <f>"艺术设计学院"</f>
        <v>艺术设计学院</v>
      </c>
    </row>
    <row r="1842" ht="13.5" hidden="1" spans="1:5">
      <c r="A1842" s="2" t="str">
        <f>"马文轩"</f>
        <v>马文轩</v>
      </c>
      <c r="B1842" s="2" t="str">
        <f>"B20230504227"</f>
        <v>B20230504227</v>
      </c>
      <c r="C1842" s="2" t="str">
        <f t="shared" si="394"/>
        <v>女</v>
      </c>
      <c r="D1842" s="2" t="str">
        <f t="shared" si="387"/>
        <v>10</v>
      </c>
      <c r="E1842" s="2" t="str">
        <f>"生物与化学工程学院"</f>
        <v>生物与化学工程学院</v>
      </c>
    </row>
    <row r="1843" ht="13.5" hidden="1" spans="1:5">
      <c r="A1843" s="2" t="str">
        <f>"聂海绣"</f>
        <v>聂海绣</v>
      </c>
      <c r="B1843" s="2" t="str">
        <f>"B20230601522"</f>
        <v>B20230601522</v>
      </c>
      <c r="C1843" s="2" t="str">
        <f t="shared" si="394"/>
        <v>女</v>
      </c>
      <c r="D1843" s="2" t="str">
        <f t="shared" si="387"/>
        <v>10</v>
      </c>
      <c r="E1843" s="2" t="str">
        <f>"法学院"</f>
        <v>法学院</v>
      </c>
    </row>
    <row r="1844" ht="13.5" hidden="1" spans="1:5">
      <c r="A1844" s="2" t="str">
        <f>"贺李轩"</f>
        <v>贺李轩</v>
      </c>
      <c r="B1844" s="2" t="str">
        <f>"B20230704424"</f>
        <v>B20230704424</v>
      </c>
      <c r="C1844" s="2" t="str">
        <f t="shared" si="394"/>
        <v>女</v>
      </c>
      <c r="D1844" s="2" t="str">
        <f t="shared" si="387"/>
        <v>10</v>
      </c>
      <c r="E1844" s="2" t="str">
        <f t="shared" ref="E1844:E1849" si="395">"马栏山新媒体学院"</f>
        <v>马栏山新媒体学院</v>
      </c>
    </row>
    <row r="1845" ht="13.5" hidden="1" spans="1:5">
      <c r="A1845" s="2" t="str">
        <f>"水芙蓉"</f>
        <v>水芙蓉</v>
      </c>
      <c r="B1845" s="2" t="str">
        <f>"B20210704315"</f>
        <v>B20210704315</v>
      </c>
      <c r="C1845" s="2" t="str">
        <f t="shared" si="394"/>
        <v>女</v>
      </c>
      <c r="D1845" s="2" t="str">
        <f t="shared" si="387"/>
        <v>10</v>
      </c>
      <c r="E1845" s="2" t="str">
        <f t="shared" si="395"/>
        <v>马栏山新媒体学院</v>
      </c>
    </row>
    <row r="1846" ht="13.5" hidden="1" spans="1:5">
      <c r="A1846" s="2" t="str">
        <f>"陈梦珍"</f>
        <v>陈梦珍</v>
      </c>
      <c r="B1846" s="2" t="str">
        <f>"B20210901114"</f>
        <v>B20210901114</v>
      </c>
      <c r="C1846" s="2" t="str">
        <f t="shared" si="394"/>
        <v>女</v>
      </c>
      <c r="D1846" s="2" t="str">
        <f t="shared" si="387"/>
        <v>10</v>
      </c>
      <c r="E1846" s="2" t="str">
        <f t="shared" ref="E1846:E1848" si="396">"经济与管理学院"</f>
        <v>经济与管理学院</v>
      </c>
    </row>
    <row r="1847" ht="13.5" hidden="1" spans="1:5">
      <c r="A1847" s="2" t="str">
        <f>"尹成铭"</f>
        <v>尹成铭</v>
      </c>
      <c r="B1847" s="2" t="str">
        <f>"B20210905130"</f>
        <v>B20210905130</v>
      </c>
      <c r="C1847" s="2" t="str">
        <f t="shared" si="394"/>
        <v>女</v>
      </c>
      <c r="D1847" s="2" t="str">
        <f t="shared" si="387"/>
        <v>10</v>
      </c>
      <c r="E1847" s="2" t="str">
        <f t="shared" si="396"/>
        <v>经济与管理学院</v>
      </c>
    </row>
    <row r="1848" ht="13.5" hidden="1" spans="1:5">
      <c r="A1848" s="2" t="str">
        <f>"杨毅"</f>
        <v>杨毅</v>
      </c>
      <c r="B1848" s="2" t="str">
        <f>"B20210905205"</f>
        <v>B20210905205</v>
      </c>
      <c r="C1848" s="2" t="str">
        <f t="shared" si="394"/>
        <v>女</v>
      </c>
      <c r="D1848" s="2" t="str">
        <f t="shared" si="387"/>
        <v>10</v>
      </c>
      <c r="E1848" s="2" t="str">
        <f t="shared" si="396"/>
        <v>经济与管理学院</v>
      </c>
    </row>
    <row r="1849" ht="13.5" hidden="1" spans="1:5">
      <c r="A1849" s="2" t="str">
        <f>"白钰"</f>
        <v>白钰</v>
      </c>
      <c r="B1849" s="2" t="str">
        <f>"B20220704407"</f>
        <v>B20220704407</v>
      </c>
      <c r="C1849" s="2" t="str">
        <f t="shared" si="394"/>
        <v>女</v>
      </c>
      <c r="D1849" s="2" t="str">
        <f t="shared" si="387"/>
        <v>10</v>
      </c>
      <c r="E1849" s="2" t="str">
        <f t="shared" si="395"/>
        <v>马栏山新媒体学院</v>
      </c>
    </row>
    <row r="1850" ht="13.5" hidden="1" spans="1:5">
      <c r="A1850" s="2" t="str">
        <f>"王珊"</f>
        <v>王珊</v>
      </c>
      <c r="B1850" s="2" t="str">
        <f>"B20200902304"</f>
        <v>B20200902304</v>
      </c>
      <c r="C1850" s="2" t="str">
        <f t="shared" si="394"/>
        <v>女</v>
      </c>
      <c r="D1850" s="2" t="str">
        <f t="shared" si="387"/>
        <v>10</v>
      </c>
      <c r="E1850" s="2" t="str">
        <f>"经济与管理学院"</f>
        <v>经济与管理学院</v>
      </c>
    </row>
    <row r="1851" ht="13.5" hidden="1" spans="1:5">
      <c r="A1851" s="2" t="str">
        <f>"马国涵"</f>
        <v>马国涵</v>
      </c>
      <c r="B1851" s="2" t="str">
        <f>"B20210504232"</f>
        <v>B20210504232</v>
      </c>
      <c r="C1851" s="2" t="str">
        <f t="shared" ref="C1851:C1856" si="397">"男"</f>
        <v>男</v>
      </c>
      <c r="D1851" s="2" t="str">
        <f t="shared" si="387"/>
        <v>10</v>
      </c>
      <c r="E1851" s="2" t="str">
        <f>"生物与化学工程学院"</f>
        <v>生物与化学工程学院</v>
      </c>
    </row>
    <row r="1852" ht="13.5" hidden="1" spans="1:5">
      <c r="A1852" s="2" t="str">
        <f>"左佳林"</f>
        <v>左佳林</v>
      </c>
      <c r="B1852" s="2" t="str">
        <f>"B20210904209"</f>
        <v>B20210904209</v>
      </c>
      <c r="C1852" s="2" t="str">
        <f t="shared" si="397"/>
        <v>男</v>
      </c>
      <c r="D1852" s="2" t="str">
        <f t="shared" ref="D1852:D1915" si="398">"10"</f>
        <v>10</v>
      </c>
      <c r="E1852" s="2" t="str">
        <f>"经济与管理学院"</f>
        <v>经济与管理学院</v>
      </c>
    </row>
    <row r="1853" ht="13.5" hidden="1" spans="1:5">
      <c r="A1853" s="2" t="str">
        <f>"王旭"</f>
        <v>王旭</v>
      </c>
      <c r="B1853" s="2" t="str">
        <f>"B20210101101"</f>
        <v>B20210101101</v>
      </c>
      <c r="C1853" s="2" t="str">
        <f t="shared" si="397"/>
        <v>男</v>
      </c>
      <c r="D1853" s="2" t="str">
        <f t="shared" si="398"/>
        <v>10</v>
      </c>
      <c r="E1853" s="2" t="str">
        <f>"土木工程学院"</f>
        <v>土木工程学院</v>
      </c>
    </row>
    <row r="1854" ht="13.5" hidden="1" spans="1:5">
      <c r="A1854" s="2" t="str">
        <f>"匡旺"</f>
        <v>匡旺</v>
      </c>
      <c r="B1854" s="2" t="str">
        <f>"B20230402303"</f>
        <v>B20230402303</v>
      </c>
      <c r="C1854" s="2" t="str">
        <f t="shared" si="397"/>
        <v>男</v>
      </c>
      <c r="D1854" s="2" t="str">
        <f t="shared" si="398"/>
        <v>10</v>
      </c>
      <c r="E1854" s="2" t="str">
        <f>"电子信息与电气工程学院"</f>
        <v>电子信息与电气工程学院</v>
      </c>
    </row>
    <row r="1855" ht="13.5" hidden="1" spans="1:5">
      <c r="A1855" s="2" t="str">
        <f>"刘俊雄"</f>
        <v>刘俊雄</v>
      </c>
      <c r="B1855" s="2" t="str">
        <f>"B20220902231"</f>
        <v>B20220902231</v>
      </c>
      <c r="C1855" s="2" t="str">
        <f t="shared" si="397"/>
        <v>男</v>
      </c>
      <c r="D1855" s="2" t="str">
        <f t="shared" si="398"/>
        <v>10</v>
      </c>
      <c r="E1855" s="2" t="str">
        <f>"经济与管理学院"</f>
        <v>经济与管理学院</v>
      </c>
    </row>
    <row r="1856" ht="13.5" hidden="1" spans="1:5">
      <c r="A1856" s="2" t="str">
        <f>"徐倩林"</f>
        <v>徐倩林</v>
      </c>
      <c r="B1856" s="2" t="str">
        <f>"B20230202421"</f>
        <v>B20230202421</v>
      </c>
      <c r="C1856" s="2" t="str">
        <f t="shared" si="397"/>
        <v>男</v>
      </c>
      <c r="D1856" s="2" t="str">
        <f t="shared" si="398"/>
        <v>10</v>
      </c>
      <c r="E1856" s="2" t="str">
        <f>"机电工程学院"</f>
        <v>机电工程学院</v>
      </c>
    </row>
    <row r="1857" ht="13.5" hidden="1" spans="1:5">
      <c r="A1857" s="2" t="str">
        <f>"王姣"</f>
        <v>王姣</v>
      </c>
      <c r="B1857" s="2" t="str">
        <f>"B20231302230"</f>
        <v>B20231302230</v>
      </c>
      <c r="C1857" s="2" t="str">
        <f t="shared" ref="C1857:C1863" si="399">"女"</f>
        <v>女</v>
      </c>
      <c r="D1857" s="2" t="str">
        <f t="shared" si="398"/>
        <v>10</v>
      </c>
      <c r="E1857" s="2" t="str">
        <f>"材料与环境工程学院"</f>
        <v>材料与环境工程学院</v>
      </c>
    </row>
    <row r="1858" ht="13.5" hidden="1" spans="1:5">
      <c r="A1858" s="2" t="str">
        <f>"郭泽宇"</f>
        <v>郭泽宇</v>
      </c>
      <c r="B1858" s="2" t="str">
        <f>"B20230401103"</f>
        <v>B20230401103</v>
      </c>
      <c r="C1858" s="2" t="str">
        <f>"男"</f>
        <v>男</v>
      </c>
      <c r="D1858" s="2" t="str">
        <f t="shared" si="398"/>
        <v>10</v>
      </c>
      <c r="E1858" s="2" t="str">
        <f>"电子信息与电气工程学院"</f>
        <v>电子信息与电气工程学院</v>
      </c>
    </row>
    <row r="1859" ht="13.5" hidden="1" spans="1:5">
      <c r="A1859" s="2" t="str">
        <f>"王桂琳"</f>
        <v>王桂琳</v>
      </c>
      <c r="B1859" s="2" t="str">
        <f>"B20200906123"</f>
        <v>B20200906123</v>
      </c>
      <c r="C1859" s="2" t="str">
        <f t="shared" si="399"/>
        <v>女</v>
      </c>
      <c r="D1859" s="2" t="str">
        <f t="shared" si="398"/>
        <v>10</v>
      </c>
      <c r="E1859" s="2" t="str">
        <f>"经济与管理学院"</f>
        <v>经济与管理学院</v>
      </c>
    </row>
    <row r="1860" ht="13.5" hidden="1" spans="1:5">
      <c r="A1860" s="2" t="str">
        <f>"杨蘅"</f>
        <v>杨蘅</v>
      </c>
      <c r="B1860" s="2" t="str">
        <f>"B20230601130"</f>
        <v>B20230601130</v>
      </c>
      <c r="C1860" s="2" t="str">
        <f t="shared" si="399"/>
        <v>女</v>
      </c>
      <c r="D1860" s="2" t="str">
        <f t="shared" si="398"/>
        <v>10</v>
      </c>
      <c r="E1860" s="2" t="str">
        <f>"法学院"</f>
        <v>法学院</v>
      </c>
    </row>
    <row r="1861" ht="13.5" hidden="1" spans="1:5">
      <c r="A1861" s="2" t="str">
        <f>"刘煜琪"</f>
        <v>刘煜琪</v>
      </c>
      <c r="B1861" s="2" t="str">
        <f>"B20200803126"</f>
        <v>B20200803126</v>
      </c>
      <c r="C1861" s="2" t="str">
        <f t="shared" si="399"/>
        <v>女</v>
      </c>
      <c r="D1861" s="2" t="str">
        <f t="shared" si="398"/>
        <v>10</v>
      </c>
      <c r="E1861" s="2" t="str">
        <f>"外国语学院"</f>
        <v>外国语学院</v>
      </c>
    </row>
    <row r="1862" ht="13.5" hidden="1" spans="1:5">
      <c r="A1862" s="2" t="str">
        <f>"黄紫阳"</f>
        <v>黄紫阳</v>
      </c>
      <c r="B1862" s="2" t="str">
        <f>"B20231111107"</f>
        <v>B20231111107</v>
      </c>
      <c r="C1862" s="2" t="str">
        <f t="shared" si="399"/>
        <v>女</v>
      </c>
      <c r="D1862" s="2" t="str">
        <f t="shared" si="398"/>
        <v>10</v>
      </c>
      <c r="E1862" s="2" t="str">
        <f>"音乐学院"</f>
        <v>音乐学院</v>
      </c>
    </row>
    <row r="1863" ht="13.5" hidden="1" spans="1:5">
      <c r="A1863" s="2" t="str">
        <f>"李思蜀"</f>
        <v>李思蜀</v>
      </c>
      <c r="B1863" s="2" t="str">
        <f>"B20220702216"</f>
        <v>B20220702216</v>
      </c>
      <c r="C1863" s="2" t="str">
        <f t="shared" si="399"/>
        <v>女</v>
      </c>
      <c r="D1863" s="2" t="str">
        <f t="shared" si="398"/>
        <v>10</v>
      </c>
      <c r="E1863" s="2" t="str">
        <f>"马栏山新媒体学院"</f>
        <v>马栏山新媒体学院</v>
      </c>
    </row>
    <row r="1864" ht="13.5" hidden="1" spans="1:5">
      <c r="A1864" s="2" t="str">
        <f>"马青峰"</f>
        <v>马青峰</v>
      </c>
      <c r="B1864" s="2" t="str">
        <f>"B20210201318"</f>
        <v>B20210201318</v>
      </c>
      <c r="C1864" s="2" t="str">
        <f t="shared" ref="C1864:C1867" si="400">"男"</f>
        <v>男</v>
      </c>
      <c r="D1864" s="2" t="str">
        <f t="shared" si="398"/>
        <v>10</v>
      </c>
      <c r="E1864" s="2" t="str">
        <f>"机电工程学院"</f>
        <v>机电工程学院</v>
      </c>
    </row>
    <row r="1865" ht="13.5" hidden="1" spans="1:5">
      <c r="A1865" s="2" t="str">
        <f>"周铄雄"</f>
        <v>周铄雄</v>
      </c>
      <c r="B1865" s="2" t="str">
        <f>"B20201004220"</f>
        <v>B20201004220</v>
      </c>
      <c r="C1865" s="2" t="str">
        <f t="shared" si="400"/>
        <v>男</v>
      </c>
      <c r="D1865" s="2" t="str">
        <f t="shared" si="398"/>
        <v>10</v>
      </c>
      <c r="E1865" s="2" t="str">
        <f>"艺术设计学院"</f>
        <v>艺术设计学院</v>
      </c>
    </row>
    <row r="1866" ht="13.5" hidden="1" spans="1:5">
      <c r="A1866" s="2" t="str">
        <f>"李嘉怡"</f>
        <v>李嘉怡</v>
      </c>
      <c r="B1866" s="2" t="str">
        <f>"B20210601328"</f>
        <v>B20210601328</v>
      </c>
      <c r="C1866" s="2" t="str">
        <f t="shared" ref="C1866:C1869" si="401">"女"</f>
        <v>女</v>
      </c>
      <c r="D1866" s="2" t="str">
        <f t="shared" si="398"/>
        <v>10</v>
      </c>
      <c r="E1866" s="2" t="str">
        <f>"法学院"</f>
        <v>法学院</v>
      </c>
    </row>
    <row r="1867" ht="13.5" hidden="1" spans="1:5">
      <c r="A1867" s="2" t="str">
        <f>"罗平安"</f>
        <v>罗平安</v>
      </c>
      <c r="B1867" s="2" t="str">
        <f>"B20200101431"</f>
        <v>B20200101431</v>
      </c>
      <c r="C1867" s="2" t="str">
        <f t="shared" si="400"/>
        <v>男</v>
      </c>
      <c r="D1867" s="2" t="str">
        <f t="shared" si="398"/>
        <v>10</v>
      </c>
      <c r="E1867" s="2" t="str">
        <f>"土木工程学院"</f>
        <v>土木工程学院</v>
      </c>
    </row>
    <row r="1868" ht="13.5" hidden="1" spans="1:5">
      <c r="A1868" s="2" t="str">
        <f>"王亚琪"</f>
        <v>王亚琪</v>
      </c>
      <c r="B1868" s="2" t="str">
        <f>"B20221302323"</f>
        <v>B20221302323</v>
      </c>
      <c r="C1868" s="2" t="str">
        <f t="shared" si="401"/>
        <v>女</v>
      </c>
      <c r="D1868" s="2" t="str">
        <f t="shared" si="398"/>
        <v>10</v>
      </c>
      <c r="E1868" s="2" t="str">
        <f>"材料与环境工程学院"</f>
        <v>材料与环境工程学院</v>
      </c>
    </row>
    <row r="1869" ht="13.5" hidden="1" spans="1:5">
      <c r="A1869" s="2" t="str">
        <f>"徐欢"</f>
        <v>徐欢</v>
      </c>
      <c r="B1869" s="2" t="str">
        <f>"B20230703101"</f>
        <v>B20230703101</v>
      </c>
      <c r="C1869" s="2" t="str">
        <f t="shared" si="401"/>
        <v>女</v>
      </c>
      <c r="D1869" s="2" t="str">
        <f t="shared" si="398"/>
        <v>10</v>
      </c>
      <c r="E1869" s="2" t="str">
        <f>"马栏山新媒体学院"</f>
        <v>马栏山新媒体学院</v>
      </c>
    </row>
    <row r="1870" ht="13.5" hidden="1" spans="1:5">
      <c r="A1870" s="2" t="str">
        <f>"陈坤"</f>
        <v>陈坤</v>
      </c>
      <c r="B1870" s="2" t="str">
        <f>"B20210801312"</f>
        <v>B20210801312</v>
      </c>
      <c r="C1870" s="2" t="str">
        <f t="shared" ref="C1870:C1875" si="402">"男"</f>
        <v>男</v>
      </c>
      <c r="D1870" s="2" t="str">
        <f t="shared" si="398"/>
        <v>10</v>
      </c>
      <c r="E1870" s="2" t="str">
        <f>"外国语学院"</f>
        <v>外国语学院</v>
      </c>
    </row>
    <row r="1871" ht="13.5" hidden="1" spans="1:5">
      <c r="A1871" s="2" t="str">
        <f>"吴宇伦"</f>
        <v>吴宇伦</v>
      </c>
      <c r="B1871" s="2" t="str">
        <f>"B20230701426"</f>
        <v>B20230701426</v>
      </c>
      <c r="C1871" s="2" t="str">
        <f t="shared" si="402"/>
        <v>男</v>
      </c>
      <c r="D1871" s="2" t="str">
        <f t="shared" si="398"/>
        <v>10</v>
      </c>
      <c r="E1871" s="2" t="str">
        <f>"马栏山新媒体学院"</f>
        <v>马栏山新媒体学院</v>
      </c>
    </row>
    <row r="1872" ht="13.5" hidden="1" spans="1:5">
      <c r="A1872" s="2" t="str">
        <f>"曾贵"</f>
        <v>曾贵</v>
      </c>
      <c r="B1872" s="2" t="str">
        <f>"B20201101102"</f>
        <v>B20201101102</v>
      </c>
      <c r="C1872" s="2" t="str">
        <f t="shared" ref="C1872:C1879" si="403">"女"</f>
        <v>女</v>
      </c>
      <c r="D1872" s="2" t="str">
        <f t="shared" si="398"/>
        <v>10</v>
      </c>
      <c r="E1872" s="2" t="str">
        <f>"音乐学院"</f>
        <v>音乐学院</v>
      </c>
    </row>
    <row r="1873" ht="13.5" hidden="1" spans="1:5">
      <c r="A1873" s="2" t="str">
        <f>"姚明珠"</f>
        <v>姚明珠</v>
      </c>
      <c r="B1873" s="2" t="str">
        <f>"B20231401226"</f>
        <v>B20231401226</v>
      </c>
      <c r="C1873" s="2" t="str">
        <f t="shared" si="403"/>
        <v>女</v>
      </c>
      <c r="D1873" s="2" t="str">
        <f t="shared" si="398"/>
        <v>10</v>
      </c>
      <c r="E1873" s="2" t="str">
        <f>"马克思主义学院"</f>
        <v>马克思主义学院</v>
      </c>
    </row>
    <row r="1874" ht="13.5" hidden="1" spans="1:5">
      <c r="A1874" s="2" t="str">
        <f>"徐浩"</f>
        <v>徐浩</v>
      </c>
      <c r="B1874" s="2" t="str">
        <f>"B20230101207"</f>
        <v>B20230101207</v>
      </c>
      <c r="C1874" s="2" t="str">
        <f t="shared" si="402"/>
        <v>男</v>
      </c>
      <c r="D1874" s="2" t="str">
        <f t="shared" si="398"/>
        <v>10</v>
      </c>
      <c r="E1874" s="2" t="str">
        <f>"土木工程学院"</f>
        <v>土木工程学院</v>
      </c>
    </row>
    <row r="1875" ht="13.5" hidden="1" spans="1:5">
      <c r="A1875" s="2" t="str">
        <f>"邹柠勇"</f>
        <v>邹柠勇</v>
      </c>
      <c r="B1875" s="2" t="str">
        <f>"B20230104218"</f>
        <v>B20230104218</v>
      </c>
      <c r="C1875" s="2" t="str">
        <f t="shared" si="402"/>
        <v>男</v>
      </c>
      <c r="D1875" s="2" t="str">
        <f t="shared" si="398"/>
        <v>10</v>
      </c>
      <c r="E1875" s="2" t="str">
        <f>"土木工程学院"</f>
        <v>土木工程学院</v>
      </c>
    </row>
    <row r="1876" ht="13.5" hidden="1" spans="1:5">
      <c r="A1876" s="2" t="str">
        <f>"曾熠琳"</f>
        <v>曾熠琳</v>
      </c>
      <c r="B1876" s="2" t="str">
        <f>"B20230904235"</f>
        <v>B20230904235</v>
      </c>
      <c r="C1876" s="2" t="str">
        <f t="shared" si="403"/>
        <v>女</v>
      </c>
      <c r="D1876" s="2" t="str">
        <f t="shared" si="398"/>
        <v>10</v>
      </c>
      <c r="E1876" s="2" t="str">
        <f>"经济与管理学院"</f>
        <v>经济与管理学院</v>
      </c>
    </row>
    <row r="1877" ht="13.5" hidden="1" spans="1:5">
      <c r="A1877" s="2" t="str">
        <f>"徐亦心"</f>
        <v>徐亦心</v>
      </c>
      <c r="B1877" s="2" t="str">
        <f>"B20220601227"</f>
        <v>B20220601227</v>
      </c>
      <c r="C1877" s="2" t="str">
        <f t="shared" si="403"/>
        <v>女</v>
      </c>
      <c r="D1877" s="2" t="str">
        <f t="shared" si="398"/>
        <v>10</v>
      </c>
      <c r="E1877" s="2" t="str">
        <f>"法学院"</f>
        <v>法学院</v>
      </c>
    </row>
    <row r="1878" ht="13.5" hidden="1" spans="1:5">
      <c r="A1878" s="2" t="str">
        <f>"周平"</f>
        <v>周平</v>
      </c>
      <c r="B1878" s="2" t="str">
        <f>"B20220701221"</f>
        <v>B20220701221</v>
      </c>
      <c r="C1878" s="2" t="str">
        <f t="shared" si="403"/>
        <v>女</v>
      </c>
      <c r="D1878" s="2" t="str">
        <f t="shared" si="398"/>
        <v>10</v>
      </c>
      <c r="E1878" s="2" t="str">
        <f>"马栏山新媒体学院"</f>
        <v>马栏山新媒体学院</v>
      </c>
    </row>
    <row r="1879" ht="13.5" hidden="1" spans="1:5">
      <c r="A1879" s="2" t="str">
        <f>"周雨漩"</f>
        <v>周雨漩</v>
      </c>
      <c r="B1879" s="2" t="str">
        <f>"B20210902109"</f>
        <v>B20210902109</v>
      </c>
      <c r="C1879" s="2" t="str">
        <f t="shared" si="403"/>
        <v>女</v>
      </c>
      <c r="D1879" s="2" t="str">
        <f t="shared" si="398"/>
        <v>10</v>
      </c>
      <c r="E1879" s="2" t="str">
        <f>"经济与管理学院"</f>
        <v>经济与管理学院</v>
      </c>
    </row>
    <row r="1880" ht="13.5" hidden="1" spans="1:5">
      <c r="A1880" s="2" t="str">
        <f>"郑培炎"</f>
        <v>郑培炎</v>
      </c>
      <c r="B1880" s="2" t="str">
        <f>"B20230204126"</f>
        <v>B20230204126</v>
      </c>
      <c r="C1880" s="2" t="str">
        <f t="shared" ref="C1880:C1885" si="404">"男"</f>
        <v>男</v>
      </c>
      <c r="D1880" s="2" t="str">
        <f t="shared" si="398"/>
        <v>10</v>
      </c>
      <c r="E1880" s="2" t="str">
        <f>"机电工程学院"</f>
        <v>机电工程学院</v>
      </c>
    </row>
    <row r="1881" ht="13.5" hidden="1" spans="1:5">
      <c r="A1881" s="2" t="str">
        <f>"孙旭萌"</f>
        <v>孙旭萌</v>
      </c>
      <c r="B1881" s="2" t="str">
        <f>"B20230201418"</f>
        <v>B20230201418</v>
      </c>
      <c r="C1881" s="2" t="str">
        <f t="shared" si="404"/>
        <v>男</v>
      </c>
      <c r="D1881" s="2" t="str">
        <f t="shared" si="398"/>
        <v>10</v>
      </c>
      <c r="E1881" s="2" t="str">
        <f>"机电工程学院"</f>
        <v>机电工程学院</v>
      </c>
    </row>
    <row r="1882" ht="13.5" hidden="1" spans="1:5">
      <c r="A1882" s="2" t="str">
        <f>"张子维"</f>
        <v>张子维</v>
      </c>
      <c r="B1882" s="2" t="str">
        <f>"B20231302105"</f>
        <v>B20231302105</v>
      </c>
      <c r="C1882" s="2" t="str">
        <f t="shared" si="404"/>
        <v>男</v>
      </c>
      <c r="D1882" s="2" t="str">
        <f t="shared" si="398"/>
        <v>10</v>
      </c>
      <c r="E1882" s="2" t="str">
        <f>"材料与环境工程学院"</f>
        <v>材料与环境工程学院</v>
      </c>
    </row>
    <row r="1883" ht="13.5" hidden="1" spans="1:5">
      <c r="A1883" s="2" t="str">
        <f>"刘嘉俊"</f>
        <v>刘嘉俊</v>
      </c>
      <c r="B1883" s="2" t="str">
        <f>"B20210404119"</f>
        <v>B20210404119</v>
      </c>
      <c r="C1883" s="2" t="str">
        <f t="shared" si="404"/>
        <v>男</v>
      </c>
      <c r="D1883" s="2" t="str">
        <f t="shared" si="398"/>
        <v>10</v>
      </c>
      <c r="E1883" s="2" t="str">
        <f>"电子信息与电气工程学院"</f>
        <v>电子信息与电气工程学院</v>
      </c>
    </row>
    <row r="1884" ht="13.5" hidden="1" spans="1:5">
      <c r="A1884" s="2" t="str">
        <f>"刘翰岷"</f>
        <v>刘翰岷</v>
      </c>
      <c r="B1884" s="2" t="str">
        <f>"B20230903132"</f>
        <v>B20230903132</v>
      </c>
      <c r="C1884" s="2" t="str">
        <f t="shared" si="404"/>
        <v>男</v>
      </c>
      <c r="D1884" s="2" t="str">
        <f t="shared" si="398"/>
        <v>10</v>
      </c>
      <c r="E1884" s="2" t="str">
        <f>"经济与管理学院"</f>
        <v>经济与管理学院</v>
      </c>
    </row>
    <row r="1885" ht="13.5" hidden="1" spans="1:5">
      <c r="A1885" s="2" t="str">
        <f>"贾庆"</f>
        <v>贾庆</v>
      </c>
      <c r="B1885" s="2" t="str">
        <f>"B20220906215"</f>
        <v>B20220906215</v>
      </c>
      <c r="C1885" s="2" t="str">
        <f t="shared" si="404"/>
        <v>男</v>
      </c>
      <c r="D1885" s="2" t="str">
        <f t="shared" si="398"/>
        <v>10</v>
      </c>
      <c r="E1885" s="2" t="str">
        <f>"经济与管理学院"</f>
        <v>经济与管理学院</v>
      </c>
    </row>
    <row r="1886" ht="13.5" hidden="1" spans="1:5">
      <c r="A1886" s="2" t="str">
        <f>"高青霞"</f>
        <v>高青霞</v>
      </c>
      <c r="B1886" s="2" t="str">
        <f>"B20210601131"</f>
        <v>B20210601131</v>
      </c>
      <c r="C1886" s="2" t="str">
        <f t="shared" ref="C1886:C1889" si="405">"女"</f>
        <v>女</v>
      </c>
      <c r="D1886" s="2" t="str">
        <f t="shared" si="398"/>
        <v>10</v>
      </c>
      <c r="E1886" s="2" t="str">
        <f>"法学院"</f>
        <v>法学院</v>
      </c>
    </row>
    <row r="1887" ht="13.5" hidden="1" spans="1:5">
      <c r="A1887" s="2" t="str">
        <f>"陈晨"</f>
        <v>陈晨</v>
      </c>
      <c r="B1887" s="2" t="str">
        <f>"B20220504110"</f>
        <v>B20220504110</v>
      </c>
      <c r="C1887" s="2" t="str">
        <f>"男"</f>
        <v>男</v>
      </c>
      <c r="D1887" s="2" t="str">
        <f t="shared" si="398"/>
        <v>10</v>
      </c>
      <c r="E1887" s="2" t="str">
        <f>"生物与化学工程学院"</f>
        <v>生物与化学工程学院</v>
      </c>
    </row>
    <row r="1888" ht="13.5" hidden="1" spans="1:5">
      <c r="A1888" s="2" t="str">
        <f>"眭雨杰"</f>
        <v>眭雨杰</v>
      </c>
      <c r="B1888" s="2" t="str">
        <f>"B20210803219"</f>
        <v>B20210803219</v>
      </c>
      <c r="C1888" s="2" t="str">
        <f t="shared" si="405"/>
        <v>女</v>
      </c>
      <c r="D1888" s="2" t="str">
        <f t="shared" si="398"/>
        <v>10</v>
      </c>
      <c r="E1888" s="2" t="str">
        <f>"外国语学院"</f>
        <v>外国语学院</v>
      </c>
    </row>
    <row r="1889" ht="13.5" hidden="1" spans="1:5">
      <c r="A1889" s="2" t="str">
        <f>"彭梦媛"</f>
        <v>彭梦媛</v>
      </c>
      <c r="B1889" s="2" t="str">
        <f>"B20230201403"</f>
        <v>B20230201403</v>
      </c>
      <c r="C1889" s="2" t="str">
        <f t="shared" si="405"/>
        <v>女</v>
      </c>
      <c r="D1889" s="2" t="str">
        <f t="shared" si="398"/>
        <v>10</v>
      </c>
      <c r="E1889" s="2" t="str">
        <f>"机电工程学院"</f>
        <v>机电工程学院</v>
      </c>
    </row>
    <row r="1890" ht="13.5" hidden="1" spans="1:5">
      <c r="A1890" s="2" t="str">
        <f>"彭勃"</f>
        <v>彭勃</v>
      </c>
      <c r="B1890" s="2" t="str">
        <f>"B20230202405"</f>
        <v>B20230202405</v>
      </c>
      <c r="C1890" s="2" t="str">
        <f>"男"</f>
        <v>男</v>
      </c>
      <c r="D1890" s="2" t="str">
        <f t="shared" si="398"/>
        <v>10</v>
      </c>
      <c r="E1890" s="2" t="str">
        <f>"机电工程学院"</f>
        <v>机电工程学院</v>
      </c>
    </row>
    <row r="1891" ht="13.5" hidden="1" spans="1:5">
      <c r="A1891" s="2" t="str">
        <f>"李文妍"</f>
        <v>李文妍</v>
      </c>
      <c r="B1891" s="2" t="str">
        <f>"B20220102112"</f>
        <v>B20220102112</v>
      </c>
      <c r="C1891" s="2" t="str">
        <f>"女"</f>
        <v>女</v>
      </c>
      <c r="D1891" s="2" t="str">
        <f t="shared" si="398"/>
        <v>10</v>
      </c>
      <c r="E1891" s="2" t="str">
        <f>"土木工程学院"</f>
        <v>土木工程学院</v>
      </c>
    </row>
    <row r="1892" ht="13.5" hidden="1" spans="1:5">
      <c r="A1892" s="2" t="str">
        <f>"周昆霖"</f>
        <v>周昆霖</v>
      </c>
      <c r="B1892" s="2" t="str">
        <f>"B20210202431"</f>
        <v>B20210202431</v>
      </c>
      <c r="C1892" s="2" t="str">
        <f>"女"</f>
        <v>女</v>
      </c>
      <c r="D1892" s="2" t="str">
        <f t="shared" si="398"/>
        <v>10</v>
      </c>
      <c r="E1892" s="2" t="str">
        <f>"机电工程学院"</f>
        <v>机电工程学院</v>
      </c>
    </row>
    <row r="1893" ht="13.5" hidden="1" spans="1:5">
      <c r="A1893" s="2" t="str">
        <f>"常天泽"</f>
        <v>常天泽</v>
      </c>
      <c r="B1893" s="2" t="str">
        <f>"B20200503121"</f>
        <v>B20200503121</v>
      </c>
      <c r="C1893" s="2" t="str">
        <f>"男"</f>
        <v>男</v>
      </c>
      <c r="D1893" s="2" t="str">
        <f t="shared" si="398"/>
        <v>10</v>
      </c>
      <c r="E1893" s="2" t="str">
        <f>"生物与环境工程学院"</f>
        <v>生物与环境工程学院</v>
      </c>
    </row>
    <row r="1894" ht="13.5" hidden="1" spans="1:5">
      <c r="A1894" s="2" t="str">
        <f>"胡暄"</f>
        <v>胡暄</v>
      </c>
      <c r="B1894" s="2" t="str">
        <f>"B20200203115"</f>
        <v>B20200203115</v>
      </c>
      <c r="C1894" s="2" t="str">
        <f>"男"</f>
        <v>男</v>
      </c>
      <c r="D1894" s="2" t="str">
        <f t="shared" si="398"/>
        <v>10</v>
      </c>
      <c r="E1894" s="2" t="str">
        <f>"机电工程学院"</f>
        <v>机电工程学院</v>
      </c>
    </row>
    <row r="1895" ht="13.5" hidden="1" spans="1:5">
      <c r="A1895" s="2" t="str">
        <f>"游璟蓉"</f>
        <v>游璟蓉</v>
      </c>
      <c r="B1895" s="2" t="str">
        <f>"B20220103122"</f>
        <v>B20220103122</v>
      </c>
      <c r="C1895" s="2" t="str">
        <f>"女"</f>
        <v>女</v>
      </c>
      <c r="D1895" s="2" t="str">
        <f t="shared" si="398"/>
        <v>10</v>
      </c>
      <c r="E1895" s="2" t="str">
        <f>"土木工程学院"</f>
        <v>土木工程学院</v>
      </c>
    </row>
    <row r="1896" ht="13.5" hidden="1" spans="1:5">
      <c r="A1896" s="2" t="str">
        <f>"周庆华"</f>
        <v>周庆华</v>
      </c>
      <c r="B1896" s="2" t="str">
        <f>"B20210803208"</f>
        <v>B20210803208</v>
      </c>
      <c r="C1896" s="2" t="str">
        <f>"女"</f>
        <v>女</v>
      </c>
      <c r="D1896" s="2" t="str">
        <f t="shared" si="398"/>
        <v>10</v>
      </c>
      <c r="E1896" s="2" t="str">
        <f>"外国语学院"</f>
        <v>外国语学院</v>
      </c>
    </row>
    <row r="1897" ht="13.5" hidden="1" spans="1:5">
      <c r="A1897" s="2" t="str">
        <f>"鲁艺泽"</f>
        <v>鲁艺泽</v>
      </c>
      <c r="B1897" s="2" t="str">
        <f>"B20230705109"</f>
        <v>B20230705109</v>
      </c>
      <c r="C1897" s="2" t="str">
        <f>"女"</f>
        <v>女</v>
      </c>
      <c r="D1897" s="2" t="str">
        <f t="shared" si="398"/>
        <v>10</v>
      </c>
      <c r="E1897" s="2" t="str">
        <f>"马栏山新媒体学院"</f>
        <v>马栏山新媒体学院</v>
      </c>
    </row>
    <row r="1898" ht="13.5" hidden="1" spans="1:5">
      <c r="A1898" s="2" t="str">
        <f>"陈永奇"</f>
        <v>陈永奇</v>
      </c>
      <c r="B1898" s="2" t="str">
        <f>"B20211002312"</f>
        <v>B20211002312</v>
      </c>
      <c r="C1898" s="2" t="str">
        <f>"女"</f>
        <v>女</v>
      </c>
      <c r="D1898" s="2" t="str">
        <f t="shared" si="398"/>
        <v>10</v>
      </c>
      <c r="E1898" s="2" t="str">
        <f>"艺术设计学院"</f>
        <v>艺术设计学院</v>
      </c>
    </row>
    <row r="1899" ht="13.5" hidden="1" spans="1:5">
      <c r="A1899" s="2" t="str">
        <f>"林奕串"</f>
        <v>林奕串</v>
      </c>
      <c r="B1899" s="2" t="str">
        <f>"B20221004207"</f>
        <v>B20221004207</v>
      </c>
      <c r="C1899" s="2" t="str">
        <f>"女"</f>
        <v>女</v>
      </c>
      <c r="D1899" s="2" t="str">
        <f t="shared" si="398"/>
        <v>10</v>
      </c>
      <c r="E1899" s="2" t="str">
        <f>"艺术设计学院"</f>
        <v>艺术设计学院</v>
      </c>
    </row>
    <row r="1900" ht="13.5" hidden="1" spans="1:5">
      <c r="A1900" s="2" t="str">
        <f>"朱泽林"</f>
        <v>朱泽林</v>
      </c>
      <c r="B1900" s="2" t="str">
        <f>"B20200802203"</f>
        <v>B20200802203</v>
      </c>
      <c r="C1900" s="2" t="str">
        <f>"男"</f>
        <v>男</v>
      </c>
      <c r="D1900" s="2" t="str">
        <f t="shared" si="398"/>
        <v>10</v>
      </c>
      <c r="E1900" s="2" t="str">
        <f>"外国语学院"</f>
        <v>外国语学院</v>
      </c>
    </row>
    <row r="1901" ht="13.5" hidden="1" spans="1:5">
      <c r="A1901" s="2" t="str">
        <f>"田聪"</f>
        <v>田聪</v>
      </c>
      <c r="B1901" s="2" t="str">
        <f>"B20200101323"</f>
        <v>B20200101323</v>
      </c>
      <c r="C1901" s="2" t="str">
        <f>"男"</f>
        <v>男</v>
      </c>
      <c r="D1901" s="2" t="str">
        <f t="shared" si="398"/>
        <v>10</v>
      </c>
      <c r="E1901" s="2" t="str">
        <f>"土木工程学院"</f>
        <v>土木工程学院</v>
      </c>
    </row>
    <row r="1902" ht="13.5" hidden="1" spans="1:5">
      <c r="A1902" s="2" t="str">
        <f>"蔡子健"</f>
        <v>蔡子健</v>
      </c>
      <c r="B1902" s="2" t="str">
        <f>"B20231302231"</f>
        <v>B20231302231</v>
      </c>
      <c r="C1902" s="2" t="str">
        <f>"男"</f>
        <v>男</v>
      </c>
      <c r="D1902" s="2" t="str">
        <f t="shared" si="398"/>
        <v>10</v>
      </c>
      <c r="E1902" s="2" t="str">
        <f>"材料与环境工程学院"</f>
        <v>材料与环境工程学院</v>
      </c>
    </row>
    <row r="1903" ht="13.5" hidden="1" spans="1:5">
      <c r="A1903" s="2" t="str">
        <f>"徐沁"</f>
        <v>徐沁</v>
      </c>
      <c r="B1903" s="2" t="str">
        <f>"B20220101528"</f>
        <v>B20220101528</v>
      </c>
      <c r="C1903" s="2" t="str">
        <f t="shared" ref="C1903:C1907" si="406">"女"</f>
        <v>女</v>
      </c>
      <c r="D1903" s="2" t="str">
        <f t="shared" si="398"/>
        <v>10</v>
      </c>
      <c r="E1903" s="2" t="str">
        <f>"土木工程学院"</f>
        <v>土木工程学院</v>
      </c>
    </row>
    <row r="1904" ht="13.5" hidden="1" spans="1:5">
      <c r="A1904" s="2" t="str">
        <f>"干志鲲"</f>
        <v>干志鲲</v>
      </c>
      <c r="B1904" s="2" t="str">
        <f>"B20231001421"</f>
        <v>B20231001421</v>
      </c>
      <c r="C1904" s="2" t="str">
        <f t="shared" ref="C1904:C1910" si="407">"男"</f>
        <v>男</v>
      </c>
      <c r="D1904" s="2" t="str">
        <f t="shared" si="398"/>
        <v>10</v>
      </c>
      <c r="E1904" s="2" t="str">
        <f>"艺术设计学院"</f>
        <v>艺术设计学院</v>
      </c>
    </row>
    <row r="1905" ht="13.5" hidden="1" spans="1:5">
      <c r="A1905" s="2" t="str">
        <f>"祝佳丽"</f>
        <v>祝佳丽</v>
      </c>
      <c r="B1905" s="2" t="str">
        <f>"B20230905220"</f>
        <v>B20230905220</v>
      </c>
      <c r="C1905" s="2" t="str">
        <f t="shared" si="406"/>
        <v>女</v>
      </c>
      <c r="D1905" s="2" t="str">
        <f t="shared" si="398"/>
        <v>10</v>
      </c>
      <c r="E1905" s="2" t="str">
        <f>"经济与管理学院"</f>
        <v>经济与管理学院</v>
      </c>
    </row>
    <row r="1906" ht="13.5" hidden="1" spans="1:5">
      <c r="A1906" s="2" t="str">
        <f>"刘双辰"</f>
        <v>刘双辰</v>
      </c>
      <c r="B1906" s="2" t="str">
        <f>"B20230904320"</f>
        <v>B20230904320</v>
      </c>
      <c r="C1906" s="2" t="str">
        <f t="shared" si="406"/>
        <v>女</v>
      </c>
      <c r="D1906" s="2" t="str">
        <f t="shared" si="398"/>
        <v>10</v>
      </c>
      <c r="E1906" s="2" t="str">
        <f>"经济与管理学院"</f>
        <v>经济与管理学院</v>
      </c>
    </row>
    <row r="1907" ht="13.5" hidden="1" spans="1:5">
      <c r="A1907" s="2" t="str">
        <f>"杨速"</f>
        <v>杨速</v>
      </c>
      <c r="B1907" s="2" t="str">
        <f>"B20220501212"</f>
        <v>B20220501212</v>
      </c>
      <c r="C1907" s="2" t="str">
        <f t="shared" si="406"/>
        <v>女</v>
      </c>
      <c r="D1907" s="2" t="str">
        <f t="shared" si="398"/>
        <v>10</v>
      </c>
      <c r="E1907" s="2" t="str">
        <f>"生物与化学工程学院"</f>
        <v>生物与化学工程学院</v>
      </c>
    </row>
    <row r="1908" ht="13.5" hidden="1" spans="1:5">
      <c r="A1908" s="2" t="str">
        <f>"熊卫军"</f>
        <v>熊卫军</v>
      </c>
      <c r="B1908" s="2" t="str">
        <f>"B20230501109"</f>
        <v>B20230501109</v>
      </c>
      <c r="C1908" s="2" t="str">
        <f t="shared" si="407"/>
        <v>男</v>
      </c>
      <c r="D1908" s="2" t="str">
        <f t="shared" si="398"/>
        <v>10</v>
      </c>
      <c r="E1908" s="2" t="str">
        <f>"生物与化学工程学院"</f>
        <v>生物与化学工程学院</v>
      </c>
    </row>
    <row r="1909" ht="13.5" hidden="1" spans="1:5">
      <c r="A1909" s="2" t="str">
        <f>"邓凯"</f>
        <v>邓凯</v>
      </c>
      <c r="B1909" s="2" t="str">
        <f>"B20230405111"</f>
        <v>B20230405111</v>
      </c>
      <c r="C1909" s="2" t="str">
        <f t="shared" si="407"/>
        <v>男</v>
      </c>
      <c r="D1909" s="2" t="str">
        <f t="shared" si="398"/>
        <v>10</v>
      </c>
      <c r="E1909" s="2" t="str">
        <f>"电子信息与电气工程学院"</f>
        <v>电子信息与电气工程学院</v>
      </c>
    </row>
    <row r="1910" ht="13.5" hidden="1" spans="1:5">
      <c r="A1910" s="2" t="str">
        <f>"张心骑"</f>
        <v>张心骑</v>
      </c>
      <c r="B1910" s="2" t="str">
        <f>"B20210201210"</f>
        <v>B20210201210</v>
      </c>
      <c r="C1910" s="2" t="str">
        <f t="shared" si="407"/>
        <v>男</v>
      </c>
      <c r="D1910" s="2" t="str">
        <f t="shared" si="398"/>
        <v>10</v>
      </c>
      <c r="E1910" s="2" t="str">
        <f>"机电工程学院"</f>
        <v>机电工程学院</v>
      </c>
    </row>
    <row r="1911" ht="13.5" hidden="1" spans="1:5">
      <c r="A1911" s="2" t="str">
        <f>"雷雅茜"</f>
        <v>雷雅茜</v>
      </c>
      <c r="B1911" s="2" t="str">
        <f>"B20230701409"</f>
        <v>B20230701409</v>
      </c>
      <c r="C1911" s="2" t="str">
        <f>"女"</f>
        <v>女</v>
      </c>
      <c r="D1911" s="2" t="str">
        <f t="shared" si="398"/>
        <v>10</v>
      </c>
      <c r="E1911" s="2" t="str">
        <f>"马栏山新媒体学院"</f>
        <v>马栏山新媒体学院</v>
      </c>
    </row>
    <row r="1912" ht="13.5" hidden="1" spans="1:5">
      <c r="A1912" s="2" t="str">
        <f>"陈湘鄂"</f>
        <v>陈湘鄂</v>
      </c>
      <c r="B1912" s="2" t="str">
        <f>"B20200504125"</f>
        <v>B20200504125</v>
      </c>
      <c r="C1912" s="2" t="str">
        <f>"男"</f>
        <v>男</v>
      </c>
      <c r="D1912" s="2" t="str">
        <f t="shared" si="398"/>
        <v>10</v>
      </c>
      <c r="E1912" s="2" t="str">
        <f>"生物与环境工程学院"</f>
        <v>生物与环境工程学院</v>
      </c>
    </row>
    <row r="1913" ht="13.5" hidden="1" spans="1:5">
      <c r="A1913" s="2" t="str">
        <f>"管想妹"</f>
        <v>管想妹</v>
      </c>
      <c r="B1913" s="2" t="str">
        <f>"B20230903221"</f>
        <v>B20230903221</v>
      </c>
      <c r="C1913" s="2" t="str">
        <f>"女"</f>
        <v>女</v>
      </c>
      <c r="D1913" s="2" t="str">
        <f t="shared" si="398"/>
        <v>10</v>
      </c>
      <c r="E1913" s="2" t="str">
        <f>"经济与管理学院"</f>
        <v>经济与管理学院</v>
      </c>
    </row>
    <row r="1914" ht="13.5" hidden="1" spans="1:5">
      <c r="A1914" s="2" t="str">
        <f>"汤安"</f>
        <v>汤安</v>
      </c>
      <c r="B1914" s="2" t="str">
        <f>"B20210801107"</f>
        <v>B20210801107</v>
      </c>
      <c r="C1914" s="2" t="str">
        <f>"女"</f>
        <v>女</v>
      </c>
      <c r="D1914" s="2" t="str">
        <f t="shared" si="398"/>
        <v>10</v>
      </c>
      <c r="E1914" s="2" t="str">
        <f>"外国语学院"</f>
        <v>外国语学院</v>
      </c>
    </row>
    <row r="1915" ht="13.5" hidden="1" spans="1:5">
      <c r="A1915" s="2" t="str">
        <f>"欧涵"</f>
        <v>欧涵</v>
      </c>
      <c r="B1915" s="2" t="str">
        <f>"B20200902407"</f>
        <v>B20200902407</v>
      </c>
      <c r="C1915" s="2" t="str">
        <f>"女"</f>
        <v>女</v>
      </c>
      <c r="D1915" s="2" t="str">
        <f t="shared" si="398"/>
        <v>10</v>
      </c>
      <c r="E1915" s="2" t="str">
        <f>"经济与管理学院"</f>
        <v>经济与管理学院</v>
      </c>
    </row>
    <row r="1916" ht="13.5" hidden="1" spans="1:5">
      <c r="A1916" s="2" t="str">
        <f>"刘松"</f>
        <v>刘松</v>
      </c>
      <c r="B1916" s="2" t="str">
        <f>"B20231301203"</f>
        <v>B20231301203</v>
      </c>
      <c r="C1916" s="2" t="str">
        <f t="shared" ref="C1916:C1925" si="408">"男"</f>
        <v>男</v>
      </c>
      <c r="D1916" s="2" t="str">
        <f t="shared" ref="D1916:D1922" si="409">"10"</f>
        <v>10</v>
      </c>
      <c r="E1916" s="2" t="str">
        <f>"材料与环境工程学院"</f>
        <v>材料与环境工程学院</v>
      </c>
    </row>
    <row r="1917" ht="13.5" hidden="1" spans="1:5">
      <c r="A1917" s="2" t="str">
        <f>"李姣姣"</f>
        <v>李姣姣</v>
      </c>
      <c r="B1917" s="2" t="str">
        <f>"B20230904301"</f>
        <v>B20230904301</v>
      </c>
      <c r="C1917" s="2" t="str">
        <f t="shared" ref="C1917:C1920" si="410">"女"</f>
        <v>女</v>
      </c>
      <c r="D1917" s="2" t="str">
        <f t="shared" si="409"/>
        <v>10</v>
      </c>
      <c r="E1917" s="2" t="str">
        <f>"经济与管理学院"</f>
        <v>经济与管理学院</v>
      </c>
    </row>
    <row r="1918" ht="13.5" hidden="1" spans="1:5">
      <c r="A1918" s="2" t="str">
        <f>"刘金明"</f>
        <v>刘金明</v>
      </c>
      <c r="B1918" s="2" t="str">
        <f>"B20230504226"</f>
        <v>B20230504226</v>
      </c>
      <c r="C1918" s="2" t="str">
        <f t="shared" si="408"/>
        <v>男</v>
      </c>
      <c r="D1918" s="2" t="str">
        <f t="shared" si="409"/>
        <v>10</v>
      </c>
      <c r="E1918" s="2" t="str">
        <f>"生物与化学工程学院"</f>
        <v>生物与化学工程学院</v>
      </c>
    </row>
    <row r="1919" ht="13.5" hidden="1" spans="1:5">
      <c r="A1919" s="2" t="str">
        <f>"杨谢辉"</f>
        <v>杨谢辉</v>
      </c>
      <c r="B1919" s="2" t="str">
        <f>"B20210902308"</f>
        <v>B20210902308</v>
      </c>
      <c r="C1919" s="2" t="str">
        <f t="shared" si="410"/>
        <v>女</v>
      </c>
      <c r="D1919" s="2" t="str">
        <f t="shared" si="409"/>
        <v>10</v>
      </c>
      <c r="E1919" s="2" t="str">
        <f>"经济与管理学院"</f>
        <v>经济与管理学院</v>
      </c>
    </row>
    <row r="1920" ht="13.5" hidden="1" spans="1:5">
      <c r="A1920" s="2" t="str">
        <f>"黄承逸"</f>
        <v>黄承逸</v>
      </c>
      <c r="B1920" s="2" t="str">
        <f>"B20231101127"</f>
        <v>B20231101127</v>
      </c>
      <c r="C1920" s="2" t="str">
        <f t="shared" si="410"/>
        <v>女</v>
      </c>
      <c r="D1920" s="2" t="str">
        <f t="shared" si="409"/>
        <v>10</v>
      </c>
      <c r="E1920" s="2" t="str">
        <f>"音乐学院"</f>
        <v>音乐学院</v>
      </c>
    </row>
    <row r="1921" ht="13.5" hidden="1" spans="1:5">
      <c r="A1921" s="2" t="str">
        <f>"彭浩斌"</f>
        <v>彭浩斌</v>
      </c>
      <c r="B1921" s="2" t="str">
        <f>"B20220403216"</f>
        <v>B20220403216</v>
      </c>
      <c r="C1921" s="2" t="str">
        <f t="shared" si="408"/>
        <v>男</v>
      </c>
      <c r="D1921" s="2" t="str">
        <f t="shared" si="409"/>
        <v>10</v>
      </c>
      <c r="E1921" s="2" t="str">
        <f>"电子信息与电气工程学院"</f>
        <v>电子信息与电气工程学院</v>
      </c>
    </row>
    <row r="1922" ht="13.5" hidden="1" spans="1:5">
      <c r="A1922" s="2" t="str">
        <f>"张磊"</f>
        <v>张磊</v>
      </c>
      <c r="B1922" s="2" t="str">
        <f>"B20200906131"</f>
        <v>B20200906131</v>
      </c>
      <c r="C1922" s="2" t="str">
        <f t="shared" si="408"/>
        <v>男</v>
      </c>
      <c r="D1922" s="2" t="str">
        <f t="shared" si="409"/>
        <v>10</v>
      </c>
      <c r="E1922" s="2" t="str">
        <f>"经济与管理学院"</f>
        <v>经济与管理学院</v>
      </c>
    </row>
    <row r="1923" ht="13.5" hidden="1" spans="1:5">
      <c r="A1923" s="2" t="str">
        <f>"夏润川"</f>
        <v>夏润川</v>
      </c>
      <c r="B1923" s="2" t="str">
        <f>"B20210504210"</f>
        <v>B20210504210</v>
      </c>
      <c r="C1923" s="2" t="str">
        <f t="shared" si="408"/>
        <v>男</v>
      </c>
      <c r="D1923" s="2" t="str">
        <f t="shared" ref="D1923:D1956" si="411">"10"</f>
        <v>10</v>
      </c>
      <c r="E1923" s="2" t="str">
        <f>"生物与化学工程学院"</f>
        <v>生物与化学工程学院</v>
      </c>
    </row>
    <row r="1924" ht="13.5" hidden="1" spans="1:5">
      <c r="A1924" s="2" t="str">
        <f>"姚远"</f>
        <v>姚远</v>
      </c>
      <c r="B1924" s="2" t="str">
        <f>"B20230205226"</f>
        <v>B20230205226</v>
      </c>
      <c r="C1924" s="2" t="str">
        <f t="shared" si="408"/>
        <v>男</v>
      </c>
      <c r="D1924" s="2" t="str">
        <f t="shared" si="411"/>
        <v>10</v>
      </c>
      <c r="E1924" s="2" t="str">
        <f>"机电工程学院"</f>
        <v>机电工程学院</v>
      </c>
    </row>
    <row r="1925" ht="13.5" hidden="1" spans="1:5">
      <c r="A1925" s="2" t="str">
        <f>"杨志鹏"</f>
        <v>杨志鹏</v>
      </c>
      <c r="B1925" s="2" t="str">
        <f>"B20230201123"</f>
        <v>B20230201123</v>
      </c>
      <c r="C1925" s="2" t="str">
        <f t="shared" si="408"/>
        <v>男</v>
      </c>
      <c r="D1925" s="2" t="str">
        <f t="shared" si="411"/>
        <v>10</v>
      </c>
      <c r="E1925" s="2" t="str">
        <f>"机电工程学院"</f>
        <v>机电工程学院</v>
      </c>
    </row>
    <row r="1926" ht="13.5" hidden="1" spans="1:5">
      <c r="A1926" s="2" t="str">
        <f>"刘凡"</f>
        <v>刘凡</v>
      </c>
      <c r="B1926" s="2" t="str">
        <f>"B20210905140"</f>
        <v>B20210905140</v>
      </c>
      <c r="C1926" s="2" t="str">
        <f t="shared" ref="C1926:C1929" si="412">"女"</f>
        <v>女</v>
      </c>
      <c r="D1926" s="2" t="str">
        <f t="shared" si="411"/>
        <v>10</v>
      </c>
      <c r="E1926" s="2" t="str">
        <f>"经济与管理学院"</f>
        <v>经济与管理学院</v>
      </c>
    </row>
    <row r="1927" ht="13.5" hidden="1" spans="1:5">
      <c r="A1927" s="2" t="str">
        <f>"陈果"</f>
        <v>陈果</v>
      </c>
      <c r="B1927" s="2" t="str">
        <f>"B20220801528"</f>
        <v>B20220801528</v>
      </c>
      <c r="C1927" s="2" t="str">
        <f t="shared" si="412"/>
        <v>女</v>
      </c>
      <c r="D1927" s="2" t="str">
        <f t="shared" si="411"/>
        <v>10</v>
      </c>
      <c r="E1927" s="2" t="str">
        <f>"外国语学院"</f>
        <v>外国语学院</v>
      </c>
    </row>
    <row r="1928" ht="13.5" hidden="1" spans="1:5">
      <c r="A1928" s="2" t="str">
        <f>"刘晓春"</f>
        <v>刘晓春</v>
      </c>
      <c r="B1928" s="2" t="str">
        <f>"B20210502127"</f>
        <v>B20210502127</v>
      </c>
      <c r="C1928" s="2" t="str">
        <f t="shared" si="412"/>
        <v>女</v>
      </c>
      <c r="D1928" s="2" t="str">
        <f t="shared" si="411"/>
        <v>10</v>
      </c>
      <c r="E1928" s="2" t="str">
        <f>"生物与化学工程学院"</f>
        <v>生物与化学工程学院</v>
      </c>
    </row>
    <row r="1929" ht="13.5" hidden="1" spans="1:5">
      <c r="A1929" s="2" t="str">
        <f>"何镇凤"</f>
        <v>何镇凤</v>
      </c>
      <c r="B1929" s="2" t="str">
        <f>"B20220401333"</f>
        <v>B20220401333</v>
      </c>
      <c r="C1929" s="2" t="str">
        <f t="shared" si="412"/>
        <v>女</v>
      </c>
      <c r="D1929" s="2" t="str">
        <f t="shared" si="411"/>
        <v>10</v>
      </c>
      <c r="E1929" s="2" t="str">
        <f>"电子信息与电气工程学院"</f>
        <v>电子信息与电气工程学院</v>
      </c>
    </row>
    <row r="1930" ht="13.5" hidden="1" spans="1:5">
      <c r="A1930" s="2" t="str">
        <f>"余彭峰"</f>
        <v>余彭峰</v>
      </c>
      <c r="B1930" s="2" t="str">
        <f>"B20210201217"</f>
        <v>B20210201217</v>
      </c>
      <c r="C1930" s="2" t="str">
        <f>"男"</f>
        <v>男</v>
      </c>
      <c r="D1930" s="2" t="str">
        <f t="shared" si="411"/>
        <v>10</v>
      </c>
      <c r="E1930" s="2" t="str">
        <f>"机电工程学院"</f>
        <v>机电工程学院</v>
      </c>
    </row>
    <row r="1931" ht="13.5" hidden="1" spans="1:5">
      <c r="A1931" s="2" t="str">
        <f>"戴金凌"</f>
        <v>戴金凌</v>
      </c>
      <c r="B1931" s="2" t="str">
        <f>"B20210903245"</f>
        <v>B20210903245</v>
      </c>
      <c r="C1931" s="2" t="str">
        <f>"男"</f>
        <v>男</v>
      </c>
      <c r="D1931" s="2" t="str">
        <f t="shared" si="411"/>
        <v>10</v>
      </c>
      <c r="E1931" s="2" t="str">
        <f>"经济与管理学院"</f>
        <v>经济与管理学院</v>
      </c>
    </row>
    <row r="1932" ht="13.5" hidden="1" spans="1:5">
      <c r="A1932" s="2" t="str">
        <f>"肖琴"</f>
        <v>肖琴</v>
      </c>
      <c r="B1932" s="2" t="str">
        <f>"B20220702331"</f>
        <v>B20220702331</v>
      </c>
      <c r="C1932" s="2" t="str">
        <f t="shared" ref="C1932:C1936" si="413">"女"</f>
        <v>女</v>
      </c>
      <c r="D1932" s="2" t="str">
        <f t="shared" si="411"/>
        <v>10</v>
      </c>
      <c r="E1932" s="2" t="str">
        <f>"马栏山新媒体学院"</f>
        <v>马栏山新媒体学院</v>
      </c>
    </row>
    <row r="1933" ht="13.5" hidden="1" spans="1:5">
      <c r="A1933" s="2" t="str">
        <f>"赵嘉媛"</f>
        <v>赵嘉媛</v>
      </c>
      <c r="B1933" s="2" t="str">
        <f>"B20230801230"</f>
        <v>B20230801230</v>
      </c>
      <c r="C1933" s="2" t="str">
        <f t="shared" si="413"/>
        <v>女</v>
      </c>
      <c r="D1933" s="2" t="str">
        <f t="shared" si="411"/>
        <v>10</v>
      </c>
      <c r="E1933" s="2" t="str">
        <f>"外国语学院"</f>
        <v>外国语学院</v>
      </c>
    </row>
    <row r="1934" ht="13.5" hidden="1" spans="1:5">
      <c r="A1934" s="2" t="str">
        <f>"徐炜婷"</f>
        <v>徐炜婷</v>
      </c>
      <c r="B1934" s="2" t="str">
        <f>"B20230901110"</f>
        <v>B20230901110</v>
      </c>
      <c r="C1934" s="2" t="str">
        <f t="shared" si="413"/>
        <v>女</v>
      </c>
      <c r="D1934" s="2" t="str">
        <f t="shared" si="411"/>
        <v>10</v>
      </c>
      <c r="E1934" s="2" t="str">
        <f>"经济与管理学院"</f>
        <v>经济与管理学院</v>
      </c>
    </row>
    <row r="1935" ht="13.5" hidden="1" spans="1:5">
      <c r="A1935" s="2" t="str">
        <f>"张欣睿"</f>
        <v>张欣睿</v>
      </c>
      <c r="B1935" s="2" t="str">
        <f>"B20220704314"</f>
        <v>B20220704314</v>
      </c>
      <c r="C1935" s="2" t="str">
        <f t="shared" si="413"/>
        <v>女</v>
      </c>
      <c r="D1935" s="2" t="str">
        <f t="shared" si="411"/>
        <v>10</v>
      </c>
      <c r="E1935" s="2" t="str">
        <f>"马栏山新媒体学院"</f>
        <v>马栏山新媒体学院</v>
      </c>
    </row>
    <row r="1936" ht="13.5" hidden="1" spans="1:5">
      <c r="A1936" s="2" t="str">
        <f>"谢雪慧"</f>
        <v>谢雪慧</v>
      </c>
      <c r="B1936" s="2" t="str">
        <f>"B20220906236"</f>
        <v>B20220906236</v>
      </c>
      <c r="C1936" s="2" t="str">
        <f t="shared" si="413"/>
        <v>女</v>
      </c>
      <c r="D1936" s="2" t="str">
        <f t="shared" si="411"/>
        <v>10</v>
      </c>
      <c r="E1936" s="2" t="str">
        <f>"经济与管理学院"</f>
        <v>经济与管理学院</v>
      </c>
    </row>
    <row r="1937" ht="13.5" hidden="1" spans="1:5">
      <c r="A1937" s="2" t="str">
        <f>"罗茂银"</f>
        <v>罗茂银</v>
      </c>
      <c r="B1937" s="2" t="str">
        <f>"B20200102230"</f>
        <v>B20200102230</v>
      </c>
      <c r="C1937" s="2" t="str">
        <f>"男"</f>
        <v>男</v>
      </c>
      <c r="D1937" s="2" t="str">
        <f t="shared" si="411"/>
        <v>10</v>
      </c>
      <c r="E1937" s="2" t="str">
        <f>"土木工程学院"</f>
        <v>土木工程学院</v>
      </c>
    </row>
    <row r="1938" ht="13.5" hidden="1" spans="1:5">
      <c r="A1938" s="2" t="str">
        <f>"向杨"</f>
        <v>向杨</v>
      </c>
      <c r="B1938" s="2" t="str">
        <f>"B20200203216"</f>
        <v>B20200203216</v>
      </c>
      <c r="C1938" s="2" t="str">
        <f>"男"</f>
        <v>男</v>
      </c>
      <c r="D1938" s="2" t="str">
        <f t="shared" si="411"/>
        <v>10</v>
      </c>
      <c r="E1938" s="2" t="str">
        <f>"机电工程学院"</f>
        <v>机电工程学院</v>
      </c>
    </row>
    <row r="1939" ht="13.5" hidden="1" spans="1:5">
      <c r="A1939" s="2" t="str">
        <f>"陈泽茹"</f>
        <v>陈泽茹</v>
      </c>
      <c r="B1939" s="2" t="str">
        <f>"B20230205115"</f>
        <v>B20230205115</v>
      </c>
      <c r="C1939" s="2" t="str">
        <f>"男"</f>
        <v>男</v>
      </c>
      <c r="D1939" s="2" t="str">
        <f t="shared" si="411"/>
        <v>10</v>
      </c>
      <c r="E1939" s="2" t="str">
        <f>"机电工程学院"</f>
        <v>机电工程学院</v>
      </c>
    </row>
    <row r="1940" ht="13.5" hidden="1" spans="1:5">
      <c r="A1940" s="2" t="str">
        <f>"胡伟峰"</f>
        <v>胡伟峰</v>
      </c>
      <c r="B1940" s="2" t="str">
        <f>"B20230905226"</f>
        <v>B20230905226</v>
      </c>
      <c r="C1940" s="2" t="str">
        <f>"男"</f>
        <v>男</v>
      </c>
      <c r="D1940" s="2" t="str">
        <f t="shared" si="411"/>
        <v>10</v>
      </c>
      <c r="E1940" s="2" t="str">
        <f>"经济与管理学院"</f>
        <v>经济与管理学院</v>
      </c>
    </row>
    <row r="1941" ht="13.5" hidden="1" spans="1:5">
      <c r="A1941" s="2" t="str">
        <f>"刘涵"</f>
        <v>刘涵</v>
      </c>
      <c r="B1941" s="2" t="str">
        <f>"B20201001318"</f>
        <v>B20201001318</v>
      </c>
      <c r="C1941" s="2" t="str">
        <f>"女"</f>
        <v>女</v>
      </c>
      <c r="D1941" s="2" t="str">
        <f t="shared" si="411"/>
        <v>10</v>
      </c>
      <c r="E1941" s="2" t="str">
        <f>"艺术设计学院"</f>
        <v>艺术设计学院</v>
      </c>
    </row>
    <row r="1942" ht="13.5" hidden="1" spans="1:5">
      <c r="A1942" s="2" t="str">
        <f>"冯可欣"</f>
        <v>冯可欣</v>
      </c>
      <c r="B1942" s="2" t="str">
        <f>"B20220703219"</f>
        <v>B20220703219</v>
      </c>
      <c r="C1942" s="2" t="str">
        <f>"女"</f>
        <v>女</v>
      </c>
      <c r="D1942" s="2" t="str">
        <f t="shared" si="411"/>
        <v>10</v>
      </c>
      <c r="E1942" s="2" t="str">
        <f>"马栏山新媒体学院"</f>
        <v>马栏山新媒体学院</v>
      </c>
    </row>
    <row r="1943" ht="13.5" hidden="1" spans="1:5">
      <c r="A1943" s="2" t="str">
        <f>"彭雅"</f>
        <v>彭雅</v>
      </c>
      <c r="B1943" s="2" t="str">
        <f>"B20230504327"</f>
        <v>B20230504327</v>
      </c>
      <c r="C1943" s="2" t="str">
        <f>"女"</f>
        <v>女</v>
      </c>
      <c r="D1943" s="2" t="str">
        <f t="shared" si="411"/>
        <v>10</v>
      </c>
      <c r="E1943" s="2" t="str">
        <f>"生物与化学工程学院"</f>
        <v>生物与化学工程学院</v>
      </c>
    </row>
    <row r="1944" ht="13.5" hidden="1" spans="1:5">
      <c r="A1944" s="2" t="str">
        <f>"张文"</f>
        <v>张文</v>
      </c>
      <c r="B1944" s="2" t="str">
        <f>"B20200906135"</f>
        <v>B20200906135</v>
      </c>
      <c r="C1944" s="2" t="str">
        <f>"男"</f>
        <v>男</v>
      </c>
      <c r="D1944" s="2" t="str">
        <f t="shared" si="411"/>
        <v>10</v>
      </c>
      <c r="E1944" s="2" t="str">
        <f>"经济与管理学院"</f>
        <v>经济与管理学院</v>
      </c>
    </row>
    <row r="1945" ht="13.5" hidden="1" spans="1:5">
      <c r="A1945" s="2" t="str">
        <f>"侯亭亭"</f>
        <v>侯亭亭</v>
      </c>
      <c r="B1945" s="2" t="str">
        <f>"B20220904101"</f>
        <v>B20220904101</v>
      </c>
      <c r="C1945" s="2" t="str">
        <f t="shared" ref="C1945:C1949" si="414">"女"</f>
        <v>女</v>
      </c>
      <c r="D1945" s="2" t="str">
        <f t="shared" si="411"/>
        <v>10</v>
      </c>
      <c r="E1945" s="2" t="str">
        <f>"经济与管理学院"</f>
        <v>经济与管理学院</v>
      </c>
    </row>
    <row r="1946" ht="13.5" hidden="1" spans="1:5">
      <c r="A1946" s="2" t="str">
        <f>"祁赐武"</f>
        <v>祁赐武</v>
      </c>
      <c r="B1946" s="2" t="str">
        <f>"B20210201330"</f>
        <v>B20210201330</v>
      </c>
      <c r="C1946" s="2" t="str">
        <f>"男"</f>
        <v>男</v>
      </c>
      <c r="D1946" s="2" t="str">
        <f t="shared" si="411"/>
        <v>10</v>
      </c>
      <c r="E1946" s="2" t="str">
        <f>"机电工程学院"</f>
        <v>机电工程学院</v>
      </c>
    </row>
    <row r="1947" ht="13.5" hidden="1" spans="1:5">
      <c r="A1947" s="2" t="str">
        <f>"肖鹏"</f>
        <v>肖鹏</v>
      </c>
      <c r="B1947" s="2" t="str">
        <f>"B20200503110"</f>
        <v>B20200503110</v>
      </c>
      <c r="C1947" s="2" t="str">
        <f>"男"</f>
        <v>男</v>
      </c>
      <c r="D1947" s="2" t="str">
        <f t="shared" si="411"/>
        <v>10</v>
      </c>
      <c r="E1947" s="2" t="str">
        <f>"生物与环境工程学院"</f>
        <v>生物与环境工程学院</v>
      </c>
    </row>
    <row r="1948" ht="13.5" hidden="1" spans="1:5">
      <c r="A1948" s="2" t="str">
        <f>"张月婷"</f>
        <v>张月婷</v>
      </c>
      <c r="B1948" s="2" t="str">
        <f>"B20230601403"</f>
        <v>B20230601403</v>
      </c>
      <c r="C1948" s="2" t="str">
        <f t="shared" si="414"/>
        <v>女</v>
      </c>
      <c r="D1948" s="2" t="str">
        <f t="shared" si="411"/>
        <v>10</v>
      </c>
      <c r="E1948" s="2" t="str">
        <f>"法学院"</f>
        <v>法学院</v>
      </c>
    </row>
    <row r="1949" ht="13.5" hidden="1" spans="1:5">
      <c r="A1949" s="2" t="str">
        <f>"张会城"</f>
        <v>张会城</v>
      </c>
      <c r="B1949" s="2" t="str">
        <f>"B20221003115"</f>
        <v>B20221003115</v>
      </c>
      <c r="C1949" s="2" t="str">
        <f t="shared" si="414"/>
        <v>女</v>
      </c>
      <c r="D1949" s="2" t="str">
        <f t="shared" si="411"/>
        <v>10</v>
      </c>
      <c r="E1949" s="2" t="str">
        <f>"艺术设计学院"</f>
        <v>艺术设计学院</v>
      </c>
    </row>
    <row r="1950" ht="13.5" hidden="1" spans="1:5">
      <c r="A1950" s="2" t="str">
        <f>"康强"</f>
        <v>康强</v>
      </c>
      <c r="B1950" s="2" t="str">
        <f>"B20210905137"</f>
        <v>B20210905137</v>
      </c>
      <c r="C1950" s="2" t="str">
        <f t="shared" ref="C1950:C1952" si="415">"男"</f>
        <v>男</v>
      </c>
      <c r="D1950" s="2" t="str">
        <f t="shared" si="411"/>
        <v>10</v>
      </c>
      <c r="E1950" s="2" t="str">
        <f t="shared" ref="E1950:E1956" si="416">"经济与管理学院"</f>
        <v>经济与管理学院</v>
      </c>
    </row>
    <row r="1951" ht="13.5" hidden="1" spans="1:5">
      <c r="A1951" s="2" t="str">
        <f>"张哲"</f>
        <v>张哲</v>
      </c>
      <c r="B1951" s="2" t="str">
        <f>"B20230501111"</f>
        <v>B20230501111</v>
      </c>
      <c r="C1951" s="2" t="str">
        <f t="shared" si="415"/>
        <v>男</v>
      </c>
      <c r="D1951" s="2" t="str">
        <f t="shared" si="411"/>
        <v>10</v>
      </c>
      <c r="E1951" s="2" t="str">
        <f>"生物与化学工程学院"</f>
        <v>生物与化学工程学院</v>
      </c>
    </row>
    <row r="1952" ht="13.5" hidden="1" spans="1:5">
      <c r="A1952" s="2" t="str">
        <f>"胡斌"</f>
        <v>胡斌</v>
      </c>
      <c r="B1952" s="2" t="str">
        <f>"B20200201134"</f>
        <v>B20200201134</v>
      </c>
      <c r="C1952" s="2" t="str">
        <f t="shared" si="415"/>
        <v>男</v>
      </c>
      <c r="D1952" s="2" t="str">
        <f t="shared" si="411"/>
        <v>10</v>
      </c>
      <c r="E1952" s="2" t="str">
        <f>"机电工程学院"</f>
        <v>机电工程学院</v>
      </c>
    </row>
    <row r="1953" ht="13.5" hidden="1" spans="1:5">
      <c r="A1953" s="2" t="str">
        <f>"陈芯怡"</f>
        <v>陈芯怡</v>
      </c>
      <c r="B1953" s="2" t="str">
        <f>"B20210202330"</f>
        <v>B20210202330</v>
      </c>
      <c r="C1953" s="2" t="str">
        <f>"女"</f>
        <v>女</v>
      </c>
      <c r="D1953" s="2" t="str">
        <f t="shared" si="411"/>
        <v>10</v>
      </c>
      <c r="E1953" s="2" t="str">
        <f t="shared" si="416"/>
        <v>经济与管理学院</v>
      </c>
    </row>
    <row r="1954" ht="13.5" hidden="1" spans="1:5">
      <c r="A1954" s="2" t="str">
        <f>"肖瑶"</f>
        <v>肖瑶</v>
      </c>
      <c r="B1954" s="2" t="str">
        <f>"B20220903205"</f>
        <v>B20220903205</v>
      </c>
      <c r="C1954" s="2" t="str">
        <f>"女"</f>
        <v>女</v>
      </c>
      <c r="D1954" s="2" t="str">
        <f t="shared" si="411"/>
        <v>10</v>
      </c>
      <c r="E1954" s="2" t="str">
        <f t="shared" si="416"/>
        <v>经济与管理学院</v>
      </c>
    </row>
    <row r="1955" ht="13.5" hidden="1" spans="1:5">
      <c r="A1955" s="2" t="str">
        <f>"邱婉"</f>
        <v>邱婉</v>
      </c>
      <c r="B1955" s="2" t="str">
        <f>"B20220905230"</f>
        <v>B20220905230</v>
      </c>
      <c r="C1955" s="2" t="str">
        <f>"女"</f>
        <v>女</v>
      </c>
      <c r="D1955" s="2" t="str">
        <f t="shared" si="411"/>
        <v>10</v>
      </c>
      <c r="E1955" s="2" t="str">
        <f t="shared" si="416"/>
        <v>经济与管理学院</v>
      </c>
    </row>
    <row r="1956" ht="13.5" hidden="1" spans="1:5">
      <c r="A1956" s="2" t="str">
        <f>"杨阳"</f>
        <v>杨阳</v>
      </c>
      <c r="B1956" s="2" t="str">
        <f>"B20210905106"</f>
        <v>B20210905106</v>
      </c>
      <c r="C1956" s="2" t="str">
        <f>"女"</f>
        <v>女</v>
      </c>
      <c r="D1956" s="2" t="str">
        <f t="shared" si="411"/>
        <v>10</v>
      </c>
      <c r="E1956" s="2" t="str">
        <f t="shared" si="416"/>
        <v>经济与管理学院</v>
      </c>
    </row>
    <row r="1957" ht="13.5" hidden="1" spans="1:5">
      <c r="A1957" s="2" t="str">
        <f>"颜学敏"</f>
        <v>颜学敏</v>
      </c>
      <c r="B1957" s="2" t="str">
        <f>"B20230504118"</f>
        <v>B20230504118</v>
      </c>
      <c r="C1957" s="2" t="str">
        <f t="shared" ref="C1957:C1963" si="417">"男"</f>
        <v>男</v>
      </c>
      <c r="D1957" s="2" t="str">
        <f t="shared" ref="D1957:D1987" si="418">"10"</f>
        <v>10</v>
      </c>
      <c r="E1957" s="2" t="str">
        <f>"生物与化学工程学院"</f>
        <v>生物与化学工程学院</v>
      </c>
    </row>
    <row r="1958" ht="13.5" hidden="1" spans="1:5">
      <c r="A1958" s="2" t="str">
        <f>"吕彬"</f>
        <v>吕彬</v>
      </c>
      <c r="B1958" s="2" t="str">
        <f>"B20200202225"</f>
        <v>B20200202225</v>
      </c>
      <c r="C1958" s="2" t="str">
        <f t="shared" si="417"/>
        <v>男</v>
      </c>
      <c r="D1958" s="2" t="str">
        <f t="shared" si="418"/>
        <v>10</v>
      </c>
      <c r="E1958" s="2" t="str">
        <f>"机电工程学院"</f>
        <v>机电工程学院</v>
      </c>
    </row>
    <row r="1959" ht="13.5" hidden="1" spans="1:5">
      <c r="A1959" s="2" t="str">
        <f>"向逗"</f>
        <v>向逗</v>
      </c>
      <c r="B1959" s="2" t="str">
        <f>"B20230901114"</f>
        <v>B20230901114</v>
      </c>
      <c r="C1959" s="2" t="str">
        <f t="shared" ref="C1959:C1964" si="419">"女"</f>
        <v>女</v>
      </c>
      <c r="D1959" s="2" t="str">
        <f t="shared" si="418"/>
        <v>10</v>
      </c>
      <c r="E1959" s="2" t="str">
        <f>"经济与管理学院"</f>
        <v>经济与管理学院</v>
      </c>
    </row>
    <row r="1960" ht="13.5" hidden="1" spans="1:5">
      <c r="A1960" s="2" t="str">
        <f>"王琴"</f>
        <v>王琴</v>
      </c>
      <c r="B1960" s="2" t="str">
        <f>"B20220102119"</f>
        <v>B20220102119</v>
      </c>
      <c r="C1960" s="2" t="str">
        <f t="shared" si="419"/>
        <v>女</v>
      </c>
      <c r="D1960" s="2" t="str">
        <f t="shared" si="418"/>
        <v>10</v>
      </c>
      <c r="E1960" s="2" t="str">
        <f>"土木工程学院"</f>
        <v>土木工程学院</v>
      </c>
    </row>
    <row r="1961" ht="13.5" hidden="1" spans="1:5">
      <c r="A1961" s="2" t="str">
        <f>"宋建波"</f>
        <v>宋建波</v>
      </c>
      <c r="B1961" s="2" t="str">
        <f>"B20230504308"</f>
        <v>B20230504308</v>
      </c>
      <c r="C1961" s="2" t="str">
        <f t="shared" si="417"/>
        <v>男</v>
      </c>
      <c r="D1961" s="2" t="str">
        <f t="shared" si="418"/>
        <v>10</v>
      </c>
      <c r="E1961" s="2" t="str">
        <f>"生物与化学工程学院"</f>
        <v>生物与化学工程学院</v>
      </c>
    </row>
    <row r="1962" ht="13.5" hidden="1" spans="1:5">
      <c r="A1962" s="2" t="str">
        <f>"郑前科"</f>
        <v>郑前科</v>
      </c>
      <c r="B1962" s="2" t="str">
        <f>"B20211101226"</f>
        <v>B20211101226</v>
      </c>
      <c r="C1962" s="2" t="str">
        <f t="shared" si="417"/>
        <v>男</v>
      </c>
      <c r="D1962" s="2" t="str">
        <f t="shared" si="418"/>
        <v>10</v>
      </c>
      <c r="E1962" s="2" t="str">
        <f>"音乐学院"</f>
        <v>音乐学院</v>
      </c>
    </row>
    <row r="1963" ht="13.5" hidden="1" spans="1:5">
      <c r="A1963" s="2" t="str">
        <f>"蔡鲤镁"</f>
        <v>蔡鲤镁</v>
      </c>
      <c r="B1963" s="2" t="str">
        <f>"B20210504214"</f>
        <v>B20210504214</v>
      </c>
      <c r="C1963" s="2" t="str">
        <f t="shared" si="417"/>
        <v>男</v>
      </c>
      <c r="D1963" s="2" t="str">
        <f t="shared" si="418"/>
        <v>10</v>
      </c>
      <c r="E1963" s="2" t="str">
        <f>"生物与化学工程学院"</f>
        <v>生物与化学工程学院</v>
      </c>
    </row>
    <row r="1964" ht="13.5" hidden="1" spans="1:5">
      <c r="A1964" s="2" t="str">
        <f>"孔羽"</f>
        <v>孔羽</v>
      </c>
      <c r="B1964" s="2" t="str">
        <f>"B20211101208"</f>
        <v>B20211101208</v>
      </c>
      <c r="C1964" s="2" t="str">
        <f t="shared" si="419"/>
        <v>女</v>
      </c>
      <c r="D1964" s="2" t="str">
        <f t="shared" si="418"/>
        <v>10</v>
      </c>
      <c r="E1964" s="2" t="str">
        <f>"音乐学院"</f>
        <v>音乐学院</v>
      </c>
    </row>
    <row r="1965" ht="13.5" hidden="1" spans="1:5">
      <c r="A1965" s="2" t="str">
        <f>"朴松杨"</f>
        <v>朴松杨</v>
      </c>
      <c r="B1965" s="2" t="str">
        <f>"B20220904314"</f>
        <v>B20220904314</v>
      </c>
      <c r="C1965" s="2" t="str">
        <f t="shared" ref="C1965:C1969" si="420">"男"</f>
        <v>男</v>
      </c>
      <c r="D1965" s="2" t="str">
        <f t="shared" si="418"/>
        <v>10</v>
      </c>
      <c r="E1965" s="2" t="str">
        <f>"经济与管理学院"</f>
        <v>经济与管理学院</v>
      </c>
    </row>
    <row r="1966" ht="13.5" hidden="1" spans="1:5">
      <c r="A1966" s="2" t="str">
        <f>"谭俊豪"</f>
        <v>谭俊豪</v>
      </c>
      <c r="B1966" s="2" t="str">
        <f>"B20230202230"</f>
        <v>B20230202230</v>
      </c>
      <c r="C1966" s="2" t="str">
        <f t="shared" si="420"/>
        <v>男</v>
      </c>
      <c r="D1966" s="2" t="str">
        <f t="shared" si="418"/>
        <v>10</v>
      </c>
      <c r="E1966" s="2" t="str">
        <f>"机电工程学院"</f>
        <v>机电工程学院</v>
      </c>
    </row>
    <row r="1967" ht="13.5" hidden="1" spans="1:5">
      <c r="A1967" s="2" t="str">
        <f>"李雅雯"</f>
        <v>李雅雯</v>
      </c>
      <c r="B1967" s="2" t="str">
        <f>"B20231001317"</f>
        <v>B20231001317</v>
      </c>
      <c r="C1967" s="2" t="str">
        <f t="shared" ref="C1967:C1972" si="421">"女"</f>
        <v>女</v>
      </c>
      <c r="D1967" s="2" t="str">
        <f t="shared" si="418"/>
        <v>10</v>
      </c>
      <c r="E1967" s="2" t="str">
        <f>"艺术设计学院"</f>
        <v>艺术设计学院</v>
      </c>
    </row>
    <row r="1968" ht="13.5" hidden="1" spans="1:5">
      <c r="A1968" s="2" t="str">
        <f>"王迪"</f>
        <v>王迪</v>
      </c>
      <c r="B1968" s="2" t="str">
        <f>"B20230701222"</f>
        <v>B20230701222</v>
      </c>
      <c r="C1968" s="2" t="str">
        <f t="shared" si="421"/>
        <v>女</v>
      </c>
      <c r="D1968" s="2" t="str">
        <f t="shared" si="418"/>
        <v>10</v>
      </c>
      <c r="E1968" s="2" t="str">
        <f>"马栏山新媒体学院"</f>
        <v>马栏山新媒体学院</v>
      </c>
    </row>
    <row r="1969" ht="13.5" hidden="1" spans="1:5">
      <c r="A1969" s="2" t="str">
        <f>"彭锴"</f>
        <v>彭锴</v>
      </c>
      <c r="B1969" s="2" t="str">
        <f>"B20220403226"</f>
        <v>B20220403226</v>
      </c>
      <c r="C1969" s="2" t="str">
        <f t="shared" si="420"/>
        <v>男</v>
      </c>
      <c r="D1969" s="2" t="str">
        <f t="shared" si="418"/>
        <v>10</v>
      </c>
      <c r="E1969" s="2" t="str">
        <f>"电子信息与电气工程学院"</f>
        <v>电子信息与电气工程学院</v>
      </c>
    </row>
    <row r="1970" ht="13.5" hidden="1" spans="1:5">
      <c r="A1970" s="2" t="str">
        <f>"陆紫繁"</f>
        <v>陆紫繁</v>
      </c>
      <c r="B1970" s="2" t="str">
        <f>"B20221101205"</f>
        <v>B20221101205</v>
      </c>
      <c r="C1970" s="2" t="str">
        <f t="shared" si="421"/>
        <v>女</v>
      </c>
      <c r="D1970" s="2" t="str">
        <f t="shared" si="418"/>
        <v>10</v>
      </c>
      <c r="E1970" s="2" t="str">
        <f>"音乐学院"</f>
        <v>音乐学院</v>
      </c>
    </row>
    <row r="1971" ht="13.5" hidden="1" spans="1:5">
      <c r="A1971" s="2" t="str">
        <f>"梅烨丽"</f>
        <v>梅烨丽</v>
      </c>
      <c r="B1971" s="2" t="str">
        <f>"B20220801207"</f>
        <v>B20220801207</v>
      </c>
      <c r="C1971" s="2" t="str">
        <f t="shared" si="421"/>
        <v>女</v>
      </c>
      <c r="D1971" s="2" t="str">
        <f t="shared" si="418"/>
        <v>10</v>
      </c>
      <c r="E1971" s="2" t="str">
        <f>"外国语学院"</f>
        <v>外国语学院</v>
      </c>
    </row>
    <row r="1972" ht="13.5" hidden="1" spans="1:5">
      <c r="A1972" s="2" t="str">
        <f>"谭诗文"</f>
        <v>谭诗文</v>
      </c>
      <c r="B1972" s="2" t="str">
        <f>"B20230903118"</f>
        <v>B20230903118</v>
      </c>
      <c r="C1972" s="2" t="str">
        <f t="shared" si="421"/>
        <v>女</v>
      </c>
      <c r="D1972" s="2" t="str">
        <f t="shared" si="418"/>
        <v>10</v>
      </c>
      <c r="E1972" s="2" t="str">
        <f>"经济与管理学院"</f>
        <v>经济与管理学院</v>
      </c>
    </row>
    <row r="1973" ht="13.5" hidden="1" spans="1:5">
      <c r="A1973" s="2" t="str">
        <f>"崔勇"</f>
        <v>崔勇</v>
      </c>
      <c r="B1973" s="2" t="str">
        <f>"B20220401325"</f>
        <v>B20220401325</v>
      </c>
      <c r="C1973" s="2" t="str">
        <f t="shared" ref="C1973:C1976" si="422">"男"</f>
        <v>男</v>
      </c>
      <c r="D1973" s="2" t="str">
        <f t="shared" si="418"/>
        <v>10</v>
      </c>
      <c r="E1973" s="2" t="str">
        <f>"电子信息与电气工程学院"</f>
        <v>电子信息与电气工程学院</v>
      </c>
    </row>
    <row r="1974" ht="13.5" hidden="1" spans="1:5">
      <c r="A1974" s="2" t="str">
        <f>"杨亚康"</f>
        <v>杨亚康</v>
      </c>
      <c r="B1974" s="2" t="str">
        <f>"B20221002414"</f>
        <v>B20221002414</v>
      </c>
      <c r="C1974" s="2" t="str">
        <f t="shared" si="422"/>
        <v>男</v>
      </c>
      <c r="D1974" s="2" t="str">
        <f t="shared" si="418"/>
        <v>10</v>
      </c>
      <c r="E1974" s="2" t="str">
        <f>"艺术设计学院"</f>
        <v>艺术设计学院</v>
      </c>
    </row>
    <row r="1975" ht="13.5" hidden="1" spans="1:5">
      <c r="A1975" s="2" t="str">
        <f>"程远"</f>
        <v>程远</v>
      </c>
      <c r="B1975" s="2" t="str">
        <f>"B20220905131"</f>
        <v>B20220905131</v>
      </c>
      <c r="C1975" s="2" t="str">
        <f t="shared" si="422"/>
        <v>男</v>
      </c>
      <c r="D1975" s="2" t="str">
        <f t="shared" si="418"/>
        <v>10</v>
      </c>
      <c r="E1975" s="2" t="str">
        <f>"经济与管理学院"</f>
        <v>经济与管理学院</v>
      </c>
    </row>
    <row r="1976" ht="13.5" hidden="1" spans="1:5">
      <c r="A1976" s="2" t="str">
        <f>"肖斌"</f>
        <v>肖斌</v>
      </c>
      <c r="B1976" s="2" t="str">
        <f>"B20230405109"</f>
        <v>B20230405109</v>
      </c>
      <c r="C1976" s="2" t="str">
        <f t="shared" si="422"/>
        <v>男</v>
      </c>
      <c r="D1976" s="2" t="str">
        <f t="shared" si="418"/>
        <v>10</v>
      </c>
      <c r="E1976" s="2" t="str">
        <f>"电子信息与电气工程学院"</f>
        <v>电子信息与电气工程学院</v>
      </c>
    </row>
    <row r="1977" ht="13.5" hidden="1" spans="1:5">
      <c r="A1977" s="2" t="str">
        <f>"黄馨羽"</f>
        <v>黄馨羽</v>
      </c>
      <c r="B1977" s="2" t="str">
        <f>"B20231101120"</f>
        <v>B20231101120</v>
      </c>
      <c r="C1977" s="2" t="str">
        <f>"女"</f>
        <v>女</v>
      </c>
      <c r="D1977" s="2" t="str">
        <f t="shared" si="418"/>
        <v>10</v>
      </c>
      <c r="E1977" s="2" t="str">
        <f>"音乐学院"</f>
        <v>音乐学院</v>
      </c>
    </row>
    <row r="1978" ht="13.5" hidden="1" spans="1:5">
      <c r="A1978" s="2" t="str">
        <f>"王家俊"</f>
        <v>王家俊</v>
      </c>
      <c r="B1978" s="2" t="str">
        <f>"B20200504216"</f>
        <v>B20200504216</v>
      </c>
      <c r="C1978" s="2" t="str">
        <f>"男"</f>
        <v>男</v>
      </c>
      <c r="D1978" s="2" t="str">
        <f t="shared" si="418"/>
        <v>10</v>
      </c>
      <c r="E1978" s="2" t="str">
        <f>"生物与环境工程学院"</f>
        <v>生物与环境工程学院</v>
      </c>
    </row>
    <row r="1979" ht="13.5" hidden="1" spans="1:5">
      <c r="A1979" s="2" t="str">
        <f>"刘琼"</f>
        <v>刘琼</v>
      </c>
      <c r="B1979" s="2" t="str">
        <f>"B20230402318"</f>
        <v>B20230402318</v>
      </c>
      <c r="C1979" s="2" t="str">
        <f>"女"</f>
        <v>女</v>
      </c>
      <c r="D1979" s="2" t="str">
        <f t="shared" si="418"/>
        <v>10</v>
      </c>
      <c r="E1979" s="2" t="str">
        <f>"电子信息与电气工程学院"</f>
        <v>电子信息与电气工程学院</v>
      </c>
    </row>
    <row r="1980" ht="13.5" hidden="1" spans="1:5">
      <c r="A1980" s="2" t="str">
        <f>"李朵"</f>
        <v>李朵</v>
      </c>
      <c r="B1980" s="2" t="str">
        <f>"B20230702224"</f>
        <v>B20230702224</v>
      </c>
      <c r="C1980" s="2" t="str">
        <f>"女"</f>
        <v>女</v>
      </c>
      <c r="D1980" s="2" t="str">
        <f t="shared" si="418"/>
        <v>10</v>
      </c>
      <c r="E1980" s="2" t="str">
        <f>"马栏山新媒体学院"</f>
        <v>马栏山新媒体学院</v>
      </c>
    </row>
    <row r="1981" ht="13.5" hidden="1" spans="1:5">
      <c r="A1981" s="2" t="str">
        <f>"陈嘉琪"</f>
        <v>陈嘉琪</v>
      </c>
      <c r="B1981" s="2" t="str">
        <f>"B20230101631"</f>
        <v>B20230101631</v>
      </c>
      <c r="C1981" s="2" t="str">
        <f>"女"</f>
        <v>女</v>
      </c>
      <c r="D1981" s="2" t="str">
        <f t="shared" si="418"/>
        <v>10</v>
      </c>
      <c r="E1981" s="2" t="str">
        <f>"土木工程学院"</f>
        <v>土木工程学院</v>
      </c>
    </row>
    <row r="1982" ht="13.5" hidden="1" spans="1:5">
      <c r="A1982" s="2" t="str">
        <f>"洪安"</f>
        <v>洪安</v>
      </c>
      <c r="B1982" s="2" t="str">
        <f>"B20231001216"</f>
        <v>B20231001216</v>
      </c>
      <c r="C1982" s="2" t="str">
        <f>"女"</f>
        <v>女</v>
      </c>
      <c r="D1982" s="2" t="str">
        <f t="shared" si="418"/>
        <v>10</v>
      </c>
      <c r="E1982" s="2" t="str">
        <f>"艺术设计学院"</f>
        <v>艺术设计学院</v>
      </c>
    </row>
    <row r="1983" ht="13.5" hidden="1" spans="1:5">
      <c r="A1983" s="2" t="str">
        <f>"李若彤"</f>
        <v>李若彤</v>
      </c>
      <c r="B1983" s="2" t="str">
        <f>"B20210905215"</f>
        <v>B20210905215</v>
      </c>
      <c r="C1983" s="2" t="str">
        <f>"女"</f>
        <v>女</v>
      </c>
      <c r="D1983" s="2" t="str">
        <f t="shared" si="418"/>
        <v>10</v>
      </c>
      <c r="E1983" s="2" t="str">
        <f>"经济与管理学院"</f>
        <v>经济与管理学院</v>
      </c>
    </row>
    <row r="1984" ht="13.5" hidden="1" spans="1:5">
      <c r="A1984" s="2" t="str">
        <f>"陈海波"</f>
        <v>陈海波</v>
      </c>
      <c r="B1984" s="2" t="str">
        <f>"B20230601211"</f>
        <v>B20230601211</v>
      </c>
      <c r="C1984" s="2" t="str">
        <f>"男"</f>
        <v>男</v>
      </c>
      <c r="D1984" s="2" t="str">
        <f t="shared" si="418"/>
        <v>10</v>
      </c>
      <c r="E1984" s="2" t="str">
        <f>"法学院"</f>
        <v>法学院</v>
      </c>
    </row>
    <row r="1985" ht="13.5" hidden="1" spans="1:5">
      <c r="A1985" s="2" t="str">
        <f>"肖晴"</f>
        <v>肖晴</v>
      </c>
      <c r="B1985" s="2" t="str">
        <f>"B20230601215"</f>
        <v>B20230601215</v>
      </c>
      <c r="C1985" s="2" t="str">
        <f>"女"</f>
        <v>女</v>
      </c>
      <c r="D1985" s="2" t="str">
        <f t="shared" si="418"/>
        <v>10</v>
      </c>
      <c r="E1985" s="2" t="str">
        <f>"法学院"</f>
        <v>法学院</v>
      </c>
    </row>
    <row r="1986" ht="13.5" hidden="1" spans="1:5">
      <c r="A1986" s="2" t="str">
        <f>"李健熙"</f>
        <v>李健熙</v>
      </c>
      <c r="B1986" s="2" t="str">
        <f>"B20231301234"</f>
        <v>B20231301234</v>
      </c>
      <c r="C1986" s="2" t="str">
        <f>"男"</f>
        <v>男</v>
      </c>
      <c r="D1986" s="2" t="str">
        <f t="shared" si="418"/>
        <v>10</v>
      </c>
      <c r="E1986" s="2" t="str">
        <f>"材料与环境工程学院"</f>
        <v>材料与环境工程学院</v>
      </c>
    </row>
    <row r="1987" ht="13.5" hidden="1" spans="1:5">
      <c r="A1987" s="2" t="str">
        <f>"彭胡弯"</f>
        <v>彭胡弯</v>
      </c>
      <c r="B1987" s="2" t="str">
        <f>"B20221302131"</f>
        <v>B20221302131</v>
      </c>
      <c r="C1987" s="2" t="str">
        <f>"男"</f>
        <v>男</v>
      </c>
      <c r="D1987" s="2" t="str">
        <f t="shared" si="418"/>
        <v>10</v>
      </c>
      <c r="E1987" s="2" t="str">
        <f>"材料与环境工程学院"</f>
        <v>材料与环境工程学院</v>
      </c>
    </row>
    <row r="1988" customHeight="1" spans="1:5">
      <c r="A1988" s="6" t="str">
        <f>"程克智"</f>
        <v>程克智</v>
      </c>
      <c r="B1988" s="6" t="str">
        <f>"B20210101330"</f>
        <v>B20210101330</v>
      </c>
      <c r="C1988" s="6" t="str">
        <f>"男"</f>
        <v>男</v>
      </c>
      <c r="D1988" s="7" t="str">
        <f>"2"</f>
        <v>2</v>
      </c>
      <c r="E1988" s="6" t="str">
        <f>"计算机科学与工程学院"</f>
        <v>计算机科学与工程学院</v>
      </c>
    </row>
    <row r="1989" ht="13.5" hidden="1" spans="1:5">
      <c r="A1989" s="2" t="str">
        <f>"冯波"</f>
        <v>冯波</v>
      </c>
      <c r="B1989" s="2" t="str">
        <f>"B20230401122"</f>
        <v>B20230401122</v>
      </c>
      <c r="C1989" s="2" t="str">
        <f t="shared" ref="C1989:C1993" si="423">"男"</f>
        <v>男</v>
      </c>
      <c r="D1989" s="2" t="str">
        <f t="shared" ref="D1988:D2051" si="424">"9"</f>
        <v>9</v>
      </c>
      <c r="E1989" s="2" t="str">
        <f>"电子信息与电气工程学院"</f>
        <v>电子信息与电气工程学院</v>
      </c>
    </row>
    <row r="1990" customHeight="1" spans="1:5">
      <c r="A1990" s="6" t="str">
        <f>"杨奕"</f>
        <v>杨奕</v>
      </c>
      <c r="B1990" s="6" t="str">
        <f>"B20210101511"</f>
        <v>B20210101511</v>
      </c>
      <c r="C1990" s="6" t="str">
        <f>"女"</f>
        <v>女</v>
      </c>
      <c r="D1990" s="7" t="str">
        <f>"8"</f>
        <v>8</v>
      </c>
      <c r="E1990" s="6" t="str">
        <f>"计算机科学与工程学院"</f>
        <v>计算机科学与工程学院</v>
      </c>
    </row>
    <row r="1991" ht="13.5" hidden="1" spans="1:5">
      <c r="A1991" s="2" t="str">
        <f>"龚思云"</f>
        <v>龚思云</v>
      </c>
      <c r="B1991" s="2" t="str">
        <f>"B20230202419"</f>
        <v>B20230202419</v>
      </c>
      <c r="C1991" s="2" t="str">
        <f t="shared" ref="C1990:C1994" si="425">"女"</f>
        <v>女</v>
      </c>
      <c r="D1991" s="2" t="str">
        <f t="shared" si="424"/>
        <v>9</v>
      </c>
      <c r="E1991" s="2" t="str">
        <f>"机电工程学院"</f>
        <v>机电工程学院</v>
      </c>
    </row>
    <row r="1992" ht="13.5" hidden="1" spans="1:5">
      <c r="A1992" s="2" t="str">
        <f>"唐少杰"</f>
        <v>唐少杰</v>
      </c>
      <c r="B1992" s="2" t="str">
        <f>"B20220801117"</f>
        <v>B20220801117</v>
      </c>
      <c r="C1992" s="2" t="str">
        <f t="shared" si="423"/>
        <v>男</v>
      </c>
      <c r="D1992" s="2" t="str">
        <f t="shared" si="424"/>
        <v>9</v>
      </c>
      <c r="E1992" s="2" t="str">
        <f>"外国语学院"</f>
        <v>外国语学院</v>
      </c>
    </row>
    <row r="1993" ht="13.5" hidden="1" spans="1:5">
      <c r="A1993" s="2" t="str">
        <f>"王浩"</f>
        <v>王浩</v>
      </c>
      <c r="B1993" s="2" t="str">
        <f>"B20220401405"</f>
        <v>B20220401405</v>
      </c>
      <c r="C1993" s="2" t="str">
        <f t="shared" si="423"/>
        <v>男</v>
      </c>
      <c r="D1993" s="2" t="str">
        <f t="shared" si="424"/>
        <v>9</v>
      </c>
      <c r="E1993" s="2" t="str">
        <f>"电子信息与电气工程学院"</f>
        <v>电子信息与电气工程学院</v>
      </c>
    </row>
    <row r="1994" ht="13.5" hidden="1" spans="1:5">
      <c r="A1994" s="2" t="str">
        <f>"邓紫君"</f>
        <v>邓紫君</v>
      </c>
      <c r="B1994" s="2" t="str">
        <f>"B20230903220"</f>
        <v>B20230903220</v>
      </c>
      <c r="C1994" s="2" t="str">
        <f t="shared" si="425"/>
        <v>女</v>
      </c>
      <c r="D1994" s="2" t="str">
        <f t="shared" si="424"/>
        <v>9</v>
      </c>
      <c r="E1994" s="2" t="str">
        <f>"经济与管理学院"</f>
        <v>经济与管理学院</v>
      </c>
    </row>
    <row r="1995" customHeight="1" spans="1:5">
      <c r="A1995" s="6" t="str">
        <f>"谭志峰"</f>
        <v>谭志峰</v>
      </c>
      <c r="B1995" s="6" t="str">
        <f>"B20210102113"</f>
        <v>B20210102113</v>
      </c>
      <c r="C1995" s="6" t="str">
        <f>"男"</f>
        <v>男</v>
      </c>
      <c r="D1995" s="7" t="str">
        <f>"6"</f>
        <v>6</v>
      </c>
      <c r="E1995" s="6" t="str">
        <f>"计算机科学与工程学院"</f>
        <v>计算机科学与工程学院</v>
      </c>
    </row>
    <row r="1996" ht="13.5" hidden="1" spans="1:5">
      <c r="A1996" s="2" t="str">
        <f>"焦煜航"</f>
        <v>焦煜航</v>
      </c>
      <c r="B1996" s="2" t="str">
        <f>"B20230202332"</f>
        <v>B20230202332</v>
      </c>
      <c r="C1996" s="2" t="str">
        <f t="shared" ref="C1995:C1997" si="426">"男"</f>
        <v>男</v>
      </c>
      <c r="D1996" s="2" t="str">
        <f t="shared" si="424"/>
        <v>9</v>
      </c>
      <c r="E1996" s="2" t="str">
        <f>"机电工程学院"</f>
        <v>机电工程学院</v>
      </c>
    </row>
    <row r="1997" ht="13.5" hidden="1" spans="1:5">
      <c r="A1997" s="2" t="str">
        <f>"李浈睿"</f>
        <v>李浈睿</v>
      </c>
      <c r="B1997" s="2" t="str">
        <f>"B20230403223"</f>
        <v>B20230403223</v>
      </c>
      <c r="C1997" s="2" t="str">
        <f t="shared" si="426"/>
        <v>男</v>
      </c>
      <c r="D1997" s="2" t="str">
        <f t="shared" si="424"/>
        <v>9</v>
      </c>
      <c r="E1997" s="2" t="str">
        <f>"电子信息与电气工程学院"</f>
        <v>电子信息与电气工程学院</v>
      </c>
    </row>
    <row r="1998" ht="13.5" hidden="1" spans="1:5">
      <c r="A1998" s="2" t="str">
        <f>"杨米"</f>
        <v>杨米</v>
      </c>
      <c r="B1998" s="2" t="str">
        <f>"B20230101127"</f>
        <v>B20230101127</v>
      </c>
      <c r="C1998" s="2" t="str">
        <f t="shared" ref="C1998:C2005" si="427">"女"</f>
        <v>女</v>
      </c>
      <c r="D1998" s="2" t="str">
        <f t="shared" si="424"/>
        <v>9</v>
      </c>
      <c r="E1998" s="2" t="str">
        <f>"土木工程学院"</f>
        <v>土木工程学院</v>
      </c>
    </row>
    <row r="1999" ht="13.5" hidden="1" spans="1:5">
      <c r="A1999" s="2" t="str">
        <f>"戚天宇"</f>
        <v>戚天宇</v>
      </c>
      <c r="B1999" s="2" t="str">
        <f>"B20220802106"</f>
        <v>B20220802106</v>
      </c>
      <c r="C1999" s="2" t="str">
        <f>"男"</f>
        <v>男</v>
      </c>
      <c r="D1999" s="2" t="str">
        <f t="shared" si="424"/>
        <v>9</v>
      </c>
      <c r="E1999" s="2" t="str">
        <f>"外国语学院"</f>
        <v>外国语学院</v>
      </c>
    </row>
    <row r="2000" ht="13.5" hidden="1" spans="1:5">
      <c r="A2000" s="2" t="str">
        <f>"邹瑶"</f>
        <v>邹瑶</v>
      </c>
      <c r="B2000" s="2" t="str">
        <f>"B20200701118"</f>
        <v>B20200701118</v>
      </c>
      <c r="C2000" s="2" t="str">
        <f t="shared" si="427"/>
        <v>女</v>
      </c>
      <c r="D2000" s="2" t="str">
        <f t="shared" si="424"/>
        <v>9</v>
      </c>
      <c r="E2000" s="2" t="str">
        <f>"马栏山新媒体学院"</f>
        <v>马栏山新媒体学院</v>
      </c>
    </row>
    <row r="2001" ht="13.5" hidden="1" spans="1:5">
      <c r="A2001" s="2" t="str">
        <f>"陈寻寻"</f>
        <v>陈寻寻</v>
      </c>
      <c r="B2001" s="2" t="str">
        <f>"B20230601302"</f>
        <v>B20230601302</v>
      </c>
      <c r="C2001" s="2" t="str">
        <f t="shared" si="427"/>
        <v>女</v>
      </c>
      <c r="D2001" s="2" t="str">
        <f t="shared" si="424"/>
        <v>9</v>
      </c>
      <c r="E2001" s="2" t="str">
        <f>"法学院"</f>
        <v>法学院</v>
      </c>
    </row>
    <row r="2002" ht="13.5" hidden="1" spans="1:5">
      <c r="A2002" s="2" t="str">
        <f>"马思婷"</f>
        <v>马思婷</v>
      </c>
      <c r="B2002" s="2" t="str">
        <f>"B20230502225"</f>
        <v>B20230502225</v>
      </c>
      <c r="C2002" s="2" t="str">
        <f t="shared" si="427"/>
        <v>女</v>
      </c>
      <c r="D2002" s="2" t="str">
        <f t="shared" si="424"/>
        <v>9</v>
      </c>
      <c r="E2002" s="2" t="str">
        <f>"生物与化学工程学院"</f>
        <v>生物与化学工程学院</v>
      </c>
    </row>
    <row r="2003" ht="13.5" hidden="1" spans="1:5">
      <c r="A2003" s="2" t="str">
        <f>"黄文连"</f>
        <v>黄文连</v>
      </c>
      <c r="B2003" s="2" t="str">
        <f>"B20220104131"</f>
        <v>B20220104131</v>
      </c>
      <c r="C2003" s="2" t="str">
        <f t="shared" si="427"/>
        <v>女</v>
      </c>
      <c r="D2003" s="2" t="str">
        <f t="shared" si="424"/>
        <v>9</v>
      </c>
      <c r="E2003" s="2" t="str">
        <f>"土木工程学院"</f>
        <v>土木工程学院</v>
      </c>
    </row>
    <row r="2004" ht="13.5" hidden="1" spans="1:5">
      <c r="A2004" s="2" t="str">
        <f>"邱晓"</f>
        <v>邱晓</v>
      </c>
      <c r="B2004" s="2" t="str">
        <f>"B20210201329"</f>
        <v>B20210201329</v>
      </c>
      <c r="C2004" s="2" t="str">
        <f t="shared" si="427"/>
        <v>女</v>
      </c>
      <c r="D2004" s="2" t="str">
        <f t="shared" si="424"/>
        <v>9</v>
      </c>
      <c r="E2004" s="2" t="str">
        <f>"机电工程学院"</f>
        <v>机电工程学院</v>
      </c>
    </row>
    <row r="2005" ht="13.5" hidden="1" spans="1:5">
      <c r="A2005" s="2" t="str">
        <f>"卢飞雨"</f>
        <v>卢飞雨</v>
      </c>
      <c r="B2005" s="2" t="str">
        <f>"B20210601125"</f>
        <v>B20210601125</v>
      </c>
      <c r="C2005" s="2" t="str">
        <f t="shared" si="427"/>
        <v>女</v>
      </c>
      <c r="D2005" s="2" t="str">
        <f t="shared" si="424"/>
        <v>9</v>
      </c>
      <c r="E2005" s="2" t="str">
        <f>"法学院"</f>
        <v>法学院</v>
      </c>
    </row>
    <row r="2006" ht="13.5" hidden="1" spans="1:5">
      <c r="A2006" s="2" t="str">
        <f>"王航"</f>
        <v>王航</v>
      </c>
      <c r="B2006" s="2" t="str">
        <f>"B20210902322"</f>
        <v>B20210902322</v>
      </c>
      <c r="C2006" s="2" t="str">
        <f t="shared" ref="C2006:C2010" si="428">"男"</f>
        <v>男</v>
      </c>
      <c r="D2006" s="2" t="str">
        <f t="shared" si="424"/>
        <v>9</v>
      </c>
      <c r="E2006" s="2" t="str">
        <f>"经济与管理学院"</f>
        <v>经济与管理学院</v>
      </c>
    </row>
    <row r="2007" customHeight="1" spans="1:5">
      <c r="A2007" s="6" t="str">
        <f>"王雨晨"</f>
        <v>王雨晨</v>
      </c>
      <c r="B2007" s="6" t="str">
        <f>"B20210201229"</f>
        <v>B20210201229</v>
      </c>
      <c r="C2007" s="6" t="str">
        <f t="shared" si="428"/>
        <v>男</v>
      </c>
      <c r="D2007" s="7" t="str">
        <f>"1"</f>
        <v>1</v>
      </c>
      <c r="E2007" s="6" t="str">
        <f>"计算机科学与工程学院"</f>
        <v>计算机科学与工程学院</v>
      </c>
    </row>
    <row r="2008" ht="13.5" hidden="1" spans="1:5">
      <c r="A2008" s="2" t="str">
        <f>"陈汝佳"</f>
        <v>陈汝佳</v>
      </c>
      <c r="B2008" s="2" t="str">
        <f>"B20230601525"</f>
        <v>B20230601525</v>
      </c>
      <c r="C2008" s="2" t="str">
        <f t="shared" ref="C2008:C2015" si="429">"女"</f>
        <v>女</v>
      </c>
      <c r="D2008" s="2" t="str">
        <f t="shared" si="424"/>
        <v>9</v>
      </c>
      <c r="E2008" s="2" t="str">
        <f>"法学院"</f>
        <v>法学院</v>
      </c>
    </row>
    <row r="2009" ht="13.5" hidden="1" spans="1:5">
      <c r="A2009" s="2" t="str">
        <f>"王登润"</f>
        <v>王登润</v>
      </c>
      <c r="B2009" s="2" t="str">
        <f>"B20220906128"</f>
        <v>B20220906128</v>
      </c>
      <c r="C2009" s="2" t="str">
        <f t="shared" si="428"/>
        <v>男</v>
      </c>
      <c r="D2009" s="2" t="str">
        <f t="shared" si="424"/>
        <v>9</v>
      </c>
      <c r="E2009" s="2" t="str">
        <f>"经济与管理学院"</f>
        <v>经济与管理学院</v>
      </c>
    </row>
    <row r="2010" ht="13.5" hidden="1" spans="1:5">
      <c r="A2010" s="2" t="str">
        <f>"陈枭"</f>
        <v>陈枭</v>
      </c>
      <c r="B2010" s="2" t="str">
        <f>"B20230504133"</f>
        <v>B20230504133</v>
      </c>
      <c r="C2010" s="2" t="str">
        <f t="shared" si="428"/>
        <v>男</v>
      </c>
      <c r="D2010" s="2" t="str">
        <f t="shared" si="424"/>
        <v>9</v>
      </c>
      <c r="E2010" s="2" t="str">
        <f>"生物与化学工程学院"</f>
        <v>生物与化学工程学院</v>
      </c>
    </row>
    <row r="2011" ht="13.5" hidden="1" spans="1:5">
      <c r="A2011" s="2" t="str">
        <f>"王心怡"</f>
        <v>王心怡</v>
      </c>
      <c r="B2011" s="2" t="str">
        <f>"B20230702412"</f>
        <v>B20230702412</v>
      </c>
      <c r="C2011" s="2" t="str">
        <f t="shared" si="429"/>
        <v>女</v>
      </c>
      <c r="D2011" s="2" t="str">
        <f t="shared" si="424"/>
        <v>9</v>
      </c>
      <c r="E2011" s="2" t="str">
        <f>"马栏山新媒体学院"</f>
        <v>马栏山新媒体学院</v>
      </c>
    </row>
    <row r="2012" customHeight="1" spans="1:5">
      <c r="A2012" s="6" t="str">
        <f>"江钰橙"</f>
        <v>江钰橙</v>
      </c>
      <c r="B2012" s="6" t="str">
        <f>"B20210202101"</f>
        <v>B20210202101</v>
      </c>
      <c r="C2012" s="6" t="str">
        <f t="shared" si="429"/>
        <v>女</v>
      </c>
      <c r="D2012" s="7" t="str">
        <f>"17"</f>
        <v>17</v>
      </c>
      <c r="E2012" s="6" t="str">
        <f>"计算机科学与工程学院"</f>
        <v>计算机科学与工程学院</v>
      </c>
    </row>
    <row r="2013" ht="13.5" hidden="1" spans="1:5">
      <c r="A2013" s="2" t="str">
        <f>"荣莹"</f>
        <v>荣莹</v>
      </c>
      <c r="B2013" s="2" t="str">
        <f>"B20210104104"</f>
        <v>B20210104104</v>
      </c>
      <c r="C2013" s="2" t="str">
        <f t="shared" si="429"/>
        <v>女</v>
      </c>
      <c r="D2013" s="2" t="str">
        <f t="shared" si="424"/>
        <v>9</v>
      </c>
      <c r="E2013" s="2" t="str">
        <f>"土木工程学院"</f>
        <v>土木工程学院</v>
      </c>
    </row>
    <row r="2014" ht="13.5" hidden="1" spans="1:5">
      <c r="A2014" s="2" t="str">
        <f>"郭珈辰"</f>
        <v>郭珈辰</v>
      </c>
      <c r="B2014" s="2" t="str">
        <f>"B20200902205"</f>
        <v>B20200902205</v>
      </c>
      <c r="C2014" s="2" t="str">
        <f t="shared" si="429"/>
        <v>女</v>
      </c>
      <c r="D2014" s="2" t="str">
        <f t="shared" si="424"/>
        <v>9</v>
      </c>
      <c r="E2014" s="2" t="str">
        <f>"经济与管理学院"</f>
        <v>经济与管理学院</v>
      </c>
    </row>
    <row r="2015" ht="13.5" hidden="1" spans="1:5">
      <c r="A2015" s="2" t="str">
        <f>"许佳"</f>
        <v>许佳</v>
      </c>
      <c r="B2015" s="2" t="str">
        <f>"B20211001306"</f>
        <v>B20211001306</v>
      </c>
      <c r="C2015" s="2" t="str">
        <f t="shared" si="429"/>
        <v>女</v>
      </c>
      <c r="D2015" s="2" t="str">
        <f t="shared" si="424"/>
        <v>9</v>
      </c>
      <c r="E2015" s="2" t="str">
        <f>"艺术设计学院"</f>
        <v>艺术设计学院</v>
      </c>
    </row>
    <row r="2016" customHeight="1" spans="1:5">
      <c r="A2016" s="6" t="str">
        <f>"陈钰锜"</f>
        <v>陈钰锜</v>
      </c>
      <c r="B2016" s="6" t="str">
        <f>"B20210202104"</f>
        <v>B20210202104</v>
      </c>
      <c r="C2016" s="6" t="str">
        <f>"男"</f>
        <v>男</v>
      </c>
      <c r="D2016" s="7" t="str">
        <f>"3"</f>
        <v>3</v>
      </c>
      <c r="E2016" s="6" t="str">
        <f>"计算机科学与工程学院"</f>
        <v>计算机科学与工程学院</v>
      </c>
    </row>
    <row r="2017" ht="13.5" hidden="1" spans="1:5">
      <c r="A2017" s="2" t="str">
        <f>"谭河国"</f>
        <v>谭河国</v>
      </c>
      <c r="B2017" s="2" t="str">
        <f>"B20220204224"</f>
        <v>B20220204224</v>
      </c>
      <c r="C2017" s="2" t="str">
        <f>"男"</f>
        <v>男</v>
      </c>
      <c r="D2017" s="2" t="str">
        <f t="shared" si="424"/>
        <v>9</v>
      </c>
      <c r="E2017" s="2" t="str">
        <f t="shared" ref="E2017:E2022" si="430">"机电工程学院"</f>
        <v>机电工程学院</v>
      </c>
    </row>
    <row r="2018" ht="13.5" hidden="1" spans="1:5">
      <c r="A2018" s="2" t="str">
        <f>"赵婧姿"</f>
        <v>赵婧姿</v>
      </c>
      <c r="B2018" s="2" t="str">
        <f>"B20210401402"</f>
        <v>B20210401402</v>
      </c>
      <c r="C2018" s="2" t="str">
        <f>"女"</f>
        <v>女</v>
      </c>
      <c r="D2018" s="2" t="str">
        <f t="shared" si="424"/>
        <v>9</v>
      </c>
      <c r="E2018" s="2" t="str">
        <f>"电子信息与电气工程学院"</f>
        <v>电子信息与电气工程学院</v>
      </c>
    </row>
    <row r="2019" ht="13.5" hidden="1" spans="1:5">
      <c r="A2019" s="2" t="str">
        <f>"唐小艳"</f>
        <v>唐小艳</v>
      </c>
      <c r="B2019" s="2" t="str">
        <f>"B20210901202"</f>
        <v>B20210901202</v>
      </c>
      <c r="C2019" s="2" t="str">
        <f>"女"</f>
        <v>女</v>
      </c>
      <c r="D2019" s="2" t="str">
        <f t="shared" si="424"/>
        <v>9</v>
      </c>
      <c r="E2019" s="2" t="str">
        <f>"经济与管理学院"</f>
        <v>经济与管理学院</v>
      </c>
    </row>
    <row r="2020" ht="13.5" hidden="1" spans="1:5">
      <c r="A2020" s="2" t="str">
        <f>"薛武科"</f>
        <v>薛武科</v>
      </c>
      <c r="B2020" s="2" t="str">
        <f>"B20210404124"</f>
        <v>B20210404124</v>
      </c>
      <c r="C2020" s="2" t="str">
        <f t="shared" ref="C2020:C2023" si="431">"男"</f>
        <v>男</v>
      </c>
      <c r="D2020" s="2" t="str">
        <f t="shared" si="424"/>
        <v>9</v>
      </c>
      <c r="E2020" s="2" t="str">
        <f>"电子信息与电气工程学院"</f>
        <v>电子信息与电气工程学院</v>
      </c>
    </row>
    <row r="2021" ht="13.5" hidden="1" spans="1:5">
      <c r="A2021" s="2" t="str">
        <f>"雷祥"</f>
        <v>雷祥</v>
      </c>
      <c r="B2021" s="2" t="str">
        <f>"B20230202313"</f>
        <v>B20230202313</v>
      </c>
      <c r="C2021" s="2" t="str">
        <f t="shared" si="431"/>
        <v>男</v>
      </c>
      <c r="D2021" s="2" t="str">
        <f t="shared" si="424"/>
        <v>9</v>
      </c>
      <c r="E2021" s="2" t="str">
        <f t="shared" si="430"/>
        <v>机电工程学院</v>
      </c>
    </row>
    <row r="2022" ht="13.5" hidden="1" spans="1:5">
      <c r="A2022" s="2" t="str">
        <f>"封中杰"</f>
        <v>封中杰</v>
      </c>
      <c r="B2022" s="2" t="str">
        <f>"B20230201215"</f>
        <v>B20230201215</v>
      </c>
      <c r="C2022" s="2" t="str">
        <f t="shared" si="431"/>
        <v>男</v>
      </c>
      <c r="D2022" s="2" t="str">
        <f t="shared" si="424"/>
        <v>9</v>
      </c>
      <c r="E2022" s="2" t="str">
        <f t="shared" si="430"/>
        <v>机电工程学院</v>
      </c>
    </row>
    <row r="2023" ht="13.5" hidden="1" spans="1:5">
      <c r="A2023" s="2" t="str">
        <f>"左德旺"</f>
        <v>左德旺</v>
      </c>
      <c r="B2023" s="2" t="str">
        <f>"B20231302315"</f>
        <v>B20231302315</v>
      </c>
      <c r="C2023" s="2" t="str">
        <f t="shared" si="431"/>
        <v>男</v>
      </c>
      <c r="D2023" s="2" t="str">
        <f t="shared" si="424"/>
        <v>9</v>
      </c>
      <c r="E2023" s="2" t="str">
        <f>"材料与环境工程学院"</f>
        <v>材料与环境工程学院</v>
      </c>
    </row>
    <row r="2024" ht="13.5" hidden="1" spans="1:5">
      <c r="A2024" s="2" t="str">
        <f>"谢潭玲"</f>
        <v>谢潭玲</v>
      </c>
      <c r="B2024" s="2" t="str">
        <f>"B20200703308"</f>
        <v>B20200703308</v>
      </c>
      <c r="C2024" s="2" t="str">
        <f t="shared" ref="C2024:C2030" si="432">"女"</f>
        <v>女</v>
      </c>
      <c r="D2024" s="2" t="str">
        <f t="shared" si="424"/>
        <v>9</v>
      </c>
      <c r="E2024" s="2" t="str">
        <f>"马栏山新媒体学院"</f>
        <v>马栏山新媒体学院</v>
      </c>
    </row>
    <row r="2025" ht="13.5" hidden="1" spans="1:5">
      <c r="A2025" s="2" t="str">
        <f>"黄俊琦"</f>
        <v>黄俊琦</v>
      </c>
      <c r="B2025" s="2" t="str">
        <f>"B20230701226"</f>
        <v>B20230701226</v>
      </c>
      <c r="C2025" s="2" t="str">
        <f t="shared" si="432"/>
        <v>女</v>
      </c>
      <c r="D2025" s="2" t="str">
        <f t="shared" si="424"/>
        <v>9</v>
      </c>
      <c r="E2025" s="2" t="str">
        <f>"马栏山新媒体学院"</f>
        <v>马栏山新媒体学院</v>
      </c>
    </row>
    <row r="2026" ht="13.5" hidden="1" spans="1:5">
      <c r="A2026" s="2" t="str">
        <f>"粟焱"</f>
        <v>粟焱</v>
      </c>
      <c r="B2026" s="2" t="str">
        <f>"B20230801209"</f>
        <v>B20230801209</v>
      </c>
      <c r="C2026" s="2" t="str">
        <f t="shared" si="432"/>
        <v>女</v>
      </c>
      <c r="D2026" s="2" t="str">
        <f t="shared" si="424"/>
        <v>9</v>
      </c>
      <c r="E2026" s="2" t="str">
        <f>"外国语学院"</f>
        <v>外国语学院</v>
      </c>
    </row>
    <row r="2027" ht="13.5" hidden="1" spans="1:5">
      <c r="A2027" s="2" t="str">
        <f>"陈娜"</f>
        <v>陈娜</v>
      </c>
      <c r="B2027" s="2" t="str">
        <f>"B20221101101"</f>
        <v>B20221101101</v>
      </c>
      <c r="C2027" s="2" t="str">
        <f t="shared" si="432"/>
        <v>女</v>
      </c>
      <c r="D2027" s="2" t="str">
        <f t="shared" si="424"/>
        <v>9</v>
      </c>
      <c r="E2027" s="2" t="str">
        <f>"音乐学院"</f>
        <v>音乐学院</v>
      </c>
    </row>
    <row r="2028" ht="13.5" hidden="1" spans="1:5">
      <c r="A2028" s="2" t="str">
        <f>"卢佳宁"</f>
        <v>卢佳宁</v>
      </c>
      <c r="B2028" s="2" t="str">
        <f>"B20230901131"</f>
        <v>B20230901131</v>
      </c>
      <c r="C2028" s="2" t="str">
        <f t="shared" si="432"/>
        <v>女</v>
      </c>
      <c r="D2028" s="2" t="str">
        <f t="shared" si="424"/>
        <v>9</v>
      </c>
      <c r="E2028" s="2" t="str">
        <f>"经济与管理学院"</f>
        <v>经济与管理学院</v>
      </c>
    </row>
    <row r="2029" ht="13.5" hidden="1" spans="1:5">
      <c r="A2029" s="2" t="str">
        <f>"黄雨婷"</f>
        <v>黄雨婷</v>
      </c>
      <c r="B2029" s="2" t="str">
        <f>"B20210904332"</f>
        <v>B20210904332</v>
      </c>
      <c r="C2029" s="2" t="str">
        <f t="shared" si="432"/>
        <v>女</v>
      </c>
      <c r="D2029" s="2" t="str">
        <f t="shared" si="424"/>
        <v>9</v>
      </c>
      <c r="E2029" s="2" t="str">
        <f>"经济与管理学院"</f>
        <v>经济与管理学院</v>
      </c>
    </row>
    <row r="2030" ht="13.5" hidden="1" spans="1:5">
      <c r="A2030" s="2" t="str">
        <f>"赵雅文"</f>
        <v>赵雅文</v>
      </c>
      <c r="B2030" s="2" t="str">
        <f>"B20231003102"</f>
        <v>B20231003102</v>
      </c>
      <c r="C2030" s="2" t="str">
        <f t="shared" si="432"/>
        <v>女</v>
      </c>
      <c r="D2030" s="2" t="str">
        <f t="shared" si="424"/>
        <v>9</v>
      </c>
      <c r="E2030" s="2" t="str">
        <f>"艺术设计学院"</f>
        <v>艺术设计学院</v>
      </c>
    </row>
    <row r="2031" ht="13.5" hidden="1" spans="1:5">
      <c r="A2031" s="2" t="str">
        <f>"刘伟杰"</f>
        <v>刘伟杰</v>
      </c>
      <c r="B2031" s="2" t="str">
        <f>"B20230205114"</f>
        <v>B20230205114</v>
      </c>
      <c r="C2031" s="2" t="str">
        <f t="shared" ref="C2031:C2035" si="433">"男"</f>
        <v>男</v>
      </c>
      <c r="D2031" s="2" t="str">
        <f t="shared" si="424"/>
        <v>9</v>
      </c>
      <c r="E2031" s="2" t="str">
        <f t="shared" ref="E2031:E2035" si="434">"机电工程学院"</f>
        <v>机电工程学院</v>
      </c>
    </row>
    <row r="2032" ht="13.5" hidden="1" spans="1:5">
      <c r="A2032" s="2" t="str">
        <f>"文斓"</f>
        <v>文斓</v>
      </c>
      <c r="B2032" s="2" t="str">
        <f>"B20230402129"</f>
        <v>B20230402129</v>
      </c>
      <c r="C2032" s="2" t="str">
        <f>"女"</f>
        <v>女</v>
      </c>
      <c r="D2032" s="2" t="str">
        <f t="shared" si="424"/>
        <v>9</v>
      </c>
      <c r="E2032" s="2" t="str">
        <f t="shared" ref="E2032:E2037" si="435">"电子信息与电气工程学院"</f>
        <v>电子信息与电气工程学院</v>
      </c>
    </row>
    <row r="2033" ht="13.5" hidden="1" spans="1:5">
      <c r="A2033" s="2" t="str">
        <f>"黄增年"</f>
        <v>黄增年</v>
      </c>
      <c r="B2033" s="2" t="str">
        <f>"B20230202232"</f>
        <v>B20230202232</v>
      </c>
      <c r="C2033" s="2" t="str">
        <f t="shared" si="433"/>
        <v>男</v>
      </c>
      <c r="D2033" s="2" t="str">
        <f t="shared" si="424"/>
        <v>9</v>
      </c>
      <c r="E2033" s="2" t="str">
        <f t="shared" si="434"/>
        <v>机电工程学院</v>
      </c>
    </row>
    <row r="2034" ht="13.5" hidden="1" spans="1:5">
      <c r="A2034" s="2" t="str">
        <f>"李梁"</f>
        <v>李梁</v>
      </c>
      <c r="B2034" s="2" t="str">
        <f>"B20220402301"</f>
        <v>B20220402301</v>
      </c>
      <c r="C2034" s="2" t="str">
        <f t="shared" si="433"/>
        <v>男</v>
      </c>
      <c r="D2034" s="2" t="str">
        <f t="shared" si="424"/>
        <v>9</v>
      </c>
      <c r="E2034" s="2" t="str">
        <f t="shared" si="435"/>
        <v>电子信息与电气工程学院</v>
      </c>
    </row>
    <row r="2035" ht="13.5" hidden="1" spans="1:5">
      <c r="A2035" s="2" t="str">
        <f>"巫炯标"</f>
        <v>巫炯标</v>
      </c>
      <c r="B2035" s="2" t="str">
        <f>"B20230201421"</f>
        <v>B20230201421</v>
      </c>
      <c r="C2035" s="2" t="str">
        <f t="shared" si="433"/>
        <v>男</v>
      </c>
      <c r="D2035" s="2" t="str">
        <f t="shared" si="424"/>
        <v>9</v>
      </c>
      <c r="E2035" s="2" t="str">
        <f t="shared" si="434"/>
        <v>机电工程学院</v>
      </c>
    </row>
    <row r="2036" ht="13.5" hidden="1" spans="1:5">
      <c r="A2036" s="2" t="str">
        <f>"申雅婧"</f>
        <v>申雅婧</v>
      </c>
      <c r="B2036" s="2" t="str">
        <f>"B20220904234"</f>
        <v>B20220904234</v>
      </c>
      <c r="C2036" s="2" t="str">
        <f t="shared" ref="C2036:C2040" si="436">"女"</f>
        <v>女</v>
      </c>
      <c r="D2036" s="2" t="str">
        <f t="shared" si="424"/>
        <v>9</v>
      </c>
      <c r="E2036" s="2" t="str">
        <f t="shared" ref="E2036:E2039" si="437">"经济与管理学院"</f>
        <v>经济与管理学院</v>
      </c>
    </row>
    <row r="2037" ht="13.5" hidden="1" spans="1:5">
      <c r="A2037" s="2" t="str">
        <f>"高梦飞"</f>
        <v>高梦飞</v>
      </c>
      <c r="B2037" s="2" t="str">
        <f>"B20230401104"</f>
        <v>B20230401104</v>
      </c>
      <c r="C2037" s="2" t="str">
        <f>"男"</f>
        <v>男</v>
      </c>
      <c r="D2037" s="2" t="str">
        <f t="shared" si="424"/>
        <v>9</v>
      </c>
      <c r="E2037" s="2" t="str">
        <f t="shared" si="435"/>
        <v>电子信息与电气工程学院</v>
      </c>
    </row>
    <row r="2038" ht="13.5" hidden="1" spans="1:5">
      <c r="A2038" s="2" t="str">
        <f>"封思琦"</f>
        <v>封思琦</v>
      </c>
      <c r="B2038" s="2" t="str">
        <f>"B20220902323"</f>
        <v>B20220902323</v>
      </c>
      <c r="C2038" s="2" t="str">
        <f t="shared" si="436"/>
        <v>女</v>
      </c>
      <c r="D2038" s="2" t="str">
        <f t="shared" si="424"/>
        <v>9</v>
      </c>
      <c r="E2038" s="2" t="str">
        <f t="shared" si="437"/>
        <v>经济与管理学院</v>
      </c>
    </row>
    <row r="2039" ht="13.5" hidden="1" spans="1:5">
      <c r="A2039" s="2" t="str">
        <f>"邓梦婷"</f>
        <v>邓梦婷</v>
      </c>
      <c r="B2039" s="2" t="str">
        <f>"B20210904130"</f>
        <v>B20210904130</v>
      </c>
      <c r="C2039" s="2" t="str">
        <f t="shared" si="436"/>
        <v>女</v>
      </c>
      <c r="D2039" s="2" t="str">
        <f t="shared" si="424"/>
        <v>9</v>
      </c>
      <c r="E2039" s="2" t="str">
        <f t="shared" si="437"/>
        <v>经济与管理学院</v>
      </c>
    </row>
    <row r="2040" ht="13.5" hidden="1" spans="1:5">
      <c r="A2040" s="2" t="str">
        <f>"晏暄雅"</f>
        <v>晏暄雅</v>
      </c>
      <c r="B2040" s="2" t="str">
        <f>"B20230404125"</f>
        <v>B20230404125</v>
      </c>
      <c r="C2040" s="2" t="str">
        <f t="shared" si="436"/>
        <v>女</v>
      </c>
      <c r="D2040" s="2" t="str">
        <f t="shared" si="424"/>
        <v>9</v>
      </c>
      <c r="E2040" s="2" t="str">
        <f>"电子信息与电气工程学院"</f>
        <v>电子信息与电气工程学院</v>
      </c>
    </row>
    <row r="2041" customHeight="1" spans="1:5">
      <c r="A2041" s="6" t="str">
        <f>"任柯玮"</f>
        <v>任柯玮</v>
      </c>
      <c r="B2041" s="6" t="str">
        <f>"B20210202112"</f>
        <v>B20210202112</v>
      </c>
      <c r="C2041" s="6" t="str">
        <f>"男"</f>
        <v>男</v>
      </c>
      <c r="D2041" s="7" t="str">
        <f>"20"</f>
        <v>20</v>
      </c>
      <c r="E2041" s="6" t="str">
        <f>"计算机科学与工程学院"</f>
        <v>计算机科学与工程学院</v>
      </c>
    </row>
    <row r="2042" ht="13.5" hidden="1" spans="1:5">
      <c r="A2042" s="2" t="str">
        <f>"程菲儿"</f>
        <v>程菲儿</v>
      </c>
      <c r="B2042" s="2" t="str">
        <f>"B20221003121"</f>
        <v>B20221003121</v>
      </c>
      <c r="C2042" s="2" t="str">
        <f t="shared" ref="C2042:C2049" si="438">"女"</f>
        <v>女</v>
      </c>
      <c r="D2042" s="2" t="str">
        <f t="shared" si="424"/>
        <v>9</v>
      </c>
      <c r="E2042" s="2" t="str">
        <f>"艺术设计学院"</f>
        <v>艺术设计学院</v>
      </c>
    </row>
    <row r="2043" ht="13.5" hidden="1" spans="1:5">
      <c r="A2043" s="2" t="str">
        <f>"周思雨"</f>
        <v>周思雨</v>
      </c>
      <c r="B2043" s="2" t="str">
        <f>"B20210904110"</f>
        <v>B20210904110</v>
      </c>
      <c r="C2043" s="2" t="str">
        <f t="shared" si="438"/>
        <v>女</v>
      </c>
      <c r="D2043" s="2" t="str">
        <f t="shared" si="424"/>
        <v>9</v>
      </c>
      <c r="E2043" s="2" t="str">
        <f>"经济与管理学院"</f>
        <v>经济与管理学院</v>
      </c>
    </row>
    <row r="2044" ht="13.5" hidden="1" spans="1:5">
      <c r="A2044" s="2" t="str">
        <f>"徐佳涵"</f>
        <v>徐佳涵</v>
      </c>
      <c r="B2044" s="2" t="str">
        <f>"B20210103103"</f>
        <v>B20210103103</v>
      </c>
      <c r="C2044" s="2" t="str">
        <f t="shared" si="438"/>
        <v>女</v>
      </c>
      <c r="D2044" s="2" t="str">
        <f t="shared" si="424"/>
        <v>9</v>
      </c>
      <c r="E2044" s="2" t="str">
        <f>"土木工程学院"</f>
        <v>土木工程学院</v>
      </c>
    </row>
    <row r="2045" ht="13.5" hidden="1" spans="1:5">
      <c r="A2045" s="2" t="str">
        <f>"谢芷萱"</f>
        <v>谢芷萱</v>
      </c>
      <c r="B2045" s="2" t="str">
        <f>"B20230702115"</f>
        <v>B20230702115</v>
      </c>
      <c r="C2045" s="2" t="str">
        <f t="shared" si="438"/>
        <v>女</v>
      </c>
      <c r="D2045" s="2" t="str">
        <f t="shared" si="424"/>
        <v>9</v>
      </c>
      <c r="E2045" s="2" t="str">
        <f t="shared" ref="E2045:E2049" si="439">"马栏山新媒体学院"</f>
        <v>马栏山新媒体学院</v>
      </c>
    </row>
    <row r="2046" ht="13.5" hidden="1" spans="1:5">
      <c r="A2046" s="2" t="str">
        <f>"胡可欣"</f>
        <v>胡可欣</v>
      </c>
      <c r="B2046" s="2" t="str">
        <f>"B20220704310"</f>
        <v>B20220704310</v>
      </c>
      <c r="C2046" s="2" t="str">
        <f t="shared" si="438"/>
        <v>女</v>
      </c>
      <c r="D2046" s="2" t="str">
        <f t="shared" si="424"/>
        <v>9</v>
      </c>
      <c r="E2046" s="2" t="str">
        <f t="shared" si="439"/>
        <v>马栏山新媒体学院</v>
      </c>
    </row>
    <row r="2047" ht="13.5" hidden="1" spans="1:5">
      <c r="A2047" s="2" t="str">
        <f>"陈紫微"</f>
        <v>陈紫微</v>
      </c>
      <c r="B2047" s="2" t="str">
        <f>"B20200802306"</f>
        <v>B20200802306</v>
      </c>
      <c r="C2047" s="2" t="str">
        <f t="shared" si="438"/>
        <v>女</v>
      </c>
      <c r="D2047" s="2" t="str">
        <f t="shared" si="424"/>
        <v>9</v>
      </c>
      <c r="E2047" s="2" t="str">
        <f>"外国语学院"</f>
        <v>外国语学院</v>
      </c>
    </row>
    <row r="2048" ht="13.5" hidden="1" spans="1:5">
      <c r="A2048" s="2" t="str">
        <f>"陈珍"</f>
        <v>陈珍</v>
      </c>
      <c r="B2048" s="2" t="str">
        <f>"B20230701128"</f>
        <v>B20230701128</v>
      </c>
      <c r="C2048" s="2" t="str">
        <f t="shared" si="438"/>
        <v>女</v>
      </c>
      <c r="D2048" s="2" t="str">
        <f t="shared" si="424"/>
        <v>9</v>
      </c>
      <c r="E2048" s="2" t="str">
        <f t="shared" si="439"/>
        <v>马栏山新媒体学院</v>
      </c>
    </row>
    <row r="2049" ht="13.5" hidden="1" spans="1:5">
      <c r="A2049" s="2" t="str">
        <f>"严冬梅"</f>
        <v>严冬梅</v>
      </c>
      <c r="B2049" s="2" t="str">
        <f>"B20210705127"</f>
        <v>B20210705127</v>
      </c>
      <c r="C2049" s="2" t="str">
        <f t="shared" si="438"/>
        <v>女</v>
      </c>
      <c r="D2049" s="2" t="str">
        <f t="shared" si="424"/>
        <v>9</v>
      </c>
      <c r="E2049" s="2" t="str">
        <f t="shared" si="439"/>
        <v>马栏山新媒体学院</v>
      </c>
    </row>
    <row r="2050" ht="13.5" hidden="1" spans="1:5">
      <c r="A2050" s="2" t="str">
        <f>"袁杰"</f>
        <v>袁杰</v>
      </c>
      <c r="B2050" s="2" t="str">
        <f>"B20230202417"</f>
        <v>B20230202417</v>
      </c>
      <c r="C2050" s="2" t="str">
        <f t="shared" ref="C2050:C2055" si="440">"男"</f>
        <v>男</v>
      </c>
      <c r="D2050" s="2" t="str">
        <f t="shared" si="424"/>
        <v>9</v>
      </c>
      <c r="E2050" s="2" t="str">
        <f>"机电工程学院"</f>
        <v>机电工程学院</v>
      </c>
    </row>
    <row r="2051" ht="13.5" hidden="1" spans="1:5">
      <c r="A2051" s="2" t="str">
        <f>"卿艳玲"</f>
        <v>卿艳玲</v>
      </c>
      <c r="B2051" s="2" t="str">
        <f>"B20230502218"</f>
        <v>B20230502218</v>
      </c>
      <c r="C2051" s="2" t="str">
        <f t="shared" ref="C2051:C2054" si="441">"女"</f>
        <v>女</v>
      </c>
      <c r="D2051" s="2" t="str">
        <f t="shared" si="424"/>
        <v>9</v>
      </c>
      <c r="E2051" s="2" t="str">
        <f>"生物与化学工程学院"</f>
        <v>生物与化学工程学院</v>
      </c>
    </row>
    <row r="2052" ht="13.5" hidden="1" spans="1:5">
      <c r="A2052" s="2" t="str">
        <f>"杨慧婷"</f>
        <v>杨慧婷</v>
      </c>
      <c r="B2052" s="2" t="str">
        <f>"B20220703117"</f>
        <v>B20220703117</v>
      </c>
      <c r="C2052" s="2" t="str">
        <f t="shared" si="441"/>
        <v>女</v>
      </c>
      <c r="D2052" s="2" t="str">
        <f t="shared" ref="D2052:D2115" si="442">"9"</f>
        <v>9</v>
      </c>
      <c r="E2052" s="2" t="str">
        <f>"马栏山新媒体学院"</f>
        <v>马栏山新媒体学院</v>
      </c>
    </row>
    <row r="2053" ht="13.5" hidden="1" spans="1:5">
      <c r="A2053" s="2" t="str">
        <f>"任健平"</f>
        <v>任健平</v>
      </c>
      <c r="B2053" s="2" t="str">
        <f>"B20230402103"</f>
        <v>B20230402103</v>
      </c>
      <c r="C2053" s="2" t="str">
        <f t="shared" si="440"/>
        <v>男</v>
      </c>
      <c r="D2053" s="2" t="str">
        <f t="shared" si="442"/>
        <v>9</v>
      </c>
      <c r="E2053" s="2" t="str">
        <f>"电子信息与电气工程学院"</f>
        <v>电子信息与电气工程学院</v>
      </c>
    </row>
    <row r="2054" ht="13.5" hidden="1" spans="1:5">
      <c r="A2054" s="2" t="str">
        <f>"顾米"</f>
        <v>顾米</v>
      </c>
      <c r="B2054" s="2" t="str">
        <f>"B20230702303"</f>
        <v>B20230702303</v>
      </c>
      <c r="C2054" s="2" t="str">
        <f t="shared" si="441"/>
        <v>女</v>
      </c>
      <c r="D2054" s="2" t="str">
        <f t="shared" si="442"/>
        <v>9</v>
      </c>
      <c r="E2054" s="2" t="str">
        <f>"马栏山新媒体学院"</f>
        <v>马栏山新媒体学院</v>
      </c>
    </row>
    <row r="2055" ht="13.5" hidden="1" spans="1:5">
      <c r="A2055" s="2" t="str">
        <f>"罗涛"</f>
        <v>罗涛</v>
      </c>
      <c r="B2055" s="2" t="str">
        <f>"B20230504229"</f>
        <v>B20230504229</v>
      </c>
      <c r="C2055" s="2" t="str">
        <f t="shared" si="440"/>
        <v>男</v>
      </c>
      <c r="D2055" s="2" t="str">
        <f t="shared" si="442"/>
        <v>9</v>
      </c>
      <c r="E2055" s="2" t="str">
        <f>"生物与化学工程学院"</f>
        <v>生物与化学工程学院</v>
      </c>
    </row>
    <row r="2056" ht="13.5" hidden="1" spans="1:5">
      <c r="A2056" s="2" t="str">
        <f>"蒲玲玲"</f>
        <v>蒲玲玲</v>
      </c>
      <c r="B2056" s="2" t="str">
        <f>"B20220802224"</f>
        <v>B20220802224</v>
      </c>
      <c r="C2056" s="2" t="str">
        <f t="shared" ref="C2056:C2060" si="443">"女"</f>
        <v>女</v>
      </c>
      <c r="D2056" s="2" t="str">
        <f t="shared" si="442"/>
        <v>9</v>
      </c>
      <c r="E2056" s="2" t="str">
        <f>"外国语学院"</f>
        <v>外国语学院</v>
      </c>
    </row>
    <row r="2057" ht="13.5" hidden="1" spans="1:5">
      <c r="A2057" s="2" t="str">
        <f>"王雪晴"</f>
        <v>王雪晴</v>
      </c>
      <c r="B2057" s="2" t="str">
        <f>"B20230104213"</f>
        <v>B20230104213</v>
      </c>
      <c r="C2057" s="2" t="str">
        <f t="shared" si="443"/>
        <v>女</v>
      </c>
      <c r="D2057" s="2" t="str">
        <f t="shared" si="442"/>
        <v>9</v>
      </c>
      <c r="E2057" s="2" t="str">
        <f>"土木工程学院"</f>
        <v>土木工程学院</v>
      </c>
    </row>
    <row r="2058" ht="13.5" hidden="1" spans="1:5">
      <c r="A2058" s="2" t="str">
        <f>"江姝槿"</f>
        <v>江姝槿</v>
      </c>
      <c r="B2058" s="2" t="str">
        <f>"B20230801324"</f>
        <v>B20230801324</v>
      </c>
      <c r="C2058" s="2" t="str">
        <f t="shared" si="443"/>
        <v>女</v>
      </c>
      <c r="D2058" s="2" t="str">
        <f t="shared" si="442"/>
        <v>9</v>
      </c>
      <c r="E2058" s="2" t="str">
        <f>"外国语学院"</f>
        <v>外国语学院</v>
      </c>
    </row>
    <row r="2059" ht="13.5" hidden="1" spans="1:5">
      <c r="A2059" s="2" t="str">
        <f>"刘睿"</f>
        <v>刘睿</v>
      </c>
      <c r="B2059" s="2" t="str">
        <f>"B20230601402"</f>
        <v>B20230601402</v>
      </c>
      <c r="C2059" s="2" t="str">
        <f t="shared" si="443"/>
        <v>女</v>
      </c>
      <c r="D2059" s="2" t="str">
        <f t="shared" si="442"/>
        <v>9</v>
      </c>
      <c r="E2059" s="2" t="str">
        <f>"法学院"</f>
        <v>法学院</v>
      </c>
    </row>
    <row r="2060" ht="13.5" hidden="1" spans="1:5">
      <c r="A2060" s="2" t="str">
        <f>"龚莹"</f>
        <v>龚莹</v>
      </c>
      <c r="B2060" s="2" t="str">
        <f>"B20210203202"</f>
        <v>B20210203202</v>
      </c>
      <c r="C2060" s="2" t="str">
        <f t="shared" si="443"/>
        <v>女</v>
      </c>
      <c r="D2060" s="2" t="str">
        <f t="shared" si="442"/>
        <v>9</v>
      </c>
      <c r="E2060" s="2" t="str">
        <f t="shared" ref="E2060:E2065" si="444">"机电工程学院"</f>
        <v>机电工程学院</v>
      </c>
    </row>
    <row r="2061" ht="13.5" hidden="1" spans="1:5">
      <c r="A2061" s="2" t="str">
        <f>"沈阳"</f>
        <v>沈阳</v>
      </c>
      <c r="B2061" s="2" t="str">
        <f>"B20200202303"</f>
        <v>B20200202303</v>
      </c>
      <c r="C2061" s="2" t="str">
        <f>"男"</f>
        <v>男</v>
      </c>
      <c r="D2061" s="2" t="str">
        <f t="shared" si="442"/>
        <v>9</v>
      </c>
      <c r="E2061" s="2" t="str">
        <f t="shared" si="444"/>
        <v>机电工程学院</v>
      </c>
    </row>
    <row r="2062" ht="13.5" hidden="1" spans="1:5">
      <c r="A2062" s="2" t="str">
        <f>"韩文亚旎"</f>
        <v>韩文亚旎</v>
      </c>
      <c r="B2062" s="2" t="str">
        <f>"B20201003121"</f>
        <v>B20201003121</v>
      </c>
      <c r="C2062" s="2" t="str">
        <f t="shared" ref="C2062:C2066" si="445">"女"</f>
        <v>女</v>
      </c>
      <c r="D2062" s="2" t="str">
        <f t="shared" si="442"/>
        <v>9</v>
      </c>
      <c r="E2062" s="2" t="str">
        <f>"艺术设计学院"</f>
        <v>艺术设计学院</v>
      </c>
    </row>
    <row r="2063" customHeight="1" spans="1:5">
      <c r="A2063" s="6" t="str">
        <f>"左莉"</f>
        <v>左莉</v>
      </c>
      <c r="B2063" s="6" t="str">
        <f>"B20210202307"</f>
        <v>B20210202307</v>
      </c>
      <c r="C2063" s="6" t="str">
        <f t="shared" si="445"/>
        <v>女</v>
      </c>
      <c r="D2063" s="7" t="str">
        <f>"16"</f>
        <v>16</v>
      </c>
      <c r="E2063" s="6" t="str">
        <f>"计算机科学与工程学院"</f>
        <v>计算机科学与工程学院</v>
      </c>
    </row>
    <row r="2064" ht="13.5" hidden="1" spans="1:5">
      <c r="A2064" s="2" t="str">
        <f>"吴芳虞"</f>
        <v>吴芳虞</v>
      </c>
      <c r="B2064" s="2" t="str">
        <f>"B20220802134"</f>
        <v>B20220802134</v>
      </c>
      <c r="C2064" s="2" t="str">
        <f t="shared" si="445"/>
        <v>女</v>
      </c>
      <c r="D2064" s="2" t="str">
        <f t="shared" si="442"/>
        <v>9</v>
      </c>
      <c r="E2064" s="2" t="str">
        <f>"外国语学院"</f>
        <v>外国语学院</v>
      </c>
    </row>
    <row r="2065" ht="13.5" hidden="1" spans="1:5">
      <c r="A2065" s="2" t="str">
        <f>"胡静"</f>
        <v>胡静</v>
      </c>
      <c r="B2065" s="2" t="str">
        <f>"B20220201433"</f>
        <v>B20220201433</v>
      </c>
      <c r="C2065" s="2" t="str">
        <f t="shared" si="445"/>
        <v>女</v>
      </c>
      <c r="D2065" s="2" t="str">
        <f t="shared" si="442"/>
        <v>9</v>
      </c>
      <c r="E2065" s="2" t="str">
        <f t="shared" si="444"/>
        <v>机电工程学院</v>
      </c>
    </row>
    <row r="2066" ht="13.5" hidden="1" spans="1:5">
      <c r="A2066" s="2" t="str">
        <f>"覃雪贤"</f>
        <v>覃雪贤</v>
      </c>
      <c r="B2066" s="2" t="str">
        <f>"B20220104233"</f>
        <v>B20220104233</v>
      </c>
      <c r="C2066" s="2" t="str">
        <f t="shared" si="445"/>
        <v>女</v>
      </c>
      <c r="D2066" s="2" t="str">
        <f t="shared" si="442"/>
        <v>9</v>
      </c>
      <c r="E2066" s="2" t="str">
        <f t="shared" ref="E2066:E2071" si="446">"土木工程学院"</f>
        <v>土木工程学院</v>
      </c>
    </row>
    <row r="2067" ht="13.5" hidden="1" spans="1:5">
      <c r="A2067" s="2" t="str">
        <f>"吴佳凤"</f>
        <v>吴佳凤</v>
      </c>
      <c r="B2067" s="2" t="str">
        <f>"B20220403221"</f>
        <v>B20220403221</v>
      </c>
      <c r="C2067" s="2" t="str">
        <f t="shared" ref="C2067:C2080" si="447">"男"</f>
        <v>男</v>
      </c>
      <c r="D2067" s="2" t="str">
        <f t="shared" si="442"/>
        <v>9</v>
      </c>
      <c r="E2067" s="2" t="str">
        <f>"电子信息与电气工程学院"</f>
        <v>电子信息与电气工程学院</v>
      </c>
    </row>
    <row r="2068" ht="13.5" hidden="1" spans="1:5">
      <c r="A2068" s="2" t="str">
        <f>"赵子涵"</f>
        <v>赵子涵</v>
      </c>
      <c r="B2068" s="2" t="str">
        <f>"B20230103111"</f>
        <v>B20230103111</v>
      </c>
      <c r="C2068" s="2" t="str">
        <f t="shared" ref="C2068:C2072" si="448">"女"</f>
        <v>女</v>
      </c>
      <c r="D2068" s="2" t="str">
        <f t="shared" si="442"/>
        <v>9</v>
      </c>
      <c r="E2068" s="2" t="str">
        <f t="shared" si="446"/>
        <v>土木工程学院</v>
      </c>
    </row>
    <row r="2069" ht="13.5" hidden="1" spans="1:5">
      <c r="A2069" s="2" t="str">
        <f>"张家宝"</f>
        <v>张家宝</v>
      </c>
      <c r="B2069" s="2" t="str">
        <f>"B20230701126"</f>
        <v>B20230701126</v>
      </c>
      <c r="C2069" s="2" t="str">
        <f t="shared" si="447"/>
        <v>男</v>
      </c>
      <c r="D2069" s="2" t="str">
        <f t="shared" si="442"/>
        <v>9</v>
      </c>
      <c r="E2069" s="2" t="str">
        <f>"马栏山新媒体学院"</f>
        <v>马栏山新媒体学院</v>
      </c>
    </row>
    <row r="2070" ht="13.5" hidden="1" spans="1:5">
      <c r="A2070" s="2" t="str">
        <f>"陈思思"</f>
        <v>陈思思</v>
      </c>
      <c r="B2070" s="2" t="str">
        <f>"B20210401204"</f>
        <v>B20210401204</v>
      </c>
      <c r="C2070" s="2" t="str">
        <f t="shared" si="448"/>
        <v>女</v>
      </c>
      <c r="D2070" s="2" t="str">
        <f t="shared" si="442"/>
        <v>9</v>
      </c>
      <c r="E2070" s="2" t="str">
        <f>"电子信息与电气工程学院"</f>
        <v>电子信息与电气工程学院</v>
      </c>
    </row>
    <row r="2071" ht="13.5" hidden="1" spans="1:5">
      <c r="A2071" s="2" t="str">
        <f>"沈乐"</f>
        <v>沈乐</v>
      </c>
      <c r="B2071" s="2" t="str">
        <f>"B20210104209"</f>
        <v>B20210104209</v>
      </c>
      <c r="C2071" s="2" t="str">
        <f t="shared" si="448"/>
        <v>女</v>
      </c>
      <c r="D2071" s="2" t="str">
        <f t="shared" si="442"/>
        <v>9</v>
      </c>
      <c r="E2071" s="2" t="str">
        <f t="shared" si="446"/>
        <v>土木工程学院</v>
      </c>
    </row>
    <row r="2072" ht="13.5" hidden="1" spans="1:5">
      <c r="A2072" s="2" t="str">
        <f>"王静茹"</f>
        <v>王静茹</v>
      </c>
      <c r="B2072" s="2" t="str">
        <f>"B20210202309"</f>
        <v>B20210202309</v>
      </c>
      <c r="C2072" s="2" t="str">
        <f t="shared" si="448"/>
        <v>女</v>
      </c>
      <c r="D2072" s="2" t="str">
        <f>"8"</f>
        <v>8</v>
      </c>
      <c r="E2072" s="2" t="str">
        <f>"数学学院"</f>
        <v>数学学院</v>
      </c>
    </row>
    <row r="2073" ht="13.5" hidden="1" spans="1:5">
      <c r="A2073" s="2" t="str">
        <f>"龙伟"</f>
        <v>龙伟</v>
      </c>
      <c r="B2073" s="2" t="str">
        <f>"B20231302224"</f>
        <v>B20231302224</v>
      </c>
      <c r="C2073" s="2" t="str">
        <f t="shared" si="447"/>
        <v>男</v>
      </c>
      <c r="D2073" s="2" t="str">
        <f t="shared" si="442"/>
        <v>9</v>
      </c>
      <c r="E2073" s="2" t="str">
        <f>"材料与环境工程学院"</f>
        <v>材料与环境工程学院</v>
      </c>
    </row>
    <row r="2074" ht="13.5" hidden="1" spans="1:5">
      <c r="A2074" s="2" t="str">
        <f>"雷俊明"</f>
        <v>雷俊明</v>
      </c>
      <c r="B2074" s="2" t="str">
        <f>"B20200401120"</f>
        <v>B20200401120</v>
      </c>
      <c r="C2074" s="2" t="str">
        <f t="shared" si="447"/>
        <v>男</v>
      </c>
      <c r="D2074" s="2" t="str">
        <f t="shared" si="442"/>
        <v>9</v>
      </c>
      <c r="E2074" s="2" t="str">
        <f>"电子信息与电气工程学院"</f>
        <v>电子信息与电气工程学院</v>
      </c>
    </row>
    <row r="2075" ht="13.5" hidden="1" spans="1:5">
      <c r="A2075" s="2" t="str">
        <f>"刘卓林"</f>
        <v>刘卓林</v>
      </c>
      <c r="B2075" s="2" t="str">
        <f>"B20230601217"</f>
        <v>B20230601217</v>
      </c>
      <c r="C2075" s="2" t="str">
        <f t="shared" si="447"/>
        <v>男</v>
      </c>
      <c r="D2075" s="2" t="str">
        <f t="shared" si="442"/>
        <v>9</v>
      </c>
      <c r="E2075" s="2" t="str">
        <f>"法学院"</f>
        <v>法学院</v>
      </c>
    </row>
    <row r="2076" ht="13.5" hidden="1" spans="1:5">
      <c r="A2076" s="2" t="str">
        <f>"马斌斌"</f>
        <v>马斌斌</v>
      </c>
      <c r="B2076" s="2" t="str">
        <f>"B20191003203"</f>
        <v>B20191003203</v>
      </c>
      <c r="C2076" s="2" t="str">
        <f t="shared" si="447"/>
        <v>男</v>
      </c>
      <c r="D2076" s="2" t="str">
        <f t="shared" si="442"/>
        <v>9</v>
      </c>
      <c r="E2076" s="2" t="str">
        <f>"艺术设计学院"</f>
        <v>艺术设计学院</v>
      </c>
    </row>
    <row r="2077" ht="13.5" hidden="1" spans="1:5">
      <c r="A2077" s="2" t="str">
        <f>"刘震锟"</f>
        <v>刘震锟</v>
      </c>
      <c r="B2077" s="2" t="str">
        <f>"B20230405118"</f>
        <v>B20230405118</v>
      </c>
      <c r="C2077" s="2" t="str">
        <f t="shared" si="447"/>
        <v>男</v>
      </c>
      <c r="D2077" s="2" t="str">
        <f t="shared" si="442"/>
        <v>9</v>
      </c>
      <c r="E2077" s="2" t="str">
        <f>"电子信息与电气工程学院"</f>
        <v>电子信息与电气工程学院</v>
      </c>
    </row>
    <row r="2078" ht="13.5" hidden="1" spans="1:5">
      <c r="A2078" s="2" t="str">
        <f>"黄林"</f>
        <v>黄林</v>
      </c>
      <c r="B2078" s="2" t="str">
        <f>"B20210101615"</f>
        <v>B20210101615</v>
      </c>
      <c r="C2078" s="2" t="str">
        <f t="shared" si="447"/>
        <v>男</v>
      </c>
      <c r="D2078" s="2" t="str">
        <f t="shared" si="442"/>
        <v>9</v>
      </c>
      <c r="E2078" s="2" t="str">
        <f>"土木工程学院"</f>
        <v>土木工程学院</v>
      </c>
    </row>
    <row r="2079" ht="13.5" hidden="1" spans="1:5">
      <c r="A2079" s="2" t="str">
        <f>"唐琳金"</f>
        <v>唐琳金</v>
      </c>
      <c r="B2079" s="2" t="str">
        <f>"B20220504111"</f>
        <v>B20220504111</v>
      </c>
      <c r="C2079" s="2" t="str">
        <f t="shared" si="447"/>
        <v>男</v>
      </c>
      <c r="D2079" s="2" t="str">
        <f t="shared" si="442"/>
        <v>9</v>
      </c>
      <c r="E2079" s="2" t="str">
        <f>"生物与化学工程学院"</f>
        <v>生物与化学工程学院</v>
      </c>
    </row>
    <row r="2080" ht="13.5" hidden="1" spans="1:5">
      <c r="A2080" s="2" t="str">
        <f>"谢罗"</f>
        <v>谢罗</v>
      </c>
      <c r="B2080" s="2" t="str">
        <f>"B20220504420"</f>
        <v>B20220504420</v>
      </c>
      <c r="C2080" s="2" t="str">
        <f t="shared" si="447"/>
        <v>男</v>
      </c>
      <c r="D2080" s="2" t="str">
        <f t="shared" si="442"/>
        <v>9</v>
      </c>
      <c r="E2080" s="2" t="str">
        <f>"生物与化学工程学院"</f>
        <v>生物与化学工程学院</v>
      </c>
    </row>
    <row r="2081" ht="13.5" hidden="1" spans="1:5">
      <c r="A2081" s="2" t="str">
        <f>"刘异湘"</f>
        <v>刘异湘</v>
      </c>
      <c r="B2081" s="2" t="str">
        <f>"B20220904214"</f>
        <v>B20220904214</v>
      </c>
      <c r="C2081" s="2" t="str">
        <f t="shared" ref="C2081:C2087" si="449">"女"</f>
        <v>女</v>
      </c>
      <c r="D2081" s="2" t="str">
        <f t="shared" si="442"/>
        <v>9</v>
      </c>
      <c r="E2081" s="2" t="str">
        <f>"经济与管理学院"</f>
        <v>经济与管理学院</v>
      </c>
    </row>
    <row r="2082" ht="13.5" hidden="1" spans="1:5">
      <c r="A2082" s="2" t="str">
        <f>"刘思汝"</f>
        <v>刘思汝</v>
      </c>
      <c r="B2082" s="2" t="str">
        <f>"B20230904127"</f>
        <v>B20230904127</v>
      </c>
      <c r="C2082" s="2" t="str">
        <f t="shared" si="449"/>
        <v>女</v>
      </c>
      <c r="D2082" s="2" t="str">
        <f t="shared" si="442"/>
        <v>9</v>
      </c>
      <c r="E2082" s="2" t="str">
        <f>"经济与管理学院"</f>
        <v>经济与管理学院</v>
      </c>
    </row>
    <row r="2083" customHeight="1" spans="1:5">
      <c r="A2083" s="6" t="str">
        <f>"李馨怡"</f>
        <v>李馨怡</v>
      </c>
      <c r="B2083" s="6" t="str">
        <f>"B20210202313"</f>
        <v>B20210202313</v>
      </c>
      <c r="C2083" s="6" t="str">
        <f t="shared" si="449"/>
        <v>女</v>
      </c>
      <c r="D2083" s="7" t="str">
        <f>"8"</f>
        <v>8</v>
      </c>
      <c r="E2083" s="6" t="str">
        <f>"计算机科学与工程学院"</f>
        <v>计算机科学与工程学院</v>
      </c>
    </row>
    <row r="2084" ht="13.5" hidden="1" spans="1:5">
      <c r="A2084" s="2" t="str">
        <f>"钟航"</f>
        <v>钟航</v>
      </c>
      <c r="B2084" s="2" t="str">
        <f>"B20210202410"</f>
        <v>B20210202410</v>
      </c>
      <c r="C2084" s="2" t="str">
        <f>"男"</f>
        <v>男</v>
      </c>
      <c r="D2084" s="2" t="str">
        <f>"16"</f>
        <v>16</v>
      </c>
      <c r="E2084" s="2" t="str">
        <f>"数学学院"</f>
        <v>数学学院</v>
      </c>
    </row>
    <row r="2085" ht="13.5" hidden="1" spans="1:5">
      <c r="A2085" s="2" t="str">
        <f>"唐赛亚"</f>
        <v>唐赛亚</v>
      </c>
      <c r="B2085" s="2" t="str">
        <f>"B20201004207"</f>
        <v>B20201004207</v>
      </c>
      <c r="C2085" s="2" t="str">
        <f t="shared" si="449"/>
        <v>女</v>
      </c>
      <c r="D2085" s="2" t="str">
        <f t="shared" si="442"/>
        <v>9</v>
      </c>
      <c r="E2085" s="2" t="str">
        <f>"艺术设计学院"</f>
        <v>艺术设计学院</v>
      </c>
    </row>
    <row r="2086" ht="13.5" hidden="1" spans="1:5">
      <c r="A2086" s="2" t="str">
        <f>"范丹丹"</f>
        <v>范丹丹</v>
      </c>
      <c r="B2086" s="2" t="str">
        <f>"B20200803128"</f>
        <v>B20200803128</v>
      </c>
      <c r="C2086" s="2" t="str">
        <f t="shared" si="449"/>
        <v>女</v>
      </c>
      <c r="D2086" s="2" t="str">
        <f t="shared" si="442"/>
        <v>9</v>
      </c>
      <c r="E2086" s="2" t="str">
        <f>"外国语学院"</f>
        <v>外国语学院</v>
      </c>
    </row>
    <row r="2087" ht="13.5" hidden="1" spans="1:5">
      <c r="A2087" s="2" t="str">
        <f>"马欢欢"</f>
        <v>马欢欢</v>
      </c>
      <c r="B2087" s="2" t="str">
        <f>"B20210505237"</f>
        <v>B20210505237</v>
      </c>
      <c r="C2087" s="2" t="str">
        <f t="shared" si="449"/>
        <v>女</v>
      </c>
      <c r="D2087" s="2" t="str">
        <f t="shared" si="442"/>
        <v>9</v>
      </c>
      <c r="E2087" s="2" t="str">
        <f>"材料与环境工程学院"</f>
        <v>材料与环境工程学院</v>
      </c>
    </row>
    <row r="2088" customHeight="1" spans="1:5">
      <c r="A2088" s="6" t="str">
        <f>"李成成"</f>
        <v>李成成</v>
      </c>
      <c r="B2088" s="6" t="str">
        <f>"B20210202419"</f>
        <v>B20210202419</v>
      </c>
      <c r="C2088" s="6" t="str">
        <f>"男"</f>
        <v>男</v>
      </c>
      <c r="D2088" s="7" t="str">
        <f>"3"</f>
        <v>3</v>
      </c>
      <c r="E2088" s="6" t="str">
        <f>"计算机科学与工程学院"</f>
        <v>计算机科学与工程学院</v>
      </c>
    </row>
    <row r="2089" ht="13.5" hidden="1" spans="1:5">
      <c r="A2089" s="2" t="str">
        <f>"童琼蒂"</f>
        <v>童琼蒂</v>
      </c>
      <c r="B2089" s="2" t="str">
        <f>"B20200504215"</f>
        <v>B20200504215</v>
      </c>
      <c r="C2089" s="2" t="str">
        <f t="shared" ref="C2089:C2093" si="450">"女"</f>
        <v>女</v>
      </c>
      <c r="D2089" s="2" t="str">
        <f t="shared" si="442"/>
        <v>9</v>
      </c>
      <c r="E2089" s="2" t="str">
        <f>"生物与环境工程学院"</f>
        <v>生物与环境工程学院</v>
      </c>
    </row>
    <row r="2090" customHeight="1" spans="1:5">
      <c r="A2090" s="6" t="str">
        <f>"彭文娟"</f>
        <v>彭文娟</v>
      </c>
      <c r="B2090" s="6" t="str">
        <f>"B20210203211"</f>
        <v>B20210203211</v>
      </c>
      <c r="C2090" s="6" t="str">
        <f t="shared" si="450"/>
        <v>女</v>
      </c>
      <c r="D2090" s="7" t="str">
        <f>"5"</f>
        <v>5</v>
      </c>
      <c r="E2090" s="6" t="str">
        <f>"计算机科学与工程学院"</f>
        <v>计算机科学与工程学院</v>
      </c>
    </row>
    <row r="2091" ht="13.5" hidden="1" spans="1:5">
      <c r="A2091" s="2" t="str">
        <f>"童青云"</f>
        <v>童青云</v>
      </c>
      <c r="B2091" s="2" t="str">
        <f>"B20210301101"</f>
        <v>B20210301101</v>
      </c>
      <c r="C2091" s="2" t="str">
        <f>"男"</f>
        <v>男</v>
      </c>
      <c r="D2091" s="2" t="str">
        <f>"10"</f>
        <v>10</v>
      </c>
      <c r="E2091" s="2" t="str">
        <f>"数学学院"</f>
        <v>数学学院</v>
      </c>
    </row>
    <row r="2092" ht="13.5" hidden="1" spans="1:5">
      <c r="A2092" s="2" t="str">
        <f>"郑雅婷"</f>
        <v>郑雅婷</v>
      </c>
      <c r="B2092" s="2" t="str">
        <f>"B20231301206"</f>
        <v>B20231301206</v>
      </c>
      <c r="C2092" s="2" t="str">
        <f t="shared" si="450"/>
        <v>女</v>
      </c>
      <c r="D2092" s="2" t="str">
        <f t="shared" si="442"/>
        <v>9</v>
      </c>
      <c r="E2092" s="2" t="str">
        <f>"材料与环境工程学院"</f>
        <v>材料与环境工程学院</v>
      </c>
    </row>
    <row r="2093" ht="13.5" hidden="1" spans="1:5">
      <c r="A2093" s="2" t="str">
        <f>"黄婧雅"</f>
        <v>黄婧雅</v>
      </c>
      <c r="B2093" s="2" t="str">
        <f>"B20230705105"</f>
        <v>B20230705105</v>
      </c>
      <c r="C2093" s="2" t="str">
        <f t="shared" si="450"/>
        <v>女</v>
      </c>
      <c r="D2093" s="2" t="str">
        <f t="shared" si="442"/>
        <v>9</v>
      </c>
      <c r="E2093" s="2" t="str">
        <f>"马栏山新媒体学院"</f>
        <v>马栏山新媒体学院</v>
      </c>
    </row>
    <row r="2094" ht="13.5" hidden="1" spans="1:5">
      <c r="A2094" s="2" t="str">
        <f>"潘长翰"</f>
        <v>潘长翰</v>
      </c>
      <c r="B2094" s="2" t="str">
        <f>"B20230201126"</f>
        <v>B20230201126</v>
      </c>
      <c r="C2094" s="2" t="str">
        <f t="shared" ref="C2094:C2096" si="451">"男"</f>
        <v>男</v>
      </c>
      <c r="D2094" s="2" t="str">
        <f t="shared" si="442"/>
        <v>9</v>
      </c>
      <c r="E2094" s="2" t="str">
        <f>"机电工程学院"</f>
        <v>机电工程学院</v>
      </c>
    </row>
    <row r="2095" ht="13.5" hidden="1" spans="1:5">
      <c r="A2095" s="2" t="str">
        <f>"马家欢"</f>
        <v>马家欢</v>
      </c>
      <c r="B2095" s="2" t="str">
        <f>"B20220103211"</f>
        <v>B20220103211</v>
      </c>
      <c r="C2095" s="2" t="str">
        <f t="shared" si="451"/>
        <v>男</v>
      </c>
      <c r="D2095" s="2" t="str">
        <f t="shared" si="442"/>
        <v>9</v>
      </c>
      <c r="E2095" s="2" t="str">
        <f>"土木工程学院"</f>
        <v>土木工程学院</v>
      </c>
    </row>
    <row r="2096" ht="13.5" hidden="1" spans="1:5">
      <c r="A2096" s="2" t="str">
        <f>"费云涛"</f>
        <v>费云涛</v>
      </c>
      <c r="B2096" s="2" t="str">
        <f>"B20230205221"</f>
        <v>B20230205221</v>
      </c>
      <c r="C2096" s="2" t="str">
        <f t="shared" si="451"/>
        <v>男</v>
      </c>
      <c r="D2096" s="2" t="str">
        <f t="shared" si="442"/>
        <v>9</v>
      </c>
      <c r="E2096" s="2" t="str">
        <f>"机电工程学院"</f>
        <v>机电工程学院</v>
      </c>
    </row>
    <row r="2097" ht="13.5" hidden="1" spans="1:5">
      <c r="A2097" s="2" t="str">
        <f>"丘黎"</f>
        <v>丘黎</v>
      </c>
      <c r="B2097" s="2" t="str">
        <f>"B20230702122"</f>
        <v>B20230702122</v>
      </c>
      <c r="C2097" s="2" t="str">
        <f t="shared" ref="C2097:C2101" si="452">"女"</f>
        <v>女</v>
      </c>
      <c r="D2097" s="2" t="str">
        <f t="shared" si="442"/>
        <v>9</v>
      </c>
      <c r="E2097" s="2" t="str">
        <f>"马栏山新媒体学院"</f>
        <v>马栏山新媒体学院</v>
      </c>
    </row>
    <row r="2098" ht="13.5" hidden="1" spans="1:5">
      <c r="A2098" s="2" t="str">
        <f>"孙烨"</f>
        <v>孙烨</v>
      </c>
      <c r="B2098" s="2" t="str">
        <f>"B20210801612"</f>
        <v>B20210801612</v>
      </c>
      <c r="C2098" s="2" t="str">
        <f t="shared" si="452"/>
        <v>女</v>
      </c>
      <c r="D2098" s="2" t="str">
        <f t="shared" si="442"/>
        <v>9</v>
      </c>
      <c r="E2098" s="2" t="str">
        <f>"外国语学院"</f>
        <v>外国语学院</v>
      </c>
    </row>
    <row r="2099" ht="13.5" hidden="1" spans="1:5">
      <c r="A2099" s="2" t="str">
        <f>"张楚杰"</f>
        <v>张楚杰</v>
      </c>
      <c r="B2099" s="2" t="str">
        <f>"B20210704226"</f>
        <v>B20210704226</v>
      </c>
      <c r="C2099" s="2" t="str">
        <f t="shared" ref="C2099:C2103" si="453">"男"</f>
        <v>男</v>
      </c>
      <c r="D2099" s="2" t="str">
        <f t="shared" si="442"/>
        <v>9</v>
      </c>
      <c r="E2099" s="2" t="str">
        <f>"马栏山新媒体学院"</f>
        <v>马栏山新媒体学院</v>
      </c>
    </row>
    <row r="2100" ht="13.5" hidden="1" spans="1:5">
      <c r="A2100" s="2" t="str">
        <f>"尹潇"</f>
        <v>尹潇</v>
      </c>
      <c r="B2100" s="2" t="str">
        <f>"B20210906119"</f>
        <v>B20210906119</v>
      </c>
      <c r="C2100" s="2" t="str">
        <f t="shared" si="453"/>
        <v>男</v>
      </c>
      <c r="D2100" s="2" t="str">
        <f t="shared" si="442"/>
        <v>9</v>
      </c>
      <c r="E2100" s="2" t="str">
        <f>"经济与管理学院"</f>
        <v>经济与管理学院</v>
      </c>
    </row>
    <row r="2101" ht="13.5" hidden="1" spans="1:5">
      <c r="A2101" s="2" t="str">
        <f>"李丽香"</f>
        <v>李丽香</v>
      </c>
      <c r="B2101" s="2" t="str">
        <f>"B20210301102"</f>
        <v>B20210301102</v>
      </c>
      <c r="C2101" s="2" t="str">
        <f>"女"</f>
        <v>女</v>
      </c>
      <c r="D2101" s="2" t="str">
        <f>"8"</f>
        <v>8</v>
      </c>
      <c r="E2101" s="2" t="str">
        <f>"数学学院"</f>
        <v>数学学院</v>
      </c>
    </row>
    <row r="2102" ht="13.5" hidden="1" spans="1:5">
      <c r="A2102" s="2" t="str">
        <f>"周俊涛"</f>
        <v>周俊涛</v>
      </c>
      <c r="B2102" s="2" t="str">
        <f>"B20220905106"</f>
        <v>B20220905106</v>
      </c>
      <c r="C2102" s="2" t="str">
        <f t="shared" si="453"/>
        <v>男</v>
      </c>
      <c r="D2102" s="2" t="str">
        <f t="shared" si="442"/>
        <v>9</v>
      </c>
      <c r="E2102" s="2" t="str">
        <f>"经济与管理学院"</f>
        <v>经济与管理学院</v>
      </c>
    </row>
    <row r="2103" ht="13.5" hidden="1" spans="1:5">
      <c r="A2103" s="2" t="str">
        <f>"滕康"</f>
        <v>滕康</v>
      </c>
      <c r="B2103" s="2" t="str">
        <f>"B20230401111"</f>
        <v>B20230401111</v>
      </c>
      <c r="C2103" s="2" t="str">
        <f t="shared" si="453"/>
        <v>男</v>
      </c>
      <c r="D2103" s="2" t="str">
        <f t="shared" si="442"/>
        <v>9</v>
      </c>
      <c r="E2103" s="2" t="str">
        <f>"电子信息与电气工程学院"</f>
        <v>电子信息与电气工程学院</v>
      </c>
    </row>
    <row r="2104" ht="13.5" hidden="1" spans="1:5">
      <c r="A2104" s="2" t="str">
        <f>"余婕"</f>
        <v>余婕</v>
      </c>
      <c r="B2104" s="2" t="str">
        <f>"B20210801205"</f>
        <v>B20210801205</v>
      </c>
      <c r="C2104" s="2" t="str">
        <f t="shared" ref="C2104:C2106" si="454">"女"</f>
        <v>女</v>
      </c>
      <c r="D2104" s="2" t="str">
        <f t="shared" si="442"/>
        <v>9</v>
      </c>
      <c r="E2104" s="2" t="str">
        <f>"外国语学院"</f>
        <v>外国语学院</v>
      </c>
    </row>
    <row r="2105" customHeight="1" spans="1:5">
      <c r="A2105" s="6" t="str">
        <f>"张湘睿"</f>
        <v>张湘睿</v>
      </c>
      <c r="B2105" s="6" t="str">
        <f>"B20210301105"</f>
        <v>B20210301105</v>
      </c>
      <c r="C2105" s="6" t="str">
        <f t="shared" si="454"/>
        <v>女</v>
      </c>
      <c r="D2105" s="7" t="str">
        <f t="shared" si="442"/>
        <v>9</v>
      </c>
      <c r="E2105" s="6" t="str">
        <f>"计算机科学与工程学院"</f>
        <v>计算机科学与工程学院</v>
      </c>
    </row>
    <row r="2106" ht="13.5" hidden="1" spans="1:5">
      <c r="A2106" s="2" t="str">
        <f>"张洪坤"</f>
        <v>张洪坤</v>
      </c>
      <c r="B2106" s="2" t="str">
        <f>"B20210704118"</f>
        <v>B20210704118</v>
      </c>
      <c r="C2106" s="2" t="str">
        <f t="shared" si="454"/>
        <v>女</v>
      </c>
      <c r="D2106" s="2" t="str">
        <f t="shared" si="442"/>
        <v>9</v>
      </c>
      <c r="E2106" s="2" t="str">
        <f>"马栏山新媒体学院"</f>
        <v>马栏山新媒体学院</v>
      </c>
    </row>
    <row r="2107" ht="13.5" hidden="1" spans="1:5">
      <c r="A2107" s="2" t="str">
        <f>"肖锦程"</f>
        <v>肖锦程</v>
      </c>
      <c r="B2107" s="2" t="str">
        <f>"B20220801221"</f>
        <v>B20220801221</v>
      </c>
      <c r="C2107" s="2" t="str">
        <f>"男"</f>
        <v>男</v>
      </c>
      <c r="D2107" s="2" t="str">
        <f t="shared" si="442"/>
        <v>9</v>
      </c>
      <c r="E2107" s="2" t="str">
        <f>"外国语学院"</f>
        <v>外国语学院</v>
      </c>
    </row>
    <row r="2108" ht="13.5" hidden="1" spans="1:5">
      <c r="A2108" s="2" t="str">
        <f>"李红晶"</f>
        <v>李红晶</v>
      </c>
      <c r="B2108" s="2" t="str">
        <f>"B20210902119"</f>
        <v>B20210902119</v>
      </c>
      <c r="C2108" s="2" t="str">
        <f t="shared" ref="C2108:C2114" si="455">"女"</f>
        <v>女</v>
      </c>
      <c r="D2108" s="2" t="str">
        <f t="shared" si="442"/>
        <v>9</v>
      </c>
      <c r="E2108" s="2" t="str">
        <f t="shared" ref="E2108:E2111" si="456">"经济与管理学院"</f>
        <v>经济与管理学院</v>
      </c>
    </row>
    <row r="2109" ht="13.5" hidden="1" spans="1:5">
      <c r="A2109" s="2" t="str">
        <f>"陈若诗"</f>
        <v>陈若诗</v>
      </c>
      <c r="B2109" s="2" t="str">
        <f>"B20220704209"</f>
        <v>B20220704209</v>
      </c>
      <c r="C2109" s="2" t="str">
        <f t="shared" si="455"/>
        <v>女</v>
      </c>
      <c r="D2109" s="2" t="str">
        <f t="shared" si="442"/>
        <v>9</v>
      </c>
      <c r="E2109" s="2" t="str">
        <f>"马栏山新媒体学院"</f>
        <v>马栏山新媒体学院</v>
      </c>
    </row>
    <row r="2110" ht="13.5" hidden="1" spans="1:5">
      <c r="A2110" s="2" t="str">
        <f>"杜婉婷"</f>
        <v>杜婉婷</v>
      </c>
      <c r="B2110" s="2" t="str">
        <f>"B20230902101"</f>
        <v>B20230902101</v>
      </c>
      <c r="C2110" s="2" t="str">
        <f t="shared" si="455"/>
        <v>女</v>
      </c>
      <c r="D2110" s="2" t="str">
        <f t="shared" si="442"/>
        <v>9</v>
      </c>
      <c r="E2110" s="2" t="str">
        <f t="shared" si="456"/>
        <v>经济与管理学院</v>
      </c>
    </row>
    <row r="2111" ht="13.5" hidden="1" spans="1:5">
      <c r="A2111" s="2" t="str">
        <f>"谢静宜"</f>
        <v>谢静宜</v>
      </c>
      <c r="B2111" s="2" t="str">
        <f>"B20230906209"</f>
        <v>B20230906209</v>
      </c>
      <c r="C2111" s="2" t="str">
        <f t="shared" si="455"/>
        <v>女</v>
      </c>
      <c r="D2111" s="2" t="str">
        <f t="shared" si="442"/>
        <v>9</v>
      </c>
      <c r="E2111" s="2" t="str">
        <f t="shared" si="456"/>
        <v>经济与管理学院</v>
      </c>
    </row>
    <row r="2112" ht="13.5" hidden="1" spans="1:5">
      <c r="A2112" s="2" t="str">
        <f>"周雪"</f>
        <v>周雪</v>
      </c>
      <c r="B2112" s="2" t="str">
        <f>"B20221003108"</f>
        <v>B20221003108</v>
      </c>
      <c r="C2112" s="2" t="str">
        <f t="shared" si="455"/>
        <v>女</v>
      </c>
      <c r="D2112" s="2" t="str">
        <f t="shared" si="442"/>
        <v>9</v>
      </c>
      <c r="E2112" s="2" t="str">
        <f>"艺术设计学院"</f>
        <v>艺术设计学院</v>
      </c>
    </row>
    <row r="2113" ht="13.5" hidden="1" spans="1:5">
      <c r="A2113" s="2" t="str">
        <f>"王宣力"</f>
        <v>王宣力</v>
      </c>
      <c r="B2113" s="2" t="str">
        <f>"B20210301108"</f>
        <v>B20210301108</v>
      </c>
      <c r="C2113" s="2" t="str">
        <f t="shared" si="455"/>
        <v>女</v>
      </c>
      <c r="D2113" s="2" t="str">
        <f>"8"</f>
        <v>8</v>
      </c>
      <c r="E2113" s="2" t="str">
        <f>"数学学院"</f>
        <v>数学学院</v>
      </c>
    </row>
    <row r="2114" ht="13.5" hidden="1" spans="1:5">
      <c r="A2114" s="2" t="str">
        <f>"邓凌雪"</f>
        <v>邓凌雪</v>
      </c>
      <c r="B2114" s="2" t="str">
        <f>"B20200902107"</f>
        <v>B20200902107</v>
      </c>
      <c r="C2114" s="2" t="str">
        <f t="shared" si="455"/>
        <v>女</v>
      </c>
      <c r="D2114" s="2" t="str">
        <f t="shared" si="442"/>
        <v>9</v>
      </c>
      <c r="E2114" s="2" t="str">
        <f t="shared" ref="E2114:E2118" si="457">"经济与管理学院"</f>
        <v>经济与管理学院</v>
      </c>
    </row>
    <row r="2115" ht="13.5" hidden="1" spans="1:5">
      <c r="A2115" s="2" t="str">
        <f>"彭廷伟"</f>
        <v>彭廷伟</v>
      </c>
      <c r="B2115" s="2" t="str">
        <f>"B20230202129"</f>
        <v>B20230202129</v>
      </c>
      <c r="C2115" s="2" t="str">
        <f t="shared" ref="C2115:C2121" si="458">"男"</f>
        <v>男</v>
      </c>
      <c r="D2115" s="2" t="str">
        <f t="shared" si="442"/>
        <v>9</v>
      </c>
      <c r="E2115" s="2" t="str">
        <f>"机电工程学院"</f>
        <v>机电工程学院</v>
      </c>
    </row>
    <row r="2116" ht="13.5" hidden="1" spans="1:5">
      <c r="A2116" s="2" t="str">
        <f>"徐雯婧"</f>
        <v>徐雯婧</v>
      </c>
      <c r="B2116" s="2" t="str">
        <f>"B20230902217"</f>
        <v>B20230902217</v>
      </c>
      <c r="C2116" s="2" t="str">
        <f>"女"</f>
        <v>女</v>
      </c>
      <c r="D2116" s="2" t="str">
        <f t="shared" ref="D2116:D2179" si="459">"9"</f>
        <v>9</v>
      </c>
      <c r="E2116" s="2" t="str">
        <f t="shared" si="457"/>
        <v>经济与管理学院</v>
      </c>
    </row>
    <row r="2117" ht="13.5" hidden="1" spans="1:5">
      <c r="A2117" s="2" t="str">
        <f>"邓鼎盛"</f>
        <v>邓鼎盛</v>
      </c>
      <c r="B2117" s="2" t="str">
        <f>"B20230501105"</f>
        <v>B20230501105</v>
      </c>
      <c r="C2117" s="2" t="str">
        <f t="shared" si="458"/>
        <v>男</v>
      </c>
      <c r="D2117" s="2" t="str">
        <f t="shared" si="459"/>
        <v>9</v>
      </c>
      <c r="E2117" s="2" t="str">
        <f>"生物与化学工程学院"</f>
        <v>生物与化学工程学院</v>
      </c>
    </row>
    <row r="2118" ht="13.5" hidden="1" spans="1:5">
      <c r="A2118" s="2" t="str">
        <f>"曾智豪"</f>
        <v>曾智豪</v>
      </c>
      <c r="B2118" s="2" t="str">
        <f>"B20230902201"</f>
        <v>B20230902201</v>
      </c>
      <c r="C2118" s="2" t="str">
        <f t="shared" si="458"/>
        <v>男</v>
      </c>
      <c r="D2118" s="2" t="str">
        <f t="shared" si="459"/>
        <v>9</v>
      </c>
      <c r="E2118" s="2" t="str">
        <f t="shared" si="457"/>
        <v>经济与管理学院</v>
      </c>
    </row>
    <row r="2119" ht="13.5" hidden="1" spans="1:5">
      <c r="A2119" s="2" t="str">
        <f>"欧阳兴程"</f>
        <v>欧阳兴程</v>
      </c>
      <c r="B2119" s="2" t="str">
        <f>"B20220103219"</f>
        <v>B20220103219</v>
      </c>
      <c r="C2119" s="2" t="str">
        <f t="shared" si="458"/>
        <v>男</v>
      </c>
      <c r="D2119" s="2" t="str">
        <f t="shared" si="459"/>
        <v>9</v>
      </c>
      <c r="E2119" s="2" t="str">
        <f>"土木工程学院"</f>
        <v>土木工程学院</v>
      </c>
    </row>
    <row r="2120" ht="13.5" hidden="1" spans="1:5">
      <c r="A2120" s="2" t="str">
        <f>"贺鹏"</f>
        <v>贺鹏</v>
      </c>
      <c r="B2120" s="2" t="str">
        <f>"B20210301110"</f>
        <v>B20210301110</v>
      </c>
      <c r="C2120" s="2" t="str">
        <f t="shared" si="458"/>
        <v>男</v>
      </c>
      <c r="D2120" s="2" t="str">
        <f>"4"</f>
        <v>4</v>
      </c>
      <c r="E2120" s="2" t="str">
        <f>"数学学院"</f>
        <v>数学学院</v>
      </c>
    </row>
    <row r="2121" ht="13.5" hidden="1" spans="1:5">
      <c r="A2121" s="2" t="str">
        <f>"熊俊"</f>
        <v>熊俊</v>
      </c>
      <c r="B2121" s="2" t="str">
        <f>"B20200402112"</f>
        <v>B20200402112</v>
      </c>
      <c r="C2121" s="2" t="str">
        <f t="shared" si="458"/>
        <v>男</v>
      </c>
      <c r="D2121" s="2" t="str">
        <f t="shared" si="459"/>
        <v>9</v>
      </c>
      <c r="E2121" s="2" t="str">
        <f>"电子信息与电气工程学院"</f>
        <v>电子信息与电气工程学院</v>
      </c>
    </row>
    <row r="2122" ht="13.5" hidden="1" spans="1:5">
      <c r="A2122" s="2" t="str">
        <f>"马乐"</f>
        <v>马乐</v>
      </c>
      <c r="B2122" s="2" t="str">
        <f>"B20230701406"</f>
        <v>B20230701406</v>
      </c>
      <c r="C2122" s="2" t="str">
        <f t="shared" ref="C2120:C2124" si="460">"女"</f>
        <v>女</v>
      </c>
      <c r="D2122" s="2" t="str">
        <f t="shared" si="459"/>
        <v>9</v>
      </c>
      <c r="E2122" s="2" t="str">
        <f>"马栏山新媒体学院"</f>
        <v>马栏山新媒体学院</v>
      </c>
    </row>
    <row r="2123" ht="13.5" hidden="1" spans="1:5">
      <c r="A2123" s="2" t="str">
        <f>"向妙妙"</f>
        <v>向妙妙</v>
      </c>
      <c r="B2123" s="2" t="str">
        <f>"B20230701223"</f>
        <v>B20230701223</v>
      </c>
      <c r="C2123" s="2" t="str">
        <f t="shared" si="460"/>
        <v>女</v>
      </c>
      <c r="D2123" s="2" t="str">
        <f t="shared" si="459"/>
        <v>9</v>
      </c>
      <c r="E2123" s="2" t="str">
        <f>"马栏山新媒体学院"</f>
        <v>马栏山新媒体学院</v>
      </c>
    </row>
    <row r="2124" ht="13.5" hidden="1" spans="1:5">
      <c r="A2124" s="2" t="str">
        <f>"林洛桦"</f>
        <v>林洛桦</v>
      </c>
      <c r="B2124" s="2" t="str">
        <f>"B20210801223"</f>
        <v>B20210801223</v>
      </c>
      <c r="C2124" s="2" t="str">
        <f t="shared" si="460"/>
        <v>女</v>
      </c>
      <c r="D2124" s="2" t="str">
        <f t="shared" si="459"/>
        <v>9</v>
      </c>
      <c r="E2124" s="2" t="str">
        <f>"外国语学院"</f>
        <v>外国语学院</v>
      </c>
    </row>
    <row r="2125" ht="13.5" hidden="1" spans="1:5">
      <c r="A2125" s="2" t="str">
        <f>"黄成硕"</f>
        <v>黄成硕</v>
      </c>
      <c r="B2125" s="2" t="str">
        <f>"B20230504415"</f>
        <v>B20230504415</v>
      </c>
      <c r="C2125" s="2" t="str">
        <f t="shared" ref="C2125:C2129" si="461">"男"</f>
        <v>男</v>
      </c>
      <c r="D2125" s="2" t="str">
        <f t="shared" si="459"/>
        <v>9</v>
      </c>
      <c r="E2125" s="2" t="str">
        <f>"生物与化学工程学院"</f>
        <v>生物与化学工程学院</v>
      </c>
    </row>
    <row r="2126" ht="13.5" hidden="1" spans="1:5">
      <c r="A2126" s="2" t="str">
        <f>"唐琪琳"</f>
        <v>唐琪琳</v>
      </c>
      <c r="B2126" s="2" t="str">
        <f>"B20230906138"</f>
        <v>B20230906138</v>
      </c>
      <c r="C2126" s="2" t="str">
        <f t="shared" ref="C2126:C2131" si="462">"女"</f>
        <v>女</v>
      </c>
      <c r="D2126" s="2" t="str">
        <f t="shared" si="459"/>
        <v>9</v>
      </c>
      <c r="E2126" s="2" t="str">
        <f>"经济与管理学院"</f>
        <v>经济与管理学院</v>
      </c>
    </row>
    <row r="2127" ht="13.5" hidden="1" spans="1:5">
      <c r="A2127" s="2" t="str">
        <f>"凌欢"</f>
        <v>凌欢</v>
      </c>
      <c r="B2127" s="2" t="str">
        <f>"B20230402219"</f>
        <v>B20230402219</v>
      </c>
      <c r="C2127" s="2" t="str">
        <f t="shared" si="461"/>
        <v>男</v>
      </c>
      <c r="D2127" s="2" t="str">
        <f t="shared" si="459"/>
        <v>9</v>
      </c>
      <c r="E2127" s="2" t="str">
        <f>"电子信息与电气工程学院"</f>
        <v>电子信息与电气工程学院</v>
      </c>
    </row>
    <row r="2128" ht="13.5" hidden="1" spans="1:5">
      <c r="A2128" s="2" t="str">
        <f>"柴艺"</f>
        <v>柴艺</v>
      </c>
      <c r="B2128" s="2" t="str">
        <f>"B20211002208"</f>
        <v>B20211002208</v>
      </c>
      <c r="C2128" s="2" t="str">
        <f t="shared" si="462"/>
        <v>女</v>
      </c>
      <c r="D2128" s="2" t="str">
        <f t="shared" si="459"/>
        <v>9</v>
      </c>
      <c r="E2128" s="2" t="str">
        <f>"艺术设计学院"</f>
        <v>艺术设计学院</v>
      </c>
    </row>
    <row r="2129" ht="13.5" hidden="1" spans="1:5">
      <c r="A2129" s="2" t="str">
        <f>"何智明"</f>
        <v>何智明</v>
      </c>
      <c r="B2129" s="2" t="str">
        <f>"B20210202329"</f>
        <v>B20210202329</v>
      </c>
      <c r="C2129" s="2" t="str">
        <f t="shared" si="461"/>
        <v>男</v>
      </c>
      <c r="D2129" s="2" t="str">
        <f t="shared" si="459"/>
        <v>9</v>
      </c>
      <c r="E2129" s="2" t="str">
        <f>"机电工程学院"</f>
        <v>机电工程学院</v>
      </c>
    </row>
    <row r="2130" ht="13.5" hidden="1" spans="1:5">
      <c r="A2130" s="2" t="str">
        <f>"冯婧然"</f>
        <v>冯婧然</v>
      </c>
      <c r="B2130" s="2" t="str">
        <f>"B20230704226"</f>
        <v>B20230704226</v>
      </c>
      <c r="C2130" s="2" t="str">
        <f t="shared" si="462"/>
        <v>女</v>
      </c>
      <c r="D2130" s="2" t="str">
        <f t="shared" si="459"/>
        <v>9</v>
      </c>
      <c r="E2130" s="2" t="str">
        <f>"马栏山新媒体学院"</f>
        <v>马栏山新媒体学院</v>
      </c>
    </row>
    <row r="2131" ht="13.5" hidden="1" spans="1:5">
      <c r="A2131" s="2" t="str">
        <f>"杨巧巧"</f>
        <v>杨巧巧</v>
      </c>
      <c r="B2131" s="2" t="str">
        <f>"B20230904336"</f>
        <v>B20230904336</v>
      </c>
      <c r="C2131" s="2" t="str">
        <f t="shared" si="462"/>
        <v>女</v>
      </c>
      <c r="D2131" s="2" t="str">
        <f t="shared" si="459"/>
        <v>9</v>
      </c>
      <c r="E2131" s="2" t="str">
        <f t="shared" ref="E2131:E2136" si="463">"经济与管理学院"</f>
        <v>经济与管理学院</v>
      </c>
    </row>
    <row r="2132" ht="13.5" hidden="1" spans="1:5">
      <c r="A2132" s="2" t="str">
        <f>"曾珂"</f>
        <v>曾珂</v>
      </c>
      <c r="B2132" s="2" t="str">
        <f>"B20230504405"</f>
        <v>B20230504405</v>
      </c>
      <c r="C2132" s="2" t="str">
        <f t="shared" ref="C2132:C2137" si="464">"男"</f>
        <v>男</v>
      </c>
      <c r="D2132" s="2" t="str">
        <f t="shared" si="459"/>
        <v>9</v>
      </c>
      <c r="E2132" s="2" t="str">
        <f>"生物与化学工程学院"</f>
        <v>生物与化学工程学院</v>
      </c>
    </row>
    <row r="2133" ht="13.5" hidden="1" spans="1:5">
      <c r="A2133" s="2" t="str">
        <f>"王美望"</f>
        <v>王美望</v>
      </c>
      <c r="B2133" s="2" t="str">
        <f>"B20230904129"</f>
        <v>B20230904129</v>
      </c>
      <c r="C2133" s="2" t="str">
        <f t="shared" ref="C2133:C2136" si="465">"女"</f>
        <v>女</v>
      </c>
      <c r="D2133" s="2" t="str">
        <f t="shared" si="459"/>
        <v>9</v>
      </c>
      <c r="E2133" s="2" t="str">
        <f t="shared" si="463"/>
        <v>经济与管理学院</v>
      </c>
    </row>
    <row r="2134" ht="13.5" hidden="1" spans="1:5">
      <c r="A2134" s="2" t="str">
        <f>"郝振杰"</f>
        <v>郝振杰</v>
      </c>
      <c r="B2134" s="2" t="str">
        <f>"B20230101238"</f>
        <v>B20230101238</v>
      </c>
      <c r="C2134" s="2" t="str">
        <f t="shared" si="464"/>
        <v>男</v>
      </c>
      <c r="D2134" s="2" t="str">
        <f t="shared" si="459"/>
        <v>9</v>
      </c>
      <c r="E2134" s="2" t="str">
        <f>"土木工程学院"</f>
        <v>土木工程学院</v>
      </c>
    </row>
    <row r="2135" ht="13.5" hidden="1" spans="1:5">
      <c r="A2135" s="2" t="str">
        <f>"陶文络"</f>
        <v>陶文络</v>
      </c>
      <c r="B2135" s="2" t="str">
        <f>"B20200802223"</f>
        <v>B20200802223</v>
      </c>
      <c r="C2135" s="2" t="str">
        <f t="shared" si="465"/>
        <v>女</v>
      </c>
      <c r="D2135" s="2" t="str">
        <f t="shared" si="459"/>
        <v>9</v>
      </c>
      <c r="E2135" s="2" t="str">
        <f>"外国语学院"</f>
        <v>外国语学院</v>
      </c>
    </row>
    <row r="2136" ht="13.5" hidden="1" spans="1:5">
      <c r="A2136" s="2" t="str">
        <f>"岳巧"</f>
        <v>岳巧</v>
      </c>
      <c r="B2136" s="2" t="str">
        <f>"B20200905214"</f>
        <v>B20200905214</v>
      </c>
      <c r="C2136" s="2" t="str">
        <f t="shared" si="465"/>
        <v>女</v>
      </c>
      <c r="D2136" s="2" t="str">
        <f t="shared" si="459"/>
        <v>9</v>
      </c>
      <c r="E2136" s="2" t="str">
        <f t="shared" si="463"/>
        <v>经济与管理学院</v>
      </c>
    </row>
    <row r="2137" ht="13.5" hidden="1" spans="1:5">
      <c r="A2137" s="2" t="str">
        <f>"陈广荣"</f>
        <v>陈广荣</v>
      </c>
      <c r="B2137" s="2" t="str">
        <f>"B20200501232"</f>
        <v>B20200501232</v>
      </c>
      <c r="C2137" s="2" t="str">
        <f t="shared" si="464"/>
        <v>男</v>
      </c>
      <c r="D2137" s="2" t="str">
        <f t="shared" si="459"/>
        <v>9</v>
      </c>
      <c r="E2137" s="2" t="str">
        <f>"生物与环境工程学院"</f>
        <v>生物与环境工程学院</v>
      </c>
    </row>
    <row r="2138" ht="13.5" hidden="1" spans="1:5">
      <c r="A2138" s="2" t="str">
        <f>"吴意卓"</f>
        <v>吴意卓</v>
      </c>
      <c r="B2138" s="2" t="str">
        <f>"B20230802209"</f>
        <v>B20230802209</v>
      </c>
      <c r="C2138" s="2" t="str">
        <f t="shared" ref="C2138:C2141" si="466">"女"</f>
        <v>女</v>
      </c>
      <c r="D2138" s="2" t="str">
        <f t="shared" si="459"/>
        <v>9</v>
      </c>
      <c r="E2138" s="2" t="str">
        <f>"外国语学院"</f>
        <v>外国语学院</v>
      </c>
    </row>
    <row r="2139" ht="13.5" hidden="1" spans="1:5">
      <c r="A2139" s="2" t="str">
        <f>"朱容"</f>
        <v>朱容</v>
      </c>
      <c r="B2139" s="2" t="str">
        <f>"B20231301107"</f>
        <v>B20231301107</v>
      </c>
      <c r="C2139" s="2" t="str">
        <f t="shared" si="466"/>
        <v>女</v>
      </c>
      <c r="D2139" s="2" t="str">
        <f t="shared" si="459"/>
        <v>9</v>
      </c>
      <c r="E2139" s="2" t="str">
        <f>"材料与环境工程学院"</f>
        <v>材料与环境工程学院</v>
      </c>
    </row>
    <row r="2140" ht="13.5" hidden="1" spans="1:5">
      <c r="A2140" s="2" t="str">
        <f>"蒋安祥"</f>
        <v>蒋安祥</v>
      </c>
      <c r="B2140" s="2" t="str">
        <f>"B20230201328"</f>
        <v>B20230201328</v>
      </c>
      <c r="C2140" s="2" t="str">
        <f t="shared" ref="C2140:C2143" si="467">"男"</f>
        <v>男</v>
      </c>
      <c r="D2140" s="2" t="str">
        <f t="shared" si="459"/>
        <v>9</v>
      </c>
      <c r="E2140" s="2" t="str">
        <f>"机电工程学院"</f>
        <v>机电工程学院</v>
      </c>
    </row>
    <row r="2141" ht="13.5" hidden="1" spans="1:5">
      <c r="A2141" s="2" t="str">
        <f>"王婷灿"</f>
        <v>王婷灿</v>
      </c>
      <c r="B2141" s="2" t="str">
        <f>"B20230901313"</f>
        <v>B20230901313</v>
      </c>
      <c r="C2141" s="2" t="str">
        <f t="shared" si="466"/>
        <v>女</v>
      </c>
      <c r="D2141" s="2" t="str">
        <f t="shared" si="459"/>
        <v>9</v>
      </c>
      <c r="E2141" s="2" t="str">
        <f>"经济与管理学院"</f>
        <v>经济与管理学院</v>
      </c>
    </row>
    <row r="2142" ht="13.5" hidden="1" spans="1:5">
      <c r="A2142" s="2" t="str">
        <f>"郑涵文"</f>
        <v>郑涵文</v>
      </c>
      <c r="B2142" s="2" t="str">
        <f>"B20230404223"</f>
        <v>B20230404223</v>
      </c>
      <c r="C2142" s="2" t="str">
        <f t="shared" si="467"/>
        <v>男</v>
      </c>
      <c r="D2142" s="2" t="str">
        <f t="shared" si="459"/>
        <v>9</v>
      </c>
      <c r="E2142" s="2" t="str">
        <f>"电子信息与电气工程学院"</f>
        <v>电子信息与电气工程学院</v>
      </c>
    </row>
    <row r="2143" ht="13.5" hidden="1" spans="1:5">
      <c r="A2143" s="2" t="str">
        <f>"易卓"</f>
        <v>易卓</v>
      </c>
      <c r="B2143" s="2" t="str">
        <f>"B20210601114"</f>
        <v>B20210601114</v>
      </c>
      <c r="C2143" s="2" t="str">
        <f t="shared" si="467"/>
        <v>男</v>
      </c>
      <c r="D2143" s="2" t="str">
        <f t="shared" si="459"/>
        <v>9</v>
      </c>
      <c r="E2143" s="2" t="str">
        <f>"法学院"</f>
        <v>法学院</v>
      </c>
    </row>
    <row r="2144" ht="13.5" hidden="1" spans="1:5">
      <c r="A2144" s="2" t="str">
        <f>"尹媛"</f>
        <v>尹媛</v>
      </c>
      <c r="B2144" s="2" t="str">
        <f>"B20230601222"</f>
        <v>B20230601222</v>
      </c>
      <c r="C2144" s="2" t="str">
        <f t="shared" ref="C2144:C2148" si="468">"女"</f>
        <v>女</v>
      </c>
      <c r="D2144" s="2" t="str">
        <f t="shared" si="459"/>
        <v>9</v>
      </c>
      <c r="E2144" s="2" t="str">
        <f>"法学院"</f>
        <v>法学院</v>
      </c>
    </row>
    <row r="2145" ht="13.5" hidden="1" spans="1:5">
      <c r="A2145" s="2" t="str">
        <f>"陈裕"</f>
        <v>陈裕</v>
      </c>
      <c r="B2145" s="2" t="str">
        <f>"B20200901432"</f>
        <v>B20200901432</v>
      </c>
      <c r="C2145" s="2" t="str">
        <f t="shared" ref="C2145:C2150" si="469">"男"</f>
        <v>男</v>
      </c>
      <c r="D2145" s="2" t="str">
        <f t="shared" si="459"/>
        <v>9</v>
      </c>
      <c r="E2145" s="2" t="str">
        <f t="shared" ref="E2145:E2150" si="470">"经济与管理学院"</f>
        <v>经济与管理学院</v>
      </c>
    </row>
    <row r="2146" ht="13.5" hidden="1" spans="1:5">
      <c r="A2146" s="2" t="str">
        <f>"文杨"</f>
        <v>文杨</v>
      </c>
      <c r="B2146" s="2" t="str">
        <f>"B20231302114"</f>
        <v>B20231302114</v>
      </c>
      <c r="C2146" s="2" t="str">
        <f t="shared" si="468"/>
        <v>女</v>
      </c>
      <c r="D2146" s="2" t="str">
        <f t="shared" si="459"/>
        <v>9</v>
      </c>
      <c r="E2146" s="2" t="str">
        <f>"材料与环境工程学院"</f>
        <v>材料与环境工程学院</v>
      </c>
    </row>
    <row r="2147" ht="13.5" hidden="1" spans="1:5">
      <c r="A2147" s="2" t="str">
        <f>"马清越"</f>
        <v>马清越</v>
      </c>
      <c r="B2147" s="2" t="str">
        <f>"B20210703311"</f>
        <v>B20210703311</v>
      </c>
      <c r="C2147" s="2" t="str">
        <f t="shared" si="468"/>
        <v>女</v>
      </c>
      <c r="D2147" s="2" t="str">
        <f t="shared" si="459"/>
        <v>9</v>
      </c>
      <c r="E2147" s="2" t="str">
        <f>"马栏山新媒体学院"</f>
        <v>马栏山新媒体学院</v>
      </c>
    </row>
    <row r="2148" ht="13.5" hidden="1" spans="1:5">
      <c r="A2148" s="2" t="str">
        <f>"谢捷宇"</f>
        <v>谢捷宇</v>
      </c>
      <c r="B2148" s="2" t="str">
        <f>"B20200901208"</f>
        <v>B20200901208</v>
      </c>
      <c r="C2148" s="2" t="str">
        <f t="shared" si="468"/>
        <v>女</v>
      </c>
      <c r="D2148" s="2" t="str">
        <f t="shared" si="459"/>
        <v>9</v>
      </c>
      <c r="E2148" s="2" t="str">
        <f t="shared" si="470"/>
        <v>经济与管理学院</v>
      </c>
    </row>
    <row r="2149" ht="13.5" hidden="1" spans="1:5">
      <c r="A2149" s="2" t="str">
        <f>"王新武"</f>
        <v>王新武</v>
      </c>
      <c r="B2149" s="2" t="str">
        <f>"B20210404114"</f>
        <v>B20210404114</v>
      </c>
      <c r="C2149" s="2" t="str">
        <f t="shared" si="469"/>
        <v>男</v>
      </c>
      <c r="D2149" s="2" t="str">
        <f t="shared" si="459"/>
        <v>9</v>
      </c>
      <c r="E2149" s="2" t="str">
        <f>"电子信息与电气工程学院"</f>
        <v>电子信息与电气工程学院</v>
      </c>
    </row>
    <row r="2150" ht="13.5" hidden="1" spans="1:5">
      <c r="A2150" s="2" t="str">
        <f>"陈浩"</f>
        <v>陈浩</v>
      </c>
      <c r="B2150" s="2" t="str">
        <f>"B20210904238"</f>
        <v>B20210904238</v>
      </c>
      <c r="C2150" s="2" t="str">
        <f t="shared" si="469"/>
        <v>男</v>
      </c>
      <c r="D2150" s="2" t="str">
        <f t="shared" si="459"/>
        <v>9</v>
      </c>
      <c r="E2150" s="2" t="str">
        <f t="shared" si="470"/>
        <v>经济与管理学院</v>
      </c>
    </row>
    <row r="2151" ht="13.5" hidden="1" spans="1:5">
      <c r="A2151" s="2" t="str">
        <f>"张心怡"</f>
        <v>张心怡</v>
      </c>
      <c r="B2151" s="2" t="str">
        <f>"B20210404217"</f>
        <v>B20210404217</v>
      </c>
      <c r="C2151" s="2" t="str">
        <f t="shared" ref="C2151:C2157" si="471">"女"</f>
        <v>女</v>
      </c>
      <c r="D2151" s="2" t="str">
        <f t="shared" si="459"/>
        <v>9</v>
      </c>
      <c r="E2151" s="2" t="str">
        <f>"电子信息与电气工程学院"</f>
        <v>电子信息与电气工程学院</v>
      </c>
    </row>
    <row r="2152" ht="13.5" hidden="1" spans="1:5">
      <c r="A2152" s="2" t="str">
        <f>"邓瑜佳"</f>
        <v>邓瑜佳</v>
      </c>
      <c r="B2152" s="2" t="str">
        <f>"B20231111222"</f>
        <v>B20231111222</v>
      </c>
      <c r="C2152" s="2" t="str">
        <f t="shared" si="471"/>
        <v>女</v>
      </c>
      <c r="D2152" s="2" t="str">
        <f t="shared" si="459"/>
        <v>9</v>
      </c>
      <c r="E2152" s="2" t="str">
        <f>"音乐学院"</f>
        <v>音乐学院</v>
      </c>
    </row>
    <row r="2153" ht="13.5" hidden="1" spans="1:5">
      <c r="A2153" s="2" t="str">
        <f>"崔昊元"</f>
        <v>崔昊元</v>
      </c>
      <c r="B2153" s="2" t="str">
        <f>"B20210202133"</f>
        <v>B20210202133</v>
      </c>
      <c r="C2153" s="2" t="str">
        <f t="shared" ref="C2153:C2155" si="472">"男"</f>
        <v>男</v>
      </c>
      <c r="D2153" s="2" t="str">
        <f t="shared" si="459"/>
        <v>9</v>
      </c>
      <c r="E2153" s="2" t="str">
        <f t="shared" ref="E2153:E2155" si="473">"机电工程学院"</f>
        <v>机电工程学院</v>
      </c>
    </row>
    <row r="2154" ht="13.5" hidden="1" spans="1:5">
      <c r="A2154" s="2" t="str">
        <f>"王阔"</f>
        <v>王阔</v>
      </c>
      <c r="B2154" s="2" t="str">
        <f>"B20210204216"</f>
        <v>B20210204216</v>
      </c>
      <c r="C2154" s="2" t="str">
        <f t="shared" si="472"/>
        <v>男</v>
      </c>
      <c r="D2154" s="2" t="str">
        <f t="shared" si="459"/>
        <v>9</v>
      </c>
      <c r="E2154" s="2" t="str">
        <f t="shared" si="473"/>
        <v>机电工程学院</v>
      </c>
    </row>
    <row r="2155" ht="13.5" hidden="1" spans="1:5">
      <c r="A2155" s="2" t="str">
        <f>"杨振武"</f>
        <v>杨振武</v>
      </c>
      <c r="B2155" s="2" t="str">
        <f>"B20230201321"</f>
        <v>B20230201321</v>
      </c>
      <c r="C2155" s="2" t="str">
        <f t="shared" si="472"/>
        <v>男</v>
      </c>
      <c r="D2155" s="2" t="str">
        <f t="shared" si="459"/>
        <v>9</v>
      </c>
      <c r="E2155" s="2" t="str">
        <f t="shared" si="473"/>
        <v>机电工程学院</v>
      </c>
    </row>
    <row r="2156" ht="13.5" hidden="1" spans="1:5">
      <c r="A2156" s="2" t="str">
        <f>"莫秋棋"</f>
        <v>莫秋棋</v>
      </c>
      <c r="B2156" s="2" t="str">
        <f>"B20200501202"</f>
        <v>B20200501202</v>
      </c>
      <c r="C2156" s="2" t="str">
        <f t="shared" si="471"/>
        <v>女</v>
      </c>
      <c r="D2156" s="2" t="str">
        <f t="shared" si="459"/>
        <v>9</v>
      </c>
      <c r="E2156" s="2" t="str">
        <f>"生物与环境工程学院"</f>
        <v>生物与环境工程学院</v>
      </c>
    </row>
    <row r="2157" ht="13.5" hidden="1" spans="1:5">
      <c r="A2157" s="2" t="str">
        <f>"张冉"</f>
        <v>张冉</v>
      </c>
      <c r="B2157" s="2" t="str">
        <f>"B20211001209"</f>
        <v>B20211001209</v>
      </c>
      <c r="C2157" s="2" t="str">
        <f t="shared" si="471"/>
        <v>女</v>
      </c>
      <c r="D2157" s="2" t="str">
        <f t="shared" si="459"/>
        <v>9</v>
      </c>
      <c r="E2157" s="2" t="str">
        <f>"艺术设计学院"</f>
        <v>艺术设计学院</v>
      </c>
    </row>
    <row r="2158" ht="13.5" hidden="1" spans="1:5">
      <c r="A2158" s="2" t="str">
        <f>"李小松"</f>
        <v>李小松</v>
      </c>
      <c r="B2158" s="2" t="str">
        <f>"B20220504434"</f>
        <v>B20220504434</v>
      </c>
      <c r="C2158" s="2" t="str">
        <f>"男"</f>
        <v>男</v>
      </c>
      <c r="D2158" s="2" t="str">
        <f t="shared" si="459"/>
        <v>9</v>
      </c>
      <c r="E2158" s="2" t="str">
        <f>"生物与化学工程学院"</f>
        <v>生物与化学工程学院</v>
      </c>
    </row>
    <row r="2159" ht="13.5" hidden="1" spans="1:5">
      <c r="A2159" s="2" t="str">
        <f>"谢梦婷"</f>
        <v>谢梦婷</v>
      </c>
      <c r="B2159" s="2" t="str">
        <f>"B20230702121"</f>
        <v>B20230702121</v>
      </c>
      <c r="C2159" s="2" t="str">
        <f t="shared" ref="C2159:C2161" si="474">"女"</f>
        <v>女</v>
      </c>
      <c r="D2159" s="2" t="str">
        <f t="shared" si="459"/>
        <v>9</v>
      </c>
      <c r="E2159" s="2" t="str">
        <f t="shared" ref="E2159:E2164" si="475">"马栏山新媒体学院"</f>
        <v>马栏山新媒体学院</v>
      </c>
    </row>
    <row r="2160" ht="13.5" hidden="1" spans="1:5">
      <c r="A2160" s="2" t="str">
        <f>"曾阔"</f>
        <v>曾阔</v>
      </c>
      <c r="B2160" s="2" t="str">
        <f>"B20220902107"</f>
        <v>B20220902107</v>
      </c>
      <c r="C2160" s="2" t="str">
        <f t="shared" si="474"/>
        <v>女</v>
      </c>
      <c r="D2160" s="2" t="str">
        <f t="shared" si="459"/>
        <v>9</v>
      </c>
      <c r="E2160" s="2" t="str">
        <f>"经济与管理学院"</f>
        <v>经济与管理学院</v>
      </c>
    </row>
    <row r="2161" ht="13.5" hidden="1" spans="1:5">
      <c r="A2161" s="2" t="str">
        <f>"梁敏捷"</f>
        <v>梁敏捷</v>
      </c>
      <c r="B2161" s="2" t="str">
        <f>"B20230801323"</f>
        <v>B20230801323</v>
      </c>
      <c r="C2161" s="2" t="str">
        <f t="shared" si="474"/>
        <v>女</v>
      </c>
      <c r="D2161" s="2" t="str">
        <f t="shared" si="459"/>
        <v>9</v>
      </c>
      <c r="E2161" s="2" t="str">
        <f>"外国语学院"</f>
        <v>外国语学院</v>
      </c>
    </row>
    <row r="2162" ht="13.5" hidden="1" spans="1:5">
      <c r="A2162" s="2" t="str">
        <f>"周林"</f>
        <v>周林</v>
      </c>
      <c r="B2162" s="2" t="str">
        <f>"B20200504224"</f>
        <v>B20200504224</v>
      </c>
      <c r="C2162" s="2" t="str">
        <f>"男"</f>
        <v>男</v>
      </c>
      <c r="D2162" s="2" t="str">
        <f t="shared" si="459"/>
        <v>9</v>
      </c>
      <c r="E2162" s="2" t="str">
        <f>"生物与环境工程学院"</f>
        <v>生物与环境工程学院</v>
      </c>
    </row>
    <row r="2163" ht="13.5" hidden="1" spans="1:5">
      <c r="A2163" s="2" t="str">
        <f>"欧阳嘉欣"</f>
        <v>欧阳嘉欣</v>
      </c>
      <c r="B2163" s="2" t="str">
        <f>"B20230704101"</f>
        <v>B20230704101</v>
      </c>
      <c r="C2163" s="2" t="str">
        <f t="shared" ref="C2163:C2165" si="476">"女"</f>
        <v>女</v>
      </c>
      <c r="D2163" s="2" t="str">
        <f t="shared" si="459"/>
        <v>9</v>
      </c>
      <c r="E2163" s="2" t="str">
        <f t="shared" si="475"/>
        <v>马栏山新媒体学院</v>
      </c>
    </row>
    <row r="2164" ht="13.5" hidden="1" spans="1:5">
      <c r="A2164" s="2" t="str">
        <f>"杨书涵"</f>
        <v>杨书涵</v>
      </c>
      <c r="B2164" s="2" t="str">
        <f>"B20210702102"</f>
        <v>B20210702102</v>
      </c>
      <c r="C2164" s="2" t="str">
        <f t="shared" si="476"/>
        <v>女</v>
      </c>
      <c r="D2164" s="2" t="str">
        <f t="shared" si="459"/>
        <v>9</v>
      </c>
      <c r="E2164" s="2" t="str">
        <f t="shared" si="475"/>
        <v>马栏山新媒体学院</v>
      </c>
    </row>
    <row r="2165" ht="13.5" hidden="1" spans="1:5">
      <c r="A2165" s="2" t="str">
        <f>"李沛莹"</f>
        <v>李沛莹</v>
      </c>
      <c r="B2165" s="2" t="str">
        <f>"B20220501231"</f>
        <v>B20220501231</v>
      </c>
      <c r="C2165" s="2" t="str">
        <f t="shared" si="476"/>
        <v>女</v>
      </c>
      <c r="D2165" s="2" t="str">
        <f t="shared" si="459"/>
        <v>9</v>
      </c>
      <c r="E2165" s="2" t="str">
        <f>"生物与化学工程学院"</f>
        <v>生物与化学工程学院</v>
      </c>
    </row>
    <row r="2166" ht="13.5" hidden="1" spans="1:5">
      <c r="A2166" s="2" t="str">
        <f>"李涛"</f>
        <v>李涛</v>
      </c>
      <c r="B2166" s="2" t="str">
        <f>"B20220101609"</f>
        <v>B20220101609</v>
      </c>
      <c r="C2166" s="2" t="str">
        <f t="shared" ref="C2166:C2173" si="477">"男"</f>
        <v>男</v>
      </c>
      <c r="D2166" s="2" t="str">
        <f t="shared" si="459"/>
        <v>9</v>
      </c>
      <c r="E2166" s="2" t="str">
        <f>"土木工程学院"</f>
        <v>土木工程学院</v>
      </c>
    </row>
    <row r="2167" ht="13.5" hidden="1" spans="1:5">
      <c r="A2167" s="2" t="str">
        <f>"谢婷"</f>
        <v>谢婷</v>
      </c>
      <c r="B2167" s="2" t="str">
        <f>"B20220801110"</f>
        <v>B20220801110</v>
      </c>
      <c r="C2167" s="2" t="str">
        <f>"女"</f>
        <v>女</v>
      </c>
      <c r="D2167" s="2" t="str">
        <f t="shared" si="459"/>
        <v>9</v>
      </c>
      <c r="E2167" s="2" t="str">
        <f>"外国语学院"</f>
        <v>外国语学院</v>
      </c>
    </row>
    <row r="2168" ht="13.5" hidden="1" spans="1:5">
      <c r="A2168" s="2" t="str">
        <f>"肖舟"</f>
        <v>肖舟</v>
      </c>
      <c r="B2168" s="2" t="str">
        <f>"B20200403214"</f>
        <v>B20200403214</v>
      </c>
      <c r="C2168" s="2" t="str">
        <f t="shared" si="477"/>
        <v>男</v>
      </c>
      <c r="D2168" s="2" t="str">
        <f t="shared" si="459"/>
        <v>9</v>
      </c>
      <c r="E2168" s="2" t="str">
        <f>"电子信息与电气工程学院"</f>
        <v>电子信息与电气工程学院</v>
      </c>
    </row>
    <row r="2169" ht="13.5" hidden="1" spans="1:5">
      <c r="A2169" s="2" t="str">
        <f>"王雅桐"</f>
        <v>王雅桐</v>
      </c>
      <c r="B2169" s="2" t="str">
        <f>"B20201101313"</f>
        <v>B20201101313</v>
      </c>
      <c r="C2169" s="2" t="str">
        <f>"女"</f>
        <v>女</v>
      </c>
      <c r="D2169" s="2" t="str">
        <f t="shared" si="459"/>
        <v>9</v>
      </c>
      <c r="E2169" s="2" t="str">
        <f>"音乐学院"</f>
        <v>音乐学院</v>
      </c>
    </row>
    <row r="2170" ht="13.5" hidden="1" spans="1:5">
      <c r="A2170" s="2" t="str">
        <f>"秦鑫伟"</f>
        <v>秦鑫伟</v>
      </c>
      <c r="B2170" s="2" t="str">
        <f>"B20230102231"</f>
        <v>B20230102231</v>
      </c>
      <c r="C2170" s="2" t="str">
        <f t="shared" si="477"/>
        <v>男</v>
      </c>
      <c r="D2170" s="2" t="str">
        <f t="shared" si="459"/>
        <v>9</v>
      </c>
      <c r="E2170" s="2" t="str">
        <f>"土木工程学院"</f>
        <v>土木工程学院</v>
      </c>
    </row>
    <row r="2171" ht="13.5" hidden="1" spans="1:5">
      <c r="A2171" s="2" t="str">
        <f>"吴翱翔"</f>
        <v>吴翱翔</v>
      </c>
      <c r="B2171" s="2" t="str">
        <f>"B20230202420"</f>
        <v>B20230202420</v>
      </c>
      <c r="C2171" s="2" t="str">
        <f t="shared" si="477"/>
        <v>男</v>
      </c>
      <c r="D2171" s="2" t="str">
        <f t="shared" si="459"/>
        <v>9</v>
      </c>
      <c r="E2171" s="2" t="str">
        <f>"机电工程学院"</f>
        <v>机电工程学院</v>
      </c>
    </row>
    <row r="2172" ht="13.5" hidden="1" spans="1:5">
      <c r="A2172" s="2" t="str">
        <f>"伍炫臻"</f>
        <v>伍炫臻</v>
      </c>
      <c r="B2172" s="2" t="str">
        <f>"B20230202227"</f>
        <v>B20230202227</v>
      </c>
      <c r="C2172" s="2" t="str">
        <f t="shared" si="477"/>
        <v>男</v>
      </c>
      <c r="D2172" s="2" t="str">
        <f t="shared" si="459"/>
        <v>9</v>
      </c>
      <c r="E2172" s="2" t="str">
        <f>"机电工程学院"</f>
        <v>机电工程学院</v>
      </c>
    </row>
    <row r="2173" ht="13.5" hidden="1" spans="1:5">
      <c r="A2173" s="2" t="str">
        <f>"尹豪"</f>
        <v>尹豪</v>
      </c>
      <c r="B2173" s="2" t="str">
        <f>"B20230501203"</f>
        <v>B20230501203</v>
      </c>
      <c r="C2173" s="2" t="str">
        <f t="shared" si="477"/>
        <v>男</v>
      </c>
      <c r="D2173" s="2" t="str">
        <f t="shared" si="459"/>
        <v>9</v>
      </c>
      <c r="E2173" s="2" t="str">
        <f>"生物与化学工程学院"</f>
        <v>生物与化学工程学院</v>
      </c>
    </row>
    <row r="2174" ht="13.5" hidden="1" spans="1:5">
      <c r="A2174" s="2" t="str">
        <f>"廖楠楠"</f>
        <v>廖楠楠</v>
      </c>
      <c r="B2174" s="2" t="str">
        <f>"B20200903217"</f>
        <v>B20200903217</v>
      </c>
      <c r="C2174" s="2" t="str">
        <f t="shared" ref="C2174:C2178" si="478">"女"</f>
        <v>女</v>
      </c>
      <c r="D2174" s="2" t="str">
        <f t="shared" si="459"/>
        <v>9</v>
      </c>
      <c r="E2174" s="2" t="str">
        <f>"经济与管理学院"</f>
        <v>经济与管理学院</v>
      </c>
    </row>
    <row r="2175" ht="13.5" hidden="1" spans="1:5">
      <c r="A2175" s="2" t="str">
        <f>"张日昱"</f>
        <v>张日昱</v>
      </c>
      <c r="B2175" s="2" t="str">
        <f>"B20220401202"</f>
        <v>B20220401202</v>
      </c>
      <c r="C2175" s="2" t="str">
        <f t="shared" ref="C2175:C2180" si="479">"男"</f>
        <v>男</v>
      </c>
      <c r="D2175" s="2" t="str">
        <f t="shared" si="459"/>
        <v>9</v>
      </c>
      <c r="E2175" s="2" t="str">
        <f t="shared" ref="E2175:E2179" si="480">"电子信息与电气工程学院"</f>
        <v>电子信息与电气工程学院</v>
      </c>
    </row>
    <row r="2176" ht="13.5" hidden="1" spans="1:5">
      <c r="A2176" s="2" t="str">
        <f>"黄雨萱"</f>
        <v>黄雨萱</v>
      </c>
      <c r="B2176" s="2" t="str">
        <f>"B20230903113"</f>
        <v>B20230903113</v>
      </c>
      <c r="C2176" s="2" t="str">
        <f t="shared" si="478"/>
        <v>女</v>
      </c>
      <c r="D2176" s="2" t="str">
        <f t="shared" si="459"/>
        <v>9</v>
      </c>
      <c r="E2176" s="2" t="str">
        <f t="shared" ref="E2176:E2181" si="481">"经济与管理学院"</f>
        <v>经济与管理学院</v>
      </c>
    </row>
    <row r="2177" ht="13.5" hidden="1" spans="1:5">
      <c r="A2177" s="2" t="str">
        <f>"杨丽"</f>
        <v>杨丽</v>
      </c>
      <c r="B2177" s="2" t="str">
        <f>"B20230703323"</f>
        <v>B20230703323</v>
      </c>
      <c r="C2177" s="2" t="str">
        <f t="shared" si="478"/>
        <v>女</v>
      </c>
      <c r="D2177" s="2" t="str">
        <f t="shared" si="459"/>
        <v>9</v>
      </c>
      <c r="E2177" s="2" t="str">
        <f>"马栏山新媒体学院"</f>
        <v>马栏山新媒体学院</v>
      </c>
    </row>
    <row r="2178" ht="13.5" hidden="1" spans="1:5">
      <c r="A2178" s="2" t="str">
        <f>"任若瑜"</f>
        <v>任若瑜</v>
      </c>
      <c r="B2178" s="2" t="str">
        <f>"B20210403120"</f>
        <v>B20210403120</v>
      </c>
      <c r="C2178" s="2" t="str">
        <f t="shared" si="478"/>
        <v>女</v>
      </c>
      <c r="D2178" s="2" t="str">
        <f t="shared" si="459"/>
        <v>9</v>
      </c>
      <c r="E2178" s="2" t="str">
        <f t="shared" si="480"/>
        <v>电子信息与电气工程学院</v>
      </c>
    </row>
    <row r="2179" ht="13.5" hidden="1" spans="1:5">
      <c r="A2179" s="2" t="str">
        <f>"谭胜林"</f>
        <v>谭胜林</v>
      </c>
      <c r="B2179" s="2" t="str">
        <f>"B20210403119"</f>
        <v>B20210403119</v>
      </c>
      <c r="C2179" s="2" t="str">
        <f t="shared" si="479"/>
        <v>男</v>
      </c>
      <c r="D2179" s="2" t="str">
        <f t="shared" si="459"/>
        <v>9</v>
      </c>
      <c r="E2179" s="2" t="str">
        <f t="shared" si="480"/>
        <v>电子信息与电气工程学院</v>
      </c>
    </row>
    <row r="2180" ht="13.5" hidden="1" spans="1:5">
      <c r="A2180" s="2" t="str">
        <f>"蒋博"</f>
        <v>蒋博</v>
      </c>
      <c r="B2180" s="2" t="str">
        <f>"B20200906238"</f>
        <v>B20200906238</v>
      </c>
      <c r="C2180" s="2" t="str">
        <f t="shared" si="479"/>
        <v>男</v>
      </c>
      <c r="D2180" s="2" t="str">
        <f t="shared" ref="D2180:D2243" si="482">"9"</f>
        <v>9</v>
      </c>
      <c r="E2180" s="2" t="str">
        <f t="shared" si="481"/>
        <v>经济与管理学院</v>
      </c>
    </row>
    <row r="2181" ht="13.5" hidden="1" spans="1:5">
      <c r="A2181" s="2" t="str">
        <f>"魏焱"</f>
        <v>魏焱</v>
      </c>
      <c r="B2181" s="2" t="str">
        <f>"B20230904310"</f>
        <v>B20230904310</v>
      </c>
      <c r="C2181" s="2" t="str">
        <f t="shared" ref="C2181:C2188" si="483">"女"</f>
        <v>女</v>
      </c>
      <c r="D2181" s="2" t="str">
        <f t="shared" si="482"/>
        <v>9</v>
      </c>
      <c r="E2181" s="2" t="str">
        <f t="shared" si="481"/>
        <v>经济与管理学院</v>
      </c>
    </row>
    <row r="2182" ht="13.5" hidden="1" spans="1:5">
      <c r="A2182" s="2" t="str">
        <f>"范洲"</f>
        <v>范洲</v>
      </c>
      <c r="B2182" s="2" t="str">
        <f>"B20210202417"</f>
        <v>B20210202417</v>
      </c>
      <c r="C2182" s="2" t="str">
        <f>"男"</f>
        <v>男</v>
      </c>
      <c r="D2182" s="2" t="str">
        <f t="shared" si="482"/>
        <v>9</v>
      </c>
      <c r="E2182" s="2" t="str">
        <f>"机电工程学院"</f>
        <v>机电工程学院</v>
      </c>
    </row>
    <row r="2183" ht="13.5" hidden="1" spans="1:5">
      <c r="A2183" s="2" t="str">
        <f>"韩佳祺"</f>
        <v>韩佳祺</v>
      </c>
      <c r="B2183" s="2" t="str">
        <f>"B20220902225"</f>
        <v>B20220902225</v>
      </c>
      <c r="C2183" s="2" t="str">
        <f t="shared" si="483"/>
        <v>女</v>
      </c>
      <c r="D2183" s="2" t="str">
        <f t="shared" si="482"/>
        <v>9</v>
      </c>
      <c r="E2183" s="2" t="str">
        <f>"经济与管理学院"</f>
        <v>经济与管理学院</v>
      </c>
    </row>
    <row r="2184" ht="13.5" hidden="1" spans="1:5">
      <c r="A2184" s="2" t="str">
        <f>"蒋怡茜"</f>
        <v>蒋怡茜</v>
      </c>
      <c r="B2184" s="2" t="str">
        <f>"B20220702111"</f>
        <v>B20220702111</v>
      </c>
      <c r="C2184" s="2" t="str">
        <f t="shared" si="483"/>
        <v>女</v>
      </c>
      <c r="D2184" s="2" t="str">
        <f t="shared" si="482"/>
        <v>9</v>
      </c>
      <c r="E2184" s="2" t="str">
        <f>"马栏山新媒体学院"</f>
        <v>马栏山新媒体学院</v>
      </c>
    </row>
    <row r="2185" ht="13.5" hidden="1" spans="1:5">
      <c r="A2185" s="2" t="str">
        <f>"王宇虹"</f>
        <v>王宇虹</v>
      </c>
      <c r="B2185" s="2" t="str">
        <f>"B20230205309"</f>
        <v>B20230205309</v>
      </c>
      <c r="C2185" s="2" t="str">
        <f t="shared" si="483"/>
        <v>女</v>
      </c>
      <c r="D2185" s="2" t="str">
        <f t="shared" si="482"/>
        <v>9</v>
      </c>
      <c r="E2185" s="2" t="str">
        <f>"机电工程学院"</f>
        <v>机电工程学院</v>
      </c>
    </row>
    <row r="2186" ht="13.5" hidden="1" spans="1:5">
      <c r="A2186" s="2" t="str">
        <f>"贺小灵"</f>
        <v>贺小灵</v>
      </c>
      <c r="B2186" s="2" t="str">
        <f>"B20230904308"</f>
        <v>B20230904308</v>
      </c>
      <c r="C2186" s="2" t="str">
        <f t="shared" si="483"/>
        <v>女</v>
      </c>
      <c r="D2186" s="2" t="str">
        <f t="shared" si="482"/>
        <v>9</v>
      </c>
      <c r="E2186" s="2" t="str">
        <f>"经济与管理学院"</f>
        <v>经济与管理学院</v>
      </c>
    </row>
    <row r="2187" ht="13.5" hidden="1" spans="1:5">
      <c r="A2187" s="2" t="str">
        <f>"黄蔷"</f>
        <v>黄蔷</v>
      </c>
      <c r="B2187" s="2" t="str">
        <f>"B20220501128"</f>
        <v>B20220501128</v>
      </c>
      <c r="C2187" s="2" t="str">
        <f t="shared" si="483"/>
        <v>女</v>
      </c>
      <c r="D2187" s="2" t="str">
        <f t="shared" si="482"/>
        <v>9</v>
      </c>
      <c r="E2187" s="2" t="str">
        <f>"生物与化学工程学院"</f>
        <v>生物与化学工程学院</v>
      </c>
    </row>
    <row r="2188" ht="13.5" hidden="1" spans="1:5">
      <c r="A2188" s="2" t="str">
        <f>"郭慧美"</f>
        <v>郭慧美</v>
      </c>
      <c r="B2188" s="2" t="str">
        <f>"B20210601112"</f>
        <v>B20210601112</v>
      </c>
      <c r="C2188" s="2" t="str">
        <f t="shared" si="483"/>
        <v>女</v>
      </c>
      <c r="D2188" s="2" t="str">
        <f t="shared" si="482"/>
        <v>9</v>
      </c>
      <c r="E2188" s="2" t="str">
        <f>"法学院"</f>
        <v>法学院</v>
      </c>
    </row>
    <row r="2189" ht="13.5" hidden="1" spans="1:5">
      <c r="A2189" s="2" t="str">
        <f>"汪毅成"</f>
        <v>汪毅成</v>
      </c>
      <c r="B2189" s="2" t="str">
        <f>"B20210704404"</f>
        <v>B20210704404</v>
      </c>
      <c r="C2189" s="2" t="str">
        <f t="shared" ref="C2189:C2192" si="484">"男"</f>
        <v>男</v>
      </c>
      <c r="D2189" s="2" t="str">
        <f t="shared" si="482"/>
        <v>9</v>
      </c>
      <c r="E2189" s="2" t="str">
        <f>"马栏山新媒体学院"</f>
        <v>马栏山新媒体学院</v>
      </c>
    </row>
    <row r="2190" ht="13.5" hidden="1" spans="1:5">
      <c r="A2190" s="2" t="str">
        <f>"周翔"</f>
        <v>周翔</v>
      </c>
      <c r="B2190" s="2" t="str">
        <f>"B20230403303"</f>
        <v>B20230403303</v>
      </c>
      <c r="C2190" s="2" t="str">
        <f t="shared" si="484"/>
        <v>男</v>
      </c>
      <c r="D2190" s="2" t="str">
        <f t="shared" si="482"/>
        <v>9</v>
      </c>
      <c r="E2190" s="2" t="str">
        <f>"电子信息与电气工程学院"</f>
        <v>电子信息与电气工程学院</v>
      </c>
    </row>
    <row r="2191" ht="13.5" hidden="1" spans="1:5">
      <c r="A2191" s="2" t="str">
        <f>"高煜悦"</f>
        <v>高煜悦</v>
      </c>
      <c r="B2191" s="2" t="str">
        <f>"B20210301112"</f>
        <v>B20210301112</v>
      </c>
      <c r="C2191" s="2" t="str">
        <f>"女"</f>
        <v>女</v>
      </c>
      <c r="D2191" s="2" t="str">
        <f>"20"</f>
        <v>20</v>
      </c>
      <c r="E2191" s="2" t="str">
        <f>"数学学院"</f>
        <v>数学学院</v>
      </c>
    </row>
    <row r="2192" ht="13.5" hidden="1" spans="1:5">
      <c r="A2192" s="2" t="str">
        <f>"邓旭鹏"</f>
        <v>邓旭鹏</v>
      </c>
      <c r="B2192" s="2" t="str">
        <f>"B20230501131"</f>
        <v>B20230501131</v>
      </c>
      <c r="C2192" s="2" t="str">
        <f t="shared" si="484"/>
        <v>男</v>
      </c>
      <c r="D2192" s="2" t="str">
        <f t="shared" si="482"/>
        <v>9</v>
      </c>
      <c r="E2192" s="2" t="str">
        <f>"生物与化学工程学院"</f>
        <v>生物与化学工程学院</v>
      </c>
    </row>
    <row r="2193" ht="13.5" hidden="1" spans="1:5">
      <c r="A2193" s="2" t="str">
        <f>"张闰珍"</f>
        <v>张闰珍</v>
      </c>
      <c r="B2193" s="2" t="str">
        <f>"B20220702425"</f>
        <v>B20220702425</v>
      </c>
      <c r="C2193" s="2" t="str">
        <f t="shared" ref="C2191:C2195" si="485">"女"</f>
        <v>女</v>
      </c>
      <c r="D2193" s="2" t="str">
        <f t="shared" si="482"/>
        <v>9</v>
      </c>
      <c r="E2193" s="2" t="str">
        <f>"马栏山新媒体学院"</f>
        <v>马栏山新媒体学院</v>
      </c>
    </row>
    <row r="2194" ht="13.5" hidden="1" spans="1:5">
      <c r="A2194" s="2" t="str">
        <f>"向文斌"</f>
        <v>向文斌</v>
      </c>
      <c r="B2194" s="2" t="str">
        <f>"B20210201113"</f>
        <v>B20210201113</v>
      </c>
      <c r="C2194" s="2" t="str">
        <f t="shared" ref="C2194:C2198" si="486">"男"</f>
        <v>男</v>
      </c>
      <c r="D2194" s="2" t="str">
        <f t="shared" si="482"/>
        <v>9</v>
      </c>
      <c r="E2194" s="2" t="str">
        <f t="shared" ref="E2194:E2198" si="487">"机电工程学院"</f>
        <v>机电工程学院</v>
      </c>
    </row>
    <row r="2195" ht="13.5" hidden="1" spans="1:5">
      <c r="A2195" s="2" t="str">
        <f>"唐胜兰"</f>
        <v>唐胜兰</v>
      </c>
      <c r="B2195" s="2" t="str">
        <f>"B20220402302"</f>
        <v>B20220402302</v>
      </c>
      <c r="C2195" s="2" t="str">
        <f t="shared" si="485"/>
        <v>女</v>
      </c>
      <c r="D2195" s="2" t="str">
        <f t="shared" si="482"/>
        <v>9</v>
      </c>
      <c r="E2195" s="2" t="str">
        <f>"电子信息与电气工程学院"</f>
        <v>电子信息与电气工程学院</v>
      </c>
    </row>
    <row r="2196" ht="13.5" hidden="1" spans="1:5">
      <c r="A2196" s="2" t="str">
        <f>"陈锦鑫"</f>
        <v>陈锦鑫</v>
      </c>
      <c r="B2196" s="2" t="str">
        <f>"B20210301115"</f>
        <v>B20210301115</v>
      </c>
      <c r="C2196" s="2" t="str">
        <f>"男"</f>
        <v>男</v>
      </c>
      <c r="D2196" s="2" t="str">
        <f>"14"</f>
        <v>14</v>
      </c>
      <c r="E2196" s="2" t="str">
        <f>"数学学院"</f>
        <v>数学学院</v>
      </c>
    </row>
    <row r="2197" ht="13.5" hidden="1" spans="1:5">
      <c r="A2197" s="2" t="str">
        <f>"杨奇"</f>
        <v>杨奇</v>
      </c>
      <c r="B2197" s="2" t="str">
        <f>"B20200201328"</f>
        <v>B20200201328</v>
      </c>
      <c r="C2197" s="2" t="str">
        <f t="shared" si="486"/>
        <v>男</v>
      </c>
      <c r="D2197" s="2" t="str">
        <f t="shared" si="482"/>
        <v>9</v>
      </c>
      <c r="E2197" s="2" t="str">
        <f t="shared" si="487"/>
        <v>机电工程学院</v>
      </c>
    </row>
    <row r="2198" ht="13.5" hidden="1" spans="1:5">
      <c r="A2198" s="2" t="str">
        <f>"杨育樾"</f>
        <v>杨育樾</v>
      </c>
      <c r="B2198" s="2" t="str">
        <f>"B20210203124"</f>
        <v>B20210203124</v>
      </c>
      <c r="C2198" s="2" t="str">
        <f t="shared" si="486"/>
        <v>男</v>
      </c>
      <c r="D2198" s="2" t="str">
        <f t="shared" si="482"/>
        <v>9</v>
      </c>
      <c r="E2198" s="2" t="str">
        <f t="shared" si="487"/>
        <v>机电工程学院</v>
      </c>
    </row>
    <row r="2199" ht="13.5" hidden="1" spans="1:5">
      <c r="A2199" s="2" t="str">
        <f>"杨梦娇"</f>
        <v>杨梦娇</v>
      </c>
      <c r="B2199" s="2" t="str">
        <f>"B20220904115"</f>
        <v>B20220904115</v>
      </c>
      <c r="C2199" s="2" t="str">
        <f t="shared" ref="C2199:C2203" si="488">"女"</f>
        <v>女</v>
      </c>
      <c r="D2199" s="2" t="str">
        <f t="shared" si="482"/>
        <v>9</v>
      </c>
      <c r="E2199" s="2" t="str">
        <f t="shared" ref="E2199:E2203" si="489">"经济与管理学院"</f>
        <v>经济与管理学院</v>
      </c>
    </row>
    <row r="2200" ht="13.5" hidden="1" spans="1:5">
      <c r="A2200" s="2" t="str">
        <f>"刘宇涵"</f>
        <v>刘宇涵</v>
      </c>
      <c r="B2200" s="2" t="str">
        <f>"B20220601420"</f>
        <v>B20220601420</v>
      </c>
      <c r="C2200" s="2" t="str">
        <f t="shared" si="488"/>
        <v>女</v>
      </c>
      <c r="D2200" s="2" t="str">
        <f t="shared" si="482"/>
        <v>9</v>
      </c>
      <c r="E2200" s="2" t="str">
        <f>"法学院"</f>
        <v>法学院</v>
      </c>
    </row>
    <row r="2201" ht="13.5" hidden="1" spans="1:5">
      <c r="A2201" s="2" t="str">
        <f>"义巧如"</f>
        <v>义巧如</v>
      </c>
      <c r="B2201" s="2" t="str">
        <f>"B20200503113"</f>
        <v>B20200503113</v>
      </c>
      <c r="C2201" s="2" t="str">
        <f t="shared" si="488"/>
        <v>女</v>
      </c>
      <c r="D2201" s="2" t="str">
        <f t="shared" si="482"/>
        <v>9</v>
      </c>
      <c r="E2201" s="2" t="str">
        <f>"生物与环境工程学院"</f>
        <v>生物与环境工程学院</v>
      </c>
    </row>
    <row r="2202" ht="13.5" hidden="1" spans="1:5">
      <c r="A2202" s="2" t="str">
        <f>"詹海婷"</f>
        <v>詹海婷</v>
      </c>
      <c r="B2202" s="2" t="str">
        <f>"B20230905208"</f>
        <v>B20230905208</v>
      </c>
      <c r="C2202" s="2" t="str">
        <f t="shared" si="488"/>
        <v>女</v>
      </c>
      <c r="D2202" s="2" t="str">
        <f t="shared" si="482"/>
        <v>9</v>
      </c>
      <c r="E2202" s="2" t="str">
        <f t="shared" si="489"/>
        <v>经济与管理学院</v>
      </c>
    </row>
    <row r="2203" ht="13.5" hidden="1" spans="1:5">
      <c r="A2203" s="2" t="str">
        <f>"周慧莲"</f>
        <v>周慧莲</v>
      </c>
      <c r="B2203" s="2" t="str">
        <f>"B20230904211"</f>
        <v>B20230904211</v>
      </c>
      <c r="C2203" s="2" t="str">
        <f t="shared" si="488"/>
        <v>女</v>
      </c>
      <c r="D2203" s="2" t="str">
        <f t="shared" si="482"/>
        <v>9</v>
      </c>
      <c r="E2203" s="2" t="str">
        <f t="shared" si="489"/>
        <v>经济与管理学院</v>
      </c>
    </row>
    <row r="2204" ht="13.5" hidden="1" spans="1:5">
      <c r="A2204" s="2" t="str">
        <f>"付泺轩"</f>
        <v>付泺轩</v>
      </c>
      <c r="B2204" s="2" t="str">
        <f>"B20200201407"</f>
        <v>B20200201407</v>
      </c>
      <c r="C2204" s="2" t="str">
        <f t="shared" ref="C2204:C2207" si="490">"男"</f>
        <v>男</v>
      </c>
      <c r="D2204" s="2" t="str">
        <f t="shared" si="482"/>
        <v>9</v>
      </c>
      <c r="E2204" s="2" t="str">
        <f>"机电工程学院"</f>
        <v>机电工程学院</v>
      </c>
    </row>
    <row r="2205" ht="13.5" hidden="1" spans="1:5">
      <c r="A2205" s="2" t="str">
        <f>"罗栋"</f>
        <v>罗栋</v>
      </c>
      <c r="B2205" s="2" t="str">
        <f>"B20231301230"</f>
        <v>B20231301230</v>
      </c>
      <c r="C2205" s="2" t="str">
        <f t="shared" si="490"/>
        <v>男</v>
      </c>
      <c r="D2205" s="2" t="str">
        <f t="shared" si="482"/>
        <v>9</v>
      </c>
      <c r="E2205" s="2" t="str">
        <f>"材料与环境工程学院"</f>
        <v>材料与环境工程学院</v>
      </c>
    </row>
    <row r="2206" ht="13.5" hidden="1" spans="1:5">
      <c r="A2206" s="2" t="str">
        <f>"王佳"</f>
        <v>王佳</v>
      </c>
      <c r="B2206" s="2" t="str">
        <f>"B20230801301"</f>
        <v>B20230801301</v>
      </c>
      <c r="C2206" s="2" t="str">
        <f t="shared" ref="C2206:C2209" si="491">"女"</f>
        <v>女</v>
      </c>
      <c r="D2206" s="2" t="str">
        <f t="shared" si="482"/>
        <v>9</v>
      </c>
      <c r="E2206" s="2" t="str">
        <f>"外国语学院"</f>
        <v>外国语学院</v>
      </c>
    </row>
    <row r="2207" ht="13.5" hidden="1" spans="1:5">
      <c r="A2207" s="2" t="str">
        <f>"卢干"</f>
        <v>卢干</v>
      </c>
      <c r="B2207" s="2" t="str">
        <f>"B20210104119"</f>
        <v>B20210104119</v>
      </c>
      <c r="C2207" s="2" t="str">
        <f t="shared" si="490"/>
        <v>男</v>
      </c>
      <c r="D2207" s="2" t="str">
        <f t="shared" si="482"/>
        <v>9</v>
      </c>
      <c r="E2207" s="2" t="str">
        <f>"土木工程学院"</f>
        <v>土木工程学院</v>
      </c>
    </row>
    <row r="2208" ht="13.5" hidden="1" spans="1:5">
      <c r="A2208" s="2" t="str">
        <f>"匡彤鑫"</f>
        <v>匡彤鑫</v>
      </c>
      <c r="B2208" s="2" t="str">
        <f>"B20230504413"</f>
        <v>B20230504413</v>
      </c>
      <c r="C2208" s="2" t="str">
        <f t="shared" si="491"/>
        <v>女</v>
      </c>
      <c r="D2208" s="2" t="str">
        <f t="shared" si="482"/>
        <v>9</v>
      </c>
      <c r="E2208" s="2" t="str">
        <f>"生物与化学工程学院"</f>
        <v>生物与化学工程学院</v>
      </c>
    </row>
    <row r="2209" ht="13.5" hidden="1" spans="1:5">
      <c r="A2209" s="2" t="str">
        <f>"李炜倩"</f>
        <v>李炜倩</v>
      </c>
      <c r="B2209" s="2" t="str">
        <f>"B20230801319"</f>
        <v>B20230801319</v>
      </c>
      <c r="C2209" s="2" t="str">
        <f t="shared" si="491"/>
        <v>女</v>
      </c>
      <c r="D2209" s="2" t="str">
        <f t="shared" si="482"/>
        <v>9</v>
      </c>
      <c r="E2209" s="2" t="str">
        <f>"外国语学院"</f>
        <v>外国语学院</v>
      </c>
    </row>
    <row r="2210" ht="13.5" hidden="1" spans="1:5">
      <c r="A2210" s="2" t="str">
        <f>"王亚飞"</f>
        <v>王亚飞</v>
      </c>
      <c r="B2210" s="2" t="str">
        <f>"B20230205331"</f>
        <v>B20230205331</v>
      </c>
      <c r="C2210" s="2" t="str">
        <f t="shared" ref="C2210:C2216" si="492">"男"</f>
        <v>男</v>
      </c>
      <c r="D2210" s="2" t="str">
        <f t="shared" si="482"/>
        <v>9</v>
      </c>
      <c r="E2210" s="2" t="str">
        <f>"机电工程学院"</f>
        <v>机电工程学院</v>
      </c>
    </row>
    <row r="2211" ht="13.5" hidden="1" spans="1:5">
      <c r="A2211" s="2" t="str">
        <f>"杨子涵"</f>
        <v>杨子涵</v>
      </c>
      <c r="B2211" s="2" t="str">
        <f>"B20220902216"</f>
        <v>B20220902216</v>
      </c>
      <c r="C2211" s="2" t="str">
        <f>"女"</f>
        <v>女</v>
      </c>
      <c r="D2211" s="2" t="str">
        <f t="shared" si="482"/>
        <v>9</v>
      </c>
      <c r="E2211" s="2" t="str">
        <f>"经济与管理学院"</f>
        <v>经济与管理学院</v>
      </c>
    </row>
    <row r="2212" ht="13.5" hidden="1" spans="1:5">
      <c r="A2212" s="2" t="str">
        <f>"胡俊杰"</f>
        <v>胡俊杰</v>
      </c>
      <c r="B2212" s="2" t="str">
        <f>"B20200104123"</f>
        <v>B20200104123</v>
      </c>
      <c r="C2212" s="2" t="str">
        <f t="shared" si="492"/>
        <v>男</v>
      </c>
      <c r="D2212" s="2" t="str">
        <f t="shared" si="482"/>
        <v>9</v>
      </c>
      <c r="E2212" s="2" t="str">
        <f>"土木工程学院"</f>
        <v>土木工程学院</v>
      </c>
    </row>
    <row r="2213" ht="13.5" hidden="1" spans="1:5">
      <c r="A2213" s="2" t="str">
        <f>"黄远鉴"</f>
        <v>黄远鉴</v>
      </c>
      <c r="B2213" s="2" t="str">
        <f>"B20220705107"</f>
        <v>B20220705107</v>
      </c>
      <c r="C2213" s="2" t="str">
        <f t="shared" si="492"/>
        <v>男</v>
      </c>
      <c r="D2213" s="2" t="str">
        <f t="shared" si="482"/>
        <v>9</v>
      </c>
      <c r="E2213" s="2" t="str">
        <f>"马栏山新媒体学院"</f>
        <v>马栏山新媒体学院</v>
      </c>
    </row>
    <row r="2214" ht="13.5" hidden="1" spans="1:5">
      <c r="A2214" s="2" t="str">
        <f>"彭与博"</f>
        <v>彭与博</v>
      </c>
      <c r="B2214" s="2" t="str">
        <f>"B20220201210"</f>
        <v>B20220201210</v>
      </c>
      <c r="C2214" s="2" t="str">
        <f t="shared" si="492"/>
        <v>男</v>
      </c>
      <c r="D2214" s="2" t="str">
        <f t="shared" si="482"/>
        <v>9</v>
      </c>
      <c r="E2214" s="2" t="str">
        <f>"机电工程学院"</f>
        <v>机电工程学院</v>
      </c>
    </row>
    <row r="2215" customHeight="1" spans="1:5">
      <c r="A2215" s="6" t="str">
        <f>"张靠"</f>
        <v>张靠</v>
      </c>
      <c r="B2215" s="6" t="str">
        <f>"B20210301117"</f>
        <v>B20210301117</v>
      </c>
      <c r="C2215" s="6" t="str">
        <f t="shared" si="492"/>
        <v>男</v>
      </c>
      <c r="D2215" s="7" t="str">
        <f>"6"</f>
        <v>6</v>
      </c>
      <c r="E2215" s="6" t="str">
        <f>"计算机科学与工程学院"</f>
        <v>计算机科学与工程学院</v>
      </c>
    </row>
    <row r="2216" ht="13.5" hidden="1" spans="1:5">
      <c r="A2216" s="2" t="str">
        <f>"刘陈翔"</f>
        <v>刘陈翔</v>
      </c>
      <c r="B2216" s="2" t="str">
        <f>"B20230401108"</f>
        <v>B20230401108</v>
      </c>
      <c r="C2216" s="2" t="str">
        <f t="shared" si="492"/>
        <v>男</v>
      </c>
      <c r="D2216" s="2" t="str">
        <f t="shared" si="482"/>
        <v>9</v>
      </c>
      <c r="E2216" s="2" t="str">
        <f>"电子信息与电气工程学院"</f>
        <v>电子信息与电气工程学院</v>
      </c>
    </row>
    <row r="2217" ht="13.5" hidden="1" spans="1:5">
      <c r="A2217" s="2" t="str">
        <f>"杨欣怡"</f>
        <v>杨欣怡</v>
      </c>
      <c r="B2217" s="2" t="str">
        <f>"B20200402102"</f>
        <v>B20200402102</v>
      </c>
      <c r="C2217" s="2" t="str">
        <f t="shared" ref="C2215:C2221" si="493">"女"</f>
        <v>女</v>
      </c>
      <c r="D2217" s="2" t="str">
        <f t="shared" si="482"/>
        <v>9</v>
      </c>
      <c r="E2217" s="2" t="str">
        <f>"电子信息与电气工程学院"</f>
        <v>电子信息与电气工程学院</v>
      </c>
    </row>
    <row r="2218" ht="13.5" hidden="1" spans="1:5">
      <c r="A2218" s="2" t="str">
        <f>"李雅琴"</f>
        <v>李雅琴</v>
      </c>
      <c r="B2218" s="2" t="str">
        <f>"B20230701305"</f>
        <v>B20230701305</v>
      </c>
      <c r="C2218" s="2" t="str">
        <f t="shared" si="493"/>
        <v>女</v>
      </c>
      <c r="D2218" s="2" t="str">
        <f t="shared" si="482"/>
        <v>9</v>
      </c>
      <c r="E2218" s="2" t="str">
        <f>"马栏山新媒体学院"</f>
        <v>马栏山新媒体学院</v>
      </c>
    </row>
    <row r="2219" ht="13.5" hidden="1" spans="1:5">
      <c r="A2219" s="2" t="str">
        <f>"李佳星"</f>
        <v>李佳星</v>
      </c>
      <c r="B2219" s="2" t="str">
        <f>"B20230803117"</f>
        <v>B20230803117</v>
      </c>
      <c r="C2219" s="2" t="str">
        <f t="shared" si="493"/>
        <v>女</v>
      </c>
      <c r="D2219" s="2" t="str">
        <f t="shared" si="482"/>
        <v>9</v>
      </c>
      <c r="E2219" s="2" t="str">
        <f>"外国语学院"</f>
        <v>外国语学院</v>
      </c>
    </row>
    <row r="2220" ht="13.5" hidden="1" spans="1:5">
      <c r="A2220" s="2" t="str">
        <f>"邓欢欢"</f>
        <v>邓欢欢</v>
      </c>
      <c r="B2220" s="2" t="str">
        <f>"B20220904230"</f>
        <v>B20220904230</v>
      </c>
      <c r="C2220" s="2" t="str">
        <f t="shared" si="493"/>
        <v>女</v>
      </c>
      <c r="D2220" s="2" t="str">
        <f t="shared" si="482"/>
        <v>9</v>
      </c>
      <c r="E2220" s="2" t="str">
        <f>"经济与管理学院"</f>
        <v>经济与管理学院</v>
      </c>
    </row>
    <row r="2221" ht="13.5" hidden="1" spans="1:5">
      <c r="A2221" s="2" t="str">
        <f>"覃洋"</f>
        <v>覃洋</v>
      </c>
      <c r="B2221" s="2" t="str">
        <f>"B20210301118"</f>
        <v>B20210301118</v>
      </c>
      <c r="C2221" s="2" t="str">
        <f>"男"</f>
        <v>男</v>
      </c>
      <c r="D2221" s="2" t="str">
        <f t="shared" si="482"/>
        <v>9</v>
      </c>
      <c r="E2221" s="2" t="str">
        <f>"数学学院"</f>
        <v>数学学院</v>
      </c>
    </row>
    <row r="2222" ht="13.5" hidden="1" spans="1:5">
      <c r="A2222" s="2" t="str">
        <f>"彭鸿林"</f>
        <v>彭鸿林</v>
      </c>
      <c r="B2222" s="2" t="str">
        <f>"B20230502226"</f>
        <v>B20230502226</v>
      </c>
      <c r="C2222" s="2" t="str">
        <f t="shared" ref="C2222:C2227" si="494">"男"</f>
        <v>男</v>
      </c>
      <c r="D2222" s="2" t="str">
        <f t="shared" si="482"/>
        <v>9</v>
      </c>
      <c r="E2222" s="2" t="str">
        <f>"生物与化学工程学院"</f>
        <v>生物与化学工程学院</v>
      </c>
    </row>
    <row r="2223" ht="13.5" hidden="1" spans="1:5">
      <c r="A2223" s="2" t="str">
        <f>"何昆乐"</f>
        <v>何昆乐</v>
      </c>
      <c r="B2223" s="2" t="str">
        <f>"B20210301119"</f>
        <v>B20210301119</v>
      </c>
      <c r="C2223" s="2" t="str">
        <f t="shared" si="494"/>
        <v>男</v>
      </c>
      <c r="D2223" s="2" t="str">
        <f>"5"</f>
        <v>5</v>
      </c>
      <c r="E2223" s="2" t="str">
        <f>"数学学院"</f>
        <v>数学学院</v>
      </c>
    </row>
    <row r="2224" ht="13.5" hidden="1" spans="1:5">
      <c r="A2224" s="2" t="str">
        <f>"唐银银"</f>
        <v>唐银银</v>
      </c>
      <c r="B2224" s="2" t="str">
        <f>"B20200703202"</f>
        <v>B20200703202</v>
      </c>
      <c r="C2224" s="2" t="str">
        <f t="shared" ref="C2224:C2230" si="495">"女"</f>
        <v>女</v>
      </c>
      <c r="D2224" s="2" t="str">
        <f t="shared" si="482"/>
        <v>9</v>
      </c>
      <c r="E2224" s="2" t="str">
        <f>"马栏山新媒体学院"</f>
        <v>马栏山新媒体学院</v>
      </c>
    </row>
    <row r="2225" ht="13.5" hidden="1" spans="1:5">
      <c r="A2225" s="2" t="str">
        <f>"唐丽娜"</f>
        <v>唐丽娜</v>
      </c>
      <c r="B2225" s="2" t="str">
        <f>"B20200802105"</f>
        <v>B20200802105</v>
      </c>
      <c r="C2225" s="2" t="str">
        <f t="shared" si="495"/>
        <v>女</v>
      </c>
      <c r="D2225" s="2" t="str">
        <f t="shared" si="482"/>
        <v>9</v>
      </c>
      <c r="E2225" s="2" t="str">
        <f>"外国语学院"</f>
        <v>外国语学院</v>
      </c>
    </row>
    <row r="2226" ht="13.5" hidden="1" spans="1:5">
      <c r="A2226" s="2" t="str">
        <f>"吴齐飞"</f>
        <v>吴齐飞</v>
      </c>
      <c r="B2226" s="2" t="str">
        <f>"B20210403103"</f>
        <v>B20210403103</v>
      </c>
      <c r="C2226" s="2" t="str">
        <f t="shared" si="494"/>
        <v>男</v>
      </c>
      <c r="D2226" s="2" t="str">
        <f t="shared" si="482"/>
        <v>9</v>
      </c>
      <c r="E2226" s="2" t="str">
        <f>"电子信息与电气工程学院"</f>
        <v>电子信息与电气工程学院</v>
      </c>
    </row>
    <row r="2227" ht="13.5" hidden="1" spans="1:5">
      <c r="A2227" s="2" t="str">
        <f>"唐俊伟"</f>
        <v>唐俊伟</v>
      </c>
      <c r="B2227" s="2" t="str">
        <f>"B20220504302"</f>
        <v>B20220504302</v>
      </c>
      <c r="C2227" s="2" t="str">
        <f t="shared" si="494"/>
        <v>男</v>
      </c>
      <c r="D2227" s="2" t="str">
        <f t="shared" si="482"/>
        <v>9</v>
      </c>
      <c r="E2227" s="2" t="str">
        <f>"生物与化学工程学院"</f>
        <v>生物与化学工程学院</v>
      </c>
    </row>
    <row r="2228" ht="13.5" hidden="1" spans="1:5">
      <c r="A2228" s="2" t="str">
        <f>"闫玉"</f>
        <v>闫玉</v>
      </c>
      <c r="B2228" s="2" t="str">
        <f>"B20221002219"</f>
        <v>B20221002219</v>
      </c>
      <c r="C2228" s="2" t="str">
        <f t="shared" si="495"/>
        <v>女</v>
      </c>
      <c r="D2228" s="2" t="str">
        <f t="shared" si="482"/>
        <v>9</v>
      </c>
      <c r="E2228" s="2" t="str">
        <f>"艺术设计学院"</f>
        <v>艺术设计学院</v>
      </c>
    </row>
    <row r="2229" ht="13.5" hidden="1" spans="1:5">
      <c r="A2229" s="2" t="str">
        <f>"许可"</f>
        <v>许可</v>
      </c>
      <c r="B2229" s="2" t="str">
        <f>"B20210905223"</f>
        <v>B20210905223</v>
      </c>
      <c r="C2229" s="2" t="str">
        <f t="shared" si="495"/>
        <v>女</v>
      </c>
      <c r="D2229" s="2" t="str">
        <f t="shared" si="482"/>
        <v>9</v>
      </c>
      <c r="E2229" s="2" t="str">
        <f>"经济与管理学院"</f>
        <v>经济与管理学院</v>
      </c>
    </row>
    <row r="2230" ht="13.5" hidden="1" spans="1:5">
      <c r="A2230" s="2" t="str">
        <f>"张明瑶"</f>
        <v>张明瑶</v>
      </c>
      <c r="B2230" s="2" t="str">
        <f>"B20230802235"</f>
        <v>B20230802235</v>
      </c>
      <c r="C2230" s="2" t="str">
        <f t="shared" si="495"/>
        <v>女</v>
      </c>
      <c r="D2230" s="2" t="str">
        <f t="shared" si="482"/>
        <v>9</v>
      </c>
      <c r="E2230" s="2" t="str">
        <f>"外国语学院"</f>
        <v>外国语学院</v>
      </c>
    </row>
    <row r="2231" ht="13.5" hidden="1" spans="1:5">
      <c r="A2231" s="2" t="str">
        <f>"魏寿锋"</f>
        <v>魏寿锋</v>
      </c>
      <c r="B2231" s="2" t="str">
        <f>"B20230504431"</f>
        <v>B20230504431</v>
      </c>
      <c r="C2231" s="2" t="str">
        <f t="shared" ref="C2231:C2237" si="496">"男"</f>
        <v>男</v>
      </c>
      <c r="D2231" s="2" t="str">
        <f t="shared" si="482"/>
        <v>9</v>
      </c>
      <c r="E2231" s="2" t="str">
        <f>"生物与化学工程学院"</f>
        <v>生物与化学工程学院</v>
      </c>
    </row>
    <row r="2232" ht="13.5" hidden="1" spans="1:5">
      <c r="A2232" s="2" t="str">
        <f>"李海阳"</f>
        <v>李海阳</v>
      </c>
      <c r="B2232" s="2" t="str">
        <f>"B20210301122"</f>
        <v>B20210301122</v>
      </c>
      <c r="C2232" s="2" t="str">
        <f t="shared" si="496"/>
        <v>男</v>
      </c>
      <c r="D2232" s="2" t="str">
        <f>"2"</f>
        <v>2</v>
      </c>
      <c r="E2232" s="2" t="str">
        <f>"数学学院"</f>
        <v>数学学院</v>
      </c>
    </row>
    <row r="2233" ht="13.5" hidden="1" spans="1:5">
      <c r="A2233" s="2" t="str">
        <f>"朱佳成"</f>
        <v>朱佳成</v>
      </c>
      <c r="B2233" s="2" t="str">
        <f>"B20230101120"</f>
        <v>B20230101120</v>
      </c>
      <c r="C2233" s="2" t="str">
        <f t="shared" si="496"/>
        <v>男</v>
      </c>
      <c r="D2233" s="2" t="str">
        <f t="shared" si="482"/>
        <v>9</v>
      </c>
      <c r="E2233" s="2" t="str">
        <f>"土木工程学院"</f>
        <v>土木工程学院</v>
      </c>
    </row>
    <row r="2234" ht="13.5" hidden="1" spans="1:5">
      <c r="A2234" s="2" t="str">
        <f>"钟瑶"</f>
        <v>钟瑶</v>
      </c>
      <c r="B2234" s="2" t="str">
        <f>"B20210301123"</f>
        <v>B20210301123</v>
      </c>
      <c r="C2234" s="2" t="str">
        <f>"女"</f>
        <v>女</v>
      </c>
      <c r="D2234" s="2" t="str">
        <f>"4"</f>
        <v>4</v>
      </c>
      <c r="E2234" s="2" t="str">
        <f>"数学学院"</f>
        <v>数学学院</v>
      </c>
    </row>
    <row r="2235" ht="13.5" hidden="1" spans="1:5">
      <c r="A2235" s="2" t="str">
        <f>"何宜柳"</f>
        <v>何宜柳</v>
      </c>
      <c r="B2235" s="2" t="str">
        <f>"B20200103130"</f>
        <v>B20200103130</v>
      </c>
      <c r="C2235" s="2" t="str">
        <f>"女"</f>
        <v>女</v>
      </c>
      <c r="D2235" s="2" t="str">
        <f t="shared" si="482"/>
        <v>9</v>
      </c>
      <c r="E2235" s="2" t="str">
        <f>"土木工程学院"</f>
        <v>土木工程学院</v>
      </c>
    </row>
    <row r="2236" ht="13.5" hidden="1" spans="1:5">
      <c r="A2236" s="2" t="str">
        <f>"谢坤"</f>
        <v>谢坤</v>
      </c>
      <c r="B2236" s="2" t="str">
        <f>"B20230405117"</f>
        <v>B20230405117</v>
      </c>
      <c r="C2236" s="2" t="str">
        <f t="shared" si="496"/>
        <v>男</v>
      </c>
      <c r="D2236" s="2" t="str">
        <f t="shared" si="482"/>
        <v>9</v>
      </c>
      <c r="E2236" s="2" t="str">
        <f>"电子信息与电气工程学院"</f>
        <v>电子信息与电气工程学院</v>
      </c>
    </row>
    <row r="2237" ht="13.5" hidden="1" spans="1:5">
      <c r="A2237" s="2" t="str">
        <f>"李凯"</f>
        <v>李凯</v>
      </c>
      <c r="B2237" s="2" t="str">
        <f>"B20200202304"</f>
        <v>B20200202304</v>
      </c>
      <c r="C2237" s="2" t="str">
        <f t="shared" si="496"/>
        <v>男</v>
      </c>
      <c r="D2237" s="2" t="str">
        <f t="shared" si="482"/>
        <v>9</v>
      </c>
      <c r="E2237" s="2" t="str">
        <f>"机电工程学院"</f>
        <v>机电工程学院</v>
      </c>
    </row>
    <row r="2238" ht="13.5" hidden="1" spans="1:5">
      <c r="A2238" s="2" t="str">
        <f>"蒋文慧"</f>
        <v>蒋文慧</v>
      </c>
      <c r="B2238" s="2" t="str">
        <f>"B20210301124"</f>
        <v>B20210301124</v>
      </c>
      <c r="C2238" s="2" t="str">
        <f>"女"</f>
        <v>女</v>
      </c>
      <c r="D2238" s="2" t="str">
        <f>"6"</f>
        <v>6</v>
      </c>
      <c r="E2238" s="2" t="str">
        <f>"数学学院"</f>
        <v>数学学院</v>
      </c>
    </row>
    <row r="2239" ht="13.5" hidden="1" spans="1:5">
      <c r="A2239" s="2" t="str">
        <f>"葛炜祥"</f>
        <v>葛炜祥</v>
      </c>
      <c r="B2239" s="2" t="str">
        <f>"B20230401224"</f>
        <v>B20230401224</v>
      </c>
      <c r="C2239" s="2" t="str">
        <f>"男"</f>
        <v>男</v>
      </c>
      <c r="D2239" s="2" t="str">
        <f t="shared" si="482"/>
        <v>9</v>
      </c>
      <c r="E2239" s="2" t="str">
        <f>"电子信息与电气工程学院"</f>
        <v>电子信息与电气工程学院</v>
      </c>
    </row>
    <row r="2240" ht="13.5" hidden="1" spans="1:5">
      <c r="A2240" s="2" t="str">
        <f>"程佳敏"</f>
        <v>程佳敏</v>
      </c>
      <c r="B2240" s="2" t="str">
        <f>"B20231401127"</f>
        <v>B20231401127</v>
      </c>
      <c r="C2240" s="2" t="str">
        <f t="shared" ref="C2238:C2242" si="497">"女"</f>
        <v>女</v>
      </c>
      <c r="D2240" s="2" t="str">
        <f t="shared" si="482"/>
        <v>9</v>
      </c>
      <c r="E2240" s="2" t="str">
        <f>"马克思主义学院"</f>
        <v>马克思主义学院</v>
      </c>
    </row>
    <row r="2241" ht="13.5" hidden="1" spans="1:5">
      <c r="A2241" s="2" t="str">
        <f>"周振宜"</f>
        <v>周振宜</v>
      </c>
      <c r="B2241" s="2" t="str">
        <f>"B20230801412"</f>
        <v>B20230801412</v>
      </c>
      <c r="C2241" s="2" t="str">
        <f t="shared" si="497"/>
        <v>女</v>
      </c>
      <c r="D2241" s="2" t="str">
        <f t="shared" si="482"/>
        <v>9</v>
      </c>
      <c r="E2241" s="2" t="str">
        <f>"外国语学院"</f>
        <v>外国语学院</v>
      </c>
    </row>
    <row r="2242" ht="13.5" hidden="1" spans="1:5">
      <c r="A2242" s="2" t="str">
        <f>"胡可仁"</f>
        <v>胡可仁</v>
      </c>
      <c r="B2242" s="2" t="str">
        <f>"B20210901318"</f>
        <v>B20210901318</v>
      </c>
      <c r="C2242" s="2" t="str">
        <f t="shared" si="497"/>
        <v>女</v>
      </c>
      <c r="D2242" s="2" t="str">
        <f t="shared" si="482"/>
        <v>9</v>
      </c>
      <c r="E2242" s="2" t="str">
        <f>"经济与管理学院"</f>
        <v>经济与管理学院</v>
      </c>
    </row>
    <row r="2243" ht="13.5" hidden="1" spans="1:5">
      <c r="A2243" s="2" t="str">
        <f>"许前俊"</f>
        <v>许前俊</v>
      </c>
      <c r="B2243" s="2" t="str">
        <f>"B20200201422"</f>
        <v>B20200201422</v>
      </c>
      <c r="C2243" s="2" t="str">
        <f t="shared" ref="C2243:C2247" si="498">"男"</f>
        <v>男</v>
      </c>
      <c r="D2243" s="2" t="str">
        <f t="shared" si="482"/>
        <v>9</v>
      </c>
      <c r="E2243" s="2" t="str">
        <f>"机电工程学院"</f>
        <v>机电工程学院</v>
      </c>
    </row>
    <row r="2244" ht="13.5" hidden="1" spans="1:5">
      <c r="A2244" s="2" t="str">
        <f>"陈茜"</f>
        <v>陈茜</v>
      </c>
      <c r="B2244" s="2" t="str">
        <f>"B20220903206"</f>
        <v>B20220903206</v>
      </c>
      <c r="C2244" s="2" t="str">
        <f t="shared" ref="C2244:C2251" si="499">"女"</f>
        <v>女</v>
      </c>
      <c r="D2244" s="2" t="str">
        <f t="shared" ref="D2244:D2307" si="500">"9"</f>
        <v>9</v>
      </c>
      <c r="E2244" s="2" t="str">
        <f>"经济与管理学院"</f>
        <v>经济与管理学院</v>
      </c>
    </row>
    <row r="2245" ht="13.5" hidden="1" spans="1:5">
      <c r="A2245" s="2" t="str">
        <f>"吴嘉仪"</f>
        <v>吴嘉仪</v>
      </c>
      <c r="B2245" s="2" t="str">
        <f>"B20230401329"</f>
        <v>B20230401329</v>
      </c>
      <c r="C2245" s="2" t="str">
        <f t="shared" si="499"/>
        <v>女</v>
      </c>
      <c r="D2245" s="2" t="str">
        <f t="shared" si="500"/>
        <v>9</v>
      </c>
      <c r="E2245" s="2" t="str">
        <f>"电子信息与电气工程学院"</f>
        <v>电子信息与电气工程学院</v>
      </c>
    </row>
    <row r="2246" ht="13.5" hidden="1" spans="1:5">
      <c r="A2246" s="2" t="str">
        <f>"周鑫"</f>
        <v>周鑫</v>
      </c>
      <c r="B2246" s="2" t="str">
        <f>"B20220202325"</f>
        <v>B20220202325</v>
      </c>
      <c r="C2246" s="2" t="str">
        <f t="shared" si="498"/>
        <v>男</v>
      </c>
      <c r="D2246" s="2" t="str">
        <f t="shared" si="500"/>
        <v>9</v>
      </c>
      <c r="E2246" s="2" t="str">
        <f>"机电工程学院"</f>
        <v>机电工程学院</v>
      </c>
    </row>
    <row r="2247" ht="13.5" hidden="1" spans="1:5">
      <c r="A2247" s="2" t="str">
        <f>"何文伍"</f>
        <v>何文伍</v>
      </c>
      <c r="B2247" s="2" t="str">
        <f>"B20210301127"</f>
        <v>B20210301127</v>
      </c>
      <c r="C2247" s="2" t="str">
        <f t="shared" si="498"/>
        <v>男</v>
      </c>
      <c r="D2247" s="2" t="str">
        <f>"10"</f>
        <v>10</v>
      </c>
      <c r="E2247" s="2" t="str">
        <f>"数学学院"</f>
        <v>数学学院</v>
      </c>
    </row>
    <row r="2248" ht="13.5" hidden="1" spans="1:5">
      <c r="A2248" s="2" t="str">
        <f>"邓桂枝"</f>
        <v>邓桂枝</v>
      </c>
      <c r="B2248" s="2" t="str">
        <f>"B20210801109"</f>
        <v>B20210801109</v>
      </c>
      <c r="C2248" s="2" t="str">
        <f t="shared" si="499"/>
        <v>女</v>
      </c>
      <c r="D2248" s="2" t="str">
        <f t="shared" si="500"/>
        <v>9</v>
      </c>
      <c r="E2248" s="2" t="str">
        <f>"外国语学院"</f>
        <v>外国语学院</v>
      </c>
    </row>
    <row r="2249" ht="13.5" hidden="1" spans="1:5">
      <c r="A2249" s="2" t="str">
        <f>"肖妍彦"</f>
        <v>肖妍彦</v>
      </c>
      <c r="B2249" s="2" t="str">
        <f>"B20230702228"</f>
        <v>B20230702228</v>
      </c>
      <c r="C2249" s="2" t="str">
        <f t="shared" si="499"/>
        <v>女</v>
      </c>
      <c r="D2249" s="2" t="str">
        <f t="shared" si="500"/>
        <v>9</v>
      </c>
      <c r="E2249" s="2" t="str">
        <f>"马栏山新媒体学院"</f>
        <v>马栏山新媒体学院</v>
      </c>
    </row>
    <row r="2250" ht="13.5" hidden="1" spans="1:5">
      <c r="A2250" s="2" t="str">
        <f>"赵英伊"</f>
        <v>赵英伊</v>
      </c>
      <c r="B2250" s="2" t="str">
        <f>"B20230801206"</f>
        <v>B20230801206</v>
      </c>
      <c r="C2250" s="2" t="str">
        <f t="shared" si="499"/>
        <v>女</v>
      </c>
      <c r="D2250" s="2" t="str">
        <f t="shared" si="500"/>
        <v>9</v>
      </c>
      <c r="E2250" s="2" t="str">
        <f>"外国语学院"</f>
        <v>外国语学院</v>
      </c>
    </row>
    <row r="2251" ht="13.5" hidden="1" spans="1:5">
      <c r="A2251" s="2" t="str">
        <f>"盛子璇"</f>
        <v>盛子璇</v>
      </c>
      <c r="B2251" s="2" t="str">
        <f>"B20210904235"</f>
        <v>B20210904235</v>
      </c>
      <c r="C2251" s="2" t="str">
        <f t="shared" si="499"/>
        <v>女</v>
      </c>
      <c r="D2251" s="2" t="str">
        <f t="shared" si="500"/>
        <v>9</v>
      </c>
      <c r="E2251" s="2" t="str">
        <f>"经济与管理学院"</f>
        <v>经济与管理学院</v>
      </c>
    </row>
    <row r="2252" ht="13.5" hidden="1" spans="1:5">
      <c r="A2252" s="2" t="str">
        <f>"周岳俊"</f>
        <v>周岳俊</v>
      </c>
      <c r="B2252" s="2" t="str">
        <f>"B20230201314"</f>
        <v>B20230201314</v>
      </c>
      <c r="C2252" s="2" t="str">
        <f t="shared" ref="C2252:C2255" si="501">"男"</f>
        <v>男</v>
      </c>
      <c r="D2252" s="2" t="str">
        <f t="shared" si="500"/>
        <v>9</v>
      </c>
      <c r="E2252" s="2" t="str">
        <f>"机电工程学院"</f>
        <v>机电工程学院</v>
      </c>
    </row>
    <row r="2253" ht="13.5" hidden="1" spans="1:5">
      <c r="A2253" s="2" t="str">
        <f>"冉松涛"</f>
        <v>冉松涛</v>
      </c>
      <c r="B2253" s="2" t="str">
        <f>"B20230201320"</f>
        <v>B20230201320</v>
      </c>
      <c r="C2253" s="2" t="str">
        <f t="shared" si="501"/>
        <v>男</v>
      </c>
      <c r="D2253" s="2" t="str">
        <f t="shared" si="500"/>
        <v>9</v>
      </c>
      <c r="E2253" s="2" t="str">
        <f>"机电工程学院"</f>
        <v>机电工程学院</v>
      </c>
    </row>
    <row r="2254" ht="13.5" hidden="1" spans="1:5">
      <c r="A2254" s="2" t="str">
        <f>"吴慧玲"</f>
        <v>吴慧玲</v>
      </c>
      <c r="B2254" s="2" t="str">
        <f>"B20221003105"</f>
        <v>B20221003105</v>
      </c>
      <c r="C2254" s="2" t="str">
        <f t="shared" ref="C2254:C2257" si="502">"女"</f>
        <v>女</v>
      </c>
      <c r="D2254" s="2" t="str">
        <f t="shared" si="500"/>
        <v>9</v>
      </c>
      <c r="E2254" s="2" t="str">
        <f>"艺术设计学院"</f>
        <v>艺术设计学院</v>
      </c>
    </row>
    <row r="2255" ht="13.5" hidden="1" spans="1:5">
      <c r="A2255" s="2" t="str">
        <f>"肖俊杰"</f>
        <v>肖俊杰</v>
      </c>
      <c r="B2255" s="2" t="str">
        <f>"B20220401313"</f>
        <v>B20220401313</v>
      </c>
      <c r="C2255" s="2" t="str">
        <f t="shared" si="501"/>
        <v>男</v>
      </c>
      <c r="D2255" s="2" t="str">
        <f t="shared" si="500"/>
        <v>9</v>
      </c>
      <c r="E2255" s="2" t="str">
        <f>"电子信息与电气工程学院"</f>
        <v>电子信息与电气工程学院</v>
      </c>
    </row>
    <row r="2256" ht="13.5" hidden="1" spans="1:5">
      <c r="A2256" s="2" t="str">
        <f>"樊秀玲"</f>
        <v>樊秀玲</v>
      </c>
      <c r="B2256" s="2" t="str">
        <f>"B20210801402"</f>
        <v>B20210801402</v>
      </c>
      <c r="C2256" s="2" t="str">
        <f t="shared" si="502"/>
        <v>女</v>
      </c>
      <c r="D2256" s="2" t="str">
        <f t="shared" si="500"/>
        <v>9</v>
      </c>
      <c r="E2256" s="2" t="str">
        <f>"外国语学院"</f>
        <v>外国语学院</v>
      </c>
    </row>
    <row r="2257" ht="13.5" hidden="1" spans="1:5">
      <c r="A2257" s="2" t="str">
        <f>"文佳蕊"</f>
        <v>文佳蕊</v>
      </c>
      <c r="B2257" s="2" t="str">
        <f>"B20210301129"</f>
        <v>B20210301129</v>
      </c>
      <c r="C2257" s="2" t="str">
        <f t="shared" si="502"/>
        <v>女</v>
      </c>
      <c r="D2257" s="2" t="str">
        <f>"20"</f>
        <v>20</v>
      </c>
      <c r="E2257" s="2" t="str">
        <f>"数学学院"</f>
        <v>数学学院</v>
      </c>
    </row>
    <row r="2258" ht="13.5" hidden="1" spans="1:5">
      <c r="A2258" s="2" t="str">
        <f>"邹忠华"</f>
        <v>邹忠华</v>
      </c>
      <c r="B2258" s="2" t="str">
        <f>"B20230204122"</f>
        <v>B20230204122</v>
      </c>
      <c r="C2258" s="2" t="str">
        <f>"男"</f>
        <v>男</v>
      </c>
      <c r="D2258" s="2" t="str">
        <f t="shared" si="500"/>
        <v>9</v>
      </c>
      <c r="E2258" s="2" t="str">
        <f>"机电工程学院"</f>
        <v>机电工程学院</v>
      </c>
    </row>
    <row r="2259" ht="13.5" hidden="1" spans="1:5">
      <c r="A2259" s="2" t="str">
        <f>"闵长青"</f>
        <v>闵长青</v>
      </c>
      <c r="B2259" s="2" t="str">
        <f>"B20230403310"</f>
        <v>B20230403310</v>
      </c>
      <c r="C2259" s="2" t="str">
        <f>"男"</f>
        <v>男</v>
      </c>
      <c r="D2259" s="2" t="str">
        <f t="shared" si="500"/>
        <v>9</v>
      </c>
      <c r="E2259" s="2" t="str">
        <f>"电子信息与电气工程学院"</f>
        <v>电子信息与电气工程学院</v>
      </c>
    </row>
    <row r="2260" ht="13.5" hidden="1" spans="1:5">
      <c r="A2260" s="2" t="str">
        <f>"吴梓桐"</f>
        <v>吴梓桐</v>
      </c>
      <c r="B2260" s="2" t="str">
        <f>"B20211002114"</f>
        <v>B20211002114</v>
      </c>
      <c r="C2260" s="2" t="str">
        <f t="shared" ref="C2260:C2265" si="503">"女"</f>
        <v>女</v>
      </c>
      <c r="D2260" s="2" t="str">
        <f t="shared" si="500"/>
        <v>9</v>
      </c>
      <c r="E2260" s="2" t="str">
        <f>"艺术设计学院"</f>
        <v>艺术设计学院</v>
      </c>
    </row>
    <row r="2261" ht="13.5" hidden="1" spans="1:5">
      <c r="A2261" s="2" t="str">
        <f>"陶柯言"</f>
        <v>陶柯言</v>
      </c>
      <c r="B2261" s="2" t="str">
        <f>"B20230703325"</f>
        <v>B20230703325</v>
      </c>
      <c r="C2261" s="2" t="str">
        <f t="shared" si="503"/>
        <v>女</v>
      </c>
      <c r="D2261" s="2" t="str">
        <f t="shared" si="500"/>
        <v>9</v>
      </c>
      <c r="E2261" s="2" t="str">
        <f>"马栏山新媒体学院"</f>
        <v>马栏山新媒体学院</v>
      </c>
    </row>
    <row r="2262" ht="13.5" hidden="1" spans="1:5">
      <c r="A2262" s="2" t="str">
        <f>"宋芷娴"</f>
        <v>宋芷娴</v>
      </c>
      <c r="B2262" s="2" t="str">
        <f>"B20230902109"</f>
        <v>B20230902109</v>
      </c>
      <c r="C2262" s="2" t="str">
        <f t="shared" si="503"/>
        <v>女</v>
      </c>
      <c r="D2262" s="2" t="str">
        <f t="shared" si="500"/>
        <v>9</v>
      </c>
      <c r="E2262" s="2" t="str">
        <f>"经济与管理学院"</f>
        <v>经济与管理学院</v>
      </c>
    </row>
    <row r="2263" ht="13.5" hidden="1" spans="1:5">
      <c r="A2263" s="2" t="str">
        <f>"刘彬伶"</f>
        <v>刘彬伶</v>
      </c>
      <c r="B2263" s="2" t="str">
        <f>"B20220906120"</f>
        <v>B20220906120</v>
      </c>
      <c r="C2263" s="2" t="str">
        <f t="shared" si="503"/>
        <v>女</v>
      </c>
      <c r="D2263" s="2" t="str">
        <f t="shared" si="500"/>
        <v>9</v>
      </c>
      <c r="E2263" s="2" t="str">
        <f>"经济与管理学院"</f>
        <v>经济与管理学院</v>
      </c>
    </row>
    <row r="2264" ht="13.5" hidden="1" spans="1:5">
      <c r="A2264" s="2" t="str">
        <f>"姚也"</f>
        <v>姚也</v>
      </c>
      <c r="B2264" s="2" t="str">
        <f>"B20231301233"</f>
        <v>B20231301233</v>
      </c>
      <c r="C2264" s="2" t="str">
        <f t="shared" si="503"/>
        <v>女</v>
      </c>
      <c r="D2264" s="2" t="str">
        <f t="shared" si="500"/>
        <v>9</v>
      </c>
      <c r="E2264" s="2" t="str">
        <f>"材料与环境工程学院"</f>
        <v>材料与环境工程学院</v>
      </c>
    </row>
    <row r="2265" ht="13.5" hidden="1" spans="1:5">
      <c r="A2265" s="2" t="str">
        <f>"范湘悦"</f>
        <v>范湘悦</v>
      </c>
      <c r="B2265" s="2" t="str">
        <f>"B20231003118"</f>
        <v>B20231003118</v>
      </c>
      <c r="C2265" s="2" t="str">
        <f t="shared" si="503"/>
        <v>女</v>
      </c>
      <c r="D2265" s="2" t="str">
        <f t="shared" si="500"/>
        <v>9</v>
      </c>
      <c r="E2265" s="2" t="str">
        <f t="shared" ref="E2265:E2269" si="504">"艺术设计学院"</f>
        <v>艺术设计学院</v>
      </c>
    </row>
    <row r="2266" ht="13.5" hidden="1" spans="1:5">
      <c r="A2266" s="2" t="str">
        <f>"张泰麟"</f>
        <v>张泰麟</v>
      </c>
      <c r="B2266" s="2" t="str">
        <f>"B20210301130"</f>
        <v>B20210301130</v>
      </c>
      <c r="C2266" s="2" t="str">
        <f>"男"</f>
        <v>男</v>
      </c>
      <c r="D2266" s="2" t="str">
        <f>"3"</f>
        <v>3</v>
      </c>
      <c r="E2266" s="2" t="str">
        <f>"数学学院"</f>
        <v>数学学院</v>
      </c>
    </row>
    <row r="2267" ht="13.5" hidden="1" spans="1:5">
      <c r="A2267" s="2" t="str">
        <f>"赵静希"</f>
        <v>赵静希</v>
      </c>
      <c r="B2267" s="2" t="str">
        <f>"B20231001302"</f>
        <v>B20231001302</v>
      </c>
      <c r="C2267" s="2" t="str">
        <f t="shared" ref="C2267:C2270" si="505">"女"</f>
        <v>女</v>
      </c>
      <c r="D2267" s="2" t="str">
        <f t="shared" si="500"/>
        <v>9</v>
      </c>
      <c r="E2267" s="2" t="str">
        <f t="shared" si="504"/>
        <v>艺术设计学院</v>
      </c>
    </row>
    <row r="2268" ht="13.5" hidden="1" spans="1:5">
      <c r="A2268" s="2" t="str">
        <f>"李星格"</f>
        <v>李星格</v>
      </c>
      <c r="B2268" s="2" t="str">
        <f>"B20220901312"</f>
        <v>B20220901312</v>
      </c>
      <c r="C2268" s="2" t="str">
        <f>"男"</f>
        <v>男</v>
      </c>
      <c r="D2268" s="2" t="str">
        <f t="shared" si="500"/>
        <v>9</v>
      </c>
      <c r="E2268" s="2" t="str">
        <f>"经济与管理学院"</f>
        <v>经济与管理学院</v>
      </c>
    </row>
    <row r="2269" ht="13.5" hidden="1" spans="1:5">
      <c r="A2269" s="2" t="str">
        <f>"张丹妮"</f>
        <v>张丹妮</v>
      </c>
      <c r="B2269" s="2" t="str">
        <f>"B20211001304"</f>
        <v>B20211001304</v>
      </c>
      <c r="C2269" s="2" t="str">
        <f t="shared" si="505"/>
        <v>女</v>
      </c>
      <c r="D2269" s="2" t="str">
        <f t="shared" si="500"/>
        <v>9</v>
      </c>
      <c r="E2269" s="2" t="str">
        <f t="shared" si="504"/>
        <v>艺术设计学院</v>
      </c>
    </row>
    <row r="2270" ht="13.5" hidden="1" spans="1:5">
      <c r="A2270" s="2" t="str">
        <f>"蒋依婷"</f>
        <v>蒋依婷</v>
      </c>
      <c r="B2270" s="2" t="str">
        <f>"B20230905103"</f>
        <v>B20230905103</v>
      </c>
      <c r="C2270" s="2" t="str">
        <f t="shared" si="505"/>
        <v>女</v>
      </c>
      <c r="D2270" s="2" t="str">
        <f t="shared" si="500"/>
        <v>9</v>
      </c>
      <c r="E2270" s="2" t="str">
        <f>"经济与管理学院"</f>
        <v>经济与管理学院</v>
      </c>
    </row>
    <row r="2271" ht="13.5" hidden="1" spans="1:5">
      <c r="A2271" s="2" t="str">
        <f>"李嘉豪"</f>
        <v>李嘉豪</v>
      </c>
      <c r="B2271" s="2" t="str">
        <f>"B20230401407"</f>
        <v>B20230401407</v>
      </c>
      <c r="C2271" s="2" t="str">
        <f>"男"</f>
        <v>男</v>
      </c>
      <c r="D2271" s="2" t="str">
        <f t="shared" si="500"/>
        <v>9</v>
      </c>
      <c r="E2271" s="2" t="str">
        <f>"电子信息与电气工程学院"</f>
        <v>电子信息与电气工程学院</v>
      </c>
    </row>
    <row r="2272" ht="13.5" hidden="1" spans="1:5">
      <c r="A2272" s="2" t="str">
        <f>"陈智豪"</f>
        <v>陈智豪</v>
      </c>
      <c r="B2272" s="2" t="str">
        <f>"B20210301206"</f>
        <v>B20210301206</v>
      </c>
      <c r="C2272" s="2" t="str">
        <f>"男"</f>
        <v>男</v>
      </c>
      <c r="D2272" s="2" t="str">
        <f>"8"</f>
        <v>8</v>
      </c>
      <c r="E2272" s="2" t="str">
        <f>"数学学院"</f>
        <v>数学学院</v>
      </c>
    </row>
    <row r="2273" ht="13.5" hidden="1" spans="1:5">
      <c r="A2273" s="2" t="str">
        <f>"贾凯隆"</f>
        <v>贾凯隆</v>
      </c>
      <c r="B2273" s="2" t="str">
        <f>"B20220601529"</f>
        <v>B20220601529</v>
      </c>
      <c r="C2273" s="2" t="str">
        <f>"男"</f>
        <v>男</v>
      </c>
      <c r="D2273" s="2" t="str">
        <f t="shared" si="500"/>
        <v>9</v>
      </c>
      <c r="E2273" s="2" t="str">
        <f>"法学院"</f>
        <v>法学院</v>
      </c>
    </row>
    <row r="2274" ht="13.5" hidden="1" spans="1:5">
      <c r="A2274" s="2" t="str">
        <f>"邹璇"</f>
        <v>邹璇</v>
      </c>
      <c r="B2274" s="2" t="str">
        <f>"B20230702106"</f>
        <v>B20230702106</v>
      </c>
      <c r="C2274" s="2" t="str">
        <f t="shared" ref="C2274:C2281" si="506">"女"</f>
        <v>女</v>
      </c>
      <c r="D2274" s="2" t="str">
        <f t="shared" si="500"/>
        <v>9</v>
      </c>
      <c r="E2274" s="2" t="str">
        <f t="shared" ref="E2274:E2278" si="507">"马栏山新媒体学院"</f>
        <v>马栏山新媒体学院</v>
      </c>
    </row>
    <row r="2275" ht="13.5" hidden="1" spans="1:5">
      <c r="A2275" s="2" t="str">
        <f>"唐子杰"</f>
        <v>唐子杰</v>
      </c>
      <c r="B2275" s="2" t="str">
        <f>"B20210201202"</f>
        <v>B20210201202</v>
      </c>
      <c r="C2275" s="2" t="str">
        <f>"男"</f>
        <v>男</v>
      </c>
      <c r="D2275" s="2" t="str">
        <f t="shared" si="500"/>
        <v>9</v>
      </c>
      <c r="E2275" s="2" t="str">
        <f>"机电工程学院"</f>
        <v>机电工程学院</v>
      </c>
    </row>
    <row r="2276" ht="13.5" hidden="1" spans="1:5">
      <c r="A2276" s="2" t="str">
        <f>"杨杨柳柳"</f>
        <v>杨杨柳柳</v>
      </c>
      <c r="B2276" s="2" t="str">
        <f>"B20210702105"</f>
        <v>B20210702105</v>
      </c>
      <c r="C2276" s="2" t="str">
        <f t="shared" si="506"/>
        <v>女</v>
      </c>
      <c r="D2276" s="2" t="str">
        <f t="shared" si="500"/>
        <v>9</v>
      </c>
      <c r="E2276" s="2" t="str">
        <f t="shared" si="507"/>
        <v>马栏山新媒体学院</v>
      </c>
    </row>
    <row r="2277" ht="13.5" hidden="1" spans="1:5">
      <c r="A2277" s="2" t="str">
        <f>"赵豪"</f>
        <v>赵豪</v>
      </c>
      <c r="B2277" s="2" t="str">
        <f>"B20210301209"</f>
        <v>B20210301209</v>
      </c>
      <c r="C2277" s="2" t="str">
        <f>"男"</f>
        <v>男</v>
      </c>
      <c r="D2277" s="2" t="str">
        <f t="shared" si="500"/>
        <v>9</v>
      </c>
      <c r="E2277" s="2" t="str">
        <f>"数学学院"</f>
        <v>数学学院</v>
      </c>
    </row>
    <row r="2278" ht="13.5" hidden="1" spans="1:5">
      <c r="A2278" s="2" t="str">
        <f>"肖敏"</f>
        <v>肖敏</v>
      </c>
      <c r="B2278" s="2" t="str">
        <f>"B20200705116"</f>
        <v>B20200705116</v>
      </c>
      <c r="C2278" s="2" t="str">
        <f t="shared" si="506"/>
        <v>女</v>
      </c>
      <c r="D2278" s="2" t="str">
        <f t="shared" si="500"/>
        <v>9</v>
      </c>
      <c r="E2278" s="2" t="str">
        <f t="shared" si="507"/>
        <v>马栏山新媒体学院</v>
      </c>
    </row>
    <row r="2279" ht="13.5" hidden="1" spans="1:5">
      <c r="A2279" s="2" t="str">
        <f>"唐江明"</f>
        <v>唐江明</v>
      </c>
      <c r="B2279" s="2" t="str">
        <f>"B20210301210"</f>
        <v>B20210301210</v>
      </c>
      <c r="C2279" s="2" t="str">
        <f>"男"</f>
        <v>男</v>
      </c>
      <c r="D2279" s="2" t="str">
        <f>"6"</f>
        <v>6</v>
      </c>
      <c r="E2279" s="2" t="str">
        <f>"数学学院"</f>
        <v>数学学院</v>
      </c>
    </row>
    <row r="2280" ht="13.5" hidden="1" spans="1:5">
      <c r="A2280" s="2" t="str">
        <f>"谢鑫"</f>
        <v>谢鑫</v>
      </c>
      <c r="B2280" s="2" t="str">
        <f>"B20210801407"</f>
        <v>B20210801407</v>
      </c>
      <c r="C2280" s="2" t="str">
        <f t="shared" si="506"/>
        <v>女</v>
      </c>
      <c r="D2280" s="2" t="str">
        <f t="shared" si="500"/>
        <v>9</v>
      </c>
      <c r="E2280" s="2" t="str">
        <f>"外国语学院"</f>
        <v>外国语学院</v>
      </c>
    </row>
    <row r="2281" ht="13.5" hidden="1" spans="1:5">
      <c r="A2281" s="2" t="str">
        <f>"黄美"</f>
        <v>黄美</v>
      </c>
      <c r="B2281" s="2" t="str">
        <f>"B20210301211"</f>
        <v>B20210301211</v>
      </c>
      <c r="C2281" s="2" t="str">
        <f t="shared" si="506"/>
        <v>女</v>
      </c>
      <c r="D2281" s="2" t="str">
        <f>"7"</f>
        <v>7</v>
      </c>
      <c r="E2281" s="2" t="str">
        <f>"数学学院"</f>
        <v>数学学院</v>
      </c>
    </row>
    <row r="2282" ht="13.5" hidden="1" spans="1:5">
      <c r="A2282" s="2" t="str">
        <f>"马锐"</f>
        <v>马锐</v>
      </c>
      <c r="B2282" s="2" t="str">
        <f>"B20210204218"</f>
        <v>B20210204218</v>
      </c>
      <c r="C2282" s="2" t="str">
        <f t="shared" ref="C2281:C2283" si="508">"男"</f>
        <v>男</v>
      </c>
      <c r="D2282" s="2" t="str">
        <f t="shared" si="500"/>
        <v>9</v>
      </c>
      <c r="E2282" s="2" t="str">
        <f>"机电工程学院"</f>
        <v>机电工程学院</v>
      </c>
    </row>
    <row r="2283" ht="13.5" hidden="1" spans="1:5">
      <c r="A2283" s="2" t="str">
        <f>"李瀚"</f>
        <v>李瀚</v>
      </c>
      <c r="B2283" s="2" t="str">
        <f>"B20230402222"</f>
        <v>B20230402222</v>
      </c>
      <c r="C2283" s="2" t="str">
        <f t="shared" si="508"/>
        <v>男</v>
      </c>
      <c r="D2283" s="2" t="str">
        <f t="shared" si="500"/>
        <v>9</v>
      </c>
      <c r="E2283" s="2" t="str">
        <f>"电子信息与电气工程学院"</f>
        <v>电子信息与电气工程学院</v>
      </c>
    </row>
    <row r="2284" ht="13.5" hidden="1" spans="1:5">
      <c r="A2284" s="2" t="str">
        <f>"刘佳雯"</f>
        <v>刘佳雯</v>
      </c>
      <c r="B2284" s="2" t="str">
        <f>"B20210502121"</f>
        <v>B20210502121</v>
      </c>
      <c r="C2284" s="2" t="str">
        <f>"女"</f>
        <v>女</v>
      </c>
      <c r="D2284" s="2" t="str">
        <f t="shared" si="500"/>
        <v>9</v>
      </c>
      <c r="E2284" s="2" t="str">
        <f>"生物与化学工程学院"</f>
        <v>生物与化学工程学院</v>
      </c>
    </row>
    <row r="2285" ht="13.5" hidden="1" spans="1:5">
      <c r="A2285" s="2" t="str">
        <f>"伍玉"</f>
        <v>伍玉</v>
      </c>
      <c r="B2285" s="2" t="str">
        <f>"B20210901142"</f>
        <v>B20210901142</v>
      </c>
      <c r="C2285" s="2" t="str">
        <f>"女"</f>
        <v>女</v>
      </c>
      <c r="D2285" s="2" t="str">
        <f t="shared" si="500"/>
        <v>9</v>
      </c>
      <c r="E2285" s="2" t="str">
        <f>"经济与管理学院"</f>
        <v>经济与管理学院</v>
      </c>
    </row>
    <row r="2286" ht="13.5" hidden="1" spans="1:5">
      <c r="A2286" s="2" t="str">
        <f>"王博"</f>
        <v>王博</v>
      </c>
      <c r="B2286" s="2" t="str">
        <f>"B20210201411"</f>
        <v>B20210201411</v>
      </c>
      <c r="C2286" s="2" t="str">
        <f t="shared" ref="C2286:C2293" si="509">"男"</f>
        <v>男</v>
      </c>
      <c r="D2286" s="2" t="str">
        <f t="shared" si="500"/>
        <v>9</v>
      </c>
      <c r="E2286" s="2" t="str">
        <f>"机电工程学院"</f>
        <v>机电工程学院</v>
      </c>
    </row>
    <row r="2287" ht="13.5" hidden="1" spans="1:5">
      <c r="A2287" s="2" t="str">
        <f>"王功正"</f>
        <v>王功正</v>
      </c>
      <c r="B2287" s="2" t="str">
        <f>"B20230504432"</f>
        <v>B20230504432</v>
      </c>
      <c r="C2287" s="2" t="str">
        <f t="shared" si="509"/>
        <v>男</v>
      </c>
      <c r="D2287" s="2" t="str">
        <f t="shared" si="500"/>
        <v>9</v>
      </c>
      <c r="E2287" s="2" t="str">
        <f>"生物与化学工程学院"</f>
        <v>生物与化学工程学院</v>
      </c>
    </row>
    <row r="2288" ht="13.5" hidden="1" spans="1:5">
      <c r="A2288" s="2" t="str">
        <f>"邢子豪"</f>
        <v>邢子豪</v>
      </c>
      <c r="B2288" s="2" t="str">
        <f>"B20230101638"</f>
        <v>B20230101638</v>
      </c>
      <c r="C2288" s="2" t="str">
        <f t="shared" si="509"/>
        <v>男</v>
      </c>
      <c r="D2288" s="2" t="str">
        <f t="shared" si="500"/>
        <v>9</v>
      </c>
      <c r="E2288" s="2" t="str">
        <f>"土木工程学院"</f>
        <v>土木工程学院</v>
      </c>
    </row>
    <row r="2289" ht="13.5" hidden="1" spans="1:5">
      <c r="A2289" s="2" t="str">
        <f>"伊智诚"</f>
        <v>伊智诚</v>
      </c>
      <c r="B2289" s="2" t="str">
        <f>"B20210203228"</f>
        <v>B20210203228</v>
      </c>
      <c r="C2289" s="2" t="str">
        <f t="shared" si="509"/>
        <v>男</v>
      </c>
      <c r="D2289" s="2" t="str">
        <f t="shared" si="500"/>
        <v>9</v>
      </c>
      <c r="E2289" s="2" t="str">
        <f>"机电工程学院"</f>
        <v>机电工程学院</v>
      </c>
    </row>
    <row r="2290" ht="13.5" hidden="1" spans="1:5">
      <c r="A2290" s="2" t="str">
        <f>"管杰"</f>
        <v>管杰</v>
      </c>
      <c r="B2290" s="2" t="str">
        <f>"B20231002419"</f>
        <v>B20231002419</v>
      </c>
      <c r="C2290" s="2" t="str">
        <f t="shared" si="509"/>
        <v>男</v>
      </c>
      <c r="D2290" s="2" t="str">
        <f t="shared" si="500"/>
        <v>9</v>
      </c>
      <c r="E2290" s="2" t="str">
        <f>"艺术设计学院"</f>
        <v>艺术设计学院</v>
      </c>
    </row>
    <row r="2291" ht="13.5" hidden="1" spans="1:5">
      <c r="A2291" s="2" t="str">
        <f>"张华志"</f>
        <v>张华志</v>
      </c>
      <c r="B2291" s="2" t="str">
        <f>"B20220405107"</f>
        <v>B20220405107</v>
      </c>
      <c r="C2291" s="2" t="str">
        <f t="shared" si="509"/>
        <v>男</v>
      </c>
      <c r="D2291" s="2" t="str">
        <f t="shared" si="500"/>
        <v>9</v>
      </c>
      <c r="E2291" s="2" t="str">
        <f t="shared" ref="E2291:E2296" si="510">"电子信息与电气工程学院"</f>
        <v>电子信息与电气工程学院</v>
      </c>
    </row>
    <row r="2292" ht="13.5" hidden="1" spans="1:5">
      <c r="A2292" s="2" t="str">
        <f>"胡果"</f>
        <v>胡果</v>
      </c>
      <c r="B2292" s="2" t="str">
        <f>"B20230404123"</f>
        <v>B20230404123</v>
      </c>
      <c r="C2292" s="2" t="str">
        <f t="shared" si="509"/>
        <v>男</v>
      </c>
      <c r="D2292" s="2" t="str">
        <f t="shared" si="500"/>
        <v>9</v>
      </c>
      <c r="E2292" s="2" t="str">
        <f t="shared" si="510"/>
        <v>电子信息与电气工程学院</v>
      </c>
    </row>
    <row r="2293" ht="13.5" hidden="1" spans="1:5">
      <c r="A2293" s="2" t="str">
        <f>"李宇乐"</f>
        <v>李宇乐</v>
      </c>
      <c r="B2293" s="2" t="str">
        <f>"B20230905235"</f>
        <v>B20230905235</v>
      </c>
      <c r="C2293" s="2" t="str">
        <f t="shared" si="509"/>
        <v>男</v>
      </c>
      <c r="D2293" s="2" t="str">
        <f t="shared" si="500"/>
        <v>9</v>
      </c>
      <c r="E2293" s="2" t="str">
        <f>"经济与管理学院"</f>
        <v>经济与管理学院</v>
      </c>
    </row>
    <row r="2294" ht="13.5" hidden="1" spans="1:5">
      <c r="A2294" s="2" t="str">
        <f>"孟幸"</f>
        <v>孟幸</v>
      </c>
      <c r="B2294" s="2" t="str">
        <f>"B20200203224"</f>
        <v>B20200203224</v>
      </c>
      <c r="C2294" s="2" t="str">
        <f t="shared" ref="C2294:C2299" si="511">"女"</f>
        <v>女</v>
      </c>
      <c r="D2294" s="2" t="str">
        <f t="shared" si="500"/>
        <v>9</v>
      </c>
      <c r="E2294" s="2" t="str">
        <f>"机电工程学院"</f>
        <v>机电工程学院</v>
      </c>
    </row>
    <row r="2295" ht="13.5" hidden="1" spans="1:5">
      <c r="A2295" s="2" t="str">
        <f>"方祉轩"</f>
        <v>方祉轩</v>
      </c>
      <c r="B2295" s="2" t="str">
        <f>"B20190701203"</f>
        <v>B20190701203</v>
      </c>
      <c r="C2295" s="2" t="str">
        <f t="shared" ref="C2295:C2300" si="512">"男"</f>
        <v>男</v>
      </c>
      <c r="D2295" s="2" t="str">
        <f t="shared" si="500"/>
        <v>9</v>
      </c>
      <c r="E2295" s="2" t="str">
        <f>"马栏山新媒体学院"</f>
        <v>马栏山新媒体学院</v>
      </c>
    </row>
    <row r="2296" ht="13.5" hidden="1" spans="1:5">
      <c r="A2296" s="2" t="str">
        <f>"余永恒"</f>
        <v>余永恒</v>
      </c>
      <c r="B2296" s="2" t="str">
        <f>"B20200402212"</f>
        <v>B20200402212</v>
      </c>
      <c r="C2296" s="2" t="str">
        <f t="shared" si="512"/>
        <v>男</v>
      </c>
      <c r="D2296" s="2" t="str">
        <f t="shared" si="500"/>
        <v>9</v>
      </c>
      <c r="E2296" s="2" t="str">
        <f t="shared" si="510"/>
        <v>电子信息与电气工程学院</v>
      </c>
    </row>
    <row r="2297" ht="13.5" hidden="1" spans="1:5">
      <c r="A2297" s="2" t="str">
        <f>"陈婉春"</f>
        <v>陈婉春</v>
      </c>
      <c r="B2297" s="2" t="str">
        <f>"B20210902122"</f>
        <v>B20210902122</v>
      </c>
      <c r="C2297" s="2" t="str">
        <f t="shared" si="511"/>
        <v>女</v>
      </c>
      <c r="D2297" s="2" t="str">
        <f t="shared" si="500"/>
        <v>9</v>
      </c>
      <c r="E2297" s="2" t="str">
        <f>"经济与管理学院"</f>
        <v>经济与管理学院</v>
      </c>
    </row>
    <row r="2298" ht="13.5" hidden="1" spans="1:5">
      <c r="A2298" s="2" t="str">
        <f>"胡庆成"</f>
        <v>胡庆成</v>
      </c>
      <c r="B2298" s="2" t="str">
        <f>"B20210301212"</f>
        <v>B20210301212</v>
      </c>
      <c r="C2298" s="2" t="str">
        <f>"男"</f>
        <v>男</v>
      </c>
      <c r="D2298" s="2" t="str">
        <f>"1"</f>
        <v>1</v>
      </c>
      <c r="E2298" s="2" t="str">
        <f>"数学学院"</f>
        <v>数学学院</v>
      </c>
    </row>
    <row r="2299" ht="13.5" hidden="1" spans="1:5">
      <c r="A2299" s="2" t="str">
        <f>"赵睿"</f>
        <v>赵睿</v>
      </c>
      <c r="B2299" s="2" t="str">
        <f>"B20211002320"</f>
        <v>B20211002320</v>
      </c>
      <c r="C2299" s="2" t="str">
        <f t="shared" si="511"/>
        <v>女</v>
      </c>
      <c r="D2299" s="2" t="str">
        <f t="shared" si="500"/>
        <v>9</v>
      </c>
      <c r="E2299" s="2" t="str">
        <f>"艺术设计学院"</f>
        <v>艺术设计学院</v>
      </c>
    </row>
    <row r="2300" ht="13.5" hidden="1" spans="1:5">
      <c r="A2300" s="2" t="str">
        <f>"颜锦辉"</f>
        <v>颜锦辉</v>
      </c>
      <c r="B2300" s="2" t="str">
        <f>"B20200402110"</f>
        <v>B20200402110</v>
      </c>
      <c r="C2300" s="2" t="str">
        <f t="shared" si="512"/>
        <v>男</v>
      </c>
      <c r="D2300" s="2" t="str">
        <f t="shared" si="500"/>
        <v>9</v>
      </c>
      <c r="E2300" s="2" t="str">
        <f>"电子信息与电气工程学院"</f>
        <v>电子信息与电气工程学院</v>
      </c>
    </row>
    <row r="2301" ht="13.5" hidden="1" spans="1:5">
      <c r="A2301" s="2" t="str">
        <f>"杨晓辉"</f>
        <v>杨晓辉</v>
      </c>
      <c r="B2301" s="2" t="str">
        <f>"B20220803207"</f>
        <v>B20220803207</v>
      </c>
      <c r="C2301" s="2" t="str">
        <f t="shared" ref="C2301:C2308" si="513">"女"</f>
        <v>女</v>
      </c>
      <c r="D2301" s="2" t="str">
        <f t="shared" si="500"/>
        <v>9</v>
      </c>
      <c r="E2301" s="2" t="str">
        <f t="shared" ref="E2301:E2306" si="514">"外国语学院"</f>
        <v>外国语学院</v>
      </c>
    </row>
    <row r="2302" ht="13.5" hidden="1" spans="1:5">
      <c r="A2302" s="2" t="str">
        <f>"喻卓怡"</f>
        <v>喻卓怡</v>
      </c>
      <c r="B2302" s="2" t="str">
        <f>"B20210402325"</f>
        <v>B20210402325</v>
      </c>
      <c r="C2302" s="2" t="str">
        <f>"男"</f>
        <v>男</v>
      </c>
      <c r="D2302" s="2" t="str">
        <f t="shared" si="500"/>
        <v>9</v>
      </c>
      <c r="E2302" s="2" t="str">
        <f>"电子信息与电气工程学院"</f>
        <v>电子信息与电气工程学院</v>
      </c>
    </row>
    <row r="2303" ht="13.5" hidden="1" spans="1:5">
      <c r="A2303" s="2" t="str">
        <f>"牛雨"</f>
        <v>牛雨</v>
      </c>
      <c r="B2303" s="2" t="str">
        <f>"B20210101418"</f>
        <v>B20210101418</v>
      </c>
      <c r="C2303" s="2" t="str">
        <f t="shared" si="513"/>
        <v>女</v>
      </c>
      <c r="D2303" s="2" t="str">
        <f t="shared" si="500"/>
        <v>9</v>
      </c>
      <c r="E2303" s="2" t="str">
        <f>"土木工程学院"</f>
        <v>土木工程学院</v>
      </c>
    </row>
    <row r="2304" ht="13.5" hidden="1" spans="1:5">
      <c r="A2304" s="2" t="str">
        <f>"李香英"</f>
        <v>李香英</v>
      </c>
      <c r="B2304" s="2" t="str">
        <f>"B20220801325"</f>
        <v>B20220801325</v>
      </c>
      <c r="C2304" s="2" t="str">
        <f t="shared" si="513"/>
        <v>女</v>
      </c>
      <c r="D2304" s="2" t="str">
        <f t="shared" si="500"/>
        <v>9</v>
      </c>
      <c r="E2304" s="2" t="str">
        <f t="shared" si="514"/>
        <v>外国语学院</v>
      </c>
    </row>
    <row r="2305" ht="13.5" hidden="1" spans="1:5">
      <c r="A2305" s="2" t="str">
        <f>"王鑫兰"</f>
        <v>王鑫兰</v>
      </c>
      <c r="B2305" s="2" t="str">
        <f>"B20200902211"</f>
        <v>B20200902211</v>
      </c>
      <c r="C2305" s="2" t="str">
        <f t="shared" si="513"/>
        <v>女</v>
      </c>
      <c r="D2305" s="2" t="str">
        <f t="shared" si="500"/>
        <v>9</v>
      </c>
      <c r="E2305" s="2" t="str">
        <f>"经济与管理学院"</f>
        <v>经济与管理学院</v>
      </c>
    </row>
    <row r="2306" ht="13.5" hidden="1" spans="1:5">
      <c r="A2306" s="2" t="str">
        <f>"许佳莉"</f>
        <v>许佳莉</v>
      </c>
      <c r="B2306" s="2" t="str">
        <f>"B20220801305"</f>
        <v>B20220801305</v>
      </c>
      <c r="C2306" s="2" t="str">
        <f t="shared" si="513"/>
        <v>女</v>
      </c>
      <c r="D2306" s="2" t="str">
        <f t="shared" si="500"/>
        <v>9</v>
      </c>
      <c r="E2306" s="2" t="str">
        <f t="shared" si="514"/>
        <v>外国语学院</v>
      </c>
    </row>
    <row r="2307" ht="13.5" hidden="1" spans="1:5">
      <c r="A2307" s="2" t="str">
        <f>"曹咏仪"</f>
        <v>曹咏仪</v>
      </c>
      <c r="B2307" s="2" t="str">
        <f>"B20221002422"</f>
        <v>B20221002422</v>
      </c>
      <c r="C2307" s="2" t="str">
        <f t="shared" si="513"/>
        <v>女</v>
      </c>
      <c r="D2307" s="2" t="str">
        <f t="shared" si="500"/>
        <v>9</v>
      </c>
      <c r="E2307" s="2" t="str">
        <f>"艺术设计学院"</f>
        <v>艺术设计学院</v>
      </c>
    </row>
    <row r="2308" ht="13.5" hidden="1" spans="1:5">
      <c r="A2308" s="2" t="str">
        <f>"蒋佳彤"</f>
        <v>蒋佳彤</v>
      </c>
      <c r="B2308" s="2" t="str">
        <f>"B20230901316"</f>
        <v>B20230901316</v>
      </c>
      <c r="C2308" s="2" t="str">
        <f t="shared" si="513"/>
        <v>女</v>
      </c>
      <c r="D2308" s="2" t="str">
        <f t="shared" ref="D2308:D2371" si="515">"9"</f>
        <v>9</v>
      </c>
      <c r="E2308" s="2" t="str">
        <f>"经济与管理学院"</f>
        <v>经济与管理学院</v>
      </c>
    </row>
    <row r="2309" ht="13.5" hidden="1" spans="1:5">
      <c r="A2309" s="2" t="str">
        <f>"舒畅"</f>
        <v>舒畅</v>
      </c>
      <c r="B2309" s="2" t="str">
        <f>"B20220202420"</f>
        <v>B20220202420</v>
      </c>
      <c r="C2309" s="2" t="str">
        <f t="shared" ref="C2309:C2311" si="516">"男"</f>
        <v>男</v>
      </c>
      <c r="D2309" s="2" t="str">
        <f t="shared" si="515"/>
        <v>9</v>
      </c>
      <c r="E2309" s="2" t="str">
        <f>"机电工程学院"</f>
        <v>机电工程学院</v>
      </c>
    </row>
    <row r="2310" ht="13.5" hidden="1" spans="1:5">
      <c r="A2310" s="2" t="str">
        <f>"刘子硕"</f>
        <v>刘子硕</v>
      </c>
      <c r="B2310" s="2" t="str">
        <f>"B20210202430"</f>
        <v>B20210202430</v>
      </c>
      <c r="C2310" s="2" t="str">
        <f t="shared" si="516"/>
        <v>男</v>
      </c>
      <c r="D2310" s="2" t="str">
        <f t="shared" si="515"/>
        <v>9</v>
      </c>
      <c r="E2310" s="2" t="str">
        <f>"机电工程学院"</f>
        <v>机电工程学院</v>
      </c>
    </row>
    <row r="2311" ht="13.5" hidden="1" spans="1:5">
      <c r="A2311" s="2" t="str">
        <f>"曾海洋"</f>
        <v>曾海洋</v>
      </c>
      <c r="B2311" s="2" t="str">
        <f>"B20210403201"</f>
        <v>B20210403201</v>
      </c>
      <c r="C2311" s="2" t="str">
        <f t="shared" si="516"/>
        <v>男</v>
      </c>
      <c r="D2311" s="2" t="str">
        <f t="shared" si="515"/>
        <v>9</v>
      </c>
      <c r="E2311" s="2" t="str">
        <f>"电子信息与电气工程学院"</f>
        <v>电子信息与电气工程学院</v>
      </c>
    </row>
    <row r="2312" ht="13.5" hidden="1" spans="1:5">
      <c r="A2312" s="2" t="str">
        <f>"刘文璇"</f>
        <v>刘文璇</v>
      </c>
      <c r="B2312" s="2" t="str">
        <f>"B20210905116"</f>
        <v>B20210905116</v>
      </c>
      <c r="C2312" s="2" t="str">
        <f t="shared" ref="C2312:C2317" si="517">"女"</f>
        <v>女</v>
      </c>
      <c r="D2312" s="2" t="str">
        <f t="shared" si="515"/>
        <v>9</v>
      </c>
      <c r="E2312" s="2" t="str">
        <f>"经济与管理学院"</f>
        <v>经济与管理学院</v>
      </c>
    </row>
    <row r="2313" ht="13.5" hidden="1" spans="1:5">
      <c r="A2313" s="2" t="str">
        <f>"黄嘉兴"</f>
        <v>黄嘉兴</v>
      </c>
      <c r="B2313" s="2" t="str">
        <f>"B20230502224"</f>
        <v>B20230502224</v>
      </c>
      <c r="C2313" s="2" t="str">
        <f t="shared" ref="C2313:C2315" si="518">"男"</f>
        <v>男</v>
      </c>
      <c r="D2313" s="2" t="str">
        <f t="shared" si="515"/>
        <v>9</v>
      </c>
      <c r="E2313" s="2" t="str">
        <f>"生物与化学工程学院"</f>
        <v>生物与化学工程学院</v>
      </c>
    </row>
    <row r="2314" ht="13.5" hidden="1" spans="1:5">
      <c r="A2314" s="2" t="str">
        <f>"陈攀荣"</f>
        <v>陈攀荣</v>
      </c>
      <c r="B2314" s="2" t="str">
        <f>"B20230102117"</f>
        <v>B20230102117</v>
      </c>
      <c r="C2314" s="2" t="str">
        <f t="shared" si="518"/>
        <v>男</v>
      </c>
      <c r="D2314" s="2" t="str">
        <f t="shared" si="515"/>
        <v>9</v>
      </c>
      <c r="E2314" s="2" t="str">
        <f>"土木工程学院"</f>
        <v>土木工程学院</v>
      </c>
    </row>
    <row r="2315" ht="13.5" hidden="1" spans="1:5">
      <c r="A2315" s="2" t="str">
        <f>"胡常龙"</f>
        <v>胡常龙</v>
      </c>
      <c r="B2315" s="2" t="str">
        <f>"B20230402330"</f>
        <v>B20230402330</v>
      </c>
      <c r="C2315" s="2" t="str">
        <f t="shared" si="518"/>
        <v>男</v>
      </c>
      <c r="D2315" s="2" t="str">
        <f t="shared" si="515"/>
        <v>9</v>
      </c>
      <c r="E2315" s="2" t="str">
        <f>"电子信息与电气工程学院"</f>
        <v>电子信息与电气工程学院</v>
      </c>
    </row>
    <row r="2316" ht="13.5" hidden="1" spans="1:5">
      <c r="A2316" s="2" t="str">
        <f>"邱佳"</f>
        <v>邱佳</v>
      </c>
      <c r="B2316" s="2" t="str">
        <f>"B20220703207"</f>
        <v>B20220703207</v>
      </c>
      <c r="C2316" s="2" t="str">
        <f t="shared" si="517"/>
        <v>女</v>
      </c>
      <c r="D2316" s="2" t="str">
        <f t="shared" si="515"/>
        <v>9</v>
      </c>
      <c r="E2316" s="2" t="str">
        <f>"马栏山新媒体学院"</f>
        <v>马栏山新媒体学院</v>
      </c>
    </row>
    <row r="2317" ht="13.5" hidden="1" spans="1:5">
      <c r="A2317" s="2" t="str">
        <f>"邓艳萍"</f>
        <v>邓艳萍</v>
      </c>
      <c r="B2317" s="2" t="str">
        <f>"B20220903119"</f>
        <v>B20220903119</v>
      </c>
      <c r="C2317" s="2" t="str">
        <f t="shared" si="517"/>
        <v>女</v>
      </c>
      <c r="D2317" s="2" t="str">
        <f t="shared" si="515"/>
        <v>9</v>
      </c>
      <c r="E2317" s="2" t="str">
        <f t="shared" ref="E2317:E2322" si="519">"经济与管理学院"</f>
        <v>经济与管理学院</v>
      </c>
    </row>
    <row r="2318" ht="13.5" hidden="1" spans="1:5">
      <c r="A2318" s="2" t="str">
        <f>"杨铭伟"</f>
        <v>杨铭伟</v>
      </c>
      <c r="B2318" s="2" t="str">
        <f>"B20210301213"</f>
        <v>B20210301213</v>
      </c>
      <c r="C2318" s="2" t="str">
        <f>"男"</f>
        <v>男</v>
      </c>
      <c r="D2318" s="2" t="str">
        <f>"22"</f>
        <v>22</v>
      </c>
      <c r="E2318" s="2" t="str">
        <f>"数学学院"</f>
        <v>数学学院</v>
      </c>
    </row>
    <row r="2319" ht="13.5" hidden="1" spans="1:5">
      <c r="A2319" s="2" t="str">
        <f>"刘昭庭"</f>
        <v>刘昭庭</v>
      </c>
      <c r="B2319" s="2" t="str">
        <f>"B20230101523"</f>
        <v>B20230101523</v>
      </c>
      <c r="C2319" s="2" t="str">
        <f t="shared" ref="C2318:C2320" si="520">"男"</f>
        <v>男</v>
      </c>
      <c r="D2319" s="2" t="str">
        <f t="shared" si="515"/>
        <v>9</v>
      </c>
      <c r="E2319" s="2" t="str">
        <f>"土木工程学院"</f>
        <v>土木工程学院</v>
      </c>
    </row>
    <row r="2320" ht="13.5" hidden="1" spans="1:5">
      <c r="A2320" s="2" t="str">
        <f>"陆顺"</f>
        <v>陆顺</v>
      </c>
      <c r="B2320" s="2" t="str">
        <f>"B20230705102"</f>
        <v>B20230705102</v>
      </c>
      <c r="C2320" s="2" t="str">
        <f t="shared" si="520"/>
        <v>男</v>
      </c>
      <c r="D2320" s="2" t="str">
        <f t="shared" si="515"/>
        <v>9</v>
      </c>
      <c r="E2320" s="2" t="str">
        <f>"马栏山新媒体学院"</f>
        <v>马栏山新媒体学院</v>
      </c>
    </row>
    <row r="2321" ht="13.5" hidden="1" spans="1:5">
      <c r="A2321" s="2" t="str">
        <f>"朱颖"</f>
        <v>朱颖</v>
      </c>
      <c r="B2321" s="2" t="str">
        <f>"B20220903202"</f>
        <v>B20220903202</v>
      </c>
      <c r="C2321" s="2" t="str">
        <f t="shared" ref="C2321:C2325" si="521">"女"</f>
        <v>女</v>
      </c>
      <c r="D2321" s="2" t="str">
        <f t="shared" si="515"/>
        <v>9</v>
      </c>
      <c r="E2321" s="2" t="str">
        <f t="shared" si="519"/>
        <v>经济与管理学院</v>
      </c>
    </row>
    <row r="2322" ht="13.5" hidden="1" spans="1:5">
      <c r="A2322" s="2" t="str">
        <f>"赵翰泽"</f>
        <v>赵翰泽</v>
      </c>
      <c r="B2322" s="2" t="str">
        <f>"B20230902335"</f>
        <v>B20230902335</v>
      </c>
      <c r="C2322" s="2" t="str">
        <f t="shared" ref="C2322:C2326" si="522">"男"</f>
        <v>男</v>
      </c>
      <c r="D2322" s="2" t="str">
        <f t="shared" si="515"/>
        <v>9</v>
      </c>
      <c r="E2322" s="2" t="str">
        <f t="shared" si="519"/>
        <v>经济与管理学院</v>
      </c>
    </row>
    <row r="2323" ht="13.5" hidden="1" spans="1:5">
      <c r="A2323" s="2" t="str">
        <f>"蒋芳"</f>
        <v>蒋芳</v>
      </c>
      <c r="B2323" s="2" t="str">
        <f>"B20220702208"</f>
        <v>B20220702208</v>
      </c>
      <c r="C2323" s="2" t="str">
        <f t="shared" si="521"/>
        <v>女</v>
      </c>
      <c r="D2323" s="2" t="str">
        <f t="shared" si="515"/>
        <v>9</v>
      </c>
      <c r="E2323" s="2" t="str">
        <f>"马栏山新媒体学院"</f>
        <v>马栏山新媒体学院</v>
      </c>
    </row>
    <row r="2324" ht="13.5" hidden="1" spans="1:5">
      <c r="A2324" s="2" t="str">
        <f>"段湘彪"</f>
        <v>段湘彪</v>
      </c>
      <c r="B2324" s="2" t="str">
        <f>"B20231302109"</f>
        <v>B20231302109</v>
      </c>
      <c r="C2324" s="2" t="str">
        <f t="shared" si="522"/>
        <v>男</v>
      </c>
      <c r="D2324" s="2" t="str">
        <f t="shared" si="515"/>
        <v>9</v>
      </c>
      <c r="E2324" s="2" t="str">
        <f>"材料与环境工程学院"</f>
        <v>材料与环境工程学院</v>
      </c>
    </row>
    <row r="2325" ht="13.5" hidden="1" spans="1:5">
      <c r="A2325" s="2" t="str">
        <f>"刘惠"</f>
        <v>刘惠</v>
      </c>
      <c r="B2325" s="2" t="str">
        <f>"B20200203117"</f>
        <v>B20200203117</v>
      </c>
      <c r="C2325" s="2" t="str">
        <f t="shared" si="521"/>
        <v>女</v>
      </c>
      <c r="D2325" s="2" t="str">
        <f t="shared" si="515"/>
        <v>9</v>
      </c>
      <c r="E2325" s="2" t="str">
        <f t="shared" ref="E2325:E2328" si="523">"机电工程学院"</f>
        <v>机电工程学院</v>
      </c>
    </row>
    <row r="2326" ht="13.5" hidden="1" spans="1:5">
      <c r="A2326" s="2" t="str">
        <f>"饶家龙"</f>
        <v>饶家龙</v>
      </c>
      <c r="B2326" s="2" t="str">
        <f>"B20230202118"</f>
        <v>B20230202118</v>
      </c>
      <c r="C2326" s="2" t="str">
        <f t="shared" si="522"/>
        <v>男</v>
      </c>
      <c r="D2326" s="2" t="str">
        <f t="shared" si="515"/>
        <v>9</v>
      </c>
      <c r="E2326" s="2" t="str">
        <f t="shared" si="523"/>
        <v>机电工程学院</v>
      </c>
    </row>
    <row r="2327" ht="13.5" hidden="1" spans="1:5">
      <c r="A2327" s="2" t="str">
        <f>"苏春荟"</f>
        <v>苏春荟</v>
      </c>
      <c r="B2327" s="2" t="str">
        <f>"B20211001220"</f>
        <v>B20211001220</v>
      </c>
      <c r="C2327" s="2" t="str">
        <f>"女"</f>
        <v>女</v>
      </c>
      <c r="D2327" s="2" t="str">
        <f t="shared" si="515"/>
        <v>9</v>
      </c>
      <c r="E2327" s="2" t="str">
        <f>"艺术设计学院"</f>
        <v>艺术设计学院</v>
      </c>
    </row>
    <row r="2328" ht="13.5" hidden="1" spans="1:5">
      <c r="A2328" s="2" t="str">
        <f>"蒋威"</f>
        <v>蒋威</v>
      </c>
      <c r="B2328" s="2" t="str">
        <f>"B20200204208"</f>
        <v>B20200204208</v>
      </c>
      <c r="C2328" s="2" t="str">
        <f t="shared" ref="C2328:C2332" si="524">"男"</f>
        <v>男</v>
      </c>
      <c r="D2328" s="2" t="str">
        <f t="shared" si="515"/>
        <v>9</v>
      </c>
      <c r="E2328" s="2" t="str">
        <f t="shared" si="523"/>
        <v>机电工程学院</v>
      </c>
    </row>
    <row r="2329" ht="13.5" hidden="1" spans="1:5">
      <c r="A2329" s="2" t="str">
        <f>"向健民"</f>
        <v>向健民</v>
      </c>
      <c r="B2329" s="2" t="str">
        <f>"B20230504430"</f>
        <v>B20230504430</v>
      </c>
      <c r="C2329" s="2" t="str">
        <f t="shared" si="524"/>
        <v>男</v>
      </c>
      <c r="D2329" s="2" t="str">
        <f t="shared" si="515"/>
        <v>9</v>
      </c>
      <c r="E2329" s="2" t="str">
        <f>"生物与化学工程学院"</f>
        <v>生物与化学工程学院</v>
      </c>
    </row>
    <row r="2330" ht="13.5" hidden="1" spans="1:5">
      <c r="A2330" s="2" t="str">
        <f>"陆湘"</f>
        <v>陆湘</v>
      </c>
      <c r="B2330" s="2" t="str">
        <f>"B20230906237"</f>
        <v>B20230906237</v>
      </c>
      <c r="C2330" s="2" t="str">
        <f>"女"</f>
        <v>女</v>
      </c>
      <c r="D2330" s="2" t="str">
        <f t="shared" si="515"/>
        <v>9</v>
      </c>
      <c r="E2330" s="2" t="str">
        <f>"经济与管理学院"</f>
        <v>经济与管理学院</v>
      </c>
    </row>
    <row r="2331" ht="13.5" hidden="1" spans="1:5">
      <c r="A2331" s="2" t="str">
        <f>"赵颖"</f>
        <v>赵颖</v>
      </c>
      <c r="B2331" s="2" t="str">
        <f>"B20210301214"</f>
        <v>B20210301214</v>
      </c>
      <c r="C2331" s="2" t="str">
        <f>"女"</f>
        <v>女</v>
      </c>
      <c r="D2331" s="2" t="str">
        <f>"6"</f>
        <v>6</v>
      </c>
      <c r="E2331" s="2" t="str">
        <f>"数学学院"</f>
        <v>数学学院</v>
      </c>
    </row>
    <row r="2332" ht="13.5" hidden="1" spans="1:5">
      <c r="A2332" s="2" t="str">
        <f>"王家强"</f>
        <v>王家强</v>
      </c>
      <c r="B2332" s="2" t="str">
        <f>"B20200501213"</f>
        <v>B20200501213</v>
      </c>
      <c r="C2332" s="2" t="str">
        <f t="shared" si="524"/>
        <v>男</v>
      </c>
      <c r="D2332" s="2" t="str">
        <f t="shared" si="515"/>
        <v>9</v>
      </c>
      <c r="E2332" s="2" t="str">
        <f>"生物与环境工程学院"</f>
        <v>生物与环境工程学院</v>
      </c>
    </row>
    <row r="2333" ht="13.5" hidden="1" spans="1:5">
      <c r="A2333" s="2" t="str">
        <f>"袁娜峰"</f>
        <v>袁娜峰</v>
      </c>
      <c r="B2333" s="2" t="str">
        <f>"B20210803125"</f>
        <v>B20210803125</v>
      </c>
      <c r="C2333" s="2" t="str">
        <f>"女"</f>
        <v>女</v>
      </c>
      <c r="D2333" s="2" t="str">
        <f t="shared" si="515"/>
        <v>9</v>
      </c>
      <c r="E2333" s="2" t="str">
        <f>"外国语学院"</f>
        <v>外国语学院</v>
      </c>
    </row>
    <row r="2334" ht="13.5" hidden="1" spans="1:5">
      <c r="A2334" s="2" t="str">
        <f>"吴镇宇"</f>
        <v>吴镇宇</v>
      </c>
      <c r="B2334" s="2" t="str">
        <f>"B20200401324"</f>
        <v>B20200401324</v>
      </c>
      <c r="C2334" s="2" t="str">
        <f>"男"</f>
        <v>男</v>
      </c>
      <c r="D2334" s="2" t="str">
        <f t="shared" si="515"/>
        <v>9</v>
      </c>
      <c r="E2334" s="2" t="str">
        <f>"电子信息与电气工程学院"</f>
        <v>电子信息与电气工程学院</v>
      </c>
    </row>
    <row r="2335" ht="13.5" hidden="1" spans="1:5">
      <c r="A2335" s="2" t="str">
        <f>"刘晨锐"</f>
        <v>刘晨锐</v>
      </c>
      <c r="B2335" s="2" t="str">
        <f>"B20210301216"</f>
        <v>B20210301216</v>
      </c>
      <c r="C2335" s="2" t="str">
        <f>"男"</f>
        <v>男</v>
      </c>
      <c r="D2335" s="2" t="str">
        <f t="shared" si="515"/>
        <v>9</v>
      </c>
      <c r="E2335" s="2" t="str">
        <f>"数学学院"</f>
        <v>数学学院</v>
      </c>
    </row>
    <row r="2336" ht="13.5" hidden="1" spans="1:5">
      <c r="A2336" s="2" t="str">
        <f>"汪静羽"</f>
        <v>汪静羽</v>
      </c>
      <c r="B2336" s="2" t="str">
        <f>"B20210301217"</f>
        <v>B20210301217</v>
      </c>
      <c r="C2336" s="2" t="str">
        <f>"女"</f>
        <v>女</v>
      </c>
      <c r="D2336" s="2" t="str">
        <f>"11"</f>
        <v>11</v>
      </c>
      <c r="E2336" s="2" t="str">
        <f>"数学学院"</f>
        <v>数学学院</v>
      </c>
    </row>
    <row r="2337" ht="13.5" hidden="1" spans="1:5">
      <c r="A2337" s="2" t="str">
        <f>"李佳欣"</f>
        <v>李佳欣</v>
      </c>
      <c r="B2337" s="2" t="str">
        <f>"B20230701418"</f>
        <v>B20230701418</v>
      </c>
      <c r="C2337" s="2" t="str">
        <f>"女"</f>
        <v>女</v>
      </c>
      <c r="D2337" s="2" t="str">
        <f t="shared" si="515"/>
        <v>9</v>
      </c>
      <c r="E2337" s="2" t="str">
        <f>"马栏山新媒体学院"</f>
        <v>马栏山新媒体学院</v>
      </c>
    </row>
    <row r="2338" ht="13.5" hidden="1" spans="1:5">
      <c r="A2338" s="2" t="str">
        <f>"王培君"</f>
        <v>王培君</v>
      </c>
      <c r="B2338" s="2" t="str">
        <f>"B20210301220"</f>
        <v>B20210301220</v>
      </c>
      <c r="C2338" s="2" t="str">
        <f>"男"</f>
        <v>男</v>
      </c>
      <c r="D2338" s="2" t="str">
        <f>"1"</f>
        <v>1</v>
      </c>
      <c r="E2338" s="2" t="str">
        <f>"数学学院"</f>
        <v>数学学院</v>
      </c>
    </row>
    <row r="2339" ht="13.5" hidden="1" spans="1:5">
      <c r="A2339" s="2" t="str">
        <f>"唐龙泽"</f>
        <v>唐龙泽</v>
      </c>
      <c r="B2339" s="2" t="str">
        <f>"B20220905117"</f>
        <v>B20220905117</v>
      </c>
      <c r="C2339" s="2" t="str">
        <f t="shared" ref="C2339:C2344" si="525">"男"</f>
        <v>男</v>
      </c>
      <c r="D2339" s="2" t="str">
        <f t="shared" si="515"/>
        <v>9</v>
      </c>
      <c r="E2339" s="2" t="str">
        <f>"经济与管理学院"</f>
        <v>经济与管理学院</v>
      </c>
    </row>
    <row r="2340" ht="13.5" hidden="1" spans="1:5">
      <c r="A2340" s="2" t="str">
        <f>"何观保"</f>
        <v>何观保</v>
      </c>
      <c r="B2340" s="2" t="str">
        <f>"B20230201219"</f>
        <v>B20230201219</v>
      </c>
      <c r="C2340" s="2" t="str">
        <f t="shared" si="525"/>
        <v>男</v>
      </c>
      <c r="D2340" s="2" t="str">
        <f t="shared" si="515"/>
        <v>9</v>
      </c>
      <c r="E2340" s="2" t="str">
        <f>"机电工程学院"</f>
        <v>机电工程学院</v>
      </c>
    </row>
    <row r="2341" ht="13.5" hidden="1" spans="1:5">
      <c r="A2341" s="2" t="str">
        <f>"阮姝媛"</f>
        <v>阮姝媛</v>
      </c>
      <c r="B2341" s="2" t="str">
        <f>"B20210801214"</f>
        <v>B20210801214</v>
      </c>
      <c r="C2341" s="2" t="str">
        <f t="shared" ref="C2341:C2345" si="526">"女"</f>
        <v>女</v>
      </c>
      <c r="D2341" s="2" t="str">
        <f t="shared" si="515"/>
        <v>9</v>
      </c>
      <c r="E2341" s="2" t="str">
        <f t="shared" ref="E2341:E2345" si="527">"外国语学院"</f>
        <v>外国语学院</v>
      </c>
    </row>
    <row r="2342" ht="13.5" hidden="1" spans="1:5">
      <c r="A2342" s="2" t="str">
        <f>"赵彩虹"</f>
        <v>赵彩虹</v>
      </c>
      <c r="B2342" s="2" t="str">
        <f>"B20210803119"</f>
        <v>B20210803119</v>
      </c>
      <c r="C2342" s="2" t="str">
        <f t="shared" si="526"/>
        <v>女</v>
      </c>
      <c r="D2342" s="2" t="str">
        <f t="shared" si="515"/>
        <v>9</v>
      </c>
      <c r="E2342" s="2" t="str">
        <f t="shared" si="527"/>
        <v>外国语学院</v>
      </c>
    </row>
    <row r="2343" ht="13.5" hidden="1" spans="1:5">
      <c r="A2343" s="2" t="str">
        <f>"周日中"</f>
        <v>周日中</v>
      </c>
      <c r="B2343" s="2" t="str">
        <f>"B20210301221"</f>
        <v>B20210301221</v>
      </c>
      <c r="C2343" s="2" t="str">
        <f>"男"</f>
        <v>男</v>
      </c>
      <c r="D2343" s="2" t="str">
        <f>"18"</f>
        <v>18</v>
      </c>
      <c r="E2343" s="2" t="str">
        <f>"数学学院"</f>
        <v>数学学院</v>
      </c>
    </row>
    <row r="2344" ht="13.5" hidden="1" spans="1:5">
      <c r="A2344" s="2" t="str">
        <f>"谢家豪"</f>
        <v>谢家豪</v>
      </c>
      <c r="B2344" s="2" t="str">
        <f>"B20230403219"</f>
        <v>B20230403219</v>
      </c>
      <c r="C2344" s="2" t="str">
        <f t="shared" si="525"/>
        <v>男</v>
      </c>
      <c r="D2344" s="2" t="str">
        <f t="shared" si="515"/>
        <v>9</v>
      </c>
      <c r="E2344" s="2" t="str">
        <f>"电子信息与电气工程学院"</f>
        <v>电子信息与电气工程学院</v>
      </c>
    </row>
    <row r="2345" ht="13.5" hidden="1" spans="1:5">
      <c r="A2345" s="2" t="str">
        <f>"秦志颖"</f>
        <v>秦志颖</v>
      </c>
      <c r="B2345" s="2" t="str">
        <f>"B20230802121"</f>
        <v>B20230802121</v>
      </c>
      <c r="C2345" s="2" t="str">
        <f t="shared" si="526"/>
        <v>女</v>
      </c>
      <c r="D2345" s="2" t="str">
        <f t="shared" si="515"/>
        <v>9</v>
      </c>
      <c r="E2345" s="2" t="str">
        <f t="shared" si="527"/>
        <v>外国语学院</v>
      </c>
    </row>
    <row r="2346" ht="13.5" hidden="1" spans="1:5">
      <c r="A2346" s="2" t="str">
        <f>"袁祥辉"</f>
        <v>袁祥辉</v>
      </c>
      <c r="B2346" s="2" t="str">
        <f>"B20221003201"</f>
        <v>B20221003201</v>
      </c>
      <c r="C2346" s="2" t="str">
        <f t="shared" ref="C2346:C2352" si="528">"男"</f>
        <v>男</v>
      </c>
      <c r="D2346" s="2" t="str">
        <f t="shared" si="515"/>
        <v>9</v>
      </c>
      <c r="E2346" s="2" t="str">
        <f>"艺术设计学院"</f>
        <v>艺术设计学院</v>
      </c>
    </row>
    <row r="2347" ht="13.5" hidden="1" spans="1:5">
      <c r="A2347" s="2" t="str">
        <f>"刘昭阳"</f>
        <v>刘昭阳</v>
      </c>
      <c r="B2347" s="2" t="str">
        <f>"B20221101218"</f>
        <v>B20221101218</v>
      </c>
      <c r="C2347" s="2" t="str">
        <f t="shared" si="528"/>
        <v>男</v>
      </c>
      <c r="D2347" s="2" t="str">
        <f t="shared" si="515"/>
        <v>9</v>
      </c>
      <c r="E2347" s="2" t="str">
        <f>"音乐学院"</f>
        <v>音乐学院</v>
      </c>
    </row>
    <row r="2348" ht="13.5" hidden="1" spans="1:5">
      <c r="A2348" s="2" t="str">
        <f>"王泽绚"</f>
        <v>王泽绚</v>
      </c>
      <c r="B2348" s="2" t="str">
        <f>"B20220902210"</f>
        <v>B20220902210</v>
      </c>
      <c r="C2348" s="2" t="str">
        <f t="shared" ref="C2348:C2350" si="529">"女"</f>
        <v>女</v>
      </c>
      <c r="D2348" s="2" t="str">
        <f t="shared" si="515"/>
        <v>9</v>
      </c>
      <c r="E2348" s="2" t="str">
        <f>"经济与管理学院"</f>
        <v>经济与管理学院</v>
      </c>
    </row>
    <row r="2349" ht="13.5" hidden="1" spans="1:5">
      <c r="A2349" s="2" t="str">
        <f>"陆娟予"</f>
        <v>陆娟予</v>
      </c>
      <c r="B2349" s="2" t="str">
        <f>"B20230801107"</f>
        <v>B20230801107</v>
      </c>
      <c r="C2349" s="2" t="str">
        <f t="shared" si="529"/>
        <v>女</v>
      </c>
      <c r="D2349" s="2" t="str">
        <f t="shared" si="515"/>
        <v>9</v>
      </c>
      <c r="E2349" s="2" t="str">
        <f>"外国语学院"</f>
        <v>外国语学院</v>
      </c>
    </row>
    <row r="2350" ht="13.5" hidden="1" spans="1:5">
      <c r="A2350" s="2" t="str">
        <f>"毛梨"</f>
        <v>毛梨</v>
      </c>
      <c r="B2350" s="2" t="str">
        <f>"B20220801113"</f>
        <v>B20220801113</v>
      </c>
      <c r="C2350" s="2" t="str">
        <f t="shared" si="529"/>
        <v>女</v>
      </c>
      <c r="D2350" s="2" t="str">
        <f t="shared" si="515"/>
        <v>9</v>
      </c>
      <c r="E2350" s="2" t="str">
        <f>"外国语学院"</f>
        <v>外国语学院</v>
      </c>
    </row>
    <row r="2351" ht="13.5" hidden="1" spans="1:5">
      <c r="A2351" s="2" t="str">
        <f>"荣力昊"</f>
        <v>荣力昊</v>
      </c>
      <c r="B2351" s="2" t="str">
        <f>"B20230103214"</f>
        <v>B20230103214</v>
      </c>
      <c r="C2351" s="2" t="str">
        <f t="shared" si="528"/>
        <v>男</v>
      </c>
      <c r="D2351" s="2" t="str">
        <f t="shared" si="515"/>
        <v>9</v>
      </c>
      <c r="E2351" s="2" t="str">
        <f>"土木工程学院"</f>
        <v>土木工程学院</v>
      </c>
    </row>
    <row r="2352" ht="13.5" hidden="1" spans="1:5">
      <c r="A2352" s="2" t="str">
        <f>"王晨"</f>
        <v>王晨</v>
      </c>
      <c r="B2352" s="2" t="str">
        <f>"B20230201409"</f>
        <v>B20230201409</v>
      </c>
      <c r="C2352" s="2" t="str">
        <f t="shared" si="528"/>
        <v>男</v>
      </c>
      <c r="D2352" s="2" t="str">
        <f t="shared" si="515"/>
        <v>9</v>
      </c>
      <c r="E2352" s="2" t="str">
        <f>"机电工程学院"</f>
        <v>机电工程学院</v>
      </c>
    </row>
    <row r="2353" ht="13.5" hidden="1" spans="1:5">
      <c r="A2353" s="2" t="str">
        <f>"张莹莹"</f>
        <v>张莹莹</v>
      </c>
      <c r="B2353" s="2" t="str">
        <f>"B20211002106"</f>
        <v>B20211002106</v>
      </c>
      <c r="C2353" s="2" t="str">
        <f t="shared" ref="C2353:C2355" si="530">"女"</f>
        <v>女</v>
      </c>
      <c r="D2353" s="2" t="str">
        <f t="shared" si="515"/>
        <v>9</v>
      </c>
      <c r="E2353" s="2" t="str">
        <f>"艺术设计学院"</f>
        <v>艺术设计学院</v>
      </c>
    </row>
    <row r="2354" ht="13.5" hidden="1" spans="1:5">
      <c r="A2354" s="2" t="str">
        <f>"欧阳亦亨"</f>
        <v>欧阳亦亨</v>
      </c>
      <c r="B2354" s="2" t="str">
        <f>"B20231302226"</f>
        <v>B20231302226</v>
      </c>
      <c r="C2354" s="2" t="str">
        <f t="shared" si="530"/>
        <v>女</v>
      </c>
      <c r="D2354" s="2" t="str">
        <f t="shared" si="515"/>
        <v>9</v>
      </c>
      <c r="E2354" s="2" t="str">
        <f>"材料与环境工程学院"</f>
        <v>材料与环境工程学院</v>
      </c>
    </row>
    <row r="2355" ht="13.5" hidden="1" spans="1:5">
      <c r="A2355" s="2" t="str">
        <f>"肖惠"</f>
        <v>肖惠</v>
      </c>
      <c r="B2355" s="2" t="str">
        <f>"B20230404204"</f>
        <v>B20230404204</v>
      </c>
      <c r="C2355" s="2" t="str">
        <f t="shared" si="530"/>
        <v>女</v>
      </c>
      <c r="D2355" s="2" t="str">
        <f t="shared" si="515"/>
        <v>9</v>
      </c>
      <c r="E2355" s="2" t="str">
        <f t="shared" ref="E2355:E2357" si="531">"电子信息与电气工程学院"</f>
        <v>电子信息与电气工程学院</v>
      </c>
    </row>
    <row r="2356" ht="13.5" hidden="1" spans="1:5">
      <c r="A2356" s="2" t="str">
        <f>"杨锦权"</f>
        <v>杨锦权</v>
      </c>
      <c r="B2356" s="2" t="str">
        <f>"B20230403112"</f>
        <v>B20230403112</v>
      </c>
      <c r="C2356" s="2" t="str">
        <f t="shared" ref="C2356:C2361" si="532">"男"</f>
        <v>男</v>
      </c>
      <c r="D2356" s="2" t="str">
        <f t="shared" si="515"/>
        <v>9</v>
      </c>
      <c r="E2356" s="2" t="str">
        <f t="shared" si="531"/>
        <v>电子信息与电气工程学院</v>
      </c>
    </row>
    <row r="2357" ht="13.5" hidden="1" spans="1:5">
      <c r="A2357" s="2" t="str">
        <f>"邹晓澄"</f>
        <v>邹晓澄</v>
      </c>
      <c r="B2357" s="2" t="str">
        <f>"B20230402113"</f>
        <v>B20230402113</v>
      </c>
      <c r="C2357" s="2" t="str">
        <f t="shared" ref="C2357:C2363" si="533">"女"</f>
        <v>女</v>
      </c>
      <c r="D2357" s="2" t="str">
        <f t="shared" si="515"/>
        <v>9</v>
      </c>
      <c r="E2357" s="2" t="str">
        <f t="shared" si="531"/>
        <v>电子信息与电气工程学院</v>
      </c>
    </row>
    <row r="2358" ht="13.5" hidden="1" spans="1:5">
      <c r="A2358" s="2" t="str">
        <f>"何帅"</f>
        <v>何帅</v>
      </c>
      <c r="B2358" s="2" t="str">
        <f>"B20210201128"</f>
        <v>B20210201128</v>
      </c>
      <c r="C2358" s="2" t="str">
        <f t="shared" si="532"/>
        <v>男</v>
      </c>
      <c r="D2358" s="2" t="str">
        <f t="shared" si="515"/>
        <v>9</v>
      </c>
      <c r="E2358" s="2" t="str">
        <f>"机电工程学院"</f>
        <v>机电工程学院</v>
      </c>
    </row>
    <row r="2359" ht="13.5" hidden="1" spans="1:5">
      <c r="A2359" s="2" t="str">
        <f>"游思涵"</f>
        <v>游思涵</v>
      </c>
      <c r="B2359" s="2" t="str">
        <f>"B20231002106"</f>
        <v>B20231002106</v>
      </c>
      <c r="C2359" s="2" t="str">
        <f t="shared" si="533"/>
        <v>女</v>
      </c>
      <c r="D2359" s="2" t="str">
        <f t="shared" si="515"/>
        <v>9</v>
      </c>
      <c r="E2359" s="2" t="str">
        <f>"艺术设计学院"</f>
        <v>艺术设计学院</v>
      </c>
    </row>
    <row r="2360" ht="13.5" hidden="1" spans="1:5">
      <c r="A2360" s="2" t="str">
        <f>"刘斯任"</f>
        <v>刘斯任</v>
      </c>
      <c r="B2360" s="2" t="str">
        <f>"B20230405124"</f>
        <v>B20230405124</v>
      </c>
      <c r="C2360" s="2" t="str">
        <f t="shared" si="532"/>
        <v>男</v>
      </c>
      <c r="D2360" s="2" t="str">
        <f t="shared" si="515"/>
        <v>9</v>
      </c>
      <c r="E2360" s="2" t="str">
        <f>"电子信息与电气工程学院"</f>
        <v>电子信息与电气工程学院</v>
      </c>
    </row>
    <row r="2361" ht="13.5" hidden="1" spans="1:5">
      <c r="A2361" s="2" t="str">
        <f>"李博容"</f>
        <v>李博容</v>
      </c>
      <c r="B2361" s="2" t="str">
        <f>"B20210301222"</f>
        <v>B20210301222</v>
      </c>
      <c r="C2361" s="2" t="str">
        <f t="shared" si="532"/>
        <v>男</v>
      </c>
      <c r="D2361" s="2" t="str">
        <f>"2"</f>
        <v>2</v>
      </c>
      <c r="E2361" s="2" t="str">
        <f>"数学学院"</f>
        <v>数学学院</v>
      </c>
    </row>
    <row r="2362" ht="13.5" hidden="1" spans="1:5">
      <c r="A2362" s="2" t="str">
        <f>"王鑫玲"</f>
        <v>王鑫玲</v>
      </c>
      <c r="B2362" s="2" t="str">
        <f>"B20231001301"</f>
        <v>B20231001301</v>
      </c>
      <c r="C2362" s="2" t="str">
        <f t="shared" si="533"/>
        <v>女</v>
      </c>
      <c r="D2362" s="2" t="str">
        <f t="shared" si="515"/>
        <v>9</v>
      </c>
      <c r="E2362" s="2" t="str">
        <f>"艺术设计学院"</f>
        <v>艺术设计学院</v>
      </c>
    </row>
    <row r="2363" ht="13.5" hidden="1" spans="1:5">
      <c r="A2363" s="2" t="str">
        <f>"谢玉姗"</f>
        <v>谢玉姗</v>
      </c>
      <c r="B2363" s="2" t="str">
        <f>"B20230701404"</f>
        <v>B20230701404</v>
      </c>
      <c r="C2363" s="2" t="str">
        <f t="shared" si="533"/>
        <v>女</v>
      </c>
      <c r="D2363" s="2" t="str">
        <f t="shared" si="515"/>
        <v>9</v>
      </c>
      <c r="E2363" s="2" t="str">
        <f>"马栏山新媒体学院"</f>
        <v>马栏山新媒体学院</v>
      </c>
    </row>
    <row r="2364" ht="13.5" hidden="1" spans="1:5">
      <c r="A2364" s="2" t="str">
        <f>"唐智章"</f>
        <v>唐智章</v>
      </c>
      <c r="B2364" s="2" t="str">
        <f>"B20220906213"</f>
        <v>B20220906213</v>
      </c>
      <c r="C2364" s="2" t="str">
        <f t="shared" ref="C2364:C2366" si="534">"男"</f>
        <v>男</v>
      </c>
      <c r="D2364" s="2" t="str">
        <f t="shared" si="515"/>
        <v>9</v>
      </c>
      <c r="E2364" s="2" t="str">
        <f>"经济与管理学院"</f>
        <v>经济与管理学院</v>
      </c>
    </row>
    <row r="2365" ht="13.5" hidden="1" spans="1:5">
      <c r="A2365" s="2" t="str">
        <f>"唐家园"</f>
        <v>唐家园</v>
      </c>
      <c r="B2365" s="2" t="str">
        <f>"B20221001209"</f>
        <v>B20221001209</v>
      </c>
      <c r="C2365" s="2" t="str">
        <f t="shared" si="534"/>
        <v>男</v>
      </c>
      <c r="D2365" s="2" t="str">
        <f t="shared" si="515"/>
        <v>9</v>
      </c>
      <c r="E2365" s="2" t="str">
        <f>"艺术设计学院"</f>
        <v>艺术设计学院</v>
      </c>
    </row>
    <row r="2366" ht="13.5" hidden="1" spans="1:5">
      <c r="A2366" s="2" t="str">
        <f>"唐舟"</f>
        <v>唐舟</v>
      </c>
      <c r="B2366" s="2" t="str">
        <f>"B20231302107"</f>
        <v>B20231302107</v>
      </c>
      <c r="C2366" s="2" t="str">
        <f t="shared" si="534"/>
        <v>男</v>
      </c>
      <c r="D2366" s="2" t="str">
        <f t="shared" si="515"/>
        <v>9</v>
      </c>
      <c r="E2366" s="2" t="str">
        <f>"材料与环境工程学院"</f>
        <v>材料与环境工程学院</v>
      </c>
    </row>
    <row r="2367" ht="13.5" hidden="1" spans="1:5">
      <c r="A2367" s="2" t="str">
        <f>"孙枫丹"</f>
        <v>孙枫丹</v>
      </c>
      <c r="B2367" s="2" t="str">
        <f>"B20220601513"</f>
        <v>B20220601513</v>
      </c>
      <c r="C2367" s="2" t="str">
        <f t="shared" ref="C2367:C2371" si="535">"女"</f>
        <v>女</v>
      </c>
      <c r="D2367" s="2" t="str">
        <f t="shared" si="515"/>
        <v>9</v>
      </c>
      <c r="E2367" s="2" t="str">
        <f>"法学院"</f>
        <v>法学院</v>
      </c>
    </row>
    <row r="2368" ht="13.5" hidden="1" spans="1:5">
      <c r="A2368" s="2" t="str">
        <f>"雷佳欣"</f>
        <v>雷佳欣</v>
      </c>
      <c r="B2368" s="2" t="str">
        <f>"B20230801124"</f>
        <v>B20230801124</v>
      </c>
      <c r="C2368" s="2" t="str">
        <f t="shared" si="535"/>
        <v>女</v>
      </c>
      <c r="D2368" s="2" t="str">
        <f t="shared" si="515"/>
        <v>9</v>
      </c>
      <c r="E2368" s="2" t="str">
        <f>"外国语学院"</f>
        <v>外国语学院</v>
      </c>
    </row>
    <row r="2369" ht="13.5" hidden="1" spans="1:5">
      <c r="A2369" s="2" t="str">
        <f>"王诗英"</f>
        <v>王诗英</v>
      </c>
      <c r="B2369" s="2" t="str">
        <f>"B20230701127"</f>
        <v>B20230701127</v>
      </c>
      <c r="C2369" s="2" t="str">
        <f t="shared" si="535"/>
        <v>女</v>
      </c>
      <c r="D2369" s="2" t="str">
        <f t="shared" si="515"/>
        <v>9</v>
      </c>
      <c r="E2369" s="2" t="str">
        <f>"马栏山新媒体学院"</f>
        <v>马栏山新媒体学院</v>
      </c>
    </row>
    <row r="2370" ht="13.5" hidden="1" spans="1:5">
      <c r="A2370" s="2" t="str">
        <f>"王然然"</f>
        <v>王然然</v>
      </c>
      <c r="B2370" s="2" t="str">
        <f>"B20220901315"</f>
        <v>B20220901315</v>
      </c>
      <c r="C2370" s="2" t="str">
        <f t="shared" si="535"/>
        <v>女</v>
      </c>
      <c r="D2370" s="2" t="str">
        <f t="shared" si="515"/>
        <v>9</v>
      </c>
      <c r="E2370" s="2" t="str">
        <f>"经济与管理学院"</f>
        <v>经济与管理学院</v>
      </c>
    </row>
    <row r="2371" ht="13.5" hidden="1" spans="1:5">
      <c r="A2371" s="2" t="str">
        <f>"蒋缇莹"</f>
        <v>蒋缇莹</v>
      </c>
      <c r="B2371" s="2" t="str">
        <f>"B20230904306"</f>
        <v>B20230904306</v>
      </c>
      <c r="C2371" s="2" t="str">
        <f t="shared" si="535"/>
        <v>女</v>
      </c>
      <c r="D2371" s="2" t="str">
        <f t="shared" si="515"/>
        <v>9</v>
      </c>
      <c r="E2371" s="2" t="str">
        <f>"经济与管理学院"</f>
        <v>经济与管理学院</v>
      </c>
    </row>
    <row r="2372" ht="13.5" hidden="1" spans="1:5">
      <c r="A2372" s="2" t="str">
        <f>"黄奇峰"</f>
        <v>黄奇峰</v>
      </c>
      <c r="B2372" s="2" t="str">
        <f>"B20200202117"</f>
        <v>B20200202117</v>
      </c>
      <c r="C2372" s="2" t="str">
        <f t="shared" ref="C2372:C2376" si="536">"男"</f>
        <v>男</v>
      </c>
      <c r="D2372" s="2" t="str">
        <f t="shared" ref="D2372:D2435" si="537">"9"</f>
        <v>9</v>
      </c>
      <c r="E2372" s="2" t="str">
        <f>"机电工程学院"</f>
        <v>机电工程学院</v>
      </c>
    </row>
    <row r="2373" ht="13.5" hidden="1" spans="1:5">
      <c r="A2373" s="2" t="str">
        <f>"肖阳峰"</f>
        <v>肖阳峰</v>
      </c>
      <c r="B2373" s="2" t="str">
        <f>"B20200501224"</f>
        <v>B20200501224</v>
      </c>
      <c r="C2373" s="2" t="str">
        <f t="shared" si="536"/>
        <v>男</v>
      </c>
      <c r="D2373" s="2" t="str">
        <f t="shared" si="537"/>
        <v>9</v>
      </c>
      <c r="E2373" s="2" t="str">
        <f>"生物与环境工程学院"</f>
        <v>生物与环境工程学院</v>
      </c>
    </row>
    <row r="2374" ht="13.5" hidden="1" spans="1:5">
      <c r="A2374" s="2" t="str">
        <f>"李健"</f>
        <v>李健</v>
      </c>
      <c r="B2374" s="2" t="str">
        <f>"B20200204116"</f>
        <v>B20200204116</v>
      </c>
      <c r="C2374" s="2" t="str">
        <f t="shared" si="536"/>
        <v>男</v>
      </c>
      <c r="D2374" s="2" t="str">
        <f t="shared" si="537"/>
        <v>9</v>
      </c>
      <c r="E2374" s="2" t="str">
        <f>"机电工程学院"</f>
        <v>机电工程学院</v>
      </c>
    </row>
    <row r="2375" ht="13.5" hidden="1" spans="1:5">
      <c r="A2375" s="2" t="str">
        <f>"胡文浩"</f>
        <v>胡文浩</v>
      </c>
      <c r="B2375" s="2" t="str">
        <f>"B20231301121"</f>
        <v>B20231301121</v>
      </c>
      <c r="C2375" s="2" t="str">
        <f t="shared" si="536"/>
        <v>男</v>
      </c>
      <c r="D2375" s="2" t="str">
        <f t="shared" si="537"/>
        <v>9</v>
      </c>
      <c r="E2375" s="2" t="str">
        <f>"材料与环境工程学院"</f>
        <v>材料与环境工程学院</v>
      </c>
    </row>
    <row r="2376" ht="13.5" hidden="1" spans="1:5">
      <c r="A2376" s="2" t="str">
        <f>"李翔"</f>
        <v>李翔</v>
      </c>
      <c r="B2376" s="2" t="str">
        <f>"B20220401316"</f>
        <v>B20220401316</v>
      </c>
      <c r="C2376" s="2" t="str">
        <f t="shared" si="536"/>
        <v>男</v>
      </c>
      <c r="D2376" s="2" t="str">
        <f t="shared" si="537"/>
        <v>9</v>
      </c>
      <c r="E2376" s="2" t="str">
        <f>"电子信息与电气工程学院"</f>
        <v>电子信息与电气工程学院</v>
      </c>
    </row>
    <row r="2377" ht="13.5" hidden="1" spans="1:5">
      <c r="A2377" s="2" t="str">
        <f>"刘婷婷"</f>
        <v>刘婷婷</v>
      </c>
      <c r="B2377" s="2" t="str">
        <f>"B20221101221"</f>
        <v>B20221101221</v>
      </c>
      <c r="C2377" s="2" t="str">
        <f t="shared" ref="C2377:C2384" si="538">"女"</f>
        <v>女</v>
      </c>
      <c r="D2377" s="2" t="str">
        <f t="shared" si="537"/>
        <v>9</v>
      </c>
      <c r="E2377" s="2" t="str">
        <f>"音乐学院"</f>
        <v>音乐学院</v>
      </c>
    </row>
    <row r="2378" ht="13.5" hidden="1" spans="1:5">
      <c r="A2378" s="2" t="str">
        <f>"刘栋"</f>
        <v>刘栋</v>
      </c>
      <c r="B2378" s="2" t="str">
        <f>"B20210401308"</f>
        <v>B20210401308</v>
      </c>
      <c r="C2378" s="2" t="str">
        <f>"男"</f>
        <v>男</v>
      </c>
      <c r="D2378" s="2" t="str">
        <f t="shared" si="537"/>
        <v>9</v>
      </c>
      <c r="E2378" s="2" t="str">
        <f>"电子信息与电气工程学院"</f>
        <v>电子信息与电气工程学院</v>
      </c>
    </row>
    <row r="2379" ht="13.5" hidden="1" spans="1:5">
      <c r="A2379" s="2" t="str">
        <f>"欧诗琪"</f>
        <v>欧诗琪</v>
      </c>
      <c r="B2379" s="2" t="str">
        <f>"B20210906218"</f>
        <v>B20210906218</v>
      </c>
      <c r="C2379" s="2" t="str">
        <f t="shared" si="538"/>
        <v>女</v>
      </c>
      <c r="D2379" s="2" t="str">
        <f t="shared" si="537"/>
        <v>9</v>
      </c>
      <c r="E2379" s="2" t="str">
        <f t="shared" ref="E2379:E2382" si="539">"经济与管理学院"</f>
        <v>经济与管理学院</v>
      </c>
    </row>
    <row r="2380" ht="13.5" hidden="1" spans="1:5">
      <c r="A2380" s="2" t="str">
        <f>"梁义"</f>
        <v>梁义</v>
      </c>
      <c r="B2380" s="2" t="str">
        <f>"B20210902403"</f>
        <v>B20210902403</v>
      </c>
      <c r="C2380" s="2" t="str">
        <f t="shared" ref="C2380:C2386" si="540">"男"</f>
        <v>男</v>
      </c>
      <c r="D2380" s="2" t="str">
        <f t="shared" si="537"/>
        <v>9</v>
      </c>
      <c r="E2380" s="2" t="str">
        <f t="shared" si="539"/>
        <v>经济与管理学院</v>
      </c>
    </row>
    <row r="2381" ht="13.5" hidden="1" spans="1:5">
      <c r="A2381" s="2" t="str">
        <f>"谢媛"</f>
        <v>谢媛</v>
      </c>
      <c r="B2381" s="2" t="str">
        <f>"B20210301224"</f>
        <v>B20210301224</v>
      </c>
      <c r="C2381" s="2" t="str">
        <f>"女"</f>
        <v>女</v>
      </c>
      <c r="D2381" s="2" t="str">
        <f>"13"</f>
        <v>13</v>
      </c>
      <c r="E2381" s="2" t="str">
        <f>"数学学院"</f>
        <v>数学学院</v>
      </c>
    </row>
    <row r="2382" ht="13.5" hidden="1" spans="1:5">
      <c r="A2382" s="2" t="str">
        <f>"包京煜"</f>
        <v>包京煜</v>
      </c>
      <c r="B2382" s="2" t="str">
        <f>"B20230902216"</f>
        <v>B20230902216</v>
      </c>
      <c r="C2382" s="2" t="str">
        <f t="shared" si="538"/>
        <v>女</v>
      </c>
      <c r="D2382" s="2" t="str">
        <f t="shared" si="537"/>
        <v>9</v>
      </c>
      <c r="E2382" s="2" t="str">
        <f t="shared" si="539"/>
        <v>经济与管理学院</v>
      </c>
    </row>
    <row r="2383" ht="13.5" hidden="1" spans="1:5">
      <c r="A2383" s="2" t="str">
        <f>"黄东景"</f>
        <v>黄东景</v>
      </c>
      <c r="B2383" s="2" t="str">
        <f>"B20220601125"</f>
        <v>B20220601125</v>
      </c>
      <c r="C2383" s="2" t="str">
        <f t="shared" si="538"/>
        <v>女</v>
      </c>
      <c r="D2383" s="2" t="str">
        <f t="shared" si="537"/>
        <v>9</v>
      </c>
      <c r="E2383" s="2" t="str">
        <f>"法学院"</f>
        <v>法学院</v>
      </c>
    </row>
    <row r="2384" ht="13.5" hidden="1" spans="1:5">
      <c r="A2384" s="2" t="str">
        <f>"欧阳佳颖"</f>
        <v>欧阳佳颖</v>
      </c>
      <c r="B2384" s="2" t="str">
        <f>"B20210301225"</f>
        <v>B20210301225</v>
      </c>
      <c r="C2384" s="2" t="str">
        <f t="shared" si="538"/>
        <v>女</v>
      </c>
      <c r="D2384" s="2" t="str">
        <f>"11"</f>
        <v>11</v>
      </c>
      <c r="E2384" s="2" t="str">
        <f>"数学学院"</f>
        <v>数学学院</v>
      </c>
    </row>
    <row r="2385" ht="13.5" hidden="1" spans="1:5">
      <c r="A2385" s="2" t="str">
        <f>"吴昊"</f>
        <v>吴昊</v>
      </c>
      <c r="B2385" s="2" t="str">
        <f>"B20230802226"</f>
        <v>B20230802226</v>
      </c>
      <c r="C2385" s="2" t="str">
        <f t="shared" si="540"/>
        <v>男</v>
      </c>
      <c r="D2385" s="2" t="str">
        <f t="shared" si="537"/>
        <v>9</v>
      </c>
      <c r="E2385" s="2" t="str">
        <f>"外国语学院"</f>
        <v>外国语学院</v>
      </c>
    </row>
    <row r="2386" ht="13.5" hidden="1" spans="1:5">
      <c r="A2386" s="2" t="str">
        <f>"毛一凡"</f>
        <v>毛一凡</v>
      </c>
      <c r="B2386" s="2" t="str">
        <f>"2013063401"</f>
        <v>2013063401</v>
      </c>
      <c r="C2386" s="2" t="str">
        <f t="shared" si="540"/>
        <v>男</v>
      </c>
      <c r="D2386" s="2" t="str">
        <f t="shared" si="537"/>
        <v>9</v>
      </c>
      <c r="E2386" s="2" t="str">
        <f>"马栏山新媒体学院"</f>
        <v>马栏山新媒体学院</v>
      </c>
    </row>
    <row r="2387" ht="13.5" hidden="1" spans="1:5">
      <c r="A2387" s="2" t="str">
        <f>"姚贝"</f>
        <v>姚贝</v>
      </c>
      <c r="B2387" s="2" t="str">
        <f>"B20230904302"</f>
        <v>B20230904302</v>
      </c>
      <c r="C2387" s="2" t="str">
        <f t="shared" ref="C2387:C2393" si="541">"女"</f>
        <v>女</v>
      </c>
      <c r="D2387" s="2" t="str">
        <f t="shared" si="537"/>
        <v>9</v>
      </c>
      <c r="E2387" s="2" t="str">
        <f t="shared" ref="E2387:E2390" si="542">"经济与管理学院"</f>
        <v>经济与管理学院</v>
      </c>
    </row>
    <row r="2388" ht="13.5" hidden="1" spans="1:5">
      <c r="A2388" s="2" t="str">
        <f>"王志军"</f>
        <v>王志军</v>
      </c>
      <c r="B2388" s="2" t="str">
        <f>"B20220905219"</f>
        <v>B20220905219</v>
      </c>
      <c r="C2388" s="2" t="str">
        <f>"男"</f>
        <v>男</v>
      </c>
      <c r="D2388" s="2" t="str">
        <f t="shared" si="537"/>
        <v>9</v>
      </c>
      <c r="E2388" s="2" t="str">
        <f t="shared" si="542"/>
        <v>经济与管理学院</v>
      </c>
    </row>
    <row r="2389" ht="13.5" hidden="1" spans="1:5">
      <c r="A2389" s="2" t="str">
        <f>"蒋星语"</f>
        <v>蒋星语</v>
      </c>
      <c r="B2389" s="2" t="str">
        <f>"B20210901130"</f>
        <v>B20210901130</v>
      </c>
      <c r="C2389" s="2" t="str">
        <f t="shared" si="541"/>
        <v>女</v>
      </c>
      <c r="D2389" s="2" t="str">
        <f t="shared" si="537"/>
        <v>9</v>
      </c>
      <c r="E2389" s="2" t="str">
        <f t="shared" si="542"/>
        <v>经济与管理学院</v>
      </c>
    </row>
    <row r="2390" ht="13.5" hidden="1" spans="1:5">
      <c r="A2390" s="2" t="str">
        <f>"王惠翔"</f>
        <v>王惠翔</v>
      </c>
      <c r="B2390" s="2" t="str">
        <f>"B20230904217"</f>
        <v>B20230904217</v>
      </c>
      <c r="C2390" s="2" t="str">
        <f>"男"</f>
        <v>男</v>
      </c>
      <c r="D2390" s="2" t="str">
        <f t="shared" si="537"/>
        <v>9</v>
      </c>
      <c r="E2390" s="2" t="str">
        <f t="shared" si="542"/>
        <v>经济与管理学院</v>
      </c>
    </row>
    <row r="2391" ht="13.5" hidden="1" spans="1:5">
      <c r="A2391" s="2" t="str">
        <f>"高颖续"</f>
        <v>高颖续</v>
      </c>
      <c r="B2391" s="2" t="str">
        <f>"B20221002319"</f>
        <v>B20221002319</v>
      </c>
      <c r="C2391" s="2" t="str">
        <f t="shared" si="541"/>
        <v>女</v>
      </c>
      <c r="D2391" s="2" t="str">
        <f t="shared" si="537"/>
        <v>9</v>
      </c>
      <c r="E2391" s="2" t="str">
        <f>"艺术设计学院"</f>
        <v>艺术设计学院</v>
      </c>
    </row>
    <row r="2392" ht="13.5" hidden="1" spans="1:5">
      <c r="A2392" s="2" t="str">
        <f>"曾欣"</f>
        <v>曾欣</v>
      </c>
      <c r="B2392" s="2" t="str">
        <f>"B20230902304"</f>
        <v>B20230902304</v>
      </c>
      <c r="C2392" s="2" t="str">
        <f t="shared" si="541"/>
        <v>女</v>
      </c>
      <c r="D2392" s="2" t="str">
        <f t="shared" si="537"/>
        <v>9</v>
      </c>
      <c r="E2392" s="2" t="str">
        <f>"经济与管理学院"</f>
        <v>经济与管理学院</v>
      </c>
    </row>
    <row r="2393" ht="13.5" hidden="1" spans="1:5">
      <c r="A2393" s="2" t="str">
        <f>"刘卓豪"</f>
        <v>刘卓豪</v>
      </c>
      <c r="B2393" s="2" t="str">
        <f>"B20210301227"</f>
        <v>B20210301227</v>
      </c>
      <c r="C2393" s="2" t="str">
        <f>"男"</f>
        <v>男</v>
      </c>
      <c r="D2393" s="2" t="str">
        <f>"5"</f>
        <v>5</v>
      </c>
      <c r="E2393" s="2" t="str">
        <f>"数学学院"</f>
        <v>数学学院</v>
      </c>
    </row>
    <row r="2394" ht="13.5" hidden="1" spans="1:5">
      <c r="A2394" s="2" t="str">
        <f>"欧阳康"</f>
        <v>欧阳康</v>
      </c>
      <c r="B2394" s="2" t="str">
        <f>"B20210402227"</f>
        <v>B20210402227</v>
      </c>
      <c r="C2394" s="2" t="str">
        <f t="shared" ref="C2394:C2400" si="543">"男"</f>
        <v>男</v>
      </c>
      <c r="D2394" s="2" t="str">
        <f t="shared" si="537"/>
        <v>9</v>
      </c>
      <c r="E2394" s="2" t="str">
        <f t="shared" ref="E2394:E2399" si="544">"电子信息与电气工程学院"</f>
        <v>电子信息与电气工程学院</v>
      </c>
    </row>
    <row r="2395" ht="13.5" hidden="1" spans="1:5">
      <c r="A2395" s="2" t="str">
        <f>"何钰"</f>
        <v>何钰</v>
      </c>
      <c r="B2395" s="2" t="str">
        <f>"B20221101117"</f>
        <v>B20221101117</v>
      </c>
      <c r="C2395" s="2" t="str">
        <f>"女"</f>
        <v>女</v>
      </c>
      <c r="D2395" s="2" t="str">
        <f t="shared" si="537"/>
        <v>9</v>
      </c>
      <c r="E2395" s="2" t="str">
        <f>"音乐学院"</f>
        <v>音乐学院</v>
      </c>
    </row>
    <row r="2396" ht="13.5" hidden="1" spans="1:5">
      <c r="A2396" s="2" t="str">
        <f>"李彪"</f>
        <v>李彪</v>
      </c>
      <c r="B2396" s="2" t="str">
        <f>"B20230101219"</f>
        <v>B20230101219</v>
      </c>
      <c r="C2396" s="2" t="str">
        <f t="shared" si="543"/>
        <v>男</v>
      </c>
      <c r="D2396" s="2" t="str">
        <f t="shared" si="537"/>
        <v>9</v>
      </c>
      <c r="E2396" s="2" t="str">
        <f>"土木工程学院"</f>
        <v>土木工程学院</v>
      </c>
    </row>
    <row r="2397" ht="13.5" hidden="1" spans="1:5">
      <c r="A2397" s="2" t="str">
        <f>"白丹"</f>
        <v>白丹</v>
      </c>
      <c r="B2397" s="2" t="str">
        <f>"B20230401420"</f>
        <v>B20230401420</v>
      </c>
      <c r="C2397" s="2" t="str">
        <f t="shared" ref="C2397:C2402" si="545">"女"</f>
        <v>女</v>
      </c>
      <c r="D2397" s="2" t="str">
        <f t="shared" si="537"/>
        <v>9</v>
      </c>
      <c r="E2397" s="2" t="str">
        <f t="shared" si="544"/>
        <v>电子信息与电气工程学院</v>
      </c>
    </row>
    <row r="2398" ht="13.5" hidden="1" spans="1:5">
      <c r="A2398" s="2" t="str">
        <f>"郝鹏博"</f>
        <v>郝鹏博</v>
      </c>
      <c r="B2398" s="2" t="str">
        <f>"B20210201316"</f>
        <v>B20210201316</v>
      </c>
      <c r="C2398" s="2" t="str">
        <f t="shared" si="543"/>
        <v>男</v>
      </c>
      <c r="D2398" s="2" t="str">
        <f t="shared" si="537"/>
        <v>9</v>
      </c>
      <c r="E2398" s="2" t="str">
        <f>"机电工程学院"</f>
        <v>机电工程学院</v>
      </c>
    </row>
    <row r="2399" ht="13.5" hidden="1" spans="1:5">
      <c r="A2399" s="2" t="str">
        <f>"周嘉瑞"</f>
        <v>周嘉瑞</v>
      </c>
      <c r="B2399" s="2" t="str">
        <f>"B20210404111"</f>
        <v>B20210404111</v>
      </c>
      <c r="C2399" s="2" t="str">
        <f t="shared" si="543"/>
        <v>男</v>
      </c>
      <c r="D2399" s="2" t="str">
        <f t="shared" si="537"/>
        <v>9</v>
      </c>
      <c r="E2399" s="2" t="str">
        <f t="shared" si="544"/>
        <v>电子信息与电气工程学院</v>
      </c>
    </row>
    <row r="2400" ht="13.5" hidden="1" spans="1:5">
      <c r="A2400" s="2" t="str">
        <f>"贺显新"</f>
        <v>贺显新</v>
      </c>
      <c r="B2400" s="2" t="str">
        <f>"B20210201307"</f>
        <v>B20210201307</v>
      </c>
      <c r="C2400" s="2" t="str">
        <f t="shared" si="543"/>
        <v>男</v>
      </c>
      <c r="D2400" s="2" t="str">
        <f t="shared" si="537"/>
        <v>9</v>
      </c>
      <c r="E2400" s="2" t="str">
        <f>"机电工程学院"</f>
        <v>机电工程学院</v>
      </c>
    </row>
    <row r="2401" ht="13.5" hidden="1" spans="1:5">
      <c r="A2401" s="2" t="str">
        <f>"解子怡"</f>
        <v>解子怡</v>
      </c>
      <c r="B2401" s="2" t="str">
        <f>"B20220703209"</f>
        <v>B20220703209</v>
      </c>
      <c r="C2401" s="2" t="str">
        <f t="shared" si="545"/>
        <v>女</v>
      </c>
      <c r="D2401" s="2" t="str">
        <f t="shared" si="537"/>
        <v>9</v>
      </c>
      <c r="E2401" s="2" t="str">
        <f>"马栏山新媒体学院"</f>
        <v>马栏山新媒体学院</v>
      </c>
    </row>
    <row r="2402" ht="13.5" hidden="1" spans="1:5">
      <c r="A2402" s="2" t="str">
        <f>"宁灿"</f>
        <v>宁灿</v>
      </c>
      <c r="B2402" s="2" t="str">
        <f>"B20220101534"</f>
        <v>B20220101534</v>
      </c>
      <c r="C2402" s="2" t="str">
        <f t="shared" si="545"/>
        <v>女</v>
      </c>
      <c r="D2402" s="2" t="str">
        <f t="shared" si="537"/>
        <v>9</v>
      </c>
      <c r="E2402" s="2" t="str">
        <f>"土木工程学院"</f>
        <v>土木工程学院</v>
      </c>
    </row>
    <row r="2403" ht="13.5" hidden="1" spans="1:5">
      <c r="A2403" s="2" t="str">
        <f>"蒋锐"</f>
        <v>蒋锐</v>
      </c>
      <c r="B2403" s="2" t="str">
        <f>"B20210301228"</f>
        <v>B20210301228</v>
      </c>
      <c r="C2403" s="2" t="str">
        <f>"男"</f>
        <v>男</v>
      </c>
      <c r="D2403" s="2" t="str">
        <f>"14"</f>
        <v>14</v>
      </c>
      <c r="E2403" s="2" t="str">
        <f>"数学学院"</f>
        <v>数学学院</v>
      </c>
    </row>
    <row r="2404" ht="13.5" hidden="1" spans="1:5">
      <c r="A2404" s="2" t="str">
        <f>"赵润婷"</f>
        <v>赵润婷</v>
      </c>
      <c r="B2404" s="2" t="str">
        <f>"B20230801217"</f>
        <v>B20230801217</v>
      </c>
      <c r="C2404" s="2" t="str">
        <f t="shared" ref="C2404:C2406" si="546">"女"</f>
        <v>女</v>
      </c>
      <c r="D2404" s="2" t="str">
        <f t="shared" si="537"/>
        <v>9</v>
      </c>
      <c r="E2404" s="2" t="str">
        <f>"外国语学院"</f>
        <v>外国语学院</v>
      </c>
    </row>
    <row r="2405" ht="13.5" hidden="1" spans="1:5">
      <c r="A2405" s="2" t="str">
        <f>"陈雨卉"</f>
        <v>陈雨卉</v>
      </c>
      <c r="B2405" s="2" t="str">
        <f>"B20230801322"</f>
        <v>B20230801322</v>
      </c>
      <c r="C2405" s="2" t="str">
        <f t="shared" si="546"/>
        <v>女</v>
      </c>
      <c r="D2405" s="2" t="str">
        <f t="shared" si="537"/>
        <v>9</v>
      </c>
      <c r="E2405" s="2" t="str">
        <f>"外国语学院"</f>
        <v>外国语学院</v>
      </c>
    </row>
    <row r="2406" ht="13.5" hidden="1" spans="1:5">
      <c r="A2406" s="2" t="str">
        <f>"李思琪"</f>
        <v>李思琪</v>
      </c>
      <c r="B2406" s="2" t="str">
        <f>"B20230904232"</f>
        <v>B20230904232</v>
      </c>
      <c r="C2406" s="2" t="str">
        <f t="shared" si="546"/>
        <v>女</v>
      </c>
      <c r="D2406" s="2" t="str">
        <f t="shared" si="537"/>
        <v>9</v>
      </c>
      <c r="E2406" s="2" t="str">
        <f>"经济与管理学院"</f>
        <v>经济与管理学院</v>
      </c>
    </row>
    <row r="2407" ht="13.5" hidden="1" spans="1:5">
      <c r="A2407" s="2" t="str">
        <f>"曾祥彬"</f>
        <v>曾祥彬</v>
      </c>
      <c r="B2407" s="2" t="str">
        <f>"B20230901109"</f>
        <v>B20230901109</v>
      </c>
      <c r="C2407" s="2" t="str">
        <f>"男"</f>
        <v>男</v>
      </c>
      <c r="D2407" s="2" t="str">
        <f t="shared" si="537"/>
        <v>9</v>
      </c>
      <c r="E2407" s="2" t="str">
        <f>"经济与管理学院"</f>
        <v>经济与管理学院</v>
      </c>
    </row>
    <row r="2408" ht="13.5" hidden="1" spans="1:5">
      <c r="A2408" s="2" t="str">
        <f>"邓怡凡"</f>
        <v>邓怡凡</v>
      </c>
      <c r="B2408" s="2" t="str">
        <f>"B20230704104"</f>
        <v>B20230704104</v>
      </c>
      <c r="C2408" s="2" t="str">
        <f t="shared" ref="C2408:C2411" si="547">"女"</f>
        <v>女</v>
      </c>
      <c r="D2408" s="2" t="str">
        <f t="shared" si="537"/>
        <v>9</v>
      </c>
      <c r="E2408" s="2" t="str">
        <f>"马栏山新媒体学院"</f>
        <v>马栏山新媒体学院</v>
      </c>
    </row>
    <row r="2409" customHeight="1" spans="1:5">
      <c r="A2409" s="6" t="str">
        <f>"钟锦华"</f>
        <v>钟锦华</v>
      </c>
      <c r="B2409" s="6" t="str">
        <f>"B20210301230"</f>
        <v>B20210301230</v>
      </c>
      <c r="C2409" s="6" t="str">
        <f>"男"</f>
        <v>男</v>
      </c>
      <c r="D2409" s="7" t="str">
        <f t="shared" si="537"/>
        <v>9</v>
      </c>
      <c r="E2409" s="6" t="str">
        <f>"计算机科学与工程学院"</f>
        <v>计算机科学与工程学院</v>
      </c>
    </row>
    <row r="2410" ht="13.5" hidden="1" spans="1:5">
      <c r="A2410" s="2" t="str">
        <f>"黄佳乐"</f>
        <v>黄佳乐</v>
      </c>
      <c r="B2410" s="2" t="str">
        <f>"B20230702403"</f>
        <v>B20230702403</v>
      </c>
      <c r="C2410" s="2" t="str">
        <f t="shared" si="547"/>
        <v>女</v>
      </c>
      <c r="D2410" s="2" t="str">
        <f t="shared" si="537"/>
        <v>9</v>
      </c>
      <c r="E2410" s="2" t="str">
        <f>"马栏山新媒体学院"</f>
        <v>马栏山新媒体学院</v>
      </c>
    </row>
    <row r="2411" ht="13.5" hidden="1" spans="1:5">
      <c r="A2411" s="2" t="str">
        <f>"刘思语"</f>
        <v>刘思语</v>
      </c>
      <c r="B2411" s="2" t="str">
        <f>"B20231101108"</f>
        <v>B20231101108</v>
      </c>
      <c r="C2411" s="2" t="str">
        <f t="shared" si="547"/>
        <v>女</v>
      </c>
      <c r="D2411" s="2" t="str">
        <f t="shared" si="537"/>
        <v>9</v>
      </c>
      <c r="E2411" s="2" t="str">
        <f>"音乐学院"</f>
        <v>音乐学院</v>
      </c>
    </row>
    <row r="2412" customHeight="1" spans="1:5">
      <c r="A2412" s="6" t="str">
        <f>"李城阳"</f>
        <v>李城阳</v>
      </c>
      <c r="B2412" s="6" t="str">
        <f>"B20210302102"</f>
        <v>B20210302102</v>
      </c>
      <c r="C2412" s="6" t="str">
        <f>"男"</f>
        <v>男</v>
      </c>
      <c r="D2412" s="7" t="str">
        <f>"6"</f>
        <v>6</v>
      </c>
      <c r="E2412" s="6" t="str">
        <f>"计算机科学与工程学院"</f>
        <v>计算机科学与工程学院</v>
      </c>
    </row>
    <row r="2413" ht="13.5" hidden="1" spans="1:5">
      <c r="A2413" s="2" t="str">
        <f>"汤琴"</f>
        <v>汤琴</v>
      </c>
      <c r="B2413" s="2" t="str">
        <f>"B20220401331"</f>
        <v>B20220401331</v>
      </c>
      <c r="C2413" s="2" t="str">
        <f t="shared" ref="C2413:C2415" si="548">"女"</f>
        <v>女</v>
      </c>
      <c r="D2413" s="2" t="str">
        <f t="shared" si="537"/>
        <v>9</v>
      </c>
      <c r="E2413" s="2" t="str">
        <f>"电子信息与电气工程学院"</f>
        <v>电子信息与电气工程学院</v>
      </c>
    </row>
    <row r="2414" ht="13.5" hidden="1" spans="1:5">
      <c r="A2414" s="2" t="str">
        <f>"廖梓萱"</f>
        <v>廖梓萱</v>
      </c>
      <c r="B2414" s="2" t="str">
        <f>"B20210504121"</f>
        <v>B20210504121</v>
      </c>
      <c r="C2414" s="2" t="str">
        <f t="shared" si="548"/>
        <v>女</v>
      </c>
      <c r="D2414" s="2" t="str">
        <f t="shared" si="537"/>
        <v>9</v>
      </c>
      <c r="E2414" s="2" t="str">
        <f>"生物与化学工程学院"</f>
        <v>生物与化学工程学院</v>
      </c>
    </row>
    <row r="2415" ht="13.5" hidden="1" spans="1:5">
      <c r="A2415" s="2" t="str">
        <f>"伍灿"</f>
        <v>伍灿</v>
      </c>
      <c r="B2415" s="2" t="str">
        <f>"B20220802203"</f>
        <v>B20220802203</v>
      </c>
      <c r="C2415" s="2" t="str">
        <f t="shared" si="548"/>
        <v>女</v>
      </c>
      <c r="D2415" s="2" t="str">
        <f t="shared" si="537"/>
        <v>9</v>
      </c>
      <c r="E2415" s="2" t="str">
        <f>"外国语学院"</f>
        <v>外国语学院</v>
      </c>
    </row>
    <row r="2416" ht="13.5" hidden="1" spans="1:5">
      <c r="A2416" s="2" t="str">
        <f>"王天畅"</f>
        <v>王天畅</v>
      </c>
      <c r="B2416" s="2" t="str">
        <f>"B20230201327"</f>
        <v>B20230201327</v>
      </c>
      <c r="C2416" s="2" t="str">
        <f>"男"</f>
        <v>男</v>
      </c>
      <c r="D2416" s="2" t="str">
        <f t="shared" si="537"/>
        <v>9</v>
      </c>
      <c r="E2416" s="2" t="str">
        <f>"机电工程学院"</f>
        <v>机电工程学院</v>
      </c>
    </row>
    <row r="2417" ht="13.5" hidden="1" spans="1:5">
      <c r="A2417" s="2" t="str">
        <f>"杨可欣"</f>
        <v>杨可欣</v>
      </c>
      <c r="B2417" s="2" t="str">
        <f>"B20220801301"</f>
        <v>B20220801301</v>
      </c>
      <c r="C2417" s="2" t="str">
        <f t="shared" ref="C2417:C2421" si="549">"女"</f>
        <v>女</v>
      </c>
      <c r="D2417" s="2" t="str">
        <f t="shared" si="537"/>
        <v>9</v>
      </c>
      <c r="E2417" s="2" t="str">
        <f>"外国语学院"</f>
        <v>外国语学院</v>
      </c>
    </row>
    <row r="2418" ht="13.5" hidden="1" spans="1:5">
      <c r="A2418" s="2" t="str">
        <f>"王文静"</f>
        <v>王文静</v>
      </c>
      <c r="B2418" s="2" t="str">
        <f>"B20220702117"</f>
        <v>B20220702117</v>
      </c>
      <c r="C2418" s="2" t="str">
        <f t="shared" si="549"/>
        <v>女</v>
      </c>
      <c r="D2418" s="2" t="str">
        <f t="shared" si="537"/>
        <v>9</v>
      </c>
      <c r="E2418" s="2" t="str">
        <f>"马栏山新媒体学院"</f>
        <v>马栏山新媒体学院</v>
      </c>
    </row>
    <row r="2419" ht="13.5" hidden="1" spans="1:5">
      <c r="A2419" s="2" t="str">
        <f>"张佳浩"</f>
        <v>张佳浩</v>
      </c>
      <c r="B2419" s="2" t="str">
        <f>"B20230504209"</f>
        <v>B20230504209</v>
      </c>
      <c r="C2419" s="2" t="str">
        <f t="shared" ref="C2419:C2424" si="550">"男"</f>
        <v>男</v>
      </c>
      <c r="D2419" s="2" t="str">
        <f t="shared" si="537"/>
        <v>9</v>
      </c>
      <c r="E2419" s="2" t="str">
        <f>"生物与化学工程学院"</f>
        <v>生物与化学工程学院</v>
      </c>
    </row>
    <row r="2420" ht="13.5" hidden="1" spans="1:5">
      <c r="A2420" s="2" t="str">
        <f>"彭维"</f>
        <v>彭维</v>
      </c>
      <c r="B2420" s="2" t="str">
        <f>"B20230204103"</f>
        <v>B20230204103</v>
      </c>
      <c r="C2420" s="2" t="str">
        <f t="shared" si="549"/>
        <v>女</v>
      </c>
      <c r="D2420" s="2" t="str">
        <f t="shared" si="537"/>
        <v>9</v>
      </c>
      <c r="E2420" s="2" t="str">
        <f>"机电工程学院"</f>
        <v>机电工程学院</v>
      </c>
    </row>
    <row r="2421" ht="13.5" hidden="1" spans="1:5">
      <c r="A2421" s="2" t="str">
        <f>"刘晓烨"</f>
        <v>刘晓烨</v>
      </c>
      <c r="B2421" s="2" t="str">
        <f>"B20230802117"</f>
        <v>B20230802117</v>
      </c>
      <c r="C2421" s="2" t="str">
        <f t="shared" si="549"/>
        <v>女</v>
      </c>
      <c r="D2421" s="2" t="str">
        <f t="shared" si="537"/>
        <v>9</v>
      </c>
      <c r="E2421" s="2" t="str">
        <f>"外国语学院"</f>
        <v>外国语学院</v>
      </c>
    </row>
    <row r="2422" ht="13.5" hidden="1" spans="1:5">
      <c r="A2422" s="2" t="str">
        <f>"石意"</f>
        <v>石意</v>
      </c>
      <c r="B2422" s="2" t="str">
        <f>"B20230403315"</f>
        <v>B20230403315</v>
      </c>
      <c r="C2422" s="2" t="str">
        <f t="shared" si="550"/>
        <v>男</v>
      </c>
      <c r="D2422" s="2" t="str">
        <f t="shared" si="537"/>
        <v>9</v>
      </c>
      <c r="E2422" s="2" t="str">
        <f>"电子信息与电气工程学院"</f>
        <v>电子信息与电气工程学院</v>
      </c>
    </row>
    <row r="2423" customHeight="1" spans="1:5">
      <c r="A2423" s="6" t="str">
        <f>"刘阳阳"</f>
        <v>刘阳阳</v>
      </c>
      <c r="B2423" s="6" t="str">
        <f>"B20210302103"</f>
        <v>B20210302103</v>
      </c>
      <c r="C2423" s="6" t="str">
        <f t="shared" si="550"/>
        <v>男</v>
      </c>
      <c r="D2423" s="7" t="str">
        <f>"22"</f>
        <v>22</v>
      </c>
      <c r="E2423" s="6" t="str">
        <f>"计算机科学与工程学院"</f>
        <v>计算机科学与工程学院</v>
      </c>
    </row>
    <row r="2424" ht="13.5" hidden="1" spans="1:5">
      <c r="A2424" s="2" t="str">
        <f>"吴健"</f>
        <v>吴健</v>
      </c>
      <c r="B2424" s="2" t="str">
        <f>"B20201002311"</f>
        <v>B20201002311</v>
      </c>
      <c r="C2424" s="2" t="str">
        <f t="shared" si="550"/>
        <v>男</v>
      </c>
      <c r="D2424" s="2" t="str">
        <f t="shared" si="537"/>
        <v>9</v>
      </c>
      <c r="E2424" s="2" t="str">
        <f>"艺术设计学院"</f>
        <v>艺术设计学院</v>
      </c>
    </row>
    <row r="2425" ht="13.5" hidden="1" spans="1:5">
      <c r="A2425" s="2" t="str">
        <f>"王卓"</f>
        <v>王卓</v>
      </c>
      <c r="B2425" s="2" t="str">
        <f>"B20211001222"</f>
        <v>B20211001222</v>
      </c>
      <c r="C2425" s="2" t="str">
        <f t="shared" ref="C2425:C2428" si="551">"女"</f>
        <v>女</v>
      </c>
      <c r="D2425" s="2" t="str">
        <f t="shared" si="537"/>
        <v>9</v>
      </c>
      <c r="E2425" s="2" t="str">
        <f>"艺术设计学院"</f>
        <v>艺术设计学院</v>
      </c>
    </row>
    <row r="2426" ht="13.5" hidden="1" spans="1:5">
      <c r="A2426" s="2" t="str">
        <f>"廖智康"</f>
        <v>廖智康</v>
      </c>
      <c r="B2426" s="2" t="str">
        <f>"B20200505205"</f>
        <v>B20200505205</v>
      </c>
      <c r="C2426" s="2" t="str">
        <f t="shared" ref="C2426:C2430" si="552">"男"</f>
        <v>男</v>
      </c>
      <c r="D2426" s="2" t="str">
        <f t="shared" si="537"/>
        <v>9</v>
      </c>
      <c r="E2426" s="2" t="str">
        <f>"生物与环境工程学院"</f>
        <v>生物与环境工程学院</v>
      </c>
    </row>
    <row r="2427" ht="13.5" hidden="1" spans="1:5">
      <c r="A2427" s="2" t="str">
        <f>"欧阳宁"</f>
        <v>欧阳宁</v>
      </c>
      <c r="B2427" s="2" t="str">
        <f>"B20200803125"</f>
        <v>B20200803125</v>
      </c>
      <c r="C2427" s="2" t="str">
        <f t="shared" si="551"/>
        <v>女</v>
      </c>
      <c r="D2427" s="2" t="str">
        <f t="shared" si="537"/>
        <v>9</v>
      </c>
      <c r="E2427" s="2" t="str">
        <f>"外国语学院"</f>
        <v>外国语学院</v>
      </c>
    </row>
    <row r="2428" ht="13.5" hidden="1" spans="1:5">
      <c r="A2428" s="2" t="str">
        <f>"黄莉丹"</f>
        <v>黄莉丹</v>
      </c>
      <c r="B2428" s="2" t="str">
        <f>"B20230401328"</f>
        <v>B20230401328</v>
      </c>
      <c r="C2428" s="2" t="str">
        <f t="shared" si="551"/>
        <v>女</v>
      </c>
      <c r="D2428" s="2" t="str">
        <f t="shared" si="537"/>
        <v>9</v>
      </c>
      <c r="E2428" s="2" t="str">
        <f>"电子信息与电气工程学院"</f>
        <v>电子信息与电气工程学院</v>
      </c>
    </row>
    <row r="2429" customHeight="1" spans="1:5">
      <c r="A2429" s="6" t="str">
        <f>"金皓翔"</f>
        <v>金皓翔</v>
      </c>
      <c r="B2429" s="6" t="str">
        <f>"B20210302104"</f>
        <v>B20210302104</v>
      </c>
      <c r="C2429" s="6" t="str">
        <f>"男"</f>
        <v>男</v>
      </c>
      <c r="D2429" s="7" t="str">
        <f>"7"</f>
        <v>7</v>
      </c>
      <c r="E2429" s="6" t="str">
        <f>"计算机科学与工程学院"</f>
        <v>计算机科学与工程学院</v>
      </c>
    </row>
    <row r="2430" ht="13.5" hidden="1" spans="1:5">
      <c r="A2430" s="2" t="str">
        <f>"彭涛"</f>
        <v>彭涛</v>
      </c>
      <c r="B2430" s="2" t="str">
        <f>"B20230404121"</f>
        <v>B20230404121</v>
      </c>
      <c r="C2430" s="2" t="str">
        <f t="shared" si="552"/>
        <v>男</v>
      </c>
      <c r="D2430" s="2" t="str">
        <f t="shared" si="537"/>
        <v>9</v>
      </c>
      <c r="E2430" s="2" t="str">
        <f>"电子信息与电气工程学院"</f>
        <v>电子信息与电气工程学院</v>
      </c>
    </row>
    <row r="2431" ht="13.5" hidden="1" spans="1:5">
      <c r="A2431" s="2" t="str">
        <f>"陈斯亮"</f>
        <v>陈斯亮</v>
      </c>
      <c r="B2431" s="2" t="str">
        <f>"B20230701220"</f>
        <v>B20230701220</v>
      </c>
      <c r="C2431" s="2" t="str">
        <f>"女"</f>
        <v>女</v>
      </c>
      <c r="D2431" s="2" t="str">
        <f t="shared" si="537"/>
        <v>9</v>
      </c>
      <c r="E2431" s="2" t="str">
        <f>"马栏山新媒体学院"</f>
        <v>马栏山新媒体学院</v>
      </c>
    </row>
    <row r="2432" ht="13.5" hidden="1" spans="1:5">
      <c r="A2432" s="2" t="str">
        <f>"康钦骑"</f>
        <v>康钦骑</v>
      </c>
      <c r="B2432" s="2" t="str">
        <f>"B20200201305"</f>
        <v>B20200201305</v>
      </c>
      <c r="C2432" s="2" t="str">
        <f t="shared" ref="C2432:C2435" si="553">"男"</f>
        <v>男</v>
      </c>
      <c r="D2432" s="2" t="str">
        <f t="shared" si="537"/>
        <v>9</v>
      </c>
      <c r="E2432" s="2" t="str">
        <f>"机电工程学院"</f>
        <v>机电工程学院</v>
      </c>
    </row>
    <row r="2433" customHeight="1" spans="1:5">
      <c r="A2433" s="6" t="str">
        <f>"彭浩"</f>
        <v>彭浩</v>
      </c>
      <c r="B2433" s="6" t="str">
        <f>"B20210302106"</f>
        <v>B20210302106</v>
      </c>
      <c r="C2433" s="6" t="str">
        <f t="shared" si="553"/>
        <v>男</v>
      </c>
      <c r="D2433" s="7" t="str">
        <f>"3"</f>
        <v>3</v>
      </c>
      <c r="E2433" s="6" t="str">
        <f>"计算机科学与工程学院"</f>
        <v>计算机科学与工程学院</v>
      </c>
    </row>
    <row r="2434" ht="13.5" hidden="1" spans="1:5">
      <c r="A2434" s="2" t="str">
        <f>"邓帅"</f>
        <v>邓帅</v>
      </c>
      <c r="B2434" s="2" t="str">
        <f>"B20200403135"</f>
        <v>B20200403135</v>
      </c>
      <c r="C2434" s="2" t="str">
        <f t="shared" si="553"/>
        <v>男</v>
      </c>
      <c r="D2434" s="2" t="str">
        <f t="shared" si="537"/>
        <v>9</v>
      </c>
      <c r="E2434" s="2" t="str">
        <f>"电子信息与电气工程学院"</f>
        <v>电子信息与电气工程学院</v>
      </c>
    </row>
    <row r="2435" ht="13.5" hidden="1" spans="1:5">
      <c r="A2435" s="2" t="str">
        <f>"黄文涛"</f>
        <v>黄文涛</v>
      </c>
      <c r="B2435" s="2" t="str">
        <f>"B20220504421"</f>
        <v>B20220504421</v>
      </c>
      <c r="C2435" s="2" t="str">
        <f t="shared" si="553"/>
        <v>男</v>
      </c>
      <c r="D2435" s="2" t="str">
        <f t="shared" si="537"/>
        <v>9</v>
      </c>
      <c r="E2435" s="2" t="str">
        <f>"生物与化学工程学院"</f>
        <v>生物与化学工程学院</v>
      </c>
    </row>
    <row r="2436" ht="13.5" hidden="1" spans="1:5">
      <c r="A2436" s="2" t="str">
        <f>"李孟莲"</f>
        <v>李孟莲</v>
      </c>
      <c r="B2436" s="2" t="str">
        <f>"B20220802233"</f>
        <v>B20220802233</v>
      </c>
      <c r="C2436" s="2" t="str">
        <f>"女"</f>
        <v>女</v>
      </c>
      <c r="D2436" s="2" t="str">
        <f t="shared" ref="D2436:D2499" si="554">"9"</f>
        <v>9</v>
      </c>
      <c r="E2436" s="2" t="str">
        <f t="shared" ref="E2436:E2438" si="555">"外国语学院"</f>
        <v>外国语学院</v>
      </c>
    </row>
    <row r="2437" ht="13.5" hidden="1" spans="1:5">
      <c r="A2437" s="2" t="str">
        <f>"付雄锋"</f>
        <v>付雄锋</v>
      </c>
      <c r="B2437" s="2" t="str">
        <f>"B20220801225"</f>
        <v>B20220801225</v>
      </c>
      <c r="C2437" s="2" t="str">
        <f t="shared" ref="C2437:C2442" si="556">"男"</f>
        <v>男</v>
      </c>
      <c r="D2437" s="2" t="str">
        <f t="shared" si="554"/>
        <v>9</v>
      </c>
      <c r="E2437" s="2" t="str">
        <f t="shared" si="555"/>
        <v>外国语学院</v>
      </c>
    </row>
    <row r="2438" ht="13.5" hidden="1" spans="1:5">
      <c r="A2438" s="2" t="str">
        <f>"郑佳佳"</f>
        <v>郑佳佳</v>
      </c>
      <c r="B2438" s="2" t="str">
        <f>"B20230801221"</f>
        <v>B20230801221</v>
      </c>
      <c r="C2438" s="2" t="str">
        <f t="shared" ref="C2438:C2444" si="557">"女"</f>
        <v>女</v>
      </c>
      <c r="D2438" s="2" t="str">
        <f t="shared" si="554"/>
        <v>9</v>
      </c>
      <c r="E2438" s="2" t="str">
        <f t="shared" si="555"/>
        <v>外国语学院</v>
      </c>
    </row>
    <row r="2439" ht="13.5" hidden="1" spans="1:5">
      <c r="A2439" s="2" t="str">
        <f>"黄精炜"</f>
        <v>黄精炜</v>
      </c>
      <c r="B2439" s="2" t="str">
        <f>"B20230601521"</f>
        <v>B20230601521</v>
      </c>
      <c r="C2439" s="2" t="str">
        <f t="shared" si="556"/>
        <v>男</v>
      </c>
      <c r="D2439" s="2" t="str">
        <f t="shared" si="554"/>
        <v>9</v>
      </c>
      <c r="E2439" s="2" t="str">
        <f>"法学院"</f>
        <v>法学院</v>
      </c>
    </row>
    <row r="2440" ht="13.5" hidden="1" spans="1:5">
      <c r="A2440" s="2" t="str">
        <f>"曹婧妮"</f>
        <v>曹婧妮</v>
      </c>
      <c r="B2440" s="2" t="str">
        <f>"B20210801302"</f>
        <v>B20210801302</v>
      </c>
      <c r="C2440" s="2" t="str">
        <f t="shared" si="557"/>
        <v>女</v>
      </c>
      <c r="D2440" s="2" t="str">
        <f t="shared" si="554"/>
        <v>9</v>
      </c>
      <c r="E2440" s="2" t="str">
        <f>"外国语学院"</f>
        <v>外国语学院</v>
      </c>
    </row>
    <row r="2441" customHeight="1" spans="1:5">
      <c r="A2441" s="6" t="str">
        <f>"张金京"</f>
        <v>张金京</v>
      </c>
      <c r="B2441" s="6" t="str">
        <f>"B20210302107"</f>
        <v>B20210302107</v>
      </c>
      <c r="C2441" s="6" t="str">
        <f>"男"</f>
        <v>男</v>
      </c>
      <c r="D2441" s="7" t="str">
        <f>"3"</f>
        <v>3</v>
      </c>
      <c r="E2441" s="6" t="str">
        <f>"计算机科学与工程学院"</f>
        <v>计算机科学与工程学院</v>
      </c>
    </row>
    <row r="2442" ht="13.5" hidden="1" spans="1:5">
      <c r="A2442" s="2" t="str">
        <f>"瞿家兴"</f>
        <v>瞿家兴</v>
      </c>
      <c r="B2442" s="2" t="str">
        <f>"B20201101309"</f>
        <v>B20201101309</v>
      </c>
      <c r="C2442" s="2" t="str">
        <f t="shared" si="556"/>
        <v>男</v>
      </c>
      <c r="D2442" s="2" t="str">
        <f t="shared" si="554"/>
        <v>9</v>
      </c>
      <c r="E2442" s="2" t="str">
        <f>"音乐学院"</f>
        <v>音乐学院</v>
      </c>
    </row>
    <row r="2443" ht="13.5" hidden="1" spans="1:5">
      <c r="A2443" s="2" t="str">
        <f>"叶倩云"</f>
        <v>叶倩云</v>
      </c>
      <c r="B2443" s="2" t="str">
        <f>"B20210903209"</f>
        <v>B20210903209</v>
      </c>
      <c r="C2443" s="2" t="str">
        <f t="shared" si="557"/>
        <v>女</v>
      </c>
      <c r="D2443" s="2" t="str">
        <f t="shared" si="554"/>
        <v>9</v>
      </c>
      <c r="E2443" s="2" t="str">
        <f>"经济与管理学院"</f>
        <v>经济与管理学院</v>
      </c>
    </row>
    <row r="2444" ht="13.5" hidden="1" spans="1:5">
      <c r="A2444" s="2" t="str">
        <f>"魏乐"</f>
        <v>魏乐</v>
      </c>
      <c r="B2444" s="2" t="str">
        <f>"B20231001404"</f>
        <v>B20231001404</v>
      </c>
      <c r="C2444" s="2" t="str">
        <f t="shared" si="557"/>
        <v>女</v>
      </c>
      <c r="D2444" s="2" t="str">
        <f t="shared" si="554"/>
        <v>9</v>
      </c>
      <c r="E2444" s="2" t="str">
        <f>"艺术设计学院"</f>
        <v>艺术设计学院</v>
      </c>
    </row>
    <row r="2445" ht="13.5" hidden="1" spans="1:5">
      <c r="A2445" s="2" t="str">
        <f>"蔡俊杰"</f>
        <v>蔡俊杰</v>
      </c>
      <c r="B2445" s="2" t="str">
        <f>"B20230101512"</f>
        <v>B20230101512</v>
      </c>
      <c r="C2445" s="2" t="str">
        <f t="shared" ref="C2445:C2452" si="558">"男"</f>
        <v>男</v>
      </c>
      <c r="D2445" s="2" t="str">
        <f t="shared" si="554"/>
        <v>9</v>
      </c>
      <c r="E2445" s="2" t="str">
        <f>"土木工程学院"</f>
        <v>土木工程学院</v>
      </c>
    </row>
    <row r="2446" ht="13.5" hidden="1" spans="1:5">
      <c r="A2446" s="2" t="str">
        <f>"黄雨韵"</f>
        <v>黄雨韵</v>
      </c>
      <c r="B2446" s="2" t="str">
        <f>"B20210401101"</f>
        <v>B20210401101</v>
      </c>
      <c r="C2446" s="2" t="str">
        <f>"女"</f>
        <v>女</v>
      </c>
      <c r="D2446" s="2" t="str">
        <f t="shared" si="554"/>
        <v>9</v>
      </c>
      <c r="E2446" s="2" t="str">
        <f>"电子信息与电气工程学院"</f>
        <v>电子信息与电气工程学院</v>
      </c>
    </row>
    <row r="2447" ht="13.5" hidden="1" spans="1:5">
      <c r="A2447" s="2" t="str">
        <f>"曾友良"</f>
        <v>曾友良</v>
      </c>
      <c r="B2447" s="2" t="str">
        <f>"B20200901127"</f>
        <v>B20200901127</v>
      </c>
      <c r="C2447" s="2" t="str">
        <f t="shared" si="558"/>
        <v>男</v>
      </c>
      <c r="D2447" s="2" t="str">
        <f t="shared" si="554"/>
        <v>9</v>
      </c>
      <c r="E2447" s="2" t="str">
        <f>"经济与管理学院"</f>
        <v>经济与管理学院</v>
      </c>
    </row>
    <row r="2448" ht="13.5" hidden="1" spans="1:5">
      <c r="A2448" s="2" t="str">
        <f>"方锦涛"</f>
        <v>方锦涛</v>
      </c>
      <c r="B2448" s="2" t="str">
        <f>"B20230101208"</f>
        <v>B20230101208</v>
      </c>
      <c r="C2448" s="2" t="str">
        <f t="shared" si="558"/>
        <v>男</v>
      </c>
      <c r="D2448" s="2" t="str">
        <f t="shared" si="554"/>
        <v>9</v>
      </c>
      <c r="E2448" s="2" t="str">
        <f>"土木工程学院"</f>
        <v>土木工程学院</v>
      </c>
    </row>
    <row r="2449" ht="13.5" hidden="1" spans="1:5">
      <c r="A2449" s="2" t="str">
        <f>"徐研国"</f>
        <v>徐研国</v>
      </c>
      <c r="B2449" s="2" t="str">
        <f>"B20220201208"</f>
        <v>B20220201208</v>
      </c>
      <c r="C2449" s="2" t="str">
        <f t="shared" si="558"/>
        <v>男</v>
      </c>
      <c r="D2449" s="2" t="str">
        <f t="shared" si="554"/>
        <v>9</v>
      </c>
      <c r="E2449" s="2" t="str">
        <f>"机电工程学院"</f>
        <v>机电工程学院</v>
      </c>
    </row>
    <row r="2450" ht="13.5" hidden="1" spans="1:5">
      <c r="A2450" s="2" t="str">
        <f>"任亦凡"</f>
        <v>任亦凡</v>
      </c>
      <c r="B2450" s="2" t="str">
        <f>"B20231101121"</f>
        <v>B20231101121</v>
      </c>
      <c r="C2450" s="2" t="str">
        <f t="shared" si="558"/>
        <v>男</v>
      </c>
      <c r="D2450" s="2" t="str">
        <f t="shared" si="554"/>
        <v>9</v>
      </c>
      <c r="E2450" s="2" t="str">
        <f>"音乐学院"</f>
        <v>音乐学院</v>
      </c>
    </row>
    <row r="2451" ht="13.5" hidden="1" spans="1:5">
      <c r="A2451" s="2" t="str">
        <f>"唐洋"</f>
        <v>唐洋</v>
      </c>
      <c r="B2451" s="2" t="str">
        <f>"B20230204128"</f>
        <v>B20230204128</v>
      </c>
      <c r="C2451" s="2" t="str">
        <f t="shared" si="558"/>
        <v>男</v>
      </c>
      <c r="D2451" s="2" t="str">
        <f t="shared" si="554"/>
        <v>9</v>
      </c>
      <c r="E2451" s="2" t="str">
        <f>"机电工程学院"</f>
        <v>机电工程学院</v>
      </c>
    </row>
    <row r="2452" customHeight="1" spans="1:5">
      <c r="A2452" s="6" t="str">
        <f>"谈溜"</f>
        <v>谈溜</v>
      </c>
      <c r="B2452" s="6" t="str">
        <f>"B20210302108"</f>
        <v>B20210302108</v>
      </c>
      <c r="C2452" s="6" t="str">
        <f t="shared" si="558"/>
        <v>男</v>
      </c>
      <c r="D2452" s="7" t="str">
        <f>"3"</f>
        <v>3</v>
      </c>
      <c r="E2452" s="6" t="str">
        <f>"计算机科学与工程学院"</f>
        <v>计算机科学与工程学院</v>
      </c>
    </row>
    <row r="2453" ht="13.5" hidden="1" spans="1:5">
      <c r="A2453" s="2" t="str">
        <f>"冯思璇"</f>
        <v>冯思璇</v>
      </c>
      <c r="B2453" s="2" t="str">
        <f>"B20210704220"</f>
        <v>B20210704220</v>
      </c>
      <c r="C2453" s="2" t="str">
        <f t="shared" ref="C2453:C2457" si="559">"女"</f>
        <v>女</v>
      </c>
      <c r="D2453" s="2" t="str">
        <f t="shared" si="554"/>
        <v>9</v>
      </c>
      <c r="E2453" s="2" t="str">
        <f>"马栏山新媒体学院"</f>
        <v>马栏山新媒体学院</v>
      </c>
    </row>
    <row r="2454" customHeight="1" spans="1:5">
      <c r="A2454" s="6" t="str">
        <f>"刘杨阳"</f>
        <v>刘杨阳</v>
      </c>
      <c r="B2454" s="6" t="str">
        <f>"B20210302109"</f>
        <v>B20210302109</v>
      </c>
      <c r="C2454" s="6" t="str">
        <f>"男"</f>
        <v>男</v>
      </c>
      <c r="D2454" s="7" t="str">
        <f>"3"</f>
        <v>3</v>
      </c>
      <c r="E2454" s="6" t="str">
        <f>"计算机科学与工程学院"</f>
        <v>计算机科学与工程学院</v>
      </c>
    </row>
    <row r="2455" ht="13.5" hidden="1" spans="1:5">
      <c r="A2455" s="2" t="str">
        <f>"张晋"</f>
        <v>张晋</v>
      </c>
      <c r="B2455" s="2" t="str">
        <f>"B20201004113"</f>
        <v>B20201004113</v>
      </c>
      <c r="C2455" s="2" t="str">
        <f t="shared" si="559"/>
        <v>女</v>
      </c>
      <c r="D2455" s="2" t="str">
        <f t="shared" si="554"/>
        <v>9</v>
      </c>
      <c r="E2455" s="2" t="str">
        <f>"艺术设计学院"</f>
        <v>艺术设计学院</v>
      </c>
    </row>
    <row r="2456" ht="13.5" hidden="1" spans="1:5">
      <c r="A2456" s="2" t="str">
        <f>"宋珺"</f>
        <v>宋珺</v>
      </c>
      <c r="B2456" s="2" t="str">
        <f>"B20201004111"</f>
        <v>B20201004111</v>
      </c>
      <c r="C2456" s="2" t="str">
        <f t="shared" si="559"/>
        <v>女</v>
      </c>
      <c r="D2456" s="2" t="str">
        <f t="shared" si="554"/>
        <v>9</v>
      </c>
      <c r="E2456" s="2" t="str">
        <f>"艺术设计学院"</f>
        <v>艺术设计学院</v>
      </c>
    </row>
    <row r="2457" ht="13.5" hidden="1" spans="1:5">
      <c r="A2457" s="2" t="str">
        <f>"龚佳毅"</f>
        <v>龚佳毅</v>
      </c>
      <c r="B2457" s="2" t="str">
        <f>"B20201101317"</f>
        <v>B20201101317</v>
      </c>
      <c r="C2457" s="2" t="str">
        <f t="shared" si="559"/>
        <v>女</v>
      </c>
      <c r="D2457" s="2" t="str">
        <f t="shared" si="554"/>
        <v>9</v>
      </c>
      <c r="E2457" s="2" t="str">
        <f>"音乐学院"</f>
        <v>音乐学院</v>
      </c>
    </row>
    <row r="2458" ht="13.5" hidden="1" spans="1:5">
      <c r="A2458" s="2" t="str">
        <f>"刘佳赛"</f>
        <v>刘佳赛</v>
      </c>
      <c r="B2458" s="2" t="str">
        <f>"B20220101107"</f>
        <v>B20220101107</v>
      </c>
      <c r="C2458" s="2" t="str">
        <f>"男"</f>
        <v>男</v>
      </c>
      <c r="D2458" s="2" t="str">
        <f t="shared" si="554"/>
        <v>9</v>
      </c>
      <c r="E2458" s="2" t="str">
        <f>"土木工程学院"</f>
        <v>土木工程学院</v>
      </c>
    </row>
    <row r="2459" ht="13.5" hidden="1" spans="1:5">
      <c r="A2459" s="2" t="str">
        <f>"苏彤"</f>
        <v>苏彤</v>
      </c>
      <c r="B2459" s="2" t="str">
        <f>"B20230801116"</f>
        <v>B20230801116</v>
      </c>
      <c r="C2459" s="2" t="str">
        <f t="shared" ref="C2459:C2461" si="560">"女"</f>
        <v>女</v>
      </c>
      <c r="D2459" s="2" t="str">
        <f t="shared" si="554"/>
        <v>9</v>
      </c>
      <c r="E2459" s="2" t="str">
        <f>"外国语学院"</f>
        <v>外国语学院</v>
      </c>
    </row>
    <row r="2460" ht="13.5" hidden="1" spans="1:5">
      <c r="A2460" s="2" t="str">
        <f>"廖悦霞"</f>
        <v>廖悦霞</v>
      </c>
      <c r="B2460" s="2" t="str">
        <f>"B20220801401"</f>
        <v>B20220801401</v>
      </c>
      <c r="C2460" s="2" t="str">
        <f t="shared" si="560"/>
        <v>女</v>
      </c>
      <c r="D2460" s="2" t="str">
        <f t="shared" si="554"/>
        <v>9</v>
      </c>
      <c r="E2460" s="2" t="str">
        <f>"外国语学院"</f>
        <v>外国语学院</v>
      </c>
    </row>
    <row r="2461" ht="13.5" hidden="1" spans="1:5">
      <c r="A2461" s="2" t="str">
        <f>"向宇轩"</f>
        <v>向宇轩</v>
      </c>
      <c r="B2461" s="2" t="str">
        <f>"B20210703310"</f>
        <v>B20210703310</v>
      </c>
      <c r="C2461" s="2" t="str">
        <f t="shared" si="560"/>
        <v>女</v>
      </c>
      <c r="D2461" s="2" t="str">
        <f t="shared" si="554"/>
        <v>9</v>
      </c>
      <c r="E2461" s="2" t="str">
        <f t="shared" ref="E2461:E2465" si="561">"马栏山新媒体学院"</f>
        <v>马栏山新媒体学院</v>
      </c>
    </row>
    <row r="2462" customHeight="1" spans="1:5">
      <c r="A2462" s="6" t="str">
        <f>"龙智豪"</f>
        <v>龙智豪</v>
      </c>
      <c r="B2462" s="6" t="str">
        <f>"B20210302111"</f>
        <v>B20210302111</v>
      </c>
      <c r="C2462" s="6" t="str">
        <f>"男"</f>
        <v>男</v>
      </c>
      <c r="D2462" s="7" t="str">
        <f>"10"</f>
        <v>10</v>
      </c>
      <c r="E2462" s="6" t="str">
        <f>"计算机科学与工程学院"</f>
        <v>计算机科学与工程学院</v>
      </c>
    </row>
    <row r="2463" ht="13.5" hidden="1" spans="1:5">
      <c r="A2463" s="2" t="str">
        <f>"魏洁婷"</f>
        <v>魏洁婷</v>
      </c>
      <c r="B2463" s="2" t="str">
        <f>"B20230701104"</f>
        <v>B20230701104</v>
      </c>
      <c r="C2463" s="2" t="str">
        <f t="shared" ref="C2463:C2467" si="562">"女"</f>
        <v>女</v>
      </c>
      <c r="D2463" s="2" t="str">
        <f t="shared" si="554"/>
        <v>9</v>
      </c>
      <c r="E2463" s="2" t="str">
        <f t="shared" si="561"/>
        <v>马栏山新媒体学院</v>
      </c>
    </row>
    <row r="2464" ht="13.5" hidden="1" spans="1:5">
      <c r="A2464" s="2" t="str">
        <f>"肖亚琪"</f>
        <v>肖亚琪</v>
      </c>
      <c r="B2464" s="2" t="str">
        <f>"B20221002408"</f>
        <v>B20221002408</v>
      </c>
      <c r="C2464" s="2" t="str">
        <f t="shared" si="562"/>
        <v>女</v>
      </c>
      <c r="D2464" s="2" t="str">
        <f t="shared" si="554"/>
        <v>9</v>
      </c>
      <c r="E2464" s="2" t="str">
        <f>"艺术设计学院"</f>
        <v>艺术设计学院</v>
      </c>
    </row>
    <row r="2465" ht="13.5" hidden="1" spans="1:5">
      <c r="A2465" s="2" t="str">
        <f>"兰奕宣"</f>
        <v>兰奕宣</v>
      </c>
      <c r="B2465" s="2" t="str">
        <f>"B20220701421"</f>
        <v>B20220701421</v>
      </c>
      <c r="C2465" s="2" t="str">
        <f t="shared" ref="C2462:C2466" si="563">"男"</f>
        <v>男</v>
      </c>
      <c r="D2465" s="2" t="str">
        <f t="shared" si="554"/>
        <v>9</v>
      </c>
      <c r="E2465" s="2" t="str">
        <f t="shared" si="561"/>
        <v>马栏山新媒体学院</v>
      </c>
    </row>
    <row r="2466" ht="13.5" hidden="1" spans="1:5">
      <c r="A2466" s="2" t="str">
        <f>"文凯"</f>
        <v>文凯</v>
      </c>
      <c r="B2466" s="2" t="str">
        <f>"B20230202315"</f>
        <v>B20230202315</v>
      </c>
      <c r="C2466" s="2" t="str">
        <f t="shared" si="563"/>
        <v>男</v>
      </c>
      <c r="D2466" s="2" t="str">
        <f t="shared" si="554"/>
        <v>9</v>
      </c>
      <c r="E2466" s="2" t="str">
        <f>"机电工程学院"</f>
        <v>机电工程学院</v>
      </c>
    </row>
    <row r="2467" ht="13.5" hidden="1" spans="1:5">
      <c r="A2467" s="2" t="str">
        <f>"侯静"</f>
        <v>侯静</v>
      </c>
      <c r="B2467" s="2" t="str">
        <f>"B20200703206"</f>
        <v>B20200703206</v>
      </c>
      <c r="C2467" s="2" t="str">
        <f t="shared" si="562"/>
        <v>女</v>
      </c>
      <c r="D2467" s="2" t="str">
        <f t="shared" si="554"/>
        <v>9</v>
      </c>
      <c r="E2467" s="2" t="str">
        <f>"马栏山新媒体学院"</f>
        <v>马栏山新媒体学院</v>
      </c>
    </row>
    <row r="2468" ht="13.5" hidden="1" spans="1:5">
      <c r="A2468" s="2" t="str">
        <f>"肖宇"</f>
        <v>肖宇</v>
      </c>
      <c r="B2468" s="2" t="str">
        <f>"B20210403117"</f>
        <v>B20210403117</v>
      </c>
      <c r="C2468" s="2" t="str">
        <f t="shared" ref="C2468:C2471" si="564">"男"</f>
        <v>男</v>
      </c>
      <c r="D2468" s="2" t="str">
        <f t="shared" si="554"/>
        <v>9</v>
      </c>
      <c r="E2468" s="2" t="str">
        <f>"电子信息与电气工程学院"</f>
        <v>电子信息与电气工程学院</v>
      </c>
    </row>
    <row r="2469" ht="13.5" hidden="1" spans="1:5">
      <c r="A2469" s="2" t="str">
        <f>"杨程"</f>
        <v>杨程</v>
      </c>
      <c r="B2469" s="2" t="str">
        <f>"B20200401217"</f>
        <v>B20200401217</v>
      </c>
      <c r="C2469" s="2" t="str">
        <f t="shared" si="564"/>
        <v>男</v>
      </c>
      <c r="D2469" s="2" t="str">
        <f t="shared" si="554"/>
        <v>9</v>
      </c>
      <c r="E2469" s="2" t="str">
        <f>"电子信息与电气工程学院"</f>
        <v>电子信息与电气工程学院</v>
      </c>
    </row>
    <row r="2470" ht="13.5" hidden="1" spans="1:5">
      <c r="A2470" s="2" t="str">
        <f>"阳宇晨"</f>
        <v>阳宇晨</v>
      </c>
      <c r="B2470" s="2" t="str">
        <f>"B20230205202"</f>
        <v>B20230205202</v>
      </c>
      <c r="C2470" s="2" t="str">
        <f t="shared" si="564"/>
        <v>男</v>
      </c>
      <c r="D2470" s="2" t="str">
        <f t="shared" si="554"/>
        <v>9</v>
      </c>
      <c r="E2470" s="2" t="str">
        <f>"机电工程学院"</f>
        <v>机电工程学院</v>
      </c>
    </row>
    <row r="2471" customHeight="1" spans="1:5">
      <c r="A2471" s="6" t="str">
        <f>"张梽棋"</f>
        <v>张梽棋</v>
      </c>
      <c r="B2471" s="6" t="str">
        <f>"B20210302112"</f>
        <v>B20210302112</v>
      </c>
      <c r="C2471" s="6" t="str">
        <f t="shared" si="564"/>
        <v>男</v>
      </c>
      <c r="D2471" s="7" t="str">
        <f>"6"</f>
        <v>6</v>
      </c>
      <c r="E2471" s="6" t="str">
        <f>"计算机科学与工程学院"</f>
        <v>计算机科学与工程学院</v>
      </c>
    </row>
    <row r="2472" ht="13.5" hidden="1" spans="1:5">
      <c r="A2472" s="2" t="str">
        <f>"肖伊君"</f>
        <v>肖伊君</v>
      </c>
      <c r="B2472" s="2" t="str">
        <f>"B20230201324"</f>
        <v>B20230201324</v>
      </c>
      <c r="C2472" s="2" t="str">
        <f t="shared" ref="C2472:C2474" si="565">"女"</f>
        <v>女</v>
      </c>
      <c r="D2472" s="2" t="str">
        <f t="shared" si="554"/>
        <v>9</v>
      </c>
      <c r="E2472" s="2" t="str">
        <f>"机电工程学院"</f>
        <v>机电工程学院</v>
      </c>
    </row>
    <row r="2473" customHeight="1" spans="1:5">
      <c r="A2473" s="6" t="str">
        <f>"肖佼斑"</f>
        <v>肖佼斑</v>
      </c>
      <c r="B2473" s="6" t="str">
        <f>"B20210302117"</f>
        <v>B20210302117</v>
      </c>
      <c r="C2473" s="6" t="str">
        <f>"男"</f>
        <v>男</v>
      </c>
      <c r="D2473" s="7" t="str">
        <f>"4"</f>
        <v>4</v>
      </c>
      <c r="E2473" s="6" t="str">
        <f>"计算机科学与工程学院"</f>
        <v>计算机科学与工程学院</v>
      </c>
    </row>
    <row r="2474" ht="13.5" hidden="1" spans="1:5">
      <c r="A2474" s="2" t="str">
        <f>"邓可"</f>
        <v>邓可</v>
      </c>
      <c r="B2474" s="2" t="str">
        <f>"B20220402319"</f>
        <v>B20220402319</v>
      </c>
      <c r="C2474" s="2" t="str">
        <f t="shared" si="565"/>
        <v>女</v>
      </c>
      <c r="D2474" s="2" t="str">
        <f t="shared" si="554"/>
        <v>9</v>
      </c>
      <c r="E2474" s="2" t="str">
        <f>"电子信息与电气工程学院"</f>
        <v>电子信息与电气工程学院</v>
      </c>
    </row>
    <row r="2475" ht="13.5" hidden="1" spans="1:5">
      <c r="A2475" s="2" t="str">
        <f>"谭泽荣"</f>
        <v>谭泽荣</v>
      </c>
      <c r="B2475" s="2" t="str">
        <f>"B20210401315"</f>
        <v>B20210401315</v>
      </c>
      <c r="C2475" s="2" t="str">
        <f>"男"</f>
        <v>男</v>
      </c>
      <c r="D2475" s="2" t="str">
        <f t="shared" si="554"/>
        <v>9</v>
      </c>
      <c r="E2475" s="2" t="str">
        <f>"电子信息与电气工程学院"</f>
        <v>电子信息与电气工程学院</v>
      </c>
    </row>
    <row r="2476" ht="13.5" hidden="1" spans="1:5">
      <c r="A2476" s="2" t="str">
        <f>"韩雯"</f>
        <v>韩雯</v>
      </c>
      <c r="B2476" s="2" t="str">
        <f>"B20230801114"</f>
        <v>B20230801114</v>
      </c>
      <c r="C2476" s="2" t="str">
        <f t="shared" ref="C2476:C2479" si="566">"女"</f>
        <v>女</v>
      </c>
      <c r="D2476" s="2" t="str">
        <f t="shared" si="554"/>
        <v>9</v>
      </c>
      <c r="E2476" s="2" t="str">
        <f>"外国语学院"</f>
        <v>外国语学院</v>
      </c>
    </row>
    <row r="2477" ht="13.5" hidden="1" spans="1:5">
      <c r="A2477" s="2" t="str">
        <f>"赵宇婷"</f>
        <v>赵宇婷</v>
      </c>
      <c r="B2477" s="2" t="str">
        <f>"B20230905111"</f>
        <v>B20230905111</v>
      </c>
      <c r="C2477" s="2" t="str">
        <f t="shared" si="566"/>
        <v>女</v>
      </c>
      <c r="D2477" s="2" t="str">
        <f t="shared" si="554"/>
        <v>9</v>
      </c>
      <c r="E2477" s="2" t="str">
        <f>"经济与管理学院"</f>
        <v>经济与管理学院</v>
      </c>
    </row>
    <row r="2478" ht="13.5" hidden="1" spans="1:5">
      <c r="A2478" s="2" t="str">
        <f>"赵岚"</f>
        <v>赵岚</v>
      </c>
      <c r="B2478" s="2" t="str">
        <f>"B20230104120"</f>
        <v>B20230104120</v>
      </c>
      <c r="C2478" s="2" t="str">
        <f t="shared" si="566"/>
        <v>女</v>
      </c>
      <c r="D2478" s="2" t="str">
        <f t="shared" si="554"/>
        <v>9</v>
      </c>
      <c r="E2478" s="2" t="str">
        <f>"土木工程学院"</f>
        <v>土木工程学院</v>
      </c>
    </row>
    <row r="2479" ht="13.5" hidden="1" spans="1:5">
      <c r="A2479" s="2" t="str">
        <f>"李欣怡"</f>
        <v>李欣怡</v>
      </c>
      <c r="B2479" s="2" t="str">
        <f>"B20231001309"</f>
        <v>B20231001309</v>
      </c>
      <c r="C2479" s="2" t="str">
        <f t="shared" si="566"/>
        <v>女</v>
      </c>
      <c r="D2479" s="2" t="str">
        <f t="shared" si="554"/>
        <v>9</v>
      </c>
      <c r="E2479" s="2" t="str">
        <f>"艺术设计学院"</f>
        <v>艺术设计学院</v>
      </c>
    </row>
    <row r="2480" ht="13.5" hidden="1" spans="1:5">
      <c r="A2480" s="2" t="str">
        <f>"邝志好"</f>
        <v>邝志好</v>
      </c>
      <c r="B2480" s="2" t="str">
        <f>"B20230402311"</f>
        <v>B20230402311</v>
      </c>
      <c r="C2480" s="2" t="str">
        <f>"男"</f>
        <v>男</v>
      </c>
      <c r="D2480" s="2" t="str">
        <f t="shared" si="554"/>
        <v>9</v>
      </c>
      <c r="E2480" s="2" t="str">
        <f>"电子信息与电气工程学院"</f>
        <v>电子信息与电气工程学院</v>
      </c>
    </row>
    <row r="2481" ht="13.5" hidden="1" spans="1:5">
      <c r="A2481" s="2" t="str">
        <f>"张艺曦"</f>
        <v>张艺曦</v>
      </c>
      <c r="B2481" s="2" t="str">
        <f>"B20210402123"</f>
        <v>B20210402123</v>
      </c>
      <c r="C2481" s="2" t="str">
        <f>"男"</f>
        <v>男</v>
      </c>
      <c r="D2481" s="2" t="str">
        <f t="shared" si="554"/>
        <v>9</v>
      </c>
      <c r="E2481" s="2" t="str">
        <f>"电子信息与电气工程学院"</f>
        <v>电子信息与电气工程学院</v>
      </c>
    </row>
    <row r="2482" ht="13.5" hidden="1" spans="1:5">
      <c r="A2482" s="2" t="str">
        <f>"周梦仁"</f>
        <v>周梦仁</v>
      </c>
      <c r="B2482" s="2" t="str">
        <f>"B20200902105"</f>
        <v>B20200902105</v>
      </c>
      <c r="C2482" s="2" t="str">
        <f t="shared" ref="C2482:C2485" si="567">"女"</f>
        <v>女</v>
      </c>
      <c r="D2482" s="2" t="str">
        <f t="shared" si="554"/>
        <v>9</v>
      </c>
      <c r="E2482" s="2" t="str">
        <f>"经济与管理学院"</f>
        <v>经济与管理学院</v>
      </c>
    </row>
    <row r="2483" ht="13.5" hidden="1" spans="1:5">
      <c r="A2483" s="2" t="str">
        <f>"刘乐"</f>
        <v>刘乐</v>
      </c>
      <c r="B2483" s="2" t="str">
        <f>"B20230701209"</f>
        <v>B20230701209</v>
      </c>
      <c r="C2483" s="2" t="str">
        <f t="shared" si="567"/>
        <v>女</v>
      </c>
      <c r="D2483" s="2" t="str">
        <f t="shared" si="554"/>
        <v>9</v>
      </c>
      <c r="E2483" s="2" t="str">
        <f>"马栏山新媒体学院"</f>
        <v>马栏山新媒体学院</v>
      </c>
    </row>
    <row r="2484" ht="13.5" hidden="1" spans="1:5">
      <c r="A2484" s="2" t="str">
        <f>"颜秦"</f>
        <v>颜秦</v>
      </c>
      <c r="B2484" s="2" t="str">
        <f>"B20230803206"</f>
        <v>B20230803206</v>
      </c>
      <c r="C2484" s="2" t="str">
        <f t="shared" si="567"/>
        <v>女</v>
      </c>
      <c r="D2484" s="2" t="str">
        <f t="shared" si="554"/>
        <v>9</v>
      </c>
      <c r="E2484" s="2" t="str">
        <f>"外国语学院"</f>
        <v>外国语学院</v>
      </c>
    </row>
    <row r="2485" customHeight="1" spans="1:5">
      <c r="A2485" s="6" t="str">
        <f>"申佳"</f>
        <v>申佳</v>
      </c>
      <c r="B2485" s="6" t="str">
        <f>"B20210302118"</f>
        <v>B20210302118</v>
      </c>
      <c r="C2485" s="6" t="str">
        <f t="shared" si="567"/>
        <v>女</v>
      </c>
      <c r="D2485" s="7" t="str">
        <f>"17"</f>
        <v>17</v>
      </c>
      <c r="E2485" s="6" t="str">
        <f>"计算机科学与工程学院"</f>
        <v>计算机科学与工程学院</v>
      </c>
    </row>
    <row r="2486" ht="13.5" hidden="1" spans="1:5">
      <c r="A2486" s="2" t="str">
        <f>"何方如"</f>
        <v>何方如</v>
      </c>
      <c r="B2486" s="2" t="str">
        <f>"B20230601519"</f>
        <v>B20230601519</v>
      </c>
      <c r="C2486" s="2" t="str">
        <f t="shared" ref="C2486:C2494" si="568">"女"</f>
        <v>女</v>
      </c>
      <c r="D2486" s="2" t="str">
        <f t="shared" si="554"/>
        <v>9</v>
      </c>
      <c r="E2486" s="2" t="str">
        <f>"法学院"</f>
        <v>法学院</v>
      </c>
    </row>
    <row r="2487" customHeight="1" spans="1:5">
      <c r="A2487" s="6" t="str">
        <f>"许甫"</f>
        <v>许甫</v>
      </c>
      <c r="B2487" s="6" t="str">
        <f>"B20210302119"</f>
        <v>B20210302119</v>
      </c>
      <c r="C2487" s="6" t="str">
        <f>"男"</f>
        <v>男</v>
      </c>
      <c r="D2487" s="7" t="str">
        <f>"6"</f>
        <v>6</v>
      </c>
      <c r="E2487" s="6" t="str">
        <f>"计算机科学与工程学院"</f>
        <v>计算机科学与工程学院</v>
      </c>
    </row>
    <row r="2488" ht="13.5" hidden="1" spans="1:5">
      <c r="A2488" s="2" t="str">
        <f>"张瑾"</f>
        <v>张瑾</v>
      </c>
      <c r="B2488" s="2" t="str">
        <f>"B20210905125"</f>
        <v>B20210905125</v>
      </c>
      <c r="C2488" s="2" t="str">
        <f t="shared" si="568"/>
        <v>女</v>
      </c>
      <c r="D2488" s="2" t="str">
        <f t="shared" si="554"/>
        <v>9</v>
      </c>
      <c r="E2488" s="2" t="str">
        <f>"经济与管理学院"</f>
        <v>经济与管理学院</v>
      </c>
    </row>
    <row r="2489" ht="13.5" hidden="1" spans="1:5">
      <c r="A2489" s="2" t="str">
        <f>"戴素素"</f>
        <v>戴素素</v>
      </c>
      <c r="B2489" s="2" t="str">
        <f>"B20220404103"</f>
        <v>B20220404103</v>
      </c>
      <c r="C2489" s="2" t="str">
        <f t="shared" si="568"/>
        <v>女</v>
      </c>
      <c r="D2489" s="2" t="str">
        <f t="shared" si="554"/>
        <v>9</v>
      </c>
      <c r="E2489" s="2" t="str">
        <f>"电子信息与电气工程学院"</f>
        <v>电子信息与电气工程学院</v>
      </c>
    </row>
    <row r="2490" ht="13.5" hidden="1" spans="1:5">
      <c r="A2490" s="2" t="str">
        <f>"武婷湘"</f>
        <v>武婷湘</v>
      </c>
      <c r="B2490" s="2" t="str">
        <f>"B20210401307"</f>
        <v>B20210401307</v>
      </c>
      <c r="C2490" s="2" t="str">
        <f t="shared" si="568"/>
        <v>女</v>
      </c>
      <c r="D2490" s="2" t="str">
        <f t="shared" si="554"/>
        <v>9</v>
      </c>
      <c r="E2490" s="2" t="str">
        <f>"电子信息与电气工程学院"</f>
        <v>电子信息与电气工程学院</v>
      </c>
    </row>
    <row r="2491" ht="13.5" hidden="1" spans="1:5">
      <c r="A2491" s="2" t="str">
        <f>"黄晶晶"</f>
        <v>黄晶晶</v>
      </c>
      <c r="B2491" s="2" t="str">
        <f>"B20230702329"</f>
        <v>B20230702329</v>
      </c>
      <c r="C2491" s="2" t="str">
        <f t="shared" si="568"/>
        <v>女</v>
      </c>
      <c r="D2491" s="2" t="str">
        <f t="shared" si="554"/>
        <v>9</v>
      </c>
      <c r="E2491" s="2" t="str">
        <f>"马栏山新媒体学院"</f>
        <v>马栏山新媒体学院</v>
      </c>
    </row>
    <row r="2492" ht="13.5" hidden="1" spans="1:5">
      <c r="A2492" s="2" t="str">
        <f>"程乐怡"</f>
        <v>程乐怡</v>
      </c>
      <c r="B2492" s="2" t="str">
        <f>"B20230601219"</f>
        <v>B20230601219</v>
      </c>
      <c r="C2492" s="2" t="str">
        <f t="shared" si="568"/>
        <v>女</v>
      </c>
      <c r="D2492" s="2" t="str">
        <f t="shared" si="554"/>
        <v>9</v>
      </c>
      <c r="E2492" s="2" t="str">
        <f>"法学院"</f>
        <v>法学院</v>
      </c>
    </row>
    <row r="2493" ht="13.5" hidden="1" spans="1:5">
      <c r="A2493" s="2" t="str">
        <f>"蒋雯艺"</f>
        <v>蒋雯艺</v>
      </c>
      <c r="B2493" s="2" t="str">
        <f>"B20231101203"</f>
        <v>B20231101203</v>
      </c>
      <c r="C2493" s="2" t="str">
        <f t="shared" si="568"/>
        <v>女</v>
      </c>
      <c r="D2493" s="2" t="str">
        <f t="shared" si="554"/>
        <v>9</v>
      </c>
      <c r="E2493" s="2" t="str">
        <f>"音乐学院"</f>
        <v>音乐学院</v>
      </c>
    </row>
    <row r="2494" ht="13.5" hidden="1" spans="1:5">
      <c r="A2494" s="2" t="str">
        <f>"高金荟"</f>
        <v>高金荟</v>
      </c>
      <c r="B2494" s="2" t="str">
        <f>"B20220702222"</f>
        <v>B20220702222</v>
      </c>
      <c r="C2494" s="2" t="str">
        <f t="shared" si="568"/>
        <v>女</v>
      </c>
      <c r="D2494" s="2" t="str">
        <f t="shared" si="554"/>
        <v>9</v>
      </c>
      <c r="E2494" s="2" t="str">
        <f>"马栏山新媒体学院"</f>
        <v>马栏山新媒体学院</v>
      </c>
    </row>
    <row r="2495" ht="13.5" hidden="1" spans="1:5">
      <c r="A2495" s="2" t="str">
        <f>"梁家凡"</f>
        <v>梁家凡</v>
      </c>
      <c r="B2495" s="2" t="str">
        <f>"B20230101225"</f>
        <v>B20230101225</v>
      </c>
      <c r="C2495" s="2" t="str">
        <f t="shared" ref="C2495:C2498" si="569">"男"</f>
        <v>男</v>
      </c>
      <c r="D2495" s="2" t="str">
        <f t="shared" si="554"/>
        <v>9</v>
      </c>
      <c r="E2495" s="2" t="str">
        <f>"土木工程学院"</f>
        <v>土木工程学院</v>
      </c>
    </row>
    <row r="2496" customHeight="1" spans="1:5">
      <c r="A2496" s="6" t="str">
        <f>"曹正凌"</f>
        <v>曹正凌</v>
      </c>
      <c r="B2496" s="6" t="str">
        <f>"B20210302121"</f>
        <v>B20210302121</v>
      </c>
      <c r="C2496" s="6" t="str">
        <f t="shared" si="569"/>
        <v>男</v>
      </c>
      <c r="D2496" s="7" t="str">
        <f>"2"</f>
        <v>2</v>
      </c>
      <c r="E2496" s="6" t="str">
        <f>"计算机科学与工程学院"</f>
        <v>计算机科学与工程学院</v>
      </c>
    </row>
    <row r="2497" ht="13.5" hidden="1" spans="1:5">
      <c r="A2497" s="2" t="str">
        <f>"向荷"</f>
        <v>向荷</v>
      </c>
      <c r="B2497" s="2" t="str">
        <f>"B20220901205"</f>
        <v>B20220901205</v>
      </c>
      <c r="C2497" s="2" t="str">
        <f t="shared" ref="C2497:C2500" si="570">"女"</f>
        <v>女</v>
      </c>
      <c r="D2497" s="2" t="str">
        <f t="shared" si="554"/>
        <v>9</v>
      </c>
      <c r="E2497" s="2" t="str">
        <f t="shared" ref="E2497:E2499" si="571">"经济与管理学院"</f>
        <v>经济与管理学院</v>
      </c>
    </row>
    <row r="2498" ht="13.5" hidden="1" spans="1:5">
      <c r="A2498" s="2" t="str">
        <f>"潘翔"</f>
        <v>潘翔</v>
      </c>
      <c r="B2498" s="2" t="str">
        <f>"B20230906136"</f>
        <v>B20230906136</v>
      </c>
      <c r="C2498" s="2" t="str">
        <f t="shared" si="569"/>
        <v>男</v>
      </c>
      <c r="D2498" s="2" t="str">
        <f t="shared" si="554"/>
        <v>9</v>
      </c>
      <c r="E2498" s="2" t="str">
        <f t="shared" si="571"/>
        <v>经济与管理学院</v>
      </c>
    </row>
    <row r="2499" ht="13.5" hidden="1" spans="1:5">
      <c r="A2499" s="2" t="str">
        <f>"赵欣恬"</f>
        <v>赵欣恬</v>
      </c>
      <c r="B2499" s="2" t="str">
        <f>"B20210905114"</f>
        <v>B20210905114</v>
      </c>
      <c r="C2499" s="2" t="str">
        <f t="shared" si="570"/>
        <v>女</v>
      </c>
      <c r="D2499" s="2" t="str">
        <f t="shared" si="554"/>
        <v>9</v>
      </c>
      <c r="E2499" s="2" t="str">
        <f t="shared" si="571"/>
        <v>经济与管理学院</v>
      </c>
    </row>
    <row r="2500" customHeight="1" spans="1:5">
      <c r="A2500" s="6" t="str">
        <f>"何香仪"</f>
        <v>何香仪</v>
      </c>
      <c r="B2500" s="6" t="str">
        <f>"B20210302123"</f>
        <v>B20210302123</v>
      </c>
      <c r="C2500" s="6" t="str">
        <f t="shared" si="570"/>
        <v>女</v>
      </c>
      <c r="D2500" s="7" t="str">
        <f>"11"</f>
        <v>11</v>
      </c>
      <c r="E2500" s="6" t="str">
        <f>"计算机科学与工程学院"</f>
        <v>计算机科学与工程学院</v>
      </c>
    </row>
    <row r="2501" ht="13.5" hidden="1" spans="1:5">
      <c r="A2501" s="2" t="str">
        <f>"曾鹏翼"</f>
        <v>曾鹏翼</v>
      </c>
      <c r="B2501" s="2" t="str">
        <f>"B20231302113"</f>
        <v>B20231302113</v>
      </c>
      <c r="C2501" s="2" t="str">
        <f t="shared" ref="C2501:C2505" si="572">"男"</f>
        <v>男</v>
      </c>
      <c r="D2501" s="2" t="str">
        <f t="shared" ref="D2500:D2563" si="573">"9"</f>
        <v>9</v>
      </c>
      <c r="E2501" s="2" t="str">
        <f>"材料与环境工程学院"</f>
        <v>材料与环境工程学院</v>
      </c>
    </row>
    <row r="2502" ht="13.5" hidden="1" spans="1:5">
      <c r="A2502" s="2" t="str">
        <f>"唐红梅"</f>
        <v>唐红梅</v>
      </c>
      <c r="B2502" s="2" t="str">
        <f>"B20220803202"</f>
        <v>B20220803202</v>
      </c>
      <c r="C2502" s="2" t="str">
        <f t="shared" ref="C2502:C2508" si="574">"女"</f>
        <v>女</v>
      </c>
      <c r="D2502" s="2" t="str">
        <f t="shared" si="573"/>
        <v>9</v>
      </c>
      <c r="E2502" s="2" t="str">
        <f>"外国语学院"</f>
        <v>外国语学院</v>
      </c>
    </row>
    <row r="2503" ht="13.5" hidden="1" spans="1:5">
      <c r="A2503" s="2" t="str">
        <f>"黄鑫婷"</f>
        <v>黄鑫婷</v>
      </c>
      <c r="B2503" s="2" t="str">
        <f>"B20231401104"</f>
        <v>B20231401104</v>
      </c>
      <c r="C2503" s="2" t="str">
        <f t="shared" si="574"/>
        <v>女</v>
      </c>
      <c r="D2503" s="2" t="str">
        <f t="shared" si="573"/>
        <v>9</v>
      </c>
      <c r="E2503" s="2" t="str">
        <f>"马克思主义学院"</f>
        <v>马克思主义学院</v>
      </c>
    </row>
    <row r="2504" customHeight="1" spans="1:5">
      <c r="A2504" s="6" t="str">
        <f>"姚向东"</f>
        <v>姚向东</v>
      </c>
      <c r="B2504" s="6" t="str">
        <f>"B20210302125"</f>
        <v>B20210302125</v>
      </c>
      <c r="C2504" s="6" t="str">
        <f>"男"</f>
        <v>男</v>
      </c>
      <c r="D2504" s="7" t="str">
        <f>"3"</f>
        <v>3</v>
      </c>
      <c r="E2504" s="6" t="str">
        <f>"计算机科学与工程学院"</f>
        <v>计算机科学与工程学院</v>
      </c>
    </row>
    <row r="2505" ht="13.5" hidden="1" spans="1:5">
      <c r="A2505" s="2" t="str">
        <f>"朱才鑫"</f>
        <v>朱才鑫</v>
      </c>
      <c r="B2505" s="2" t="str">
        <f>"B20230504129"</f>
        <v>B20230504129</v>
      </c>
      <c r="C2505" s="2" t="str">
        <f t="shared" si="572"/>
        <v>男</v>
      </c>
      <c r="D2505" s="2" t="str">
        <f t="shared" si="573"/>
        <v>9</v>
      </c>
      <c r="E2505" s="2" t="str">
        <f>"生物与化学工程学院"</f>
        <v>生物与化学工程学院</v>
      </c>
    </row>
    <row r="2506" ht="13.5" hidden="1" spans="1:5">
      <c r="A2506" s="2" t="str">
        <f>"艾颖"</f>
        <v>艾颖</v>
      </c>
      <c r="B2506" s="2" t="str">
        <f>"B20230901237"</f>
        <v>B20230901237</v>
      </c>
      <c r="C2506" s="2" t="str">
        <f t="shared" si="574"/>
        <v>女</v>
      </c>
      <c r="D2506" s="2" t="str">
        <f t="shared" si="573"/>
        <v>9</v>
      </c>
      <c r="E2506" s="2" t="str">
        <f>"经济与管理学院"</f>
        <v>经济与管理学院</v>
      </c>
    </row>
    <row r="2507" ht="13.5" hidden="1" spans="1:5">
      <c r="A2507" s="2" t="str">
        <f>"王紫轩"</f>
        <v>王紫轩</v>
      </c>
      <c r="B2507" s="2" t="str">
        <f>"B20220905215"</f>
        <v>B20220905215</v>
      </c>
      <c r="C2507" s="2" t="str">
        <f t="shared" si="574"/>
        <v>女</v>
      </c>
      <c r="D2507" s="2" t="str">
        <f t="shared" si="573"/>
        <v>9</v>
      </c>
      <c r="E2507" s="2" t="str">
        <f>"经济与管理学院"</f>
        <v>经济与管理学院</v>
      </c>
    </row>
    <row r="2508" ht="13.5" hidden="1" spans="1:5">
      <c r="A2508" s="2" t="str">
        <f>"王栖羽"</f>
        <v>王栖羽</v>
      </c>
      <c r="B2508" s="2" t="str">
        <f>"B20230701230"</f>
        <v>B20230701230</v>
      </c>
      <c r="C2508" s="2" t="str">
        <f t="shared" si="574"/>
        <v>女</v>
      </c>
      <c r="D2508" s="2" t="str">
        <f t="shared" si="573"/>
        <v>9</v>
      </c>
      <c r="E2508" s="2" t="str">
        <f>"马栏山新媒体学院"</f>
        <v>马栏山新媒体学院</v>
      </c>
    </row>
    <row r="2509" ht="13.5" hidden="1" spans="1:5">
      <c r="A2509" s="2" t="str">
        <f>"江林锴"</f>
        <v>江林锴</v>
      </c>
      <c r="B2509" s="2" t="str">
        <f>"B20200201219"</f>
        <v>B20200201219</v>
      </c>
      <c r="C2509" s="2" t="str">
        <f t="shared" ref="C2509:C2515" si="575">"男"</f>
        <v>男</v>
      </c>
      <c r="D2509" s="2" t="str">
        <f t="shared" si="573"/>
        <v>9</v>
      </c>
      <c r="E2509" s="2" t="str">
        <f>"机电工程学院"</f>
        <v>机电工程学院</v>
      </c>
    </row>
    <row r="2510" ht="13.5" hidden="1" spans="1:5">
      <c r="A2510" s="2" t="str">
        <f>"杨栩"</f>
        <v>杨栩</v>
      </c>
      <c r="B2510" s="2" t="str">
        <f>"B20210103131"</f>
        <v>B20210103131</v>
      </c>
      <c r="C2510" s="2" t="str">
        <f t="shared" si="575"/>
        <v>男</v>
      </c>
      <c r="D2510" s="2" t="str">
        <f t="shared" si="573"/>
        <v>9</v>
      </c>
      <c r="E2510" s="2" t="str">
        <f>"土木工程学院"</f>
        <v>土木工程学院</v>
      </c>
    </row>
    <row r="2511" ht="13.5" hidden="1" spans="1:5">
      <c r="A2511" s="2" t="str">
        <f>"朱嘉文"</f>
        <v>朱嘉文</v>
      </c>
      <c r="B2511" s="2" t="str">
        <f>"B20200802316"</f>
        <v>B20200802316</v>
      </c>
      <c r="C2511" s="2" t="str">
        <f t="shared" si="575"/>
        <v>男</v>
      </c>
      <c r="D2511" s="2" t="str">
        <f t="shared" si="573"/>
        <v>9</v>
      </c>
      <c r="E2511" s="2" t="str">
        <f>"外国语学院"</f>
        <v>外国语学院</v>
      </c>
    </row>
    <row r="2512" ht="13.5" hidden="1" spans="1:5">
      <c r="A2512" s="2" t="str">
        <f>"陈兴源"</f>
        <v>陈兴源</v>
      </c>
      <c r="B2512" s="2" t="str">
        <f>"B20210201406"</f>
        <v>B20210201406</v>
      </c>
      <c r="C2512" s="2" t="str">
        <f t="shared" si="575"/>
        <v>男</v>
      </c>
      <c r="D2512" s="2" t="str">
        <f t="shared" si="573"/>
        <v>9</v>
      </c>
      <c r="E2512" s="2" t="str">
        <f>"机电工程学院"</f>
        <v>机电工程学院</v>
      </c>
    </row>
    <row r="2513" ht="13.5" hidden="1" spans="1:5">
      <c r="A2513" s="2" t="str">
        <f>"香世杰"</f>
        <v>香世杰</v>
      </c>
      <c r="B2513" s="2" t="str">
        <f>"B20210601130"</f>
        <v>B20210601130</v>
      </c>
      <c r="C2513" s="2" t="str">
        <f t="shared" si="575"/>
        <v>男</v>
      </c>
      <c r="D2513" s="2" t="str">
        <f t="shared" si="573"/>
        <v>9</v>
      </c>
      <c r="E2513" s="2" t="str">
        <f>"法学院"</f>
        <v>法学院</v>
      </c>
    </row>
    <row r="2514" customHeight="1" spans="1:5">
      <c r="A2514" s="6" t="str">
        <f>"肖锟"</f>
        <v>肖锟</v>
      </c>
      <c r="B2514" s="6" t="str">
        <f>"B20210302128"</f>
        <v>B20210302128</v>
      </c>
      <c r="C2514" s="6" t="str">
        <f t="shared" si="575"/>
        <v>男</v>
      </c>
      <c r="D2514" s="7" t="str">
        <f>"1"</f>
        <v>1</v>
      </c>
      <c r="E2514" s="6" t="str">
        <f>"计算机科学与工程学院"</f>
        <v>计算机科学与工程学院</v>
      </c>
    </row>
    <row r="2515" ht="13.5" hidden="1" spans="1:5">
      <c r="A2515" s="2" t="str">
        <f>"曹泉"</f>
        <v>曹泉</v>
      </c>
      <c r="B2515" s="2" t="str">
        <f>"B20220905202"</f>
        <v>B20220905202</v>
      </c>
      <c r="C2515" s="2" t="str">
        <f t="shared" si="575"/>
        <v>男</v>
      </c>
      <c r="D2515" s="2" t="str">
        <f t="shared" si="573"/>
        <v>9</v>
      </c>
      <c r="E2515" s="2" t="str">
        <f>"经济与管理学院"</f>
        <v>经济与管理学院</v>
      </c>
    </row>
    <row r="2516" ht="13.5" hidden="1" spans="1:5">
      <c r="A2516" s="2" t="str">
        <f>"杨欣怡"</f>
        <v>杨欣怡</v>
      </c>
      <c r="B2516" s="2" t="str">
        <f>"B20220703224"</f>
        <v>B20220703224</v>
      </c>
      <c r="C2516" s="2" t="str">
        <f t="shared" ref="C2516:C2520" si="576">"女"</f>
        <v>女</v>
      </c>
      <c r="D2516" s="2" t="str">
        <f t="shared" si="573"/>
        <v>9</v>
      </c>
      <c r="E2516" s="2" t="str">
        <f t="shared" ref="E2516:E2520" si="577">"马栏山新媒体学院"</f>
        <v>马栏山新媒体学院</v>
      </c>
    </row>
    <row r="2517" ht="13.5" hidden="1" spans="1:5">
      <c r="A2517" s="2" t="str">
        <f>"范昱宁"</f>
        <v>范昱宁</v>
      </c>
      <c r="B2517" s="2" t="str">
        <f>"B20200701237"</f>
        <v>B20200701237</v>
      </c>
      <c r="C2517" s="2" t="str">
        <f t="shared" si="576"/>
        <v>女</v>
      </c>
      <c r="D2517" s="2" t="str">
        <f t="shared" si="573"/>
        <v>9</v>
      </c>
      <c r="E2517" s="2" t="str">
        <f t="shared" si="577"/>
        <v>马栏山新媒体学院</v>
      </c>
    </row>
    <row r="2518" ht="13.5" hidden="1" spans="1:5">
      <c r="A2518" s="2" t="str">
        <f>"和楚涵"</f>
        <v>和楚涵</v>
      </c>
      <c r="B2518" s="2" t="str">
        <f>"B20210801627"</f>
        <v>B20210801627</v>
      </c>
      <c r="C2518" s="2" t="str">
        <f t="shared" si="576"/>
        <v>女</v>
      </c>
      <c r="D2518" s="2" t="str">
        <f t="shared" si="573"/>
        <v>9</v>
      </c>
      <c r="E2518" s="2" t="str">
        <f>"外国语学院"</f>
        <v>外国语学院</v>
      </c>
    </row>
    <row r="2519" ht="13.5" hidden="1" spans="1:5">
      <c r="A2519" s="2" t="str">
        <f>"陈晨"</f>
        <v>陈晨</v>
      </c>
      <c r="B2519" s="2" t="str">
        <f>"B20230902106"</f>
        <v>B20230902106</v>
      </c>
      <c r="C2519" s="2" t="str">
        <f t="shared" si="576"/>
        <v>女</v>
      </c>
      <c r="D2519" s="2" t="str">
        <f t="shared" si="573"/>
        <v>9</v>
      </c>
      <c r="E2519" s="2" t="str">
        <f>"经济与管理学院"</f>
        <v>经济与管理学院</v>
      </c>
    </row>
    <row r="2520" ht="13.5" hidden="1" spans="1:5">
      <c r="A2520" s="2" t="str">
        <f>"谢钰晨"</f>
        <v>谢钰晨</v>
      </c>
      <c r="B2520" s="2" t="str">
        <f>"B20210704125"</f>
        <v>B20210704125</v>
      </c>
      <c r="C2520" s="2" t="str">
        <f t="shared" si="576"/>
        <v>女</v>
      </c>
      <c r="D2520" s="2" t="str">
        <f t="shared" si="573"/>
        <v>9</v>
      </c>
      <c r="E2520" s="2" t="str">
        <f t="shared" si="577"/>
        <v>马栏山新媒体学院</v>
      </c>
    </row>
    <row r="2521" customHeight="1" spans="1:5">
      <c r="A2521" s="6" t="str">
        <f>"吴俊君"</f>
        <v>吴俊君</v>
      </c>
      <c r="B2521" s="6" t="str">
        <f>"B20210302129"</f>
        <v>B20210302129</v>
      </c>
      <c r="C2521" s="6" t="str">
        <f>"男"</f>
        <v>男</v>
      </c>
      <c r="D2521" s="7" t="str">
        <f>"2"</f>
        <v>2</v>
      </c>
      <c r="E2521" s="6" t="str">
        <f>"计算机科学与工程学院"</f>
        <v>计算机科学与工程学院</v>
      </c>
    </row>
    <row r="2522" ht="13.5" hidden="1" spans="1:5">
      <c r="A2522" s="2" t="str">
        <f>"曾威"</f>
        <v>曾威</v>
      </c>
      <c r="B2522" s="2" t="str">
        <f>"B20231302308"</f>
        <v>B20231302308</v>
      </c>
      <c r="C2522" s="2" t="str">
        <f t="shared" ref="C2521:C2523" si="578">"男"</f>
        <v>男</v>
      </c>
      <c r="D2522" s="2" t="str">
        <f t="shared" si="573"/>
        <v>9</v>
      </c>
      <c r="E2522" s="2" t="str">
        <f>"材料与环境工程学院"</f>
        <v>材料与环境工程学院</v>
      </c>
    </row>
    <row r="2523" ht="13.5" hidden="1" spans="1:5">
      <c r="A2523" s="2" t="str">
        <f>"高永鑫"</f>
        <v>高永鑫</v>
      </c>
      <c r="B2523" s="2" t="str">
        <f>"B20200801527"</f>
        <v>B20200801527</v>
      </c>
      <c r="C2523" s="2" t="str">
        <f t="shared" si="578"/>
        <v>男</v>
      </c>
      <c r="D2523" s="2" t="str">
        <f t="shared" si="573"/>
        <v>9</v>
      </c>
      <c r="E2523" s="2" t="str">
        <f>"外国语学院"</f>
        <v>外国语学院</v>
      </c>
    </row>
    <row r="2524" ht="13.5" hidden="1" spans="1:5">
      <c r="A2524" s="2" t="str">
        <f>"黄丽"</f>
        <v>黄丽</v>
      </c>
      <c r="B2524" s="2" t="str">
        <f>"B20210902234"</f>
        <v>B20210902234</v>
      </c>
      <c r="C2524" s="2" t="str">
        <f t="shared" ref="C2524:C2526" si="579">"女"</f>
        <v>女</v>
      </c>
      <c r="D2524" s="2" t="str">
        <f t="shared" si="573"/>
        <v>9</v>
      </c>
      <c r="E2524" s="2" t="str">
        <f>"经济与管理学院"</f>
        <v>经济与管理学院</v>
      </c>
    </row>
    <row r="2525" customHeight="1" spans="1:5">
      <c r="A2525" s="6" t="str">
        <f>"李佳琪"</f>
        <v>李佳琪</v>
      </c>
      <c r="B2525" s="6" t="str">
        <f>"B20210302131"</f>
        <v>B20210302131</v>
      </c>
      <c r="C2525" s="6" t="str">
        <f t="shared" si="579"/>
        <v>女</v>
      </c>
      <c r="D2525" s="7" t="str">
        <f>"10"</f>
        <v>10</v>
      </c>
      <c r="E2525" s="6" t="str">
        <f>"计算机科学与工程学院"</f>
        <v>计算机科学与工程学院</v>
      </c>
    </row>
    <row r="2526" ht="13.5" hidden="1" spans="1:5">
      <c r="A2526" s="2" t="str">
        <f>"陆昕言"</f>
        <v>陆昕言</v>
      </c>
      <c r="B2526" s="2" t="str">
        <f>"B20230801219"</f>
        <v>B20230801219</v>
      </c>
      <c r="C2526" s="2" t="str">
        <f t="shared" si="579"/>
        <v>女</v>
      </c>
      <c r="D2526" s="2" t="str">
        <f t="shared" si="573"/>
        <v>9</v>
      </c>
      <c r="E2526" s="2" t="str">
        <f>"外国语学院"</f>
        <v>外国语学院</v>
      </c>
    </row>
    <row r="2527" ht="13.5" hidden="1" spans="1:5">
      <c r="A2527" s="2" t="str">
        <f>"许鑫晨"</f>
        <v>许鑫晨</v>
      </c>
      <c r="B2527" s="2" t="str">
        <f>"B20210101324"</f>
        <v>B20210101324</v>
      </c>
      <c r="C2527" s="2" t="str">
        <f>"男"</f>
        <v>男</v>
      </c>
      <c r="D2527" s="2" t="str">
        <f t="shared" si="573"/>
        <v>9</v>
      </c>
      <c r="E2527" s="2" t="str">
        <f>"土木工程学院"</f>
        <v>土木工程学院</v>
      </c>
    </row>
    <row r="2528" ht="13.5" hidden="1" spans="1:5">
      <c r="A2528" s="2" t="str">
        <f>"李敏霞"</f>
        <v>李敏霞</v>
      </c>
      <c r="B2528" s="2" t="str">
        <f>"B20230901208"</f>
        <v>B20230901208</v>
      </c>
      <c r="C2528" s="2" t="str">
        <f t="shared" ref="C2528:C2532" si="580">"女"</f>
        <v>女</v>
      </c>
      <c r="D2528" s="2" t="str">
        <f t="shared" si="573"/>
        <v>9</v>
      </c>
      <c r="E2528" s="2" t="str">
        <f>"经济与管理学院"</f>
        <v>经济与管理学院</v>
      </c>
    </row>
    <row r="2529" ht="13.5" hidden="1" spans="1:5">
      <c r="A2529" s="2" t="str">
        <f>"资桂阳"</f>
        <v>资桂阳</v>
      </c>
      <c r="B2529" s="2" t="str">
        <f>"B20230402111"</f>
        <v>B20230402111</v>
      </c>
      <c r="C2529" s="2" t="str">
        <f>"男"</f>
        <v>男</v>
      </c>
      <c r="D2529" s="2" t="str">
        <f t="shared" si="573"/>
        <v>9</v>
      </c>
      <c r="E2529" s="2" t="str">
        <f>"电子信息与电气工程学院"</f>
        <v>电子信息与电气工程学院</v>
      </c>
    </row>
    <row r="2530" ht="13.5" hidden="1" spans="1:5">
      <c r="A2530" s="2" t="str">
        <f>"邹晓晴"</f>
        <v>邹晓晴</v>
      </c>
      <c r="B2530" s="2" t="str">
        <f>"B20230801123"</f>
        <v>B20230801123</v>
      </c>
      <c r="C2530" s="2" t="str">
        <f t="shared" si="580"/>
        <v>女</v>
      </c>
      <c r="D2530" s="2" t="str">
        <f t="shared" si="573"/>
        <v>9</v>
      </c>
      <c r="E2530" s="2" t="str">
        <f>"外国语学院"</f>
        <v>外国语学院</v>
      </c>
    </row>
    <row r="2531" ht="13.5" hidden="1" spans="1:5">
      <c r="A2531" s="2" t="str">
        <f>"彭春燕"</f>
        <v>彭春燕</v>
      </c>
      <c r="B2531" s="2" t="str">
        <f>"B20230701306"</f>
        <v>B20230701306</v>
      </c>
      <c r="C2531" s="2" t="str">
        <f t="shared" si="580"/>
        <v>女</v>
      </c>
      <c r="D2531" s="2" t="str">
        <f t="shared" si="573"/>
        <v>9</v>
      </c>
      <c r="E2531" s="2" t="str">
        <f>"马栏山新媒体学院"</f>
        <v>马栏山新媒体学院</v>
      </c>
    </row>
    <row r="2532" ht="13.5" hidden="1" spans="1:5">
      <c r="A2532" s="2" t="str">
        <f>"资星"</f>
        <v>资星</v>
      </c>
      <c r="B2532" s="2" t="str">
        <f>"B20220802112"</f>
        <v>B20220802112</v>
      </c>
      <c r="C2532" s="2" t="str">
        <f t="shared" si="580"/>
        <v>女</v>
      </c>
      <c r="D2532" s="2" t="str">
        <f t="shared" si="573"/>
        <v>9</v>
      </c>
      <c r="E2532" s="2" t="str">
        <f>"外国语学院"</f>
        <v>外国语学院</v>
      </c>
    </row>
    <row r="2533" customHeight="1" spans="1:5">
      <c r="A2533" s="6" t="str">
        <f>"曾子涵"</f>
        <v>曾子涵</v>
      </c>
      <c r="B2533" s="6" t="str">
        <f>"B20210302206"</f>
        <v>B20210302206</v>
      </c>
      <c r="C2533" s="6" t="str">
        <f>"男"</f>
        <v>男</v>
      </c>
      <c r="D2533" s="7" t="str">
        <f>"6"</f>
        <v>6</v>
      </c>
      <c r="E2533" s="6" t="str">
        <f>"计算机科学与工程学院"</f>
        <v>计算机科学与工程学院</v>
      </c>
    </row>
    <row r="2534" ht="13.5" hidden="1" spans="1:5">
      <c r="A2534" s="2" t="str">
        <f>"欧炜"</f>
        <v>欧炜</v>
      </c>
      <c r="B2534" s="2" t="str">
        <f>"B20230204227"</f>
        <v>B20230204227</v>
      </c>
      <c r="C2534" s="2" t="str">
        <f>"男"</f>
        <v>男</v>
      </c>
      <c r="D2534" s="2" t="str">
        <f t="shared" si="573"/>
        <v>9</v>
      </c>
      <c r="E2534" s="2" t="str">
        <f>"机电工程学院"</f>
        <v>机电工程学院</v>
      </c>
    </row>
    <row r="2535" ht="13.5" hidden="1" spans="1:5">
      <c r="A2535" s="2" t="str">
        <f>"刘妮"</f>
        <v>刘妮</v>
      </c>
      <c r="B2535" s="2" t="str">
        <f>"B20230701108"</f>
        <v>B20230701108</v>
      </c>
      <c r="C2535" s="2" t="str">
        <f t="shared" ref="C2535:C2538" si="581">"女"</f>
        <v>女</v>
      </c>
      <c r="D2535" s="2" t="str">
        <f t="shared" si="573"/>
        <v>9</v>
      </c>
      <c r="E2535" s="2" t="str">
        <f>"马栏山新媒体学院"</f>
        <v>马栏山新媒体学院</v>
      </c>
    </row>
    <row r="2536" customHeight="1" spans="1:5">
      <c r="A2536" s="6" t="str">
        <f>"何笔男"</f>
        <v>何笔男</v>
      </c>
      <c r="B2536" s="6" t="str">
        <f>"B20210302208"</f>
        <v>B20210302208</v>
      </c>
      <c r="C2536" s="6" t="str">
        <f>"男"</f>
        <v>男</v>
      </c>
      <c r="D2536" s="7" t="str">
        <f>"13"</f>
        <v>13</v>
      </c>
      <c r="E2536" s="6" t="str">
        <f>"计算机科学与工程学院"</f>
        <v>计算机科学与工程学院</v>
      </c>
    </row>
    <row r="2537" ht="13.5" hidden="1" spans="1:5">
      <c r="A2537" s="2" t="str">
        <f>"陈修宇"</f>
        <v>陈修宇</v>
      </c>
      <c r="B2537" s="2" t="str">
        <f>"B20210905206"</f>
        <v>B20210905206</v>
      </c>
      <c r="C2537" s="2" t="str">
        <f t="shared" ref="C2537:C2543" si="582">"男"</f>
        <v>男</v>
      </c>
      <c r="D2537" s="2" t="str">
        <f t="shared" si="573"/>
        <v>9</v>
      </c>
      <c r="E2537" s="2" t="str">
        <f t="shared" ref="E2537:E2539" si="583">"经济与管理学院"</f>
        <v>经济与管理学院</v>
      </c>
    </row>
    <row r="2538" ht="13.5" hidden="1" spans="1:5">
      <c r="A2538" s="2" t="str">
        <f>"梁欣玥"</f>
        <v>梁欣玥</v>
      </c>
      <c r="B2538" s="2" t="str">
        <f>"B20210901117"</f>
        <v>B20210901117</v>
      </c>
      <c r="C2538" s="2" t="str">
        <f t="shared" si="581"/>
        <v>女</v>
      </c>
      <c r="D2538" s="2" t="str">
        <f t="shared" si="573"/>
        <v>9</v>
      </c>
      <c r="E2538" s="2" t="str">
        <f t="shared" si="583"/>
        <v>经济与管理学院</v>
      </c>
    </row>
    <row r="2539" ht="13.5" hidden="1" spans="1:5">
      <c r="A2539" s="2" t="str">
        <f>"苗琦桢"</f>
        <v>苗琦桢</v>
      </c>
      <c r="B2539" s="2" t="str">
        <f>"B20230905137"</f>
        <v>B20230905137</v>
      </c>
      <c r="C2539" s="2" t="str">
        <f t="shared" si="582"/>
        <v>男</v>
      </c>
      <c r="D2539" s="2" t="str">
        <f t="shared" si="573"/>
        <v>9</v>
      </c>
      <c r="E2539" s="2" t="str">
        <f t="shared" si="583"/>
        <v>经济与管理学院</v>
      </c>
    </row>
    <row r="2540" customHeight="1" spans="1:5">
      <c r="A2540" s="6" t="str">
        <f>"章丽媛"</f>
        <v>章丽媛</v>
      </c>
      <c r="B2540" s="6" t="str">
        <f>"B20210302209"</f>
        <v>B20210302209</v>
      </c>
      <c r="C2540" s="6" t="str">
        <f>"女"</f>
        <v>女</v>
      </c>
      <c r="D2540" s="7" t="str">
        <f>"12"</f>
        <v>12</v>
      </c>
      <c r="E2540" s="6" t="str">
        <f>"计算机科学与工程学院"</f>
        <v>计算机科学与工程学院</v>
      </c>
    </row>
    <row r="2541" ht="13.5" hidden="1" spans="1:5">
      <c r="A2541" s="2" t="str">
        <f>"胡浩宇"</f>
        <v>胡浩宇</v>
      </c>
      <c r="B2541" s="2" t="str">
        <f>"B20210905229"</f>
        <v>B20210905229</v>
      </c>
      <c r="C2541" s="2" t="str">
        <f t="shared" si="582"/>
        <v>男</v>
      </c>
      <c r="D2541" s="2" t="str">
        <f t="shared" si="573"/>
        <v>9</v>
      </c>
      <c r="E2541" s="2" t="str">
        <f>"经济与管理学院"</f>
        <v>经济与管理学院</v>
      </c>
    </row>
    <row r="2542" ht="13.5" hidden="1" spans="1:5">
      <c r="A2542" s="2" t="str">
        <f>"王震东"</f>
        <v>王震东</v>
      </c>
      <c r="B2542" s="2" t="str">
        <f>"B20210801526"</f>
        <v>B20210801526</v>
      </c>
      <c r="C2542" s="2" t="str">
        <f t="shared" si="582"/>
        <v>男</v>
      </c>
      <c r="D2542" s="2" t="str">
        <f t="shared" si="573"/>
        <v>9</v>
      </c>
      <c r="E2542" s="2" t="str">
        <f>"外国语学院"</f>
        <v>外国语学院</v>
      </c>
    </row>
    <row r="2543" customHeight="1" spans="1:5">
      <c r="A2543" s="6" t="str">
        <f>"陶鑫"</f>
        <v>陶鑫</v>
      </c>
      <c r="B2543" s="6" t="str">
        <f>"B20210302210"</f>
        <v>B20210302210</v>
      </c>
      <c r="C2543" s="6" t="str">
        <f t="shared" si="582"/>
        <v>男</v>
      </c>
      <c r="D2543" s="7" t="str">
        <f>"11"</f>
        <v>11</v>
      </c>
      <c r="E2543" s="6" t="str">
        <f>"计算机科学与工程学院"</f>
        <v>计算机科学与工程学院</v>
      </c>
    </row>
    <row r="2544" ht="13.5" hidden="1" spans="1:5">
      <c r="A2544" s="2" t="str">
        <f>"周启伟"</f>
        <v>周启伟</v>
      </c>
      <c r="B2544" s="2" t="str">
        <f>"B20220903217"</f>
        <v>B20220903217</v>
      </c>
      <c r="C2544" s="2" t="str">
        <f t="shared" ref="C2544:C2547" si="584">"男"</f>
        <v>男</v>
      </c>
      <c r="D2544" s="2" t="str">
        <f t="shared" si="573"/>
        <v>9</v>
      </c>
      <c r="E2544" s="2" t="str">
        <f>"经济与管理学院"</f>
        <v>经济与管理学院</v>
      </c>
    </row>
    <row r="2545" ht="13.5" hidden="1" spans="1:5">
      <c r="A2545" s="2" t="str">
        <f>"滕浩权"</f>
        <v>滕浩权</v>
      </c>
      <c r="B2545" s="2" t="str">
        <f>"B20220202206"</f>
        <v>B20220202206</v>
      </c>
      <c r="C2545" s="2" t="str">
        <f t="shared" si="584"/>
        <v>男</v>
      </c>
      <c r="D2545" s="2" t="str">
        <f t="shared" si="573"/>
        <v>9</v>
      </c>
      <c r="E2545" s="2" t="str">
        <f>"机电工程学院"</f>
        <v>机电工程学院</v>
      </c>
    </row>
    <row r="2546" ht="13.5" hidden="1" spans="1:5">
      <c r="A2546" s="2" t="str">
        <f>"谭正午"</f>
        <v>谭正午</v>
      </c>
      <c r="B2546" s="2" t="str">
        <f>"B20220403103"</f>
        <v>B20220403103</v>
      </c>
      <c r="C2546" s="2" t="str">
        <f t="shared" si="584"/>
        <v>男</v>
      </c>
      <c r="D2546" s="2" t="str">
        <f t="shared" si="573"/>
        <v>9</v>
      </c>
      <c r="E2546" s="2" t="str">
        <f>"电子信息与电气工程学院"</f>
        <v>电子信息与电气工程学院</v>
      </c>
    </row>
    <row r="2547" ht="13.5" hidden="1" spans="1:5">
      <c r="A2547" s="2" t="str">
        <f>"陈荣志"</f>
        <v>陈荣志</v>
      </c>
      <c r="B2547" s="2" t="str">
        <f>"B20200802324"</f>
        <v>B20200802324</v>
      </c>
      <c r="C2547" s="2" t="str">
        <f t="shared" si="584"/>
        <v>男</v>
      </c>
      <c r="D2547" s="2" t="str">
        <f t="shared" si="573"/>
        <v>9</v>
      </c>
      <c r="E2547" s="2" t="str">
        <f>"外国语学院"</f>
        <v>外国语学院</v>
      </c>
    </row>
    <row r="2548" ht="13.5" hidden="1" spans="1:5">
      <c r="A2548" s="2" t="str">
        <f>"何珈含"</f>
        <v>何珈含</v>
      </c>
      <c r="B2548" s="2" t="str">
        <f>"B20230903218"</f>
        <v>B20230903218</v>
      </c>
      <c r="C2548" s="2" t="str">
        <f t="shared" ref="C2548:C2555" si="585">"女"</f>
        <v>女</v>
      </c>
      <c r="D2548" s="2" t="str">
        <f t="shared" si="573"/>
        <v>9</v>
      </c>
      <c r="E2548" s="2" t="str">
        <f t="shared" ref="E2548:E2553" si="586">"经济与管理学院"</f>
        <v>经济与管理学院</v>
      </c>
    </row>
    <row r="2549" ht="13.5" hidden="1" spans="1:5">
      <c r="A2549" s="2" t="str">
        <f>"刘钰"</f>
        <v>刘钰</v>
      </c>
      <c r="B2549" s="2" t="str">
        <f>"B20231301105"</f>
        <v>B20231301105</v>
      </c>
      <c r="C2549" s="2" t="str">
        <f t="shared" ref="C2549:C2552" si="587">"男"</f>
        <v>男</v>
      </c>
      <c r="D2549" s="2" t="str">
        <f t="shared" si="573"/>
        <v>9</v>
      </c>
      <c r="E2549" s="2" t="str">
        <f>"材料与环境工程学院"</f>
        <v>材料与环境工程学院</v>
      </c>
    </row>
    <row r="2550" ht="13.5" hidden="1" spans="1:5">
      <c r="A2550" s="2" t="str">
        <f>"左心昊"</f>
        <v>左心昊</v>
      </c>
      <c r="B2550" s="2" t="str">
        <f>"B20200903215"</f>
        <v>B20200903215</v>
      </c>
      <c r="C2550" s="2" t="str">
        <f t="shared" si="585"/>
        <v>女</v>
      </c>
      <c r="D2550" s="2" t="str">
        <f t="shared" si="573"/>
        <v>9</v>
      </c>
      <c r="E2550" s="2" t="str">
        <f t="shared" si="586"/>
        <v>经济与管理学院</v>
      </c>
    </row>
    <row r="2551" ht="13.5" hidden="1" spans="1:5">
      <c r="A2551" s="2" t="str">
        <f>"文振涛"</f>
        <v>文振涛</v>
      </c>
      <c r="B2551" s="2" t="str">
        <f>"B20230501104"</f>
        <v>B20230501104</v>
      </c>
      <c r="C2551" s="2" t="str">
        <f t="shared" si="587"/>
        <v>男</v>
      </c>
      <c r="D2551" s="2" t="str">
        <f t="shared" si="573"/>
        <v>9</v>
      </c>
      <c r="E2551" s="2" t="str">
        <f>"生物与化学工程学院"</f>
        <v>生物与化学工程学院</v>
      </c>
    </row>
    <row r="2552" ht="13.5" hidden="1" spans="1:5">
      <c r="A2552" s="2" t="str">
        <f>"陈昊"</f>
        <v>陈昊</v>
      </c>
      <c r="B2552" s="2" t="str">
        <f>"B20210401105"</f>
        <v>B20210401105</v>
      </c>
      <c r="C2552" s="2" t="str">
        <f t="shared" si="587"/>
        <v>男</v>
      </c>
      <c r="D2552" s="2" t="str">
        <f t="shared" si="573"/>
        <v>9</v>
      </c>
      <c r="E2552" s="2" t="str">
        <f>"电子信息与电气工程学院"</f>
        <v>电子信息与电气工程学院</v>
      </c>
    </row>
    <row r="2553" ht="13.5" hidden="1" spans="1:5">
      <c r="A2553" s="2" t="str">
        <f>"孙靖茹"</f>
        <v>孙靖茹</v>
      </c>
      <c r="B2553" s="2" t="str">
        <f>"B20230901315"</f>
        <v>B20230901315</v>
      </c>
      <c r="C2553" s="2" t="str">
        <f t="shared" si="585"/>
        <v>女</v>
      </c>
      <c r="D2553" s="2" t="str">
        <f t="shared" si="573"/>
        <v>9</v>
      </c>
      <c r="E2553" s="2" t="str">
        <f t="shared" si="586"/>
        <v>经济与管理学院</v>
      </c>
    </row>
    <row r="2554" ht="13.5" hidden="1" spans="1:5">
      <c r="A2554" s="2" t="str">
        <f>"郭子琳"</f>
        <v>郭子琳</v>
      </c>
      <c r="B2554" s="2" t="str">
        <f>"B20220705129"</f>
        <v>B20220705129</v>
      </c>
      <c r="C2554" s="2" t="str">
        <f t="shared" si="585"/>
        <v>女</v>
      </c>
      <c r="D2554" s="2" t="str">
        <f t="shared" si="573"/>
        <v>9</v>
      </c>
      <c r="E2554" s="2" t="str">
        <f>"马栏山新媒体学院"</f>
        <v>马栏山新媒体学院</v>
      </c>
    </row>
    <row r="2555" ht="13.5" hidden="1" spans="1:5">
      <c r="A2555" s="2" t="str">
        <f>"张艺"</f>
        <v>张艺</v>
      </c>
      <c r="B2555" s="2" t="str">
        <f>"B20210904216"</f>
        <v>B20210904216</v>
      </c>
      <c r="C2555" s="2" t="str">
        <f t="shared" si="585"/>
        <v>女</v>
      </c>
      <c r="D2555" s="2" t="str">
        <f t="shared" si="573"/>
        <v>9</v>
      </c>
      <c r="E2555" s="2" t="str">
        <f>"经济与管理学院"</f>
        <v>经济与管理学院</v>
      </c>
    </row>
    <row r="2556" ht="13.5" hidden="1" spans="1:5">
      <c r="A2556" s="2" t="str">
        <f>"余云川"</f>
        <v>余云川</v>
      </c>
      <c r="B2556" s="2" t="str">
        <f>"B20220402332"</f>
        <v>B20220402332</v>
      </c>
      <c r="C2556" s="2" t="str">
        <f t="shared" ref="C2556:C2562" si="588">"男"</f>
        <v>男</v>
      </c>
      <c r="D2556" s="2" t="str">
        <f t="shared" si="573"/>
        <v>9</v>
      </c>
      <c r="E2556" s="2" t="str">
        <f>"电子信息与电气工程学院"</f>
        <v>电子信息与电气工程学院</v>
      </c>
    </row>
    <row r="2557" ht="13.5" hidden="1" spans="1:5">
      <c r="A2557" s="2" t="str">
        <f>"刘国瑞"</f>
        <v>刘国瑞</v>
      </c>
      <c r="B2557" s="2" t="str">
        <f>"B20220905111"</f>
        <v>B20220905111</v>
      </c>
      <c r="C2557" s="2" t="str">
        <f t="shared" si="588"/>
        <v>男</v>
      </c>
      <c r="D2557" s="2" t="str">
        <f t="shared" si="573"/>
        <v>9</v>
      </c>
      <c r="E2557" s="2" t="str">
        <f>"经济与管理学院"</f>
        <v>经济与管理学院</v>
      </c>
    </row>
    <row r="2558" ht="13.5" hidden="1" spans="1:5">
      <c r="A2558" s="2" t="str">
        <f>"刘雨佳"</f>
        <v>刘雨佳</v>
      </c>
      <c r="B2558" s="2" t="str">
        <f>"B20230205315"</f>
        <v>B20230205315</v>
      </c>
      <c r="C2558" s="2" t="str">
        <f t="shared" ref="C2558:C2560" si="589">"女"</f>
        <v>女</v>
      </c>
      <c r="D2558" s="2" t="str">
        <f t="shared" si="573"/>
        <v>9</v>
      </c>
      <c r="E2558" s="2" t="str">
        <f>"机电工程学院"</f>
        <v>机电工程学院</v>
      </c>
    </row>
    <row r="2559" ht="13.5" hidden="1" spans="1:5">
      <c r="A2559" s="2" t="str">
        <f>"卢旅琼"</f>
        <v>卢旅琼</v>
      </c>
      <c r="B2559" s="2" t="str">
        <f>"B20211002416"</f>
        <v>B20211002416</v>
      </c>
      <c r="C2559" s="2" t="str">
        <f t="shared" si="589"/>
        <v>女</v>
      </c>
      <c r="D2559" s="2" t="str">
        <f t="shared" si="573"/>
        <v>9</v>
      </c>
      <c r="E2559" s="2" t="str">
        <f>"艺术设计学院"</f>
        <v>艺术设计学院</v>
      </c>
    </row>
    <row r="2560" ht="13.5" hidden="1" spans="1:5">
      <c r="A2560" s="2" t="str">
        <f>"黄睿柔"</f>
        <v>黄睿柔</v>
      </c>
      <c r="B2560" s="2" t="str">
        <f>"B20220701226"</f>
        <v>B20220701226</v>
      </c>
      <c r="C2560" s="2" t="str">
        <f t="shared" si="589"/>
        <v>女</v>
      </c>
      <c r="D2560" s="2" t="str">
        <f t="shared" si="573"/>
        <v>9</v>
      </c>
      <c r="E2560" s="2" t="str">
        <f>"马栏山新媒体学院"</f>
        <v>马栏山新媒体学院</v>
      </c>
    </row>
    <row r="2561" ht="13.5" hidden="1" spans="1:5">
      <c r="A2561" s="2" t="str">
        <f>"刘勇"</f>
        <v>刘勇</v>
      </c>
      <c r="B2561" s="2" t="str">
        <f>"B20230101519"</f>
        <v>B20230101519</v>
      </c>
      <c r="C2561" s="2" t="str">
        <f t="shared" si="588"/>
        <v>男</v>
      </c>
      <c r="D2561" s="2" t="str">
        <f t="shared" si="573"/>
        <v>9</v>
      </c>
      <c r="E2561" s="2" t="str">
        <f>"土木工程学院"</f>
        <v>土木工程学院</v>
      </c>
    </row>
    <row r="2562" ht="13.5" hidden="1" spans="1:5">
      <c r="A2562" s="2" t="str">
        <f>"林睿杰"</f>
        <v>林睿杰</v>
      </c>
      <c r="B2562" s="2" t="str">
        <f>"B20230704102"</f>
        <v>B20230704102</v>
      </c>
      <c r="C2562" s="2" t="str">
        <f t="shared" si="588"/>
        <v>男</v>
      </c>
      <c r="D2562" s="2" t="str">
        <f t="shared" si="573"/>
        <v>9</v>
      </c>
      <c r="E2562" s="2" t="str">
        <f t="shared" ref="E2562:E2567" si="590">"马栏山新媒体学院"</f>
        <v>马栏山新媒体学院</v>
      </c>
    </row>
    <row r="2563" ht="13.5" hidden="1" spans="1:5">
      <c r="A2563" s="2" t="str">
        <f>"郑童恩"</f>
        <v>郑童恩</v>
      </c>
      <c r="B2563" s="2" t="str">
        <f>"B20220906211"</f>
        <v>B20220906211</v>
      </c>
      <c r="C2563" s="2" t="str">
        <f t="shared" ref="C2563:C2568" si="591">"女"</f>
        <v>女</v>
      </c>
      <c r="D2563" s="2" t="str">
        <f t="shared" si="573"/>
        <v>9</v>
      </c>
      <c r="E2563" s="2" t="str">
        <f>"经济与管理学院"</f>
        <v>经济与管理学院</v>
      </c>
    </row>
    <row r="2564" ht="13.5" hidden="1" spans="1:5">
      <c r="A2564" s="2" t="str">
        <f>"程果"</f>
        <v>程果</v>
      </c>
      <c r="B2564" s="2" t="str">
        <f>"B20230504428"</f>
        <v>B20230504428</v>
      </c>
      <c r="C2564" s="2" t="str">
        <f>"男"</f>
        <v>男</v>
      </c>
      <c r="D2564" s="2" t="str">
        <f t="shared" ref="D2564:D2581" si="592">"9"</f>
        <v>9</v>
      </c>
      <c r="E2564" s="2" t="str">
        <f>"生物与化学工程学院"</f>
        <v>生物与化学工程学院</v>
      </c>
    </row>
    <row r="2565" ht="13.5" hidden="1" spans="1:5">
      <c r="A2565" s="2" t="str">
        <f>"何艳阳"</f>
        <v>何艳阳</v>
      </c>
      <c r="B2565" s="2" t="str">
        <f>"B20230801303"</f>
        <v>B20230801303</v>
      </c>
      <c r="C2565" s="2" t="str">
        <f t="shared" si="591"/>
        <v>女</v>
      </c>
      <c r="D2565" s="2" t="str">
        <f t="shared" si="592"/>
        <v>9</v>
      </c>
      <c r="E2565" s="2" t="str">
        <f>"外国语学院"</f>
        <v>外国语学院</v>
      </c>
    </row>
    <row r="2566" ht="13.5" hidden="1" spans="1:5">
      <c r="A2566" s="2" t="str">
        <f>"刘欣"</f>
        <v>刘欣</v>
      </c>
      <c r="B2566" s="2" t="str">
        <f>"B20220705105"</f>
        <v>B20220705105</v>
      </c>
      <c r="C2566" s="2" t="str">
        <f t="shared" si="591"/>
        <v>女</v>
      </c>
      <c r="D2566" s="2" t="str">
        <f t="shared" si="592"/>
        <v>9</v>
      </c>
      <c r="E2566" s="2" t="str">
        <f t="shared" si="590"/>
        <v>马栏山新媒体学院</v>
      </c>
    </row>
    <row r="2567" ht="13.5" hidden="1" spans="1:5">
      <c r="A2567" s="2" t="str">
        <f>"王子怡"</f>
        <v>王子怡</v>
      </c>
      <c r="B2567" s="2" t="str">
        <f>"B20220702112"</f>
        <v>B20220702112</v>
      </c>
      <c r="C2567" s="2" t="str">
        <f t="shared" si="591"/>
        <v>女</v>
      </c>
      <c r="D2567" s="2" t="str">
        <f t="shared" si="592"/>
        <v>9</v>
      </c>
      <c r="E2567" s="2" t="str">
        <f t="shared" si="590"/>
        <v>马栏山新媒体学院</v>
      </c>
    </row>
    <row r="2568" ht="13.5" hidden="1" spans="1:5">
      <c r="A2568" s="2" t="str">
        <f>"陆馨雨"</f>
        <v>陆馨雨</v>
      </c>
      <c r="B2568" s="2" t="str">
        <f>"B20200502234"</f>
        <v>B20200502234</v>
      </c>
      <c r="C2568" s="2" t="str">
        <f t="shared" si="591"/>
        <v>女</v>
      </c>
      <c r="D2568" s="2" t="str">
        <f t="shared" si="592"/>
        <v>9</v>
      </c>
      <c r="E2568" s="2" t="str">
        <f>"生物与环境工程学院"</f>
        <v>生物与环境工程学院</v>
      </c>
    </row>
    <row r="2569" customHeight="1" spans="1:5">
      <c r="A2569" s="6" t="str">
        <f>"刘鑫"</f>
        <v>刘鑫</v>
      </c>
      <c r="B2569" s="6" t="str">
        <f>"B20210302211"</f>
        <v>B20210302211</v>
      </c>
      <c r="C2569" s="6" t="str">
        <f>"男"</f>
        <v>男</v>
      </c>
      <c r="D2569" s="7" t="str">
        <f>"10"</f>
        <v>10</v>
      </c>
      <c r="E2569" s="6" t="str">
        <f>"计算机科学与工程学院"</f>
        <v>计算机科学与工程学院</v>
      </c>
    </row>
    <row r="2570" ht="13.5" hidden="1" spans="1:5">
      <c r="A2570" s="2" t="str">
        <f>"杨逸凡"</f>
        <v>杨逸凡</v>
      </c>
      <c r="B2570" s="2" t="str">
        <f>"B20200503224"</f>
        <v>B20200503224</v>
      </c>
      <c r="C2570" s="2" t="str">
        <f>"男"</f>
        <v>男</v>
      </c>
      <c r="D2570" s="2" t="str">
        <f t="shared" si="592"/>
        <v>9</v>
      </c>
      <c r="E2570" s="2" t="str">
        <f>"生物与环境工程学院"</f>
        <v>生物与环境工程学院</v>
      </c>
    </row>
    <row r="2571" customHeight="1" spans="1:5">
      <c r="A2571" s="6" t="str">
        <f>"曾令翔"</f>
        <v>曾令翔</v>
      </c>
      <c r="B2571" s="6" t="str">
        <f>"B20210302216"</f>
        <v>B20210302216</v>
      </c>
      <c r="C2571" s="6" t="str">
        <f>"男"</f>
        <v>男</v>
      </c>
      <c r="D2571" s="7" t="str">
        <f>"6"</f>
        <v>6</v>
      </c>
      <c r="E2571" s="6" t="str">
        <f>"计算机科学与工程学院"</f>
        <v>计算机科学与工程学院</v>
      </c>
    </row>
    <row r="2572" customHeight="1" spans="1:5">
      <c r="A2572" s="6" t="str">
        <f>"刘青"</f>
        <v>刘青</v>
      </c>
      <c r="B2572" s="6" t="str">
        <f>"B20210302217"</f>
        <v>B20210302217</v>
      </c>
      <c r="C2572" s="6" t="str">
        <f>"女"</f>
        <v>女</v>
      </c>
      <c r="D2572" s="7" t="str">
        <f>"19"</f>
        <v>19</v>
      </c>
      <c r="E2572" s="6" t="str">
        <f>"计算机科学与工程学院"</f>
        <v>计算机科学与工程学院</v>
      </c>
    </row>
    <row r="2573" ht="13.5" hidden="1" spans="1:5">
      <c r="A2573" s="2" t="str">
        <f>"谢洁"</f>
        <v>谢洁</v>
      </c>
      <c r="B2573" s="2" t="str">
        <f>"B20230701420"</f>
        <v>B20230701420</v>
      </c>
      <c r="C2573" s="2" t="str">
        <f t="shared" ref="C2571:C2575" si="593">"女"</f>
        <v>女</v>
      </c>
      <c r="D2573" s="2" t="str">
        <f t="shared" si="592"/>
        <v>9</v>
      </c>
      <c r="E2573" s="2" t="str">
        <f t="shared" ref="E2573:E2578" si="594">"马栏山新媒体学院"</f>
        <v>马栏山新媒体学院</v>
      </c>
    </row>
    <row r="2574" ht="13.5" hidden="1" spans="1:5">
      <c r="A2574" s="2" t="str">
        <f>"伍琰新"</f>
        <v>伍琰新</v>
      </c>
      <c r="B2574" s="2" t="str">
        <f>"B20230504206"</f>
        <v>B20230504206</v>
      </c>
      <c r="C2574" s="2" t="str">
        <f t="shared" ref="C2574:C2581" si="595">"男"</f>
        <v>男</v>
      </c>
      <c r="D2574" s="2" t="str">
        <f t="shared" si="592"/>
        <v>9</v>
      </c>
      <c r="E2574" s="2" t="str">
        <f>"生物与化学工程学院"</f>
        <v>生物与化学工程学院</v>
      </c>
    </row>
    <row r="2575" ht="13.5" hidden="1" spans="1:5">
      <c r="A2575" s="2" t="str">
        <f>"林烜钰"</f>
        <v>林烜钰</v>
      </c>
      <c r="B2575" s="2" t="str">
        <f>"B20230904214"</f>
        <v>B20230904214</v>
      </c>
      <c r="C2575" s="2" t="str">
        <f t="shared" si="593"/>
        <v>女</v>
      </c>
      <c r="D2575" s="2" t="str">
        <f t="shared" si="592"/>
        <v>9</v>
      </c>
      <c r="E2575" s="2" t="str">
        <f>"经济与管理学院"</f>
        <v>经济与管理学院</v>
      </c>
    </row>
    <row r="2576" ht="13.5" hidden="1" spans="1:5">
      <c r="A2576" s="2" t="str">
        <f>"聂廷荐"</f>
        <v>聂廷荐</v>
      </c>
      <c r="B2576" s="2" t="str">
        <f>"B20200404219"</f>
        <v>B20200404219</v>
      </c>
      <c r="C2576" s="2" t="str">
        <f t="shared" si="595"/>
        <v>男</v>
      </c>
      <c r="D2576" s="2" t="str">
        <f t="shared" si="592"/>
        <v>9</v>
      </c>
      <c r="E2576" s="2" t="str">
        <f>"电子信息与电气工程学院"</f>
        <v>电子信息与电气工程学院</v>
      </c>
    </row>
    <row r="2577" ht="13.5" hidden="1" spans="1:5">
      <c r="A2577" s="2" t="str">
        <f>"陈佳卉"</f>
        <v>陈佳卉</v>
      </c>
      <c r="B2577" s="2" t="str">
        <f>"B20220701103"</f>
        <v>B20220701103</v>
      </c>
      <c r="C2577" s="2" t="str">
        <f t="shared" ref="C2577:C2583" si="596">"女"</f>
        <v>女</v>
      </c>
      <c r="D2577" s="2" t="str">
        <f t="shared" si="592"/>
        <v>9</v>
      </c>
      <c r="E2577" s="2" t="str">
        <f t="shared" si="594"/>
        <v>马栏山新媒体学院</v>
      </c>
    </row>
    <row r="2578" ht="13.5" hidden="1" spans="1:5">
      <c r="A2578" s="2" t="str">
        <f>"姚济榆"</f>
        <v>姚济榆</v>
      </c>
      <c r="B2578" s="2" t="str">
        <f>"B20220702118"</f>
        <v>B20220702118</v>
      </c>
      <c r="C2578" s="2" t="str">
        <f t="shared" si="596"/>
        <v>女</v>
      </c>
      <c r="D2578" s="2" t="str">
        <f t="shared" si="592"/>
        <v>9</v>
      </c>
      <c r="E2578" s="2" t="str">
        <f t="shared" si="594"/>
        <v>马栏山新媒体学院</v>
      </c>
    </row>
    <row r="2579" ht="13.5" hidden="1" spans="1:5">
      <c r="A2579" s="2" t="str">
        <f>"孙梓凯"</f>
        <v>孙梓凯</v>
      </c>
      <c r="B2579" s="2" t="str">
        <f>"B20220501125"</f>
        <v>B20220501125</v>
      </c>
      <c r="C2579" s="2" t="str">
        <f t="shared" si="595"/>
        <v>男</v>
      </c>
      <c r="D2579" s="2" t="str">
        <f t="shared" si="592"/>
        <v>9</v>
      </c>
      <c r="E2579" s="2" t="str">
        <f t="shared" ref="E2579:E2584" si="597">"生物与化学工程学院"</f>
        <v>生物与化学工程学院</v>
      </c>
    </row>
    <row r="2580" ht="13.5" hidden="1" spans="1:5">
      <c r="A2580" s="2" t="str">
        <f>"王一辉"</f>
        <v>王一辉</v>
      </c>
      <c r="B2580" s="2" t="str">
        <f>"B20200401323"</f>
        <v>B20200401323</v>
      </c>
      <c r="C2580" s="2" t="str">
        <f t="shared" si="595"/>
        <v>男</v>
      </c>
      <c r="D2580" s="2" t="str">
        <f t="shared" si="592"/>
        <v>9</v>
      </c>
      <c r="E2580" s="2" t="str">
        <f>"电子信息与电气工程学院"</f>
        <v>电子信息与电气工程学院</v>
      </c>
    </row>
    <row r="2581" ht="13.5" hidden="1" spans="1:5">
      <c r="A2581" s="2" t="str">
        <f>"陈剑波"</f>
        <v>陈剑波</v>
      </c>
      <c r="B2581" s="2" t="str">
        <f>"B20220504418"</f>
        <v>B20220504418</v>
      </c>
      <c r="C2581" s="2" t="str">
        <f t="shared" si="595"/>
        <v>男</v>
      </c>
      <c r="D2581" s="2" t="str">
        <f t="shared" si="592"/>
        <v>9</v>
      </c>
      <c r="E2581" s="2" t="str">
        <f t="shared" si="597"/>
        <v>生物与化学工程学院</v>
      </c>
    </row>
    <row r="2582" ht="13.5" hidden="1" spans="1:5">
      <c r="A2582" s="2" t="str">
        <f>"刘婧"</f>
        <v>刘婧</v>
      </c>
      <c r="B2582" s="2" t="str">
        <f>"B20201101330"</f>
        <v>B20201101330</v>
      </c>
      <c r="C2582" s="2" t="str">
        <f t="shared" si="596"/>
        <v>女</v>
      </c>
      <c r="D2582" s="2" t="str">
        <f t="shared" ref="D2582:D2645" si="598">"8"</f>
        <v>8</v>
      </c>
      <c r="E2582" s="2" t="str">
        <f>"音乐学院"</f>
        <v>音乐学院</v>
      </c>
    </row>
    <row r="2583" ht="13.5" hidden="1" spans="1:5">
      <c r="A2583" s="2" t="str">
        <f>"祝溢"</f>
        <v>祝溢</v>
      </c>
      <c r="B2583" s="2" t="str">
        <f>"B20220803204"</f>
        <v>B20220803204</v>
      </c>
      <c r="C2583" s="2" t="str">
        <f t="shared" si="596"/>
        <v>女</v>
      </c>
      <c r="D2583" s="2" t="str">
        <f t="shared" si="598"/>
        <v>8</v>
      </c>
      <c r="E2583" s="2" t="str">
        <f>"外国语学院"</f>
        <v>外国语学院</v>
      </c>
    </row>
    <row r="2584" ht="13.5" hidden="1" spans="1:5">
      <c r="A2584" s="2" t="str">
        <f>"凌帆"</f>
        <v>凌帆</v>
      </c>
      <c r="B2584" s="2" t="str">
        <f>"B20210504215"</f>
        <v>B20210504215</v>
      </c>
      <c r="C2584" s="2" t="str">
        <f t="shared" ref="C2584:C2587" si="599">"男"</f>
        <v>男</v>
      </c>
      <c r="D2584" s="2" t="str">
        <f t="shared" si="598"/>
        <v>8</v>
      </c>
      <c r="E2584" s="2" t="str">
        <f t="shared" si="597"/>
        <v>生物与化学工程学院</v>
      </c>
    </row>
    <row r="2585" customHeight="1" spans="1:5">
      <c r="A2585" s="6" t="str">
        <f>"肖超"</f>
        <v>肖超</v>
      </c>
      <c r="B2585" s="6" t="str">
        <f>"B20210302218"</f>
        <v>B20210302218</v>
      </c>
      <c r="C2585" s="6" t="str">
        <f t="shared" si="599"/>
        <v>男</v>
      </c>
      <c r="D2585" s="7" t="str">
        <f>"5"</f>
        <v>5</v>
      </c>
      <c r="E2585" s="6" t="str">
        <f>"计算机科学与工程学院"</f>
        <v>计算机科学与工程学院</v>
      </c>
    </row>
    <row r="2586" ht="13.5" hidden="1" spans="1:5">
      <c r="A2586" s="2" t="str">
        <f>"吴恋融"</f>
        <v>吴恋融</v>
      </c>
      <c r="B2586" s="2" t="str">
        <f>"B20200703119"</f>
        <v>B20200703119</v>
      </c>
      <c r="C2586" s="2" t="str">
        <f t="shared" ref="C2586:C2590" si="600">"女"</f>
        <v>女</v>
      </c>
      <c r="D2586" s="2" t="str">
        <f t="shared" si="598"/>
        <v>8</v>
      </c>
      <c r="E2586" s="2" t="str">
        <f>"马栏山新媒体学院"</f>
        <v>马栏山新媒体学院</v>
      </c>
    </row>
    <row r="2587" ht="13.5" hidden="1" spans="1:5">
      <c r="A2587" s="2" t="str">
        <f>"梁凌飞"</f>
        <v>梁凌飞</v>
      </c>
      <c r="B2587" s="2" t="str">
        <f>"B20220501119"</f>
        <v>B20220501119</v>
      </c>
      <c r="C2587" s="2" t="str">
        <f t="shared" si="599"/>
        <v>男</v>
      </c>
      <c r="D2587" s="2" t="str">
        <f t="shared" si="598"/>
        <v>8</v>
      </c>
      <c r="E2587" s="2" t="str">
        <f>"生物与化学工程学院"</f>
        <v>生物与化学工程学院</v>
      </c>
    </row>
    <row r="2588" customHeight="1" spans="1:5">
      <c r="A2588" s="6" t="str">
        <f>"罗天爱"</f>
        <v>罗天爱</v>
      </c>
      <c r="B2588" s="6" t="str">
        <f>"B20210302219"</f>
        <v>B20210302219</v>
      </c>
      <c r="C2588" s="6" t="str">
        <f>"女"</f>
        <v>女</v>
      </c>
      <c r="D2588" s="7" t="str">
        <f>"15"</f>
        <v>15</v>
      </c>
      <c r="E2588" s="6" t="str">
        <f>"计算机科学与工程学院"</f>
        <v>计算机科学与工程学院</v>
      </c>
    </row>
    <row r="2589" ht="13.5" hidden="1" spans="1:5">
      <c r="A2589" s="2" t="str">
        <f>"苏煦莹"</f>
        <v>苏煦莹</v>
      </c>
      <c r="B2589" s="2" t="str">
        <f>"B20220202231"</f>
        <v>B20220202231</v>
      </c>
      <c r="C2589" s="2" t="str">
        <f t="shared" si="600"/>
        <v>女</v>
      </c>
      <c r="D2589" s="2" t="str">
        <f t="shared" si="598"/>
        <v>8</v>
      </c>
      <c r="E2589" s="2" t="str">
        <f>"机电工程学院"</f>
        <v>机电工程学院</v>
      </c>
    </row>
    <row r="2590" ht="13.5" hidden="1" spans="1:5">
      <c r="A2590" s="2" t="str">
        <f>"艾津名"</f>
        <v>艾津名</v>
      </c>
      <c r="B2590" s="2" t="str">
        <f>"B20220901117"</f>
        <v>B20220901117</v>
      </c>
      <c r="C2590" s="2" t="str">
        <f t="shared" si="600"/>
        <v>女</v>
      </c>
      <c r="D2590" s="2" t="str">
        <f t="shared" si="598"/>
        <v>8</v>
      </c>
      <c r="E2590" s="2" t="str">
        <f>"经济与管理学院"</f>
        <v>经济与管理学院</v>
      </c>
    </row>
    <row r="2591" ht="13.5" hidden="1" spans="1:5">
      <c r="A2591" s="2" t="str">
        <f>"谢培毅"</f>
        <v>谢培毅</v>
      </c>
      <c r="B2591" s="2" t="str">
        <f>"B20220401103"</f>
        <v>B20220401103</v>
      </c>
      <c r="C2591" s="2" t="str">
        <f t="shared" ref="C2591:C2594" si="601">"男"</f>
        <v>男</v>
      </c>
      <c r="D2591" s="2" t="str">
        <f t="shared" si="598"/>
        <v>8</v>
      </c>
      <c r="E2591" s="2" t="str">
        <f>"电子信息与电气工程学院"</f>
        <v>电子信息与电气工程学院</v>
      </c>
    </row>
    <row r="2592" ht="13.5" hidden="1" spans="1:5">
      <c r="A2592" s="2" t="str">
        <f>"陈志宇"</f>
        <v>陈志宇</v>
      </c>
      <c r="B2592" s="2" t="str">
        <f>"B20220403316"</f>
        <v>B20220403316</v>
      </c>
      <c r="C2592" s="2" t="str">
        <f t="shared" si="601"/>
        <v>男</v>
      </c>
      <c r="D2592" s="2" t="str">
        <f t="shared" si="598"/>
        <v>8</v>
      </c>
      <c r="E2592" s="2" t="str">
        <f>"电子信息与电气工程学院"</f>
        <v>电子信息与电气工程学院</v>
      </c>
    </row>
    <row r="2593" ht="13.5" hidden="1" spans="1:5">
      <c r="A2593" s="2" t="str">
        <f>"丁浩鑫"</f>
        <v>丁浩鑫</v>
      </c>
      <c r="B2593" s="2" t="str">
        <f>"B20231302204"</f>
        <v>B20231302204</v>
      </c>
      <c r="C2593" s="2" t="str">
        <f t="shared" si="601"/>
        <v>男</v>
      </c>
      <c r="D2593" s="2" t="str">
        <f t="shared" si="598"/>
        <v>8</v>
      </c>
      <c r="E2593" s="2" t="str">
        <f>"材料与环境工程学院"</f>
        <v>材料与环境工程学院</v>
      </c>
    </row>
    <row r="2594" customHeight="1" spans="1:5">
      <c r="A2594" s="6" t="str">
        <f>"冯拔"</f>
        <v>冯拔</v>
      </c>
      <c r="B2594" s="6" t="str">
        <f>"B20210302220"</f>
        <v>B20210302220</v>
      </c>
      <c r="C2594" s="6" t="str">
        <f t="shared" si="601"/>
        <v>男</v>
      </c>
      <c r="D2594" s="7" t="str">
        <f>"5"</f>
        <v>5</v>
      </c>
      <c r="E2594" s="6" t="str">
        <f>"计算机科学与工程学院"</f>
        <v>计算机科学与工程学院</v>
      </c>
    </row>
    <row r="2595" ht="13.5" hidden="1" spans="1:5">
      <c r="A2595" s="2" t="str">
        <f>"胡婉蓉"</f>
        <v>胡婉蓉</v>
      </c>
      <c r="B2595" s="2" t="str">
        <f>"B20220903106"</f>
        <v>B20220903106</v>
      </c>
      <c r="C2595" s="2" t="str">
        <f t="shared" ref="C2595:C2599" si="602">"女"</f>
        <v>女</v>
      </c>
      <c r="D2595" s="2" t="str">
        <f t="shared" si="598"/>
        <v>8</v>
      </c>
      <c r="E2595" s="2" t="str">
        <f t="shared" ref="E2595:E2597" si="603">"经济与管理学院"</f>
        <v>经济与管理学院</v>
      </c>
    </row>
    <row r="2596" ht="13.5" hidden="1" spans="1:5">
      <c r="A2596" s="2" t="str">
        <f>"黎镁琪"</f>
        <v>黎镁琪</v>
      </c>
      <c r="B2596" s="2" t="str">
        <f>"B20220901327"</f>
        <v>B20220901327</v>
      </c>
      <c r="C2596" s="2" t="str">
        <f t="shared" si="602"/>
        <v>女</v>
      </c>
      <c r="D2596" s="2" t="str">
        <f t="shared" si="598"/>
        <v>8</v>
      </c>
      <c r="E2596" s="2" t="str">
        <f t="shared" si="603"/>
        <v>经济与管理学院</v>
      </c>
    </row>
    <row r="2597" ht="13.5" hidden="1" spans="1:5">
      <c r="A2597" s="2" t="str">
        <f>"刘泽源"</f>
        <v>刘泽源</v>
      </c>
      <c r="B2597" s="2" t="str">
        <f>"B20210905219"</f>
        <v>B20210905219</v>
      </c>
      <c r="C2597" s="2" t="str">
        <f t="shared" ref="C2597:C2600" si="604">"男"</f>
        <v>男</v>
      </c>
      <c r="D2597" s="2" t="str">
        <f t="shared" si="598"/>
        <v>8</v>
      </c>
      <c r="E2597" s="2" t="str">
        <f t="shared" si="603"/>
        <v>经济与管理学院</v>
      </c>
    </row>
    <row r="2598" ht="13.5" hidden="1" spans="1:5">
      <c r="A2598" s="2" t="str">
        <f>"孙超"</f>
        <v>孙超</v>
      </c>
      <c r="B2598" s="2" t="str">
        <f>"B20210403116"</f>
        <v>B20210403116</v>
      </c>
      <c r="C2598" s="2" t="str">
        <f t="shared" si="604"/>
        <v>男</v>
      </c>
      <c r="D2598" s="2" t="str">
        <f t="shared" si="598"/>
        <v>8</v>
      </c>
      <c r="E2598" s="2" t="str">
        <f>"电子信息与电气工程学院"</f>
        <v>电子信息与电气工程学院</v>
      </c>
    </row>
    <row r="2599" ht="13.5" hidden="1" spans="1:5">
      <c r="A2599" s="2" t="str">
        <f>"张子怡"</f>
        <v>张子怡</v>
      </c>
      <c r="B2599" s="2" t="str">
        <f>"B20230701321"</f>
        <v>B20230701321</v>
      </c>
      <c r="C2599" s="2" t="str">
        <f t="shared" si="602"/>
        <v>女</v>
      </c>
      <c r="D2599" s="2" t="str">
        <f t="shared" si="598"/>
        <v>8</v>
      </c>
      <c r="E2599" s="2" t="str">
        <f>"马栏山新媒体学院"</f>
        <v>马栏山新媒体学院</v>
      </c>
    </row>
    <row r="2600" ht="13.5" hidden="1" spans="1:5">
      <c r="A2600" s="2" t="str">
        <f>"陈郑渝"</f>
        <v>陈郑渝</v>
      </c>
      <c r="B2600" s="2" t="str">
        <f>"B20220901110"</f>
        <v>B20220901110</v>
      </c>
      <c r="C2600" s="2" t="str">
        <f t="shared" si="604"/>
        <v>男</v>
      </c>
      <c r="D2600" s="2" t="str">
        <f t="shared" si="598"/>
        <v>8</v>
      </c>
      <c r="E2600" s="2" t="str">
        <f>"经济与管理学院"</f>
        <v>经济与管理学院</v>
      </c>
    </row>
    <row r="2601" ht="13.5" hidden="1" spans="1:5">
      <c r="A2601" s="2" t="str">
        <f>"程华悦"</f>
        <v>程华悦</v>
      </c>
      <c r="B2601" s="2" t="str">
        <f>"B20211101116"</f>
        <v>B20211101116</v>
      </c>
      <c r="C2601" s="2" t="str">
        <f t="shared" ref="C2601:C2608" si="605">"女"</f>
        <v>女</v>
      </c>
      <c r="D2601" s="2" t="str">
        <f t="shared" si="598"/>
        <v>8</v>
      </c>
      <c r="E2601" s="2" t="str">
        <f>"音乐学院"</f>
        <v>音乐学院</v>
      </c>
    </row>
    <row r="2602" ht="13.5" hidden="1" spans="1:5">
      <c r="A2602" s="2" t="str">
        <f>"杨欢"</f>
        <v>杨欢</v>
      </c>
      <c r="B2602" s="2" t="str">
        <f>"B20230201413"</f>
        <v>B20230201413</v>
      </c>
      <c r="C2602" s="2" t="str">
        <f t="shared" ref="C2602:C2604" si="606">"男"</f>
        <v>男</v>
      </c>
      <c r="D2602" s="2" t="str">
        <f t="shared" si="598"/>
        <v>8</v>
      </c>
      <c r="E2602" s="2" t="str">
        <f>"机电工程学院"</f>
        <v>机电工程学院</v>
      </c>
    </row>
    <row r="2603" ht="13.5" hidden="1" spans="1:5">
      <c r="A2603" s="2" t="str">
        <f>"周涛涛"</f>
        <v>周涛涛</v>
      </c>
      <c r="B2603" s="2" t="str">
        <f>"B20210401120"</f>
        <v>B20210401120</v>
      </c>
      <c r="C2603" s="2" t="str">
        <f t="shared" si="606"/>
        <v>男</v>
      </c>
      <c r="D2603" s="2" t="str">
        <f t="shared" si="598"/>
        <v>8</v>
      </c>
      <c r="E2603" s="2" t="str">
        <f>"电子信息与电气工程学院"</f>
        <v>电子信息与电气工程学院</v>
      </c>
    </row>
    <row r="2604" customHeight="1" spans="1:5">
      <c r="A2604" s="6" t="str">
        <f>"莫杭程"</f>
        <v>莫杭程</v>
      </c>
      <c r="B2604" s="6" t="str">
        <f>"B20210302224"</f>
        <v>B20210302224</v>
      </c>
      <c r="C2604" s="6" t="str">
        <f t="shared" si="606"/>
        <v>男</v>
      </c>
      <c r="D2604" s="7" t="str">
        <f>"2"</f>
        <v>2</v>
      </c>
      <c r="E2604" s="6" t="str">
        <f>"计算机科学与工程学院"</f>
        <v>计算机科学与工程学院</v>
      </c>
    </row>
    <row r="2605" ht="13.5" hidden="1" spans="1:5">
      <c r="A2605" s="2" t="str">
        <f>"付子怡"</f>
        <v>付子怡</v>
      </c>
      <c r="B2605" s="2" t="str">
        <f>"B20211002407"</f>
        <v>B20211002407</v>
      </c>
      <c r="C2605" s="2" t="str">
        <f t="shared" si="605"/>
        <v>女</v>
      </c>
      <c r="D2605" s="2" t="str">
        <f t="shared" si="598"/>
        <v>8</v>
      </c>
      <c r="E2605" s="2" t="str">
        <f>"艺术设计学院"</f>
        <v>艺术设计学院</v>
      </c>
    </row>
    <row r="2606" ht="13.5" hidden="1" spans="1:5">
      <c r="A2606" s="2" t="str">
        <f>"寇悦"</f>
        <v>寇悦</v>
      </c>
      <c r="B2606" s="2" t="str">
        <f>"B20221002405"</f>
        <v>B20221002405</v>
      </c>
      <c r="C2606" s="2" t="str">
        <f t="shared" si="605"/>
        <v>女</v>
      </c>
      <c r="D2606" s="2" t="str">
        <f t="shared" si="598"/>
        <v>8</v>
      </c>
      <c r="E2606" s="2" t="str">
        <f>"艺术设计学院"</f>
        <v>艺术设计学院</v>
      </c>
    </row>
    <row r="2607" customHeight="1" spans="1:5">
      <c r="A2607" s="6" t="str">
        <f>"罗宝升"</f>
        <v>罗宝升</v>
      </c>
      <c r="B2607" s="6" t="str">
        <f>"B20210302228"</f>
        <v>B20210302228</v>
      </c>
      <c r="C2607" s="6" t="str">
        <f>"男"</f>
        <v>男</v>
      </c>
      <c r="D2607" s="7" t="str">
        <f>"7"</f>
        <v>7</v>
      </c>
      <c r="E2607" s="6" t="str">
        <f>"计算机科学与工程学院"</f>
        <v>计算机科学与工程学院</v>
      </c>
    </row>
    <row r="2608" ht="13.5" hidden="1" spans="1:5">
      <c r="A2608" s="2" t="str">
        <f>"李沛曈"</f>
        <v>李沛曈</v>
      </c>
      <c r="B2608" s="2" t="str">
        <f>"B20230104124"</f>
        <v>B20230104124</v>
      </c>
      <c r="C2608" s="2" t="str">
        <f t="shared" si="605"/>
        <v>女</v>
      </c>
      <c r="D2608" s="2" t="str">
        <f t="shared" si="598"/>
        <v>8</v>
      </c>
      <c r="E2608" s="2" t="str">
        <f>"土木工程学院"</f>
        <v>土木工程学院</v>
      </c>
    </row>
    <row r="2609" ht="13.5" hidden="1" spans="1:5">
      <c r="A2609" s="2" t="str">
        <f>"胡嘉明"</f>
        <v>胡嘉明</v>
      </c>
      <c r="B2609" s="2" t="str">
        <f>"B20230906120"</f>
        <v>B20230906120</v>
      </c>
      <c r="C2609" s="2" t="str">
        <f t="shared" ref="C2609:C2612" si="607">"男"</f>
        <v>男</v>
      </c>
      <c r="D2609" s="2" t="str">
        <f t="shared" si="598"/>
        <v>8</v>
      </c>
      <c r="E2609" s="2" t="str">
        <f>"经济与管理学院"</f>
        <v>经济与管理学院</v>
      </c>
    </row>
    <row r="2610" customHeight="1" spans="1:5">
      <c r="A2610" s="6" t="str">
        <f>"龚珊珊"</f>
        <v>龚珊珊</v>
      </c>
      <c r="B2610" s="6" t="str">
        <f>"B20210302229"</f>
        <v>B20210302229</v>
      </c>
      <c r="C2610" s="6" t="str">
        <f t="shared" si="607"/>
        <v>男</v>
      </c>
      <c r="D2610" s="7" t="str">
        <f>"6"</f>
        <v>6</v>
      </c>
      <c r="E2610" s="6" t="str">
        <f>"计算机科学与工程学院"</f>
        <v>计算机科学与工程学院</v>
      </c>
    </row>
    <row r="2611" ht="13.5" hidden="1" spans="1:5">
      <c r="A2611" s="2" t="str">
        <f>"李润鸿"</f>
        <v>李润鸿</v>
      </c>
      <c r="B2611" s="2" t="str">
        <f>"B20221302102"</f>
        <v>B20221302102</v>
      </c>
      <c r="C2611" s="2" t="str">
        <f t="shared" si="607"/>
        <v>男</v>
      </c>
      <c r="D2611" s="2" t="str">
        <f t="shared" si="598"/>
        <v>8</v>
      </c>
      <c r="E2611" s="2" t="str">
        <f>"材料与环境工程学院"</f>
        <v>材料与环境工程学院</v>
      </c>
    </row>
    <row r="2612" ht="13.5" hidden="1" spans="1:5">
      <c r="A2612" s="2" t="str">
        <f>"王杰"</f>
        <v>王杰</v>
      </c>
      <c r="B2612" s="2" t="str">
        <f>"B20230101515"</f>
        <v>B20230101515</v>
      </c>
      <c r="C2612" s="2" t="str">
        <f t="shared" si="607"/>
        <v>男</v>
      </c>
      <c r="D2612" s="2" t="str">
        <f t="shared" si="598"/>
        <v>8</v>
      </c>
      <c r="E2612" s="2" t="str">
        <f>"土木工程学院"</f>
        <v>土木工程学院</v>
      </c>
    </row>
    <row r="2613" ht="13.5" hidden="1" spans="1:5">
      <c r="A2613" s="2" t="str">
        <f>"蔡雨璇"</f>
        <v>蔡雨璇</v>
      </c>
      <c r="B2613" s="2" t="str">
        <f>"B20200801311"</f>
        <v>B20200801311</v>
      </c>
      <c r="C2613" s="2" t="str">
        <f t="shared" ref="C2613:C2616" si="608">"女"</f>
        <v>女</v>
      </c>
      <c r="D2613" s="2" t="str">
        <f t="shared" si="598"/>
        <v>8</v>
      </c>
      <c r="E2613" s="2" t="str">
        <f>"外国语学院"</f>
        <v>外国语学院</v>
      </c>
    </row>
    <row r="2614" ht="13.5" hidden="1" spans="1:5">
      <c r="A2614" s="2" t="str">
        <f>"闵瑶"</f>
        <v>闵瑶</v>
      </c>
      <c r="B2614" s="2" t="str">
        <f>"B20220502105"</f>
        <v>B20220502105</v>
      </c>
      <c r="C2614" s="2" t="str">
        <f t="shared" si="608"/>
        <v>女</v>
      </c>
      <c r="D2614" s="2" t="str">
        <f t="shared" si="598"/>
        <v>8</v>
      </c>
      <c r="E2614" s="2" t="str">
        <f>"生物与化学工程学院"</f>
        <v>生物与化学工程学院</v>
      </c>
    </row>
    <row r="2615" ht="13.5" hidden="1" spans="1:5">
      <c r="A2615" s="2" t="str">
        <f>"黄文"</f>
        <v>黄文</v>
      </c>
      <c r="B2615" s="2" t="str">
        <f>"B20220402221"</f>
        <v>B20220402221</v>
      </c>
      <c r="C2615" s="2" t="str">
        <f t="shared" ref="C2615:C2620" si="609">"男"</f>
        <v>男</v>
      </c>
      <c r="D2615" s="2" t="str">
        <f t="shared" si="598"/>
        <v>8</v>
      </c>
      <c r="E2615" s="2" t="str">
        <f>"电子信息与电气工程学院"</f>
        <v>电子信息与电气工程学院</v>
      </c>
    </row>
    <row r="2616" ht="13.5" hidden="1" spans="1:5">
      <c r="A2616" s="2" t="str">
        <f>"高雪琴"</f>
        <v>高雪琴</v>
      </c>
      <c r="B2616" s="2" t="str">
        <f>"B20210704325"</f>
        <v>B20210704325</v>
      </c>
      <c r="C2616" s="2" t="str">
        <f t="shared" si="608"/>
        <v>女</v>
      </c>
      <c r="D2616" s="2" t="str">
        <f t="shared" si="598"/>
        <v>8</v>
      </c>
      <c r="E2616" s="2" t="str">
        <f>"马栏山新媒体学院"</f>
        <v>马栏山新媒体学院</v>
      </c>
    </row>
    <row r="2617" ht="13.5" hidden="1" spans="1:5">
      <c r="A2617" s="2" t="str">
        <f>"李棒"</f>
        <v>李棒</v>
      </c>
      <c r="B2617" s="2" t="str">
        <f>"B20200202425"</f>
        <v>B20200202425</v>
      </c>
      <c r="C2617" s="2" t="str">
        <f t="shared" si="609"/>
        <v>男</v>
      </c>
      <c r="D2617" s="2" t="str">
        <f t="shared" si="598"/>
        <v>8</v>
      </c>
      <c r="E2617" s="2" t="str">
        <f>"机电工程学院"</f>
        <v>机电工程学院</v>
      </c>
    </row>
    <row r="2618" ht="13.5" hidden="1" spans="1:5">
      <c r="A2618" s="2" t="str">
        <f>"黄果"</f>
        <v>黄果</v>
      </c>
      <c r="B2618" s="2" t="str">
        <f>"B20220702229"</f>
        <v>B20220702229</v>
      </c>
      <c r="C2618" s="2" t="str">
        <f t="shared" ref="C2618:C2622" si="610">"女"</f>
        <v>女</v>
      </c>
      <c r="D2618" s="2" t="str">
        <f t="shared" si="598"/>
        <v>8</v>
      </c>
      <c r="E2618" s="2" t="str">
        <f>"马栏山新媒体学院"</f>
        <v>马栏山新媒体学院</v>
      </c>
    </row>
    <row r="2619" ht="13.5" hidden="1" spans="1:5">
      <c r="A2619" s="2" t="str">
        <f>"张飞燕"</f>
        <v>张飞燕</v>
      </c>
      <c r="B2619" s="2" t="str">
        <f>"B20220104113"</f>
        <v>B20220104113</v>
      </c>
      <c r="C2619" s="2" t="str">
        <f t="shared" si="610"/>
        <v>女</v>
      </c>
      <c r="D2619" s="2" t="str">
        <f t="shared" si="598"/>
        <v>8</v>
      </c>
      <c r="E2619" s="2" t="str">
        <f>"土木工程学院"</f>
        <v>土木工程学院</v>
      </c>
    </row>
    <row r="2620" ht="13.5" hidden="1" spans="1:5">
      <c r="A2620" s="2" t="str">
        <f>"李霏阳"</f>
        <v>李霏阳</v>
      </c>
      <c r="B2620" s="2" t="str">
        <f>"B20210404231"</f>
        <v>B20210404231</v>
      </c>
      <c r="C2620" s="2" t="str">
        <f t="shared" si="609"/>
        <v>男</v>
      </c>
      <c r="D2620" s="2" t="str">
        <f t="shared" si="598"/>
        <v>8</v>
      </c>
      <c r="E2620" s="2" t="str">
        <f>"电子信息与电气工程学院"</f>
        <v>电子信息与电气工程学院</v>
      </c>
    </row>
    <row r="2621" ht="13.5" hidden="1" spans="1:5">
      <c r="A2621" s="2" t="str">
        <f>"陈湘燕"</f>
        <v>陈湘燕</v>
      </c>
      <c r="B2621" s="2" t="str">
        <f>"B20230802102"</f>
        <v>B20230802102</v>
      </c>
      <c r="C2621" s="2" t="str">
        <f t="shared" si="610"/>
        <v>女</v>
      </c>
      <c r="D2621" s="2" t="str">
        <f t="shared" si="598"/>
        <v>8</v>
      </c>
      <c r="E2621" s="2" t="str">
        <f>"外国语学院"</f>
        <v>外国语学院</v>
      </c>
    </row>
    <row r="2622" ht="13.5" hidden="1" spans="1:5">
      <c r="A2622" s="2" t="str">
        <f>"文若玲"</f>
        <v>文若玲</v>
      </c>
      <c r="B2622" s="2" t="str">
        <f>"B20230802129"</f>
        <v>B20230802129</v>
      </c>
      <c r="C2622" s="2" t="str">
        <f t="shared" si="610"/>
        <v>女</v>
      </c>
      <c r="D2622" s="2" t="str">
        <f t="shared" si="598"/>
        <v>8</v>
      </c>
      <c r="E2622" s="2" t="str">
        <f>"外国语学院"</f>
        <v>外国语学院</v>
      </c>
    </row>
    <row r="2623" ht="13.5" hidden="1" spans="1:5">
      <c r="A2623" s="2" t="str">
        <f>"林建强"</f>
        <v>林建强</v>
      </c>
      <c r="B2623" s="2" t="str">
        <f>"B20220405131"</f>
        <v>B20220405131</v>
      </c>
      <c r="C2623" s="2" t="str">
        <f t="shared" ref="C2623:C2627" si="611">"男"</f>
        <v>男</v>
      </c>
      <c r="D2623" s="2" t="str">
        <f t="shared" si="598"/>
        <v>8</v>
      </c>
      <c r="E2623" s="2" t="str">
        <f>"电子信息与电气工程学院"</f>
        <v>电子信息与电气工程学院</v>
      </c>
    </row>
    <row r="2624" ht="13.5" hidden="1" spans="1:5">
      <c r="A2624" s="2" t="str">
        <f>"何艳"</f>
        <v>何艳</v>
      </c>
      <c r="B2624" s="2" t="str">
        <f>"B20210901126"</f>
        <v>B20210901126</v>
      </c>
      <c r="C2624" s="2" t="str">
        <f t="shared" ref="C2624:C2630" si="612">"女"</f>
        <v>女</v>
      </c>
      <c r="D2624" s="2" t="str">
        <f t="shared" si="598"/>
        <v>8</v>
      </c>
      <c r="E2624" s="2" t="str">
        <f t="shared" ref="E2624:E2629" si="613">"经济与管理学院"</f>
        <v>经济与管理学院</v>
      </c>
    </row>
    <row r="2625" ht="13.5" hidden="1" spans="1:5">
      <c r="A2625" s="2" t="str">
        <f>"肖少轶"</f>
        <v>肖少轶</v>
      </c>
      <c r="B2625" s="2" t="str">
        <f>"B20210102104"</f>
        <v>B20210102104</v>
      </c>
      <c r="C2625" s="2" t="str">
        <f t="shared" si="611"/>
        <v>男</v>
      </c>
      <c r="D2625" s="2" t="str">
        <f t="shared" si="598"/>
        <v>8</v>
      </c>
      <c r="E2625" s="2" t="str">
        <f>"土木工程学院"</f>
        <v>土木工程学院</v>
      </c>
    </row>
    <row r="2626" ht="13.5" hidden="1" spans="1:5">
      <c r="A2626" s="2" t="str">
        <f>"袁本初"</f>
        <v>袁本初</v>
      </c>
      <c r="B2626" s="2" t="str">
        <f>"B20230401330"</f>
        <v>B20230401330</v>
      </c>
      <c r="C2626" s="2" t="str">
        <f t="shared" si="611"/>
        <v>男</v>
      </c>
      <c r="D2626" s="2" t="str">
        <f t="shared" si="598"/>
        <v>8</v>
      </c>
      <c r="E2626" s="2" t="str">
        <f>"电子信息与电气工程学院"</f>
        <v>电子信息与电气工程学院</v>
      </c>
    </row>
    <row r="2627" customHeight="1" spans="1:5">
      <c r="A2627" s="6" t="str">
        <f>"闫新宇"</f>
        <v>闫新宇</v>
      </c>
      <c r="B2627" s="6" t="str">
        <f>"B20210302232"</f>
        <v>B20210302232</v>
      </c>
      <c r="C2627" s="6" t="str">
        <f>"女"</f>
        <v>女</v>
      </c>
      <c r="D2627" s="7" t="str">
        <f>"17"</f>
        <v>17</v>
      </c>
      <c r="E2627" s="6" t="str">
        <f>"计算机科学与工程学院"</f>
        <v>计算机科学与工程学院</v>
      </c>
    </row>
    <row r="2628" ht="13.5" hidden="1" spans="1:5">
      <c r="A2628" s="2" t="str">
        <f>"谢堰婷"</f>
        <v>谢堰婷</v>
      </c>
      <c r="B2628" s="2" t="str">
        <f>"B20220901234"</f>
        <v>B20220901234</v>
      </c>
      <c r="C2628" s="2" t="str">
        <f t="shared" si="612"/>
        <v>女</v>
      </c>
      <c r="D2628" s="2" t="str">
        <f t="shared" si="598"/>
        <v>8</v>
      </c>
      <c r="E2628" s="2" t="str">
        <f t="shared" si="613"/>
        <v>经济与管理学院</v>
      </c>
    </row>
    <row r="2629" ht="13.5" hidden="1" spans="1:5">
      <c r="A2629" s="2" t="str">
        <f>"蒋彧萱"</f>
        <v>蒋彧萱</v>
      </c>
      <c r="B2629" s="2" t="str">
        <f>"B20230901117"</f>
        <v>B20230901117</v>
      </c>
      <c r="C2629" s="2" t="str">
        <f t="shared" si="612"/>
        <v>女</v>
      </c>
      <c r="D2629" s="2" t="str">
        <f t="shared" si="598"/>
        <v>8</v>
      </c>
      <c r="E2629" s="2" t="str">
        <f t="shared" si="613"/>
        <v>经济与管理学院</v>
      </c>
    </row>
    <row r="2630" ht="13.5" hidden="1" spans="1:5">
      <c r="A2630" s="2" t="str">
        <f>"晏馨蕊"</f>
        <v>晏馨蕊</v>
      </c>
      <c r="B2630" s="2" t="str">
        <f>"B20220204412"</f>
        <v>B20220204412</v>
      </c>
      <c r="C2630" s="2" t="str">
        <f t="shared" si="612"/>
        <v>女</v>
      </c>
      <c r="D2630" s="2" t="str">
        <f t="shared" si="598"/>
        <v>8</v>
      </c>
      <c r="E2630" s="2" t="str">
        <f t="shared" ref="E2630:E2634" si="614">"机电工程学院"</f>
        <v>机电工程学院</v>
      </c>
    </row>
    <row r="2631" ht="13.5" hidden="1" spans="1:5">
      <c r="A2631" s="2" t="str">
        <f>"李炜豪"</f>
        <v>李炜豪</v>
      </c>
      <c r="B2631" s="2" t="str">
        <f>"B20231004108"</f>
        <v>B20231004108</v>
      </c>
      <c r="C2631" s="2" t="str">
        <f t="shared" ref="C2631:C2634" si="615">"男"</f>
        <v>男</v>
      </c>
      <c r="D2631" s="2" t="str">
        <f t="shared" si="598"/>
        <v>8</v>
      </c>
      <c r="E2631" s="2" t="str">
        <f>"艺术设计学院"</f>
        <v>艺术设计学院</v>
      </c>
    </row>
    <row r="2632" ht="13.5" hidden="1" spans="1:5">
      <c r="A2632" s="2" t="str">
        <f>"周明宇"</f>
        <v>周明宇</v>
      </c>
      <c r="B2632" s="2" t="str">
        <f>"B20210402306"</f>
        <v>B20210402306</v>
      </c>
      <c r="C2632" s="2" t="str">
        <f t="shared" si="615"/>
        <v>男</v>
      </c>
      <c r="D2632" s="2" t="str">
        <f t="shared" si="598"/>
        <v>8</v>
      </c>
      <c r="E2632" s="2" t="str">
        <f>"电子信息与电气工程学院"</f>
        <v>电子信息与电气工程学院</v>
      </c>
    </row>
    <row r="2633" ht="13.5" hidden="1" spans="1:5">
      <c r="A2633" s="2" t="str">
        <f>"张杰"</f>
        <v>张杰</v>
      </c>
      <c r="B2633" s="2" t="str">
        <f>"B20220202201"</f>
        <v>B20220202201</v>
      </c>
      <c r="C2633" s="2" t="str">
        <f t="shared" si="615"/>
        <v>男</v>
      </c>
      <c r="D2633" s="2" t="str">
        <f t="shared" si="598"/>
        <v>8</v>
      </c>
      <c r="E2633" s="2" t="str">
        <f t="shared" si="614"/>
        <v>机电工程学院</v>
      </c>
    </row>
    <row r="2634" ht="13.5" hidden="1" spans="1:5">
      <c r="A2634" s="2" t="str">
        <f>"王闯"</f>
        <v>王闯</v>
      </c>
      <c r="B2634" s="2" t="str">
        <f>"B20210203207"</f>
        <v>B20210203207</v>
      </c>
      <c r="C2634" s="2" t="str">
        <f t="shared" si="615"/>
        <v>男</v>
      </c>
      <c r="D2634" s="2" t="str">
        <f t="shared" si="598"/>
        <v>8</v>
      </c>
      <c r="E2634" s="2" t="str">
        <f t="shared" si="614"/>
        <v>机电工程学院</v>
      </c>
    </row>
    <row r="2635" ht="13.5" hidden="1" spans="1:5">
      <c r="A2635" s="2" t="str">
        <f>"周婷"</f>
        <v>周婷</v>
      </c>
      <c r="B2635" s="2" t="str">
        <f>"B20220402204"</f>
        <v>B20220402204</v>
      </c>
      <c r="C2635" s="2" t="str">
        <f t="shared" ref="C2635:C2639" si="616">"女"</f>
        <v>女</v>
      </c>
      <c r="D2635" s="2" t="str">
        <f t="shared" si="598"/>
        <v>8</v>
      </c>
      <c r="E2635" s="2" t="str">
        <f>"电子信息与电气工程学院"</f>
        <v>电子信息与电气工程学院</v>
      </c>
    </row>
    <row r="2636" ht="13.5" hidden="1" spans="1:5">
      <c r="A2636" s="2" t="str">
        <f>"向梦琪"</f>
        <v>向梦琪</v>
      </c>
      <c r="B2636" s="2" t="str">
        <f>"B20210802302"</f>
        <v>B20210802302</v>
      </c>
      <c r="C2636" s="2" t="str">
        <f t="shared" ref="C2636:C2640" si="617">"男"</f>
        <v>男</v>
      </c>
      <c r="D2636" s="2" t="str">
        <f t="shared" si="598"/>
        <v>8</v>
      </c>
      <c r="E2636" s="2" t="str">
        <f>"外国语学院"</f>
        <v>外国语学院</v>
      </c>
    </row>
    <row r="2637" ht="13.5" hidden="1" spans="1:5">
      <c r="A2637" s="2" t="str">
        <f>"宋子凯"</f>
        <v>宋子凯</v>
      </c>
      <c r="B2637" s="2" t="str">
        <f>"B20220704225"</f>
        <v>B20220704225</v>
      </c>
      <c r="C2637" s="2" t="str">
        <f t="shared" si="617"/>
        <v>男</v>
      </c>
      <c r="D2637" s="2" t="str">
        <f t="shared" si="598"/>
        <v>8</v>
      </c>
      <c r="E2637" s="2" t="str">
        <f>"马栏山新媒体学院"</f>
        <v>马栏山新媒体学院</v>
      </c>
    </row>
    <row r="2638" ht="13.5" hidden="1" spans="1:5">
      <c r="A2638" s="2" t="str">
        <f>"夏天然"</f>
        <v>夏天然</v>
      </c>
      <c r="B2638" s="2" t="str">
        <f>"B20230504319"</f>
        <v>B20230504319</v>
      </c>
      <c r="C2638" s="2" t="str">
        <f t="shared" si="616"/>
        <v>女</v>
      </c>
      <c r="D2638" s="2" t="str">
        <f t="shared" si="598"/>
        <v>8</v>
      </c>
      <c r="E2638" s="2" t="str">
        <f>"生物与化学工程学院"</f>
        <v>生物与化学工程学院</v>
      </c>
    </row>
    <row r="2639" ht="13.5" hidden="1" spans="1:5">
      <c r="A2639" s="2" t="str">
        <f>"胡晨熙"</f>
        <v>胡晨熙</v>
      </c>
      <c r="B2639" s="2" t="str">
        <f>"B20230803225"</f>
        <v>B20230803225</v>
      </c>
      <c r="C2639" s="2" t="str">
        <f t="shared" si="616"/>
        <v>女</v>
      </c>
      <c r="D2639" s="2" t="str">
        <f t="shared" si="598"/>
        <v>8</v>
      </c>
      <c r="E2639" s="2" t="str">
        <f>"外国语学院"</f>
        <v>外国语学院</v>
      </c>
    </row>
    <row r="2640" ht="13.5" hidden="1" spans="1:5">
      <c r="A2640" s="2" t="str">
        <f>"吕文聪"</f>
        <v>吕文聪</v>
      </c>
      <c r="B2640" s="2" t="str">
        <f>"B20200401203"</f>
        <v>B20200401203</v>
      </c>
      <c r="C2640" s="2" t="str">
        <f t="shared" si="617"/>
        <v>男</v>
      </c>
      <c r="D2640" s="2" t="str">
        <f t="shared" si="598"/>
        <v>8</v>
      </c>
      <c r="E2640" s="2" t="str">
        <f t="shared" ref="E2640:E2645" si="618">"电子信息与电气工程学院"</f>
        <v>电子信息与电气工程学院</v>
      </c>
    </row>
    <row r="2641" ht="13.5" hidden="1" spans="1:5">
      <c r="A2641" s="2" t="str">
        <f>"刘彤"</f>
        <v>刘彤</v>
      </c>
      <c r="B2641" s="2" t="str">
        <f>"B20230901104"</f>
        <v>B20230901104</v>
      </c>
      <c r="C2641" s="2" t="str">
        <f t="shared" ref="C2641:C2643" si="619">"女"</f>
        <v>女</v>
      </c>
      <c r="D2641" s="2" t="str">
        <f t="shared" si="598"/>
        <v>8</v>
      </c>
      <c r="E2641" s="2" t="str">
        <f>"经济与管理学院"</f>
        <v>经济与管理学院</v>
      </c>
    </row>
    <row r="2642" ht="13.5" hidden="1" spans="1:5">
      <c r="A2642" s="2" t="str">
        <f>"杨思雨"</f>
        <v>杨思雨</v>
      </c>
      <c r="B2642" s="2" t="str">
        <f>"B20211002413"</f>
        <v>B20211002413</v>
      </c>
      <c r="C2642" s="2" t="str">
        <f t="shared" si="619"/>
        <v>女</v>
      </c>
      <c r="D2642" s="2" t="str">
        <f t="shared" si="598"/>
        <v>8</v>
      </c>
      <c r="E2642" s="2" t="str">
        <f>"艺术设计学院"</f>
        <v>艺术设计学院</v>
      </c>
    </row>
    <row r="2643" ht="13.5" hidden="1" spans="1:5">
      <c r="A2643" s="2" t="str">
        <f>"黄新圆"</f>
        <v>黄新圆</v>
      </c>
      <c r="B2643" s="2" t="str">
        <f>"B20220904210"</f>
        <v>B20220904210</v>
      </c>
      <c r="C2643" s="2" t="str">
        <f t="shared" si="619"/>
        <v>女</v>
      </c>
      <c r="D2643" s="2" t="str">
        <f t="shared" si="598"/>
        <v>8</v>
      </c>
      <c r="E2643" s="2" t="str">
        <f>"经济与管理学院"</f>
        <v>经济与管理学院</v>
      </c>
    </row>
    <row r="2644" ht="13.5" hidden="1" spans="1:5">
      <c r="A2644" s="2" t="str">
        <f>"张思环"</f>
        <v>张思环</v>
      </c>
      <c r="B2644" s="2" t="str">
        <f>"B20230403318"</f>
        <v>B20230403318</v>
      </c>
      <c r="C2644" s="2" t="str">
        <f>"男"</f>
        <v>男</v>
      </c>
      <c r="D2644" s="2" t="str">
        <f t="shared" si="598"/>
        <v>8</v>
      </c>
      <c r="E2644" s="2" t="str">
        <f t="shared" si="618"/>
        <v>电子信息与电气工程学院</v>
      </c>
    </row>
    <row r="2645" ht="13.5" hidden="1" spans="1:5">
      <c r="A2645" s="2" t="str">
        <f>"赵汇朋"</f>
        <v>赵汇朋</v>
      </c>
      <c r="B2645" s="2" t="str">
        <f>"B20230404131"</f>
        <v>B20230404131</v>
      </c>
      <c r="C2645" s="2" t="str">
        <f>"男"</f>
        <v>男</v>
      </c>
      <c r="D2645" s="2" t="str">
        <f t="shared" si="598"/>
        <v>8</v>
      </c>
      <c r="E2645" s="2" t="str">
        <f t="shared" si="618"/>
        <v>电子信息与电气工程学院</v>
      </c>
    </row>
    <row r="2646" ht="13.5" hidden="1" spans="1:5">
      <c r="A2646" s="2" t="str">
        <f>"罗慧荣"</f>
        <v>罗慧荣</v>
      </c>
      <c r="B2646" s="2" t="str">
        <f>"B20230702204"</f>
        <v>B20230702204</v>
      </c>
      <c r="C2646" s="2" t="str">
        <f t="shared" ref="C2646:C2652" si="620">"女"</f>
        <v>女</v>
      </c>
      <c r="D2646" s="2" t="str">
        <f t="shared" ref="D2646:D2709" si="621">"8"</f>
        <v>8</v>
      </c>
      <c r="E2646" s="2" t="str">
        <f>"马栏山新媒体学院"</f>
        <v>马栏山新媒体学院</v>
      </c>
    </row>
    <row r="2647" ht="13.5" hidden="1" spans="1:5">
      <c r="A2647" s="2" t="str">
        <f>"蔡咏琪"</f>
        <v>蔡咏琪</v>
      </c>
      <c r="B2647" s="2" t="str">
        <f>"B20220802223"</f>
        <v>B20220802223</v>
      </c>
      <c r="C2647" s="2" t="str">
        <f t="shared" si="620"/>
        <v>女</v>
      </c>
      <c r="D2647" s="2" t="str">
        <f t="shared" si="621"/>
        <v>8</v>
      </c>
      <c r="E2647" s="2" t="str">
        <f>"外国语学院"</f>
        <v>外国语学院</v>
      </c>
    </row>
    <row r="2648" ht="13.5" hidden="1" spans="1:5">
      <c r="A2648" s="2" t="str">
        <f>"谢沁利"</f>
        <v>谢沁利</v>
      </c>
      <c r="B2648" s="2" t="str">
        <f>"B20200904229"</f>
        <v>B20200904229</v>
      </c>
      <c r="C2648" s="2" t="str">
        <f t="shared" si="620"/>
        <v>女</v>
      </c>
      <c r="D2648" s="2" t="str">
        <f t="shared" si="621"/>
        <v>8</v>
      </c>
      <c r="E2648" s="2" t="str">
        <f>"经济与管理学院"</f>
        <v>经济与管理学院</v>
      </c>
    </row>
    <row r="2649" ht="13.5" hidden="1" spans="1:5">
      <c r="A2649" s="2" t="str">
        <f>"冯金茹"</f>
        <v>冯金茹</v>
      </c>
      <c r="B2649" s="2" t="str">
        <f>"B20210505124"</f>
        <v>B20210505124</v>
      </c>
      <c r="C2649" s="2" t="str">
        <f t="shared" si="620"/>
        <v>女</v>
      </c>
      <c r="D2649" s="2" t="str">
        <f t="shared" si="621"/>
        <v>8</v>
      </c>
      <c r="E2649" s="2" t="str">
        <f>"材料与环境工程学院"</f>
        <v>材料与环境工程学院</v>
      </c>
    </row>
    <row r="2650" ht="13.5" hidden="1" spans="1:5">
      <c r="A2650" s="2" t="str">
        <f>"舒晓花"</f>
        <v>舒晓花</v>
      </c>
      <c r="B2650" s="2" t="str">
        <f>"B20200704205"</f>
        <v>B20200704205</v>
      </c>
      <c r="C2650" s="2" t="str">
        <f t="shared" si="620"/>
        <v>女</v>
      </c>
      <c r="D2650" s="2" t="str">
        <f t="shared" si="621"/>
        <v>8</v>
      </c>
      <c r="E2650" s="2" t="str">
        <f>"马栏山新媒体学院"</f>
        <v>马栏山新媒体学院</v>
      </c>
    </row>
    <row r="2651" ht="13.5" hidden="1" spans="1:5">
      <c r="A2651" s="2" t="str">
        <f>"黄荷"</f>
        <v>黄荷</v>
      </c>
      <c r="B2651" s="2" t="str">
        <f>"B20230803229"</f>
        <v>B20230803229</v>
      </c>
      <c r="C2651" s="2" t="str">
        <f t="shared" si="620"/>
        <v>女</v>
      </c>
      <c r="D2651" s="2" t="str">
        <f t="shared" si="621"/>
        <v>8</v>
      </c>
      <c r="E2651" s="2" t="str">
        <f>"外国语学院"</f>
        <v>外国语学院</v>
      </c>
    </row>
    <row r="2652" ht="13.5" hidden="1" spans="1:5">
      <c r="A2652" s="2" t="str">
        <f>"邓依恋"</f>
        <v>邓依恋</v>
      </c>
      <c r="B2652" s="2" t="str">
        <f>"B20230702313"</f>
        <v>B20230702313</v>
      </c>
      <c r="C2652" s="2" t="str">
        <f t="shared" si="620"/>
        <v>女</v>
      </c>
      <c r="D2652" s="2" t="str">
        <f t="shared" si="621"/>
        <v>8</v>
      </c>
      <c r="E2652" s="2" t="str">
        <f>"马栏山新媒体学院"</f>
        <v>马栏山新媒体学院</v>
      </c>
    </row>
    <row r="2653" ht="13.5" hidden="1" spans="1:5">
      <c r="A2653" s="2" t="str">
        <f>"曾浩"</f>
        <v>曾浩</v>
      </c>
      <c r="B2653" s="2" t="str">
        <f>"B20230906205"</f>
        <v>B20230906205</v>
      </c>
      <c r="C2653" s="2" t="str">
        <f t="shared" ref="C2653:C2660" si="622">"男"</f>
        <v>男</v>
      </c>
      <c r="D2653" s="2" t="str">
        <f t="shared" si="621"/>
        <v>8</v>
      </c>
      <c r="E2653" s="2" t="str">
        <f>"经济与管理学院"</f>
        <v>经济与管理学院</v>
      </c>
    </row>
    <row r="2654" ht="13.5" hidden="1" spans="1:5">
      <c r="A2654" s="2" t="str">
        <f>"杨少峰"</f>
        <v>杨少峰</v>
      </c>
      <c r="B2654" s="2" t="str">
        <f>"B20210403104"</f>
        <v>B20210403104</v>
      </c>
      <c r="C2654" s="2" t="str">
        <f t="shared" si="622"/>
        <v>男</v>
      </c>
      <c r="D2654" s="2" t="str">
        <f t="shared" si="621"/>
        <v>8</v>
      </c>
      <c r="E2654" s="2" t="str">
        <f>"电子信息与电气工程学院"</f>
        <v>电子信息与电气工程学院</v>
      </c>
    </row>
    <row r="2655" ht="13.5" hidden="1" spans="1:5">
      <c r="A2655" s="2" t="str">
        <f>"邱炯俊"</f>
        <v>邱炯俊</v>
      </c>
      <c r="B2655" s="2" t="str">
        <f>"B20230103211"</f>
        <v>B20230103211</v>
      </c>
      <c r="C2655" s="2" t="str">
        <f t="shared" si="622"/>
        <v>男</v>
      </c>
      <c r="D2655" s="2" t="str">
        <f t="shared" si="621"/>
        <v>8</v>
      </c>
      <c r="E2655" s="2" t="str">
        <f>"土木工程学院"</f>
        <v>土木工程学院</v>
      </c>
    </row>
    <row r="2656" customHeight="1" spans="1:5">
      <c r="A2656" s="6" t="str">
        <f>"文凯"</f>
        <v>文凯</v>
      </c>
      <c r="B2656" s="6" t="str">
        <f>"B20210302303"</f>
        <v>B20210302303</v>
      </c>
      <c r="C2656" s="6" t="str">
        <f t="shared" si="622"/>
        <v>男</v>
      </c>
      <c r="D2656" s="7" t="str">
        <f>"6"</f>
        <v>6</v>
      </c>
      <c r="E2656" s="6" t="str">
        <f>"计算机科学与工程学院"</f>
        <v>计算机科学与工程学院</v>
      </c>
    </row>
    <row r="2657" ht="13.5" hidden="1" spans="1:5">
      <c r="A2657" s="2" t="str">
        <f>"翟星蒙"</f>
        <v>翟星蒙</v>
      </c>
      <c r="B2657" s="2" t="str">
        <f>"B20210701103"</f>
        <v>B20210701103</v>
      </c>
      <c r="C2657" s="2" t="str">
        <f t="shared" si="622"/>
        <v>男</v>
      </c>
      <c r="D2657" s="2" t="str">
        <f t="shared" si="621"/>
        <v>8</v>
      </c>
      <c r="E2657" s="2" t="str">
        <f>"马栏山新媒体学院"</f>
        <v>马栏山新媒体学院</v>
      </c>
    </row>
    <row r="2658" ht="13.5" hidden="1" spans="1:5">
      <c r="A2658" s="2" t="str">
        <f>"周思淼"</f>
        <v>周思淼</v>
      </c>
      <c r="B2658" s="2" t="str">
        <f>"B20230501133"</f>
        <v>B20230501133</v>
      </c>
      <c r="C2658" s="2" t="str">
        <f t="shared" si="622"/>
        <v>男</v>
      </c>
      <c r="D2658" s="2" t="str">
        <f t="shared" si="621"/>
        <v>8</v>
      </c>
      <c r="E2658" s="2" t="str">
        <f>"生物与化学工程学院"</f>
        <v>生物与化学工程学院</v>
      </c>
    </row>
    <row r="2659" ht="13.5" hidden="1" spans="1:5">
      <c r="A2659" s="2" t="str">
        <f>"彭炼秋"</f>
        <v>彭炼秋</v>
      </c>
      <c r="B2659" s="2" t="str">
        <f>"B20230201117"</f>
        <v>B20230201117</v>
      </c>
      <c r="C2659" s="2" t="str">
        <f t="shared" si="622"/>
        <v>男</v>
      </c>
      <c r="D2659" s="2" t="str">
        <f t="shared" si="621"/>
        <v>8</v>
      </c>
      <c r="E2659" s="2" t="str">
        <f>"机电工程学院"</f>
        <v>机电工程学院</v>
      </c>
    </row>
    <row r="2660" ht="13.5" hidden="1" spans="1:5">
      <c r="A2660" s="2" t="str">
        <f>"陈焕新"</f>
        <v>陈焕新</v>
      </c>
      <c r="B2660" s="2" t="str">
        <f>"B20210903226"</f>
        <v>B20210903226</v>
      </c>
      <c r="C2660" s="2" t="str">
        <f t="shared" si="622"/>
        <v>男</v>
      </c>
      <c r="D2660" s="2" t="str">
        <f t="shared" si="621"/>
        <v>8</v>
      </c>
      <c r="E2660" s="2" t="str">
        <f>"经济与管理学院"</f>
        <v>经济与管理学院</v>
      </c>
    </row>
    <row r="2661" ht="13.5" hidden="1" spans="1:5">
      <c r="A2661" s="2" t="str">
        <f>"李晶"</f>
        <v>李晶</v>
      </c>
      <c r="B2661" s="2" t="str">
        <f>"B20230901102"</f>
        <v>B20230901102</v>
      </c>
      <c r="C2661" s="2" t="str">
        <f>"女"</f>
        <v>女</v>
      </c>
      <c r="D2661" s="2" t="str">
        <f t="shared" si="621"/>
        <v>8</v>
      </c>
      <c r="E2661" s="2" t="str">
        <f>"经济与管理学院"</f>
        <v>经济与管理学院</v>
      </c>
    </row>
    <row r="2662" ht="13.5" hidden="1" spans="1:5">
      <c r="A2662" s="2" t="str">
        <f>"彭宇杰"</f>
        <v>彭宇杰</v>
      </c>
      <c r="B2662" s="2" t="str">
        <f>"B20210503138"</f>
        <v>B20210503138</v>
      </c>
      <c r="C2662" s="2" t="str">
        <f t="shared" ref="C2662:C2665" si="623">"男"</f>
        <v>男</v>
      </c>
      <c r="D2662" s="2" t="str">
        <f t="shared" si="621"/>
        <v>8</v>
      </c>
      <c r="E2662" s="2" t="str">
        <f>"材料与环境工程学院"</f>
        <v>材料与环境工程学院</v>
      </c>
    </row>
    <row r="2663" customHeight="1" spans="1:5">
      <c r="A2663" s="6" t="str">
        <f>"梁宇晨"</f>
        <v>梁宇晨</v>
      </c>
      <c r="B2663" s="6" t="str">
        <f>"B20210302307"</f>
        <v>B20210302307</v>
      </c>
      <c r="C2663" s="6" t="str">
        <f t="shared" si="623"/>
        <v>男</v>
      </c>
      <c r="D2663" s="7" t="str">
        <f>"1"</f>
        <v>1</v>
      </c>
      <c r="E2663" s="6" t="str">
        <f>"计算机科学与工程学院"</f>
        <v>计算机科学与工程学院</v>
      </c>
    </row>
    <row r="2664" customHeight="1" spans="1:5">
      <c r="A2664" s="6" t="str">
        <f>"张铮"</f>
        <v>张铮</v>
      </c>
      <c r="B2664" s="6" t="str">
        <f>"B20210302308"</f>
        <v>B20210302308</v>
      </c>
      <c r="C2664" s="6" t="str">
        <f t="shared" si="623"/>
        <v>男</v>
      </c>
      <c r="D2664" s="7" t="str">
        <f>"6"</f>
        <v>6</v>
      </c>
      <c r="E2664" s="6" t="str">
        <f>"计算机科学与工程学院"</f>
        <v>计算机科学与工程学院</v>
      </c>
    </row>
    <row r="2665" ht="13.5" hidden="1" spans="1:5">
      <c r="A2665" s="2" t="str">
        <f>"吴红阳"</f>
        <v>吴红阳</v>
      </c>
      <c r="B2665" s="2" t="str">
        <f>"B20200703214"</f>
        <v>B20200703214</v>
      </c>
      <c r="C2665" s="2" t="str">
        <f t="shared" si="623"/>
        <v>男</v>
      </c>
      <c r="D2665" s="2" t="str">
        <f t="shared" si="621"/>
        <v>8</v>
      </c>
      <c r="E2665" s="2" t="str">
        <f t="shared" ref="E2665:E2668" si="624">"马栏山新媒体学院"</f>
        <v>马栏山新媒体学院</v>
      </c>
    </row>
    <row r="2666" ht="13.5" hidden="1" spans="1:5">
      <c r="A2666" s="2" t="str">
        <f>"王淑波"</f>
        <v>王淑波</v>
      </c>
      <c r="B2666" s="2" t="str">
        <f>"B20200704122"</f>
        <v>B20200704122</v>
      </c>
      <c r="C2666" s="2" t="str">
        <f t="shared" ref="C2666:C2669" si="625">"女"</f>
        <v>女</v>
      </c>
      <c r="D2666" s="2" t="str">
        <f t="shared" si="621"/>
        <v>8</v>
      </c>
      <c r="E2666" s="2" t="str">
        <f t="shared" si="624"/>
        <v>马栏山新媒体学院</v>
      </c>
    </row>
    <row r="2667" ht="13.5" hidden="1" spans="1:5">
      <c r="A2667" s="2" t="str">
        <f>"何依缘"</f>
        <v>何依缘</v>
      </c>
      <c r="B2667" s="2" t="str">
        <f>"B20230801117"</f>
        <v>B20230801117</v>
      </c>
      <c r="C2667" s="2" t="str">
        <f t="shared" si="625"/>
        <v>女</v>
      </c>
      <c r="D2667" s="2" t="str">
        <f t="shared" si="621"/>
        <v>8</v>
      </c>
      <c r="E2667" s="2" t="str">
        <f>"外国语学院"</f>
        <v>外国语学院</v>
      </c>
    </row>
    <row r="2668" ht="13.5" hidden="1" spans="1:5">
      <c r="A2668" s="2" t="str">
        <f>"刘如曦"</f>
        <v>刘如曦</v>
      </c>
      <c r="B2668" s="2" t="str">
        <f>"B20230702425"</f>
        <v>B20230702425</v>
      </c>
      <c r="C2668" s="2" t="str">
        <f t="shared" si="625"/>
        <v>女</v>
      </c>
      <c r="D2668" s="2" t="str">
        <f t="shared" si="621"/>
        <v>8</v>
      </c>
      <c r="E2668" s="2" t="str">
        <f t="shared" si="624"/>
        <v>马栏山新媒体学院</v>
      </c>
    </row>
    <row r="2669" ht="13.5" hidden="1" spans="1:5">
      <c r="A2669" s="2" t="str">
        <f>"胡馨予"</f>
        <v>胡馨予</v>
      </c>
      <c r="B2669" s="2" t="str">
        <f>"B20230403215"</f>
        <v>B20230403215</v>
      </c>
      <c r="C2669" s="2" t="str">
        <f t="shared" si="625"/>
        <v>女</v>
      </c>
      <c r="D2669" s="2" t="str">
        <f t="shared" si="621"/>
        <v>8</v>
      </c>
      <c r="E2669" s="2" t="str">
        <f>"电子信息与电气工程学院"</f>
        <v>电子信息与电气工程学院</v>
      </c>
    </row>
    <row r="2670" ht="13.5" hidden="1" spans="1:5">
      <c r="A2670" s="2" t="str">
        <f>"李益晟"</f>
        <v>李益晟</v>
      </c>
      <c r="B2670" s="2" t="str">
        <f>"B20200704204"</f>
        <v>B20200704204</v>
      </c>
      <c r="C2670" s="2" t="str">
        <f t="shared" ref="C2670:C2674" si="626">"男"</f>
        <v>男</v>
      </c>
      <c r="D2670" s="2" t="str">
        <f t="shared" si="621"/>
        <v>8</v>
      </c>
      <c r="E2670" s="2" t="str">
        <f>"马栏山新媒体学院"</f>
        <v>马栏山新媒体学院</v>
      </c>
    </row>
    <row r="2671" ht="13.5" hidden="1" spans="1:5">
      <c r="A2671" s="2" t="str">
        <f>"石秀峙"</f>
        <v>石秀峙</v>
      </c>
      <c r="B2671" s="2" t="str">
        <f>"B20200904236"</f>
        <v>B20200904236</v>
      </c>
      <c r="C2671" s="2" t="str">
        <f t="shared" si="626"/>
        <v>男</v>
      </c>
      <c r="D2671" s="2" t="str">
        <f t="shared" si="621"/>
        <v>8</v>
      </c>
      <c r="E2671" s="2" t="str">
        <f>"经济与管理学院"</f>
        <v>经济与管理学院</v>
      </c>
    </row>
    <row r="2672" customHeight="1" spans="1:5">
      <c r="A2672" s="6" t="str">
        <f>"姚义香"</f>
        <v>姚义香</v>
      </c>
      <c r="B2672" s="6" t="str">
        <f>"B20210302310"</f>
        <v>B20210302310</v>
      </c>
      <c r="C2672" s="6" t="str">
        <f>"女"</f>
        <v>女</v>
      </c>
      <c r="D2672" s="7" t="str">
        <f>"11"</f>
        <v>11</v>
      </c>
      <c r="E2672" s="6" t="str">
        <f>"计算机科学与工程学院"</f>
        <v>计算机科学与工程学院</v>
      </c>
    </row>
    <row r="2673" ht="13.5" hidden="1" spans="1:5">
      <c r="A2673" s="2" t="str">
        <f>"肖训回"</f>
        <v>肖训回</v>
      </c>
      <c r="B2673" s="2" t="str">
        <f>"B20200701126"</f>
        <v>B20200701126</v>
      </c>
      <c r="C2673" s="2" t="str">
        <f t="shared" si="626"/>
        <v>男</v>
      </c>
      <c r="D2673" s="2" t="str">
        <f t="shared" si="621"/>
        <v>8</v>
      </c>
      <c r="E2673" s="2" t="str">
        <f>"马栏山新媒体学院"</f>
        <v>马栏山新媒体学院</v>
      </c>
    </row>
    <row r="2674" ht="13.5" hidden="1" spans="1:5">
      <c r="A2674" s="2" t="str">
        <f>"赵旭锋"</f>
        <v>赵旭锋</v>
      </c>
      <c r="B2674" s="2" t="str">
        <f>"B20200401401"</f>
        <v>B20200401401</v>
      </c>
      <c r="C2674" s="2" t="str">
        <f t="shared" si="626"/>
        <v>男</v>
      </c>
      <c r="D2674" s="2" t="str">
        <f t="shared" si="621"/>
        <v>8</v>
      </c>
      <c r="E2674" s="2" t="str">
        <f>"电子信息与电气工程学院"</f>
        <v>电子信息与电气工程学院</v>
      </c>
    </row>
    <row r="2675" ht="13.5" hidden="1" spans="1:5">
      <c r="A2675" s="2" t="str">
        <f>"武芮宁"</f>
        <v>武芮宁</v>
      </c>
      <c r="B2675" s="2" t="str">
        <f>"B20230801306"</f>
        <v>B20230801306</v>
      </c>
      <c r="C2675" s="2" t="str">
        <f>"女"</f>
        <v>女</v>
      </c>
      <c r="D2675" s="2" t="str">
        <f t="shared" si="621"/>
        <v>8</v>
      </c>
      <c r="E2675" s="2" t="str">
        <f>"外国语学院"</f>
        <v>外国语学院</v>
      </c>
    </row>
    <row r="2676" customHeight="1" spans="1:5">
      <c r="A2676" s="6" t="str">
        <f>"彭健"</f>
        <v>彭健</v>
      </c>
      <c r="B2676" s="6" t="str">
        <f>"B20210302311"</f>
        <v>B20210302311</v>
      </c>
      <c r="C2676" s="6" t="str">
        <f>"男"</f>
        <v>男</v>
      </c>
      <c r="D2676" s="7" t="str">
        <f>"13"</f>
        <v>13</v>
      </c>
      <c r="E2676" s="6" t="str">
        <f>"计算机科学与工程学院"</f>
        <v>计算机科学与工程学院</v>
      </c>
    </row>
    <row r="2677" ht="13.5" hidden="1" spans="1:5">
      <c r="A2677" s="2" t="str">
        <f>"陈蕴芝"</f>
        <v>陈蕴芝</v>
      </c>
      <c r="B2677" s="2" t="str">
        <f>"B20210801422"</f>
        <v>B20210801422</v>
      </c>
      <c r="C2677" s="2" t="str">
        <f>"女"</f>
        <v>女</v>
      </c>
      <c r="D2677" s="2" t="str">
        <f t="shared" si="621"/>
        <v>8</v>
      </c>
      <c r="E2677" s="2" t="str">
        <f>"外国语学院"</f>
        <v>外国语学院</v>
      </c>
    </row>
    <row r="2678" ht="13.5" hidden="1" spans="1:5">
      <c r="A2678" s="2" t="str">
        <f>"滕禹君"</f>
        <v>滕禹君</v>
      </c>
      <c r="B2678" s="2" t="str">
        <f>"B20230601401"</f>
        <v>B20230601401</v>
      </c>
      <c r="C2678" s="2" t="str">
        <f>"男"</f>
        <v>男</v>
      </c>
      <c r="D2678" s="2" t="str">
        <f t="shared" si="621"/>
        <v>8</v>
      </c>
      <c r="E2678" s="2" t="str">
        <f>"法学院"</f>
        <v>法学院</v>
      </c>
    </row>
    <row r="2679" customHeight="1" spans="1:5">
      <c r="A2679" s="6" t="str">
        <f>"曾靖"</f>
        <v>曾靖</v>
      </c>
      <c r="B2679" s="6" t="str">
        <f>"B20210302312"</f>
        <v>B20210302312</v>
      </c>
      <c r="C2679" s="6" t="str">
        <f>"女"</f>
        <v>女</v>
      </c>
      <c r="D2679" s="7" t="str">
        <f>"9"</f>
        <v>9</v>
      </c>
      <c r="E2679" s="6" t="str">
        <f>"计算机科学与工程学院"</f>
        <v>计算机科学与工程学院</v>
      </c>
    </row>
    <row r="2680" customHeight="1" spans="1:5">
      <c r="A2680" s="6" t="str">
        <f>"欧艳菲"</f>
        <v>欧艳菲</v>
      </c>
      <c r="B2680" s="6" t="str">
        <f>"B20210302313"</f>
        <v>B20210302313</v>
      </c>
      <c r="C2680" s="6" t="str">
        <f>"女"</f>
        <v>女</v>
      </c>
      <c r="D2680" s="7" t="str">
        <f>"15"</f>
        <v>15</v>
      </c>
      <c r="E2680" s="6" t="str">
        <f>"计算机科学与工程学院"</f>
        <v>计算机科学与工程学院</v>
      </c>
    </row>
    <row r="2681" customHeight="1" spans="1:5">
      <c r="A2681" s="6" t="str">
        <f>"王午阳"</f>
        <v>王午阳</v>
      </c>
      <c r="B2681" s="6" t="str">
        <f>"B20210302314"</f>
        <v>B20210302314</v>
      </c>
      <c r="C2681" s="6" t="str">
        <f>"男"</f>
        <v>男</v>
      </c>
      <c r="D2681" s="7" t="str">
        <f>"16"</f>
        <v>16</v>
      </c>
      <c r="E2681" s="6" t="str">
        <f>"计算机科学与工程学院"</f>
        <v>计算机科学与工程学院</v>
      </c>
    </row>
    <row r="2682" ht="13.5" hidden="1" spans="1:5">
      <c r="A2682" s="2" t="str">
        <f>"徐羽培"</f>
        <v>徐羽培</v>
      </c>
      <c r="B2682" s="2" t="str">
        <f>"B20230905126"</f>
        <v>B20230905126</v>
      </c>
      <c r="C2682" s="2" t="str">
        <f t="shared" ref="C2682:C2684" si="627">"男"</f>
        <v>男</v>
      </c>
      <c r="D2682" s="2" t="str">
        <f t="shared" si="621"/>
        <v>8</v>
      </c>
      <c r="E2682" s="2" t="str">
        <f>"经济与管理学院"</f>
        <v>经济与管理学院</v>
      </c>
    </row>
    <row r="2683" ht="13.5" hidden="1" spans="1:5">
      <c r="A2683" s="2" t="str">
        <f>"周广顺"</f>
        <v>周广顺</v>
      </c>
      <c r="B2683" s="2" t="str">
        <f>"B20210404113"</f>
        <v>B20210404113</v>
      </c>
      <c r="C2683" s="2" t="str">
        <f t="shared" si="627"/>
        <v>男</v>
      </c>
      <c r="D2683" s="2" t="str">
        <f t="shared" si="621"/>
        <v>8</v>
      </c>
      <c r="E2683" s="2" t="str">
        <f>"电子信息与电气工程学院"</f>
        <v>电子信息与电气工程学院</v>
      </c>
    </row>
    <row r="2684" ht="13.5" hidden="1" spans="1:5">
      <c r="A2684" s="2" t="str">
        <f>"李季峰"</f>
        <v>李季峰</v>
      </c>
      <c r="B2684" s="2" t="str">
        <f>"B20210204211"</f>
        <v>B20210204211</v>
      </c>
      <c r="C2684" s="2" t="str">
        <f t="shared" si="627"/>
        <v>男</v>
      </c>
      <c r="D2684" s="2" t="str">
        <f t="shared" si="621"/>
        <v>8</v>
      </c>
      <c r="E2684" s="2" t="str">
        <f>"机电工程学院"</f>
        <v>机电工程学院</v>
      </c>
    </row>
    <row r="2685" ht="13.5" hidden="1" spans="1:5">
      <c r="A2685" s="2" t="str">
        <f>"李小月"</f>
        <v>李小月</v>
      </c>
      <c r="B2685" s="2" t="str">
        <f>"B20230901304"</f>
        <v>B20230901304</v>
      </c>
      <c r="C2685" s="2" t="str">
        <f>"女"</f>
        <v>女</v>
      </c>
      <c r="D2685" s="2" t="str">
        <f t="shared" si="621"/>
        <v>8</v>
      </c>
      <c r="E2685" s="2" t="str">
        <f>"经济与管理学院"</f>
        <v>经济与管理学院</v>
      </c>
    </row>
    <row r="2686" customHeight="1" spans="1:5">
      <c r="A2686" s="6" t="str">
        <f>"莫扬"</f>
        <v>莫扬</v>
      </c>
      <c r="B2686" s="6" t="str">
        <f>"B20210302318"</f>
        <v>B20210302318</v>
      </c>
      <c r="C2686" s="6" t="str">
        <f>"男"</f>
        <v>男</v>
      </c>
      <c r="D2686" s="7" t="str">
        <f>"1"</f>
        <v>1</v>
      </c>
      <c r="E2686" s="6" t="str">
        <f>"计算机科学与工程学院"</f>
        <v>计算机科学与工程学院</v>
      </c>
    </row>
    <row r="2687" customHeight="1" spans="1:5">
      <c r="A2687" s="6" t="str">
        <f>"肖和才"</f>
        <v>肖和才</v>
      </c>
      <c r="B2687" s="6" t="str">
        <f>"B20210302319"</f>
        <v>B20210302319</v>
      </c>
      <c r="C2687" s="6" t="str">
        <f>"男"</f>
        <v>男</v>
      </c>
      <c r="D2687" s="7" t="str">
        <f>"4"</f>
        <v>4</v>
      </c>
      <c r="E2687" s="6" t="str">
        <f>"计算机科学与工程学院"</f>
        <v>计算机科学与工程学院</v>
      </c>
    </row>
    <row r="2688" ht="13.5" hidden="1" spans="1:5">
      <c r="A2688" s="2" t="str">
        <f>"叶倚剑"</f>
        <v>叶倚剑</v>
      </c>
      <c r="B2688" s="2" t="str">
        <f>"B20220703217"</f>
        <v>B20220703217</v>
      </c>
      <c r="C2688" s="2" t="str">
        <f t="shared" ref="C2686:C2689" si="628">"男"</f>
        <v>男</v>
      </c>
      <c r="D2688" s="2" t="str">
        <f t="shared" si="621"/>
        <v>8</v>
      </c>
      <c r="E2688" s="2" t="str">
        <f>"马栏山新媒体学院"</f>
        <v>马栏山新媒体学院</v>
      </c>
    </row>
    <row r="2689" ht="13.5" hidden="1" spans="1:5">
      <c r="A2689" s="2" t="str">
        <f>"尉博洋"</f>
        <v>尉博洋</v>
      </c>
      <c r="B2689" s="2" t="str">
        <f>"B20210101403"</f>
        <v>B20210101403</v>
      </c>
      <c r="C2689" s="2" t="str">
        <f t="shared" si="628"/>
        <v>男</v>
      </c>
      <c r="D2689" s="2" t="str">
        <f t="shared" si="621"/>
        <v>8</v>
      </c>
      <c r="E2689" s="2" t="str">
        <f t="shared" ref="E2689:E2691" si="629">"土木工程学院"</f>
        <v>土木工程学院</v>
      </c>
    </row>
    <row r="2690" ht="13.5" hidden="1" spans="1:5">
      <c r="A2690" s="2" t="str">
        <f>"段裕婷"</f>
        <v>段裕婷</v>
      </c>
      <c r="B2690" s="2" t="str">
        <f>"B20230104222"</f>
        <v>B20230104222</v>
      </c>
      <c r="C2690" s="2" t="str">
        <f>"女"</f>
        <v>女</v>
      </c>
      <c r="D2690" s="2" t="str">
        <f t="shared" si="621"/>
        <v>8</v>
      </c>
      <c r="E2690" s="2" t="str">
        <f t="shared" si="629"/>
        <v>土木工程学院</v>
      </c>
    </row>
    <row r="2691" ht="13.5" hidden="1" spans="1:5">
      <c r="A2691" s="2" t="str">
        <f>"李钦文"</f>
        <v>李钦文</v>
      </c>
      <c r="B2691" s="2" t="str">
        <f>"B20220104108"</f>
        <v>B20220104108</v>
      </c>
      <c r="C2691" s="2" t="str">
        <f>"女"</f>
        <v>女</v>
      </c>
      <c r="D2691" s="2" t="str">
        <f t="shared" si="621"/>
        <v>8</v>
      </c>
      <c r="E2691" s="2" t="str">
        <f t="shared" si="629"/>
        <v>土木工程学院</v>
      </c>
    </row>
    <row r="2692" ht="13.5" hidden="1" spans="1:5">
      <c r="A2692" s="2" t="str">
        <f>"谢攀"</f>
        <v>谢攀</v>
      </c>
      <c r="B2692" s="2" t="str">
        <f>"B20210404108"</f>
        <v>B20210404108</v>
      </c>
      <c r="C2692" s="2" t="str">
        <f t="shared" ref="C2692:C2700" si="630">"男"</f>
        <v>男</v>
      </c>
      <c r="D2692" s="2" t="str">
        <f t="shared" si="621"/>
        <v>8</v>
      </c>
      <c r="E2692" s="2" t="str">
        <f t="shared" ref="E2692:E2696" si="631">"电子信息与电气工程学院"</f>
        <v>电子信息与电气工程学院</v>
      </c>
    </row>
    <row r="2693" ht="13.5" hidden="1" spans="1:5">
      <c r="A2693" s="2" t="str">
        <f>"李枫"</f>
        <v>李枫</v>
      </c>
      <c r="B2693" s="2" t="str">
        <f>"B20210402203"</f>
        <v>B20210402203</v>
      </c>
      <c r="C2693" s="2" t="str">
        <f t="shared" si="630"/>
        <v>男</v>
      </c>
      <c r="D2693" s="2" t="str">
        <f t="shared" si="621"/>
        <v>8</v>
      </c>
      <c r="E2693" s="2" t="str">
        <f t="shared" si="631"/>
        <v>电子信息与电气工程学院</v>
      </c>
    </row>
    <row r="2694" ht="13.5" hidden="1" spans="1:5">
      <c r="A2694" s="2" t="str">
        <f>"钟志飞"</f>
        <v>钟志飞</v>
      </c>
      <c r="B2694" s="2" t="str">
        <f>"B20230702110"</f>
        <v>B20230702110</v>
      </c>
      <c r="C2694" s="2" t="str">
        <f t="shared" si="630"/>
        <v>男</v>
      </c>
      <c r="D2694" s="2" t="str">
        <f t="shared" si="621"/>
        <v>8</v>
      </c>
      <c r="E2694" s="2" t="str">
        <f>"马栏山新媒体学院"</f>
        <v>马栏山新媒体学院</v>
      </c>
    </row>
    <row r="2695" customHeight="1" spans="1:5">
      <c r="A2695" s="6" t="str">
        <f>"李亚儒"</f>
        <v>李亚儒</v>
      </c>
      <c r="B2695" s="6" t="str">
        <f>"B20210302323"</f>
        <v>B20210302323</v>
      </c>
      <c r="C2695" s="6" t="str">
        <f t="shared" si="630"/>
        <v>男</v>
      </c>
      <c r="D2695" s="7" t="str">
        <f>"6"</f>
        <v>6</v>
      </c>
      <c r="E2695" s="6" t="str">
        <f>"计算机科学与工程学院"</f>
        <v>计算机科学与工程学院</v>
      </c>
    </row>
    <row r="2696" ht="13.5" hidden="1" spans="1:5">
      <c r="A2696" s="2" t="str">
        <f>"胡成顺"</f>
        <v>胡成顺</v>
      </c>
      <c r="B2696" s="2" t="str">
        <f>"B20220402128"</f>
        <v>B20220402128</v>
      </c>
      <c r="C2696" s="2" t="str">
        <f t="shared" si="630"/>
        <v>男</v>
      </c>
      <c r="D2696" s="2" t="str">
        <f t="shared" si="621"/>
        <v>8</v>
      </c>
      <c r="E2696" s="2" t="str">
        <f t="shared" si="631"/>
        <v>电子信息与电气工程学院</v>
      </c>
    </row>
    <row r="2697" ht="13.5" hidden="1" spans="1:5">
      <c r="A2697" s="2" t="str">
        <f>"邓凯成"</f>
        <v>邓凯成</v>
      </c>
      <c r="B2697" s="2" t="str">
        <f>"B20220906110"</f>
        <v>B20220906110</v>
      </c>
      <c r="C2697" s="2" t="str">
        <f t="shared" si="630"/>
        <v>男</v>
      </c>
      <c r="D2697" s="2" t="str">
        <f t="shared" si="621"/>
        <v>8</v>
      </c>
      <c r="E2697" s="2" t="str">
        <f>"经济与管理学院"</f>
        <v>经济与管理学院</v>
      </c>
    </row>
    <row r="2698" ht="13.5" hidden="1" spans="1:5">
      <c r="A2698" s="2" t="str">
        <f>"邓世达"</f>
        <v>邓世达</v>
      </c>
      <c r="B2698" s="2" t="str">
        <f>"B20230401109"</f>
        <v>B20230401109</v>
      </c>
      <c r="C2698" s="2" t="str">
        <f t="shared" si="630"/>
        <v>男</v>
      </c>
      <c r="D2698" s="2" t="str">
        <f t="shared" si="621"/>
        <v>8</v>
      </c>
      <c r="E2698" s="2" t="str">
        <f>"电子信息与电气工程学院"</f>
        <v>电子信息与电气工程学院</v>
      </c>
    </row>
    <row r="2699" ht="13.5" hidden="1" spans="1:5">
      <c r="A2699" s="2" t="str">
        <f>"杨泽群"</f>
        <v>杨泽群</v>
      </c>
      <c r="B2699" s="2" t="str">
        <f>"B20230101216"</f>
        <v>B20230101216</v>
      </c>
      <c r="C2699" s="2" t="str">
        <f t="shared" si="630"/>
        <v>男</v>
      </c>
      <c r="D2699" s="2" t="str">
        <f t="shared" si="621"/>
        <v>8</v>
      </c>
      <c r="E2699" s="2" t="str">
        <f>"土木工程学院"</f>
        <v>土木工程学院</v>
      </c>
    </row>
    <row r="2700" ht="13.5" hidden="1" spans="1:5">
      <c r="A2700" s="2" t="str">
        <f>"苏罗浪"</f>
        <v>苏罗浪</v>
      </c>
      <c r="B2700" s="2" t="str">
        <f>"B20230204132"</f>
        <v>B20230204132</v>
      </c>
      <c r="C2700" s="2" t="str">
        <f t="shared" si="630"/>
        <v>男</v>
      </c>
      <c r="D2700" s="2" t="str">
        <f t="shared" si="621"/>
        <v>8</v>
      </c>
      <c r="E2700" s="2" t="str">
        <f>"机电工程学院"</f>
        <v>机电工程学院</v>
      </c>
    </row>
    <row r="2701" ht="13.5" hidden="1" spans="1:5">
      <c r="A2701" s="2" t="str">
        <f>"李欣瑶"</f>
        <v>李欣瑶</v>
      </c>
      <c r="B2701" s="2" t="str">
        <f>"B20230402206"</f>
        <v>B20230402206</v>
      </c>
      <c r="C2701" s="2" t="str">
        <f t="shared" ref="C2701:C2707" si="632">"女"</f>
        <v>女</v>
      </c>
      <c r="D2701" s="2" t="str">
        <f t="shared" si="621"/>
        <v>8</v>
      </c>
      <c r="E2701" s="2" t="str">
        <f>"电子信息与电气工程学院"</f>
        <v>电子信息与电气工程学院</v>
      </c>
    </row>
    <row r="2702" ht="13.5" hidden="1" spans="1:5">
      <c r="A2702" s="2" t="str">
        <f>"高亚博"</f>
        <v>高亚博</v>
      </c>
      <c r="B2702" s="2" t="str">
        <f>"B20230201432"</f>
        <v>B20230201432</v>
      </c>
      <c r="C2702" s="2" t="str">
        <f>"男"</f>
        <v>男</v>
      </c>
      <c r="D2702" s="2" t="str">
        <f t="shared" si="621"/>
        <v>8</v>
      </c>
      <c r="E2702" s="2" t="str">
        <f>"机电工程学院"</f>
        <v>机电工程学院</v>
      </c>
    </row>
    <row r="2703" customHeight="1" spans="1:5">
      <c r="A2703" s="6" t="str">
        <f>"欧阳浩"</f>
        <v>欧阳浩</v>
      </c>
      <c r="B2703" s="6" t="str">
        <f>"B20210302325"</f>
        <v>B20210302325</v>
      </c>
      <c r="C2703" s="6" t="str">
        <f>"男"</f>
        <v>男</v>
      </c>
      <c r="D2703" s="7" t="str">
        <f>"4"</f>
        <v>4</v>
      </c>
      <c r="E2703" s="6" t="str">
        <f>"计算机科学与工程学院"</f>
        <v>计算机科学与工程学院</v>
      </c>
    </row>
    <row r="2704" ht="13.5" hidden="1" spans="1:5">
      <c r="A2704" s="2" t="str">
        <f>"范慧芝"</f>
        <v>范慧芝</v>
      </c>
      <c r="B2704" s="2" t="str">
        <f>"B20220601423"</f>
        <v>B20220601423</v>
      </c>
      <c r="C2704" s="2" t="str">
        <f t="shared" si="632"/>
        <v>女</v>
      </c>
      <c r="D2704" s="2" t="str">
        <f t="shared" si="621"/>
        <v>8</v>
      </c>
      <c r="E2704" s="2" t="str">
        <f>"法学院"</f>
        <v>法学院</v>
      </c>
    </row>
    <row r="2705" ht="13.5" hidden="1" spans="1:5">
      <c r="A2705" s="2" t="str">
        <f>"刘婕"</f>
        <v>刘婕</v>
      </c>
      <c r="B2705" s="2" t="str">
        <f>"B20230902125"</f>
        <v>B20230902125</v>
      </c>
      <c r="C2705" s="2" t="str">
        <f t="shared" si="632"/>
        <v>女</v>
      </c>
      <c r="D2705" s="2" t="str">
        <f t="shared" si="621"/>
        <v>8</v>
      </c>
      <c r="E2705" s="2" t="str">
        <f>"经济与管理学院"</f>
        <v>经济与管理学院</v>
      </c>
    </row>
    <row r="2706" ht="13.5" hidden="1" spans="1:5">
      <c r="A2706" s="2" t="str">
        <f>"彭雨"</f>
        <v>彭雨</v>
      </c>
      <c r="B2706" s="2" t="str">
        <f>"B20230702114"</f>
        <v>B20230702114</v>
      </c>
      <c r="C2706" s="2" t="str">
        <f t="shared" si="632"/>
        <v>女</v>
      </c>
      <c r="D2706" s="2" t="str">
        <f t="shared" si="621"/>
        <v>8</v>
      </c>
      <c r="E2706" s="2" t="str">
        <f>"马栏山新媒体学院"</f>
        <v>马栏山新媒体学院</v>
      </c>
    </row>
    <row r="2707" ht="13.5" hidden="1" spans="1:5">
      <c r="A2707" s="2" t="str">
        <f>"黄珊"</f>
        <v>黄珊</v>
      </c>
      <c r="B2707" s="2" t="str">
        <f>"B20220901106"</f>
        <v>B20220901106</v>
      </c>
      <c r="C2707" s="2" t="str">
        <f t="shared" si="632"/>
        <v>女</v>
      </c>
      <c r="D2707" s="2" t="str">
        <f t="shared" si="621"/>
        <v>8</v>
      </c>
      <c r="E2707" s="2" t="str">
        <f>"经济与管理学院"</f>
        <v>经济与管理学院</v>
      </c>
    </row>
    <row r="2708" ht="13.5" hidden="1" spans="1:5">
      <c r="A2708" s="2" t="str">
        <f>"欧康宇"</f>
        <v>欧康宇</v>
      </c>
      <c r="B2708" s="2" t="str">
        <f>"B20200202216"</f>
        <v>B20200202216</v>
      </c>
      <c r="C2708" s="2" t="str">
        <f t="shared" ref="C2708:C2713" si="633">"男"</f>
        <v>男</v>
      </c>
      <c r="D2708" s="2" t="str">
        <f t="shared" si="621"/>
        <v>8</v>
      </c>
      <c r="E2708" s="2" t="str">
        <f>"机电工程学院"</f>
        <v>机电工程学院</v>
      </c>
    </row>
    <row r="2709" ht="13.5" hidden="1" spans="1:5">
      <c r="A2709" s="2" t="str">
        <f>"方哲文"</f>
        <v>方哲文</v>
      </c>
      <c r="B2709" s="2" t="str">
        <f>"B20230404101"</f>
        <v>B20230404101</v>
      </c>
      <c r="C2709" s="2" t="str">
        <f t="shared" si="633"/>
        <v>男</v>
      </c>
      <c r="D2709" s="2" t="str">
        <f t="shared" si="621"/>
        <v>8</v>
      </c>
      <c r="E2709" s="2" t="str">
        <f>"电子信息与电气工程学院"</f>
        <v>电子信息与电气工程学院</v>
      </c>
    </row>
    <row r="2710" ht="13.5" hidden="1" spans="1:5">
      <c r="A2710" s="2" t="str">
        <f>"薛嘉瑜"</f>
        <v>薛嘉瑜</v>
      </c>
      <c r="B2710" s="2" t="str">
        <f>"B20230403222"</f>
        <v>B20230403222</v>
      </c>
      <c r="C2710" s="2" t="str">
        <f>"女"</f>
        <v>女</v>
      </c>
      <c r="D2710" s="2" t="str">
        <f t="shared" ref="D2710:D2773" si="634">"8"</f>
        <v>8</v>
      </c>
      <c r="E2710" s="2" t="str">
        <f>"电子信息与电气工程学院"</f>
        <v>电子信息与电气工程学院</v>
      </c>
    </row>
    <row r="2711" customHeight="1" spans="1:5">
      <c r="A2711" s="6" t="str">
        <f>"李俊瑜"</f>
        <v>李俊瑜</v>
      </c>
      <c r="B2711" s="6" t="str">
        <f>"B20210302326"</f>
        <v>B20210302326</v>
      </c>
      <c r="C2711" s="6" t="str">
        <f>"男"</f>
        <v>男</v>
      </c>
      <c r="D2711" s="7" t="str">
        <f>"10"</f>
        <v>10</v>
      </c>
      <c r="E2711" s="6" t="str">
        <f>"计算机科学与工程学院"</f>
        <v>计算机科学与工程学院</v>
      </c>
    </row>
    <row r="2712" ht="13.5" hidden="1" spans="1:5">
      <c r="A2712" s="2" t="str">
        <f>"黄嘉涛"</f>
        <v>黄嘉涛</v>
      </c>
      <c r="B2712" s="2" t="str">
        <f>"B20230204233"</f>
        <v>B20230204233</v>
      </c>
      <c r="C2712" s="2" t="str">
        <f t="shared" si="633"/>
        <v>男</v>
      </c>
      <c r="D2712" s="2" t="str">
        <f t="shared" si="634"/>
        <v>8</v>
      </c>
      <c r="E2712" s="2" t="str">
        <f>"机电工程学院"</f>
        <v>机电工程学院</v>
      </c>
    </row>
    <row r="2713" customHeight="1" spans="1:5">
      <c r="A2713" s="6" t="str">
        <f>"廖超逸"</f>
        <v>廖超逸</v>
      </c>
      <c r="B2713" s="6" t="str">
        <f>"B20210302327"</f>
        <v>B20210302327</v>
      </c>
      <c r="C2713" s="6" t="str">
        <f t="shared" si="633"/>
        <v>男</v>
      </c>
      <c r="D2713" s="7" t="str">
        <f>"14"</f>
        <v>14</v>
      </c>
      <c r="E2713" s="6" t="str">
        <f>"计算机科学与工程学院"</f>
        <v>计算机科学与工程学院</v>
      </c>
    </row>
    <row r="2714" ht="13.5" hidden="1" spans="1:5">
      <c r="A2714" s="2" t="str">
        <f>"贺仁飞"</f>
        <v>贺仁飞</v>
      </c>
      <c r="B2714" s="2" t="str">
        <f>"B20200906234"</f>
        <v>B20200906234</v>
      </c>
      <c r="C2714" s="2" t="str">
        <f t="shared" ref="C2714:C2717" si="635">"男"</f>
        <v>男</v>
      </c>
      <c r="D2714" s="2" t="str">
        <f t="shared" si="634"/>
        <v>8</v>
      </c>
      <c r="E2714" s="2" t="str">
        <f>"经济与管理学院"</f>
        <v>经济与管理学院</v>
      </c>
    </row>
    <row r="2715" customHeight="1" spans="1:5">
      <c r="A2715" s="6" t="str">
        <f>"郭雅雯"</f>
        <v>郭雅雯</v>
      </c>
      <c r="B2715" s="6" t="str">
        <f>"B20210302328"</f>
        <v>B20210302328</v>
      </c>
      <c r="C2715" s="6" t="str">
        <f>"女"</f>
        <v>女</v>
      </c>
      <c r="D2715" s="7" t="str">
        <f>"15"</f>
        <v>15</v>
      </c>
      <c r="E2715" s="6" t="str">
        <f>"计算机科学与工程学院"</f>
        <v>计算机科学与工程学院</v>
      </c>
    </row>
    <row r="2716" ht="13.5" hidden="1" spans="1:5">
      <c r="A2716" s="2" t="str">
        <f>"尹正波"</f>
        <v>尹正波</v>
      </c>
      <c r="B2716" s="2" t="str">
        <f>"B20220101101"</f>
        <v>B20220101101</v>
      </c>
      <c r="C2716" s="2" t="str">
        <f t="shared" si="635"/>
        <v>男</v>
      </c>
      <c r="D2716" s="2" t="str">
        <f t="shared" si="634"/>
        <v>8</v>
      </c>
      <c r="E2716" s="2" t="str">
        <f>"土木工程学院"</f>
        <v>土木工程学院</v>
      </c>
    </row>
    <row r="2717" ht="13.5" hidden="1" spans="1:5">
      <c r="A2717" s="2" t="str">
        <f>"吴坤"</f>
        <v>吴坤</v>
      </c>
      <c r="B2717" s="2" t="str">
        <f>"B20210101427"</f>
        <v>B20210101427</v>
      </c>
      <c r="C2717" s="2" t="str">
        <f t="shared" si="635"/>
        <v>男</v>
      </c>
      <c r="D2717" s="2" t="str">
        <f t="shared" si="634"/>
        <v>8</v>
      </c>
      <c r="E2717" s="2" t="str">
        <f>"土木工程学院"</f>
        <v>土木工程学院</v>
      </c>
    </row>
    <row r="2718" ht="13.5" hidden="1" spans="1:5">
      <c r="A2718" s="2" t="str">
        <f>"杨莉"</f>
        <v>杨莉</v>
      </c>
      <c r="B2718" s="2" t="str">
        <f>"B20220703211"</f>
        <v>B20220703211</v>
      </c>
      <c r="C2718" s="2" t="str">
        <f t="shared" ref="C2718:C2723" si="636">"女"</f>
        <v>女</v>
      </c>
      <c r="D2718" s="2" t="str">
        <f t="shared" si="634"/>
        <v>8</v>
      </c>
      <c r="E2718" s="2" t="str">
        <f>"马栏山新媒体学院"</f>
        <v>马栏山新媒体学院</v>
      </c>
    </row>
    <row r="2719" customHeight="1" spans="1:5">
      <c r="A2719" s="6" t="str">
        <f>"吴盈"</f>
        <v>吴盈</v>
      </c>
      <c r="B2719" s="6" t="str">
        <f>"B20210302329"</f>
        <v>B20210302329</v>
      </c>
      <c r="C2719" s="6" t="str">
        <f t="shared" si="636"/>
        <v>女</v>
      </c>
      <c r="D2719" s="7" t="str">
        <f>"20"</f>
        <v>20</v>
      </c>
      <c r="E2719" s="6" t="str">
        <f>"计算机科学与工程学院"</f>
        <v>计算机科学与工程学院</v>
      </c>
    </row>
    <row r="2720" ht="13.5" hidden="1" spans="1:5">
      <c r="A2720" s="2" t="str">
        <f>"邱泽华"</f>
        <v>邱泽华</v>
      </c>
      <c r="B2720" s="2" t="str">
        <f>"B20200201316"</f>
        <v>B20200201316</v>
      </c>
      <c r="C2720" s="2" t="str">
        <f>"男"</f>
        <v>男</v>
      </c>
      <c r="D2720" s="2" t="str">
        <f t="shared" si="634"/>
        <v>8</v>
      </c>
      <c r="E2720" s="2" t="str">
        <f>"机电工程学院"</f>
        <v>机电工程学院</v>
      </c>
    </row>
    <row r="2721" ht="13.5" hidden="1" spans="1:5">
      <c r="A2721" s="2" t="str">
        <f>"骆雅昕"</f>
        <v>骆雅昕</v>
      </c>
      <c r="B2721" s="2" t="str">
        <f>"B20231301222"</f>
        <v>B20231301222</v>
      </c>
      <c r="C2721" s="2" t="str">
        <f t="shared" si="636"/>
        <v>女</v>
      </c>
      <c r="D2721" s="2" t="str">
        <f t="shared" si="634"/>
        <v>8</v>
      </c>
      <c r="E2721" s="2" t="str">
        <f>"材料与环境工程学院"</f>
        <v>材料与环境工程学院</v>
      </c>
    </row>
    <row r="2722" customHeight="1" spans="1:5">
      <c r="A2722" s="6" t="str">
        <f>"周紫瑞"</f>
        <v>周紫瑞</v>
      </c>
      <c r="B2722" s="6" t="str">
        <f>"B20210302401"</f>
        <v>B20210302401</v>
      </c>
      <c r="C2722" s="6" t="str">
        <f t="shared" si="636"/>
        <v>女</v>
      </c>
      <c r="D2722" s="7" t="str">
        <f>"9"</f>
        <v>9</v>
      </c>
      <c r="E2722" s="6" t="str">
        <f>"计算机科学与工程学院"</f>
        <v>计算机科学与工程学院</v>
      </c>
    </row>
    <row r="2723" ht="13.5" hidden="1" spans="1:5">
      <c r="A2723" s="2" t="str">
        <f>"刘曾"</f>
        <v>刘曾</v>
      </c>
      <c r="B2723" s="2" t="str">
        <f>"B20221302114"</f>
        <v>B20221302114</v>
      </c>
      <c r="C2723" s="2" t="str">
        <f t="shared" si="636"/>
        <v>女</v>
      </c>
      <c r="D2723" s="2" t="str">
        <f t="shared" si="634"/>
        <v>8</v>
      </c>
      <c r="E2723" s="2" t="str">
        <f>"材料与环境工程学院"</f>
        <v>材料与环境工程学院</v>
      </c>
    </row>
    <row r="2724" ht="13.5" hidden="1" spans="1:5">
      <c r="A2724" s="2" t="str">
        <f>"吴梓煊"</f>
        <v>吴梓煊</v>
      </c>
      <c r="B2724" s="2" t="str">
        <f>"B20200402321"</f>
        <v>B20200402321</v>
      </c>
      <c r="C2724" s="2" t="str">
        <f t="shared" ref="C2724:C2726" si="637">"男"</f>
        <v>男</v>
      </c>
      <c r="D2724" s="2" t="str">
        <f t="shared" si="634"/>
        <v>8</v>
      </c>
      <c r="E2724" s="2" t="str">
        <f t="shared" ref="E2724:E2727" si="638">"电子信息与电气工程学院"</f>
        <v>电子信息与电气工程学院</v>
      </c>
    </row>
    <row r="2725" ht="13.5" hidden="1" spans="1:5">
      <c r="A2725" s="2" t="str">
        <f>"戴治栋"</f>
        <v>戴治栋</v>
      </c>
      <c r="B2725" s="2" t="str">
        <f>"B20220202308"</f>
        <v>B20220202308</v>
      </c>
      <c r="C2725" s="2" t="str">
        <f t="shared" si="637"/>
        <v>男</v>
      </c>
      <c r="D2725" s="2" t="str">
        <f t="shared" si="634"/>
        <v>8</v>
      </c>
      <c r="E2725" s="2" t="str">
        <f>"机电工程学院"</f>
        <v>机电工程学院</v>
      </c>
    </row>
    <row r="2726" ht="13.5" hidden="1" spans="1:5">
      <c r="A2726" s="2" t="str">
        <f>"陈昱嘉"</f>
        <v>陈昱嘉</v>
      </c>
      <c r="B2726" s="2" t="str">
        <f>"B20220401213"</f>
        <v>B20220401213</v>
      </c>
      <c r="C2726" s="2" t="str">
        <f t="shared" si="637"/>
        <v>男</v>
      </c>
      <c r="D2726" s="2" t="str">
        <f t="shared" si="634"/>
        <v>8</v>
      </c>
      <c r="E2726" s="2" t="str">
        <f t="shared" si="638"/>
        <v>电子信息与电气工程学院</v>
      </c>
    </row>
    <row r="2727" ht="13.5" hidden="1" spans="1:5">
      <c r="A2727" s="2" t="str">
        <f>"华彦冰"</f>
        <v>华彦冰</v>
      </c>
      <c r="B2727" s="2" t="str">
        <f>"B20230401217"</f>
        <v>B20230401217</v>
      </c>
      <c r="C2727" s="2" t="str">
        <f>"女"</f>
        <v>女</v>
      </c>
      <c r="D2727" s="2" t="str">
        <f t="shared" si="634"/>
        <v>8</v>
      </c>
      <c r="E2727" s="2" t="str">
        <f t="shared" si="638"/>
        <v>电子信息与电气工程学院</v>
      </c>
    </row>
    <row r="2728" ht="13.5" hidden="1" spans="1:5">
      <c r="A2728" s="2" t="str">
        <f>"黄思远"</f>
        <v>黄思远</v>
      </c>
      <c r="B2728" s="2" t="str">
        <f>"B20230501231"</f>
        <v>B20230501231</v>
      </c>
      <c r="C2728" s="2" t="str">
        <f t="shared" ref="C2728:C2733" si="639">"男"</f>
        <v>男</v>
      </c>
      <c r="D2728" s="2" t="str">
        <f t="shared" si="634"/>
        <v>8</v>
      </c>
      <c r="E2728" s="2" t="str">
        <f>"生物与化学工程学院"</f>
        <v>生物与化学工程学院</v>
      </c>
    </row>
    <row r="2729" ht="13.5" hidden="1" spans="1:5">
      <c r="A2729" s="2" t="str">
        <f>"龚旋"</f>
        <v>龚旋</v>
      </c>
      <c r="B2729" s="2" t="str">
        <f>"B20220401217"</f>
        <v>B20220401217</v>
      </c>
      <c r="C2729" s="2" t="str">
        <f t="shared" si="639"/>
        <v>男</v>
      </c>
      <c r="D2729" s="2" t="str">
        <f t="shared" si="634"/>
        <v>8</v>
      </c>
      <c r="E2729" s="2" t="str">
        <f>"电子信息与电气工程学院"</f>
        <v>电子信息与电气工程学院</v>
      </c>
    </row>
    <row r="2730" ht="13.5" hidden="1" spans="1:5">
      <c r="A2730" s="2" t="str">
        <f>"张阳欢"</f>
        <v>张阳欢</v>
      </c>
      <c r="B2730" s="2" t="str">
        <f>"B20220204203"</f>
        <v>B20220204203</v>
      </c>
      <c r="C2730" s="2" t="str">
        <f t="shared" si="639"/>
        <v>男</v>
      </c>
      <c r="D2730" s="2" t="str">
        <f t="shared" si="634"/>
        <v>8</v>
      </c>
      <c r="E2730" s="2" t="str">
        <f>"机电工程学院"</f>
        <v>机电工程学院</v>
      </c>
    </row>
    <row r="2731" ht="13.5" hidden="1" spans="1:5">
      <c r="A2731" s="2" t="str">
        <f>"刘小淋"</f>
        <v>刘小淋</v>
      </c>
      <c r="B2731" s="2" t="str">
        <f>"B20230102105"</f>
        <v>B20230102105</v>
      </c>
      <c r="C2731" s="2" t="str">
        <f t="shared" si="639"/>
        <v>男</v>
      </c>
      <c r="D2731" s="2" t="str">
        <f t="shared" si="634"/>
        <v>8</v>
      </c>
      <c r="E2731" s="2" t="str">
        <f>"土木工程学院"</f>
        <v>土木工程学院</v>
      </c>
    </row>
    <row r="2732" ht="13.5" hidden="1" spans="1:5">
      <c r="A2732" s="2" t="str">
        <f>"陈卫"</f>
        <v>陈卫</v>
      </c>
      <c r="B2732" s="2" t="str">
        <f>"B20201004107"</f>
        <v>B20201004107</v>
      </c>
      <c r="C2732" s="2" t="str">
        <f t="shared" si="639"/>
        <v>男</v>
      </c>
      <c r="D2732" s="2" t="str">
        <f t="shared" si="634"/>
        <v>8</v>
      </c>
      <c r="E2732" s="2" t="str">
        <f>"艺术设计学院"</f>
        <v>艺术设计学院</v>
      </c>
    </row>
    <row r="2733" ht="13.5" hidden="1" spans="1:5">
      <c r="A2733" s="2" t="str">
        <f>"郭航境"</f>
        <v>郭航境</v>
      </c>
      <c r="B2733" s="2" t="str">
        <f>"B20230906135"</f>
        <v>B20230906135</v>
      </c>
      <c r="C2733" s="2" t="str">
        <f t="shared" si="639"/>
        <v>男</v>
      </c>
      <c r="D2733" s="2" t="str">
        <f t="shared" si="634"/>
        <v>8</v>
      </c>
      <c r="E2733" s="2" t="str">
        <f t="shared" ref="E2733:E2737" si="640">"经济与管理学院"</f>
        <v>经济与管理学院</v>
      </c>
    </row>
    <row r="2734" ht="13.5" hidden="1" spans="1:5">
      <c r="A2734" s="2" t="str">
        <f>"黄小荧"</f>
        <v>黄小荧</v>
      </c>
      <c r="B2734" s="2" t="str">
        <f>"B20230905234"</f>
        <v>B20230905234</v>
      </c>
      <c r="C2734" s="2" t="str">
        <f t="shared" ref="C2734:C2737" si="641">"女"</f>
        <v>女</v>
      </c>
      <c r="D2734" s="2" t="str">
        <f t="shared" si="634"/>
        <v>8</v>
      </c>
      <c r="E2734" s="2" t="str">
        <f t="shared" si="640"/>
        <v>经济与管理学院</v>
      </c>
    </row>
    <row r="2735" ht="13.5" hidden="1" spans="1:5">
      <c r="A2735" s="2" t="str">
        <f>"王杰"</f>
        <v>王杰</v>
      </c>
      <c r="B2735" s="2" t="str">
        <f>"B20220201402"</f>
        <v>B20220201402</v>
      </c>
      <c r="C2735" s="2" t="str">
        <f t="shared" ref="C2735:C2739" si="642">"男"</f>
        <v>男</v>
      </c>
      <c r="D2735" s="2" t="str">
        <f t="shared" si="634"/>
        <v>8</v>
      </c>
      <c r="E2735" s="2" t="str">
        <f>"机电工程学院"</f>
        <v>机电工程学院</v>
      </c>
    </row>
    <row r="2736" ht="13.5" hidden="1" spans="1:5">
      <c r="A2736" s="2" t="str">
        <f>"李慧"</f>
        <v>李慧</v>
      </c>
      <c r="B2736" s="2" t="str">
        <f>"B20220204422"</f>
        <v>B20220204422</v>
      </c>
      <c r="C2736" s="2" t="str">
        <f t="shared" si="641"/>
        <v>女</v>
      </c>
      <c r="D2736" s="2" t="str">
        <f t="shared" si="634"/>
        <v>8</v>
      </c>
      <c r="E2736" s="2" t="str">
        <f>"机电工程学院"</f>
        <v>机电工程学院</v>
      </c>
    </row>
    <row r="2737" ht="13.5" hidden="1" spans="1:5">
      <c r="A2737" s="2" t="str">
        <f>"岳锐"</f>
        <v>岳锐</v>
      </c>
      <c r="B2737" s="2" t="str">
        <f>"B20210904231"</f>
        <v>B20210904231</v>
      </c>
      <c r="C2737" s="2" t="str">
        <f t="shared" si="641"/>
        <v>女</v>
      </c>
      <c r="D2737" s="2" t="str">
        <f t="shared" si="634"/>
        <v>8</v>
      </c>
      <c r="E2737" s="2" t="str">
        <f t="shared" si="640"/>
        <v>经济与管理学院</v>
      </c>
    </row>
    <row r="2738" ht="13.5" hidden="1" spans="1:5">
      <c r="A2738" s="2" t="str">
        <f>"姚佳明"</f>
        <v>姚佳明</v>
      </c>
      <c r="B2738" s="2" t="str">
        <f>"B20230405114"</f>
        <v>B20230405114</v>
      </c>
      <c r="C2738" s="2" t="str">
        <f t="shared" si="642"/>
        <v>男</v>
      </c>
      <c r="D2738" s="2" t="str">
        <f t="shared" si="634"/>
        <v>8</v>
      </c>
      <c r="E2738" s="2" t="str">
        <f t="shared" ref="E2738:E2742" si="643">"电子信息与电气工程学院"</f>
        <v>电子信息与电气工程学院</v>
      </c>
    </row>
    <row r="2739" ht="13.5" hidden="1" spans="1:5">
      <c r="A2739" s="2" t="str">
        <f>"车宇轩"</f>
        <v>车宇轩</v>
      </c>
      <c r="B2739" s="2" t="str">
        <f>"B20230901137"</f>
        <v>B20230901137</v>
      </c>
      <c r="C2739" s="2" t="str">
        <f t="shared" si="642"/>
        <v>男</v>
      </c>
      <c r="D2739" s="2" t="str">
        <f t="shared" si="634"/>
        <v>8</v>
      </c>
      <c r="E2739" s="2" t="str">
        <f>"经济与管理学院"</f>
        <v>经济与管理学院</v>
      </c>
    </row>
    <row r="2740" ht="13.5" hidden="1" spans="1:5">
      <c r="A2740" s="2" t="str">
        <f>"蒋晴"</f>
        <v>蒋晴</v>
      </c>
      <c r="B2740" s="2" t="str">
        <f>"B20220601225"</f>
        <v>B20220601225</v>
      </c>
      <c r="C2740" s="2" t="str">
        <f t="shared" ref="C2740:C2746" si="644">"女"</f>
        <v>女</v>
      </c>
      <c r="D2740" s="2" t="str">
        <f t="shared" si="634"/>
        <v>8</v>
      </c>
      <c r="E2740" s="2" t="str">
        <f>"法学院"</f>
        <v>法学院</v>
      </c>
    </row>
    <row r="2741" ht="13.5" hidden="1" spans="1:5">
      <c r="A2741" s="2" t="str">
        <f>"张婕"</f>
        <v>张婕</v>
      </c>
      <c r="B2741" s="2" t="str">
        <f>"B20230404108"</f>
        <v>B20230404108</v>
      </c>
      <c r="C2741" s="2" t="str">
        <f t="shared" si="644"/>
        <v>女</v>
      </c>
      <c r="D2741" s="2" t="str">
        <f t="shared" si="634"/>
        <v>8</v>
      </c>
      <c r="E2741" s="2" t="str">
        <f t="shared" si="643"/>
        <v>电子信息与电气工程学院</v>
      </c>
    </row>
    <row r="2742" ht="13.5" hidden="1" spans="1:5">
      <c r="A2742" s="2" t="str">
        <f>"李智明"</f>
        <v>李智明</v>
      </c>
      <c r="B2742" s="2" t="str">
        <f>"B20230403127"</f>
        <v>B20230403127</v>
      </c>
      <c r="C2742" s="2" t="str">
        <f t="shared" ref="C2742:C2744" si="645">"男"</f>
        <v>男</v>
      </c>
      <c r="D2742" s="2" t="str">
        <f t="shared" si="634"/>
        <v>8</v>
      </c>
      <c r="E2742" s="2" t="str">
        <f t="shared" si="643"/>
        <v>电子信息与电气工程学院</v>
      </c>
    </row>
    <row r="2743" ht="13.5" hidden="1" spans="1:5">
      <c r="A2743" s="2" t="str">
        <f>"周伟成"</f>
        <v>周伟成</v>
      </c>
      <c r="B2743" s="2" t="str">
        <f>"B20210101127"</f>
        <v>B20210101127</v>
      </c>
      <c r="C2743" s="2" t="str">
        <f t="shared" si="645"/>
        <v>男</v>
      </c>
      <c r="D2743" s="2" t="str">
        <f t="shared" si="634"/>
        <v>8</v>
      </c>
      <c r="E2743" s="2" t="str">
        <f>"土木工程学院"</f>
        <v>土木工程学院</v>
      </c>
    </row>
    <row r="2744" ht="13.5" hidden="1" spans="1:5">
      <c r="A2744" s="2" t="str">
        <f>"张子轩"</f>
        <v>张子轩</v>
      </c>
      <c r="B2744" s="2" t="str">
        <f>"B20231302227"</f>
        <v>B20231302227</v>
      </c>
      <c r="C2744" s="2" t="str">
        <f t="shared" si="645"/>
        <v>男</v>
      </c>
      <c r="D2744" s="2" t="str">
        <f t="shared" si="634"/>
        <v>8</v>
      </c>
      <c r="E2744" s="2" t="str">
        <f>"材料与环境工程学院"</f>
        <v>材料与环境工程学院</v>
      </c>
    </row>
    <row r="2745" ht="13.5" hidden="1" spans="1:5">
      <c r="A2745" s="2" t="str">
        <f>"邹雪"</f>
        <v>邹雪</v>
      </c>
      <c r="B2745" s="2" t="str">
        <f>"B20220202208"</f>
        <v>B20220202208</v>
      </c>
      <c r="C2745" s="2" t="str">
        <f t="shared" si="644"/>
        <v>女</v>
      </c>
      <c r="D2745" s="2" t="str">
        <f t="shared" si="634"/>
        <v>8</v>
      </c>
      <c r="E2745" s="2" t="str">
        <f>"机电工程学院"</f>
        <v>机电工程学院</v>
      </c>
    </row>
    <row r="2746" ht="13.5" hidden="1" spans="1:5">
      <c r="A2746" s="2" t="str">
        <f>"罗浚"</f>
        <v>罗浚</v>
      </c>
      <c r="B2746" s="2" t="str">
        <f>"B20231401109"</f>
        <v>B20231401109</v>
      </c>
      <c r="C2746" s="2" t="str">
        <f t="shared" si="644"/>
        <v>女</v>
      </c>
      <c r="D2746" s="2" t="str">
        <f t="shared" si="634"/>
        <v>8</v>
      </c>
      <c r="E2746" s="2" t="str">
        <f>"马克思主义学院"</f>
        <v>马克思主义学院</v>
      </c>
    </row>
    <row r="2747" ht="13.5" hidden="1" spans="1:5">
      <c r="A2747" s="2" t="str">
        <f>"胡涛"</f>
        <v>胡涛</v>
      </c>
      <c r="B2747" s="2" t="str">
        <f>"B20210401225"</f>
        <v>B20210401225</v>
      </c>
      <c r="C2747" s="2" t="str">
        <f t="shared" ref="C2747:C2751" si="646">"男"</f>
        <v>男</v>
      </c>
      <c r="D2747" s="2" t="str">
        <f t="shared" si="634"/>
        <v>8</v>
      </c>
      <c r="E2747" s="2" t="str">
        <f>"电子信息与电气工程学院"</f>
        <v>电子信息与电气工程学院</v>
      </c>
    </row>
    <row r="2748" ht="13.5" hidden="1" spans="1:5">
      <c r="A2748" s="2" t="str">
        <f>"邹依诺"</f>
        <v>邹依诺</v>
      </c>
      <c r="B2748" s="2" t="str">
        <f>"B20220704413"</f>
        <v>B20220704413</v>
      </c>
      <c r="C2748" s="2" t="str">
        <f t="shared" ref="C2748:C2754" si="647">"女"</f>
        <v>女</v>
      </c>
      <c r="D2748" s="2" t="str">
        <f t="shared" si="634"/>
        <v>8</v>
      </c>
      <c r="E2748" s="2" t="str">
        <f>"马栏山新媒体学院"</f>
        <v>马栏山新媒体学院</v>
      </c>
    </row>
    <row r="2749" ht="13.5" hidden="1" spans="1:5">
      <c r="A2749" s="2" t="str">
        <f>"吴涛"</f>
        <v>吴涛</v>
      </c>
      <c r="B2749" s="2" t="str">
        <f>"B20220401116"</f>
        <v>B20220401116</v>
      </c>
      <c r="C2749" s="2" t="str">
        <f t="shared" si="646"/>
        <v>男</v>
      </c>
      <c r="D2749" s="2" t="str">
        <f t="shared" si="634"/>
        <v>8</v>
      </c>
      <c r="E2749" s="2" t="str">
        <f>"电子信息与电气工程学院"</f>
        <v>电子信息与电气工程学院</v>
      </c>
    </row>
    <row r="2750" ht="13.5" hidden="1" spans="1:5">
      <c r="A2750" s="2" t="str">
        <f>"刘一梅"</f>
        <v>刘一梅</v>
      </c>
      <c r="B2750" s="2" t="str">
        <f>"B20210905109"</f>
        <v>B20210905109</v>
      </c>
      <c r="C2750" s="2" t="str">
        <f t="shared" si="647"/>
        <v>女</v>
      </c>
      <c r="D2750" s="2" t="str">
        <f t="shared" si="634"/>
        <v>8</v>
      </c>
      <c r="E2750" s="2" t="str">
        <f t="shared" ref="E2750:E2753" si="648">"经济与管理学院"</f>
        <v>经济与管理学院</v>
      </c>
    </row>
    <row r="2751" ht="13.5" hidden="1" spans="1:5">
      <c r="A2751" s="2" t="str">
        <f>"严俊"</f>
        <v>严俊</v>
      </c>
      <c r="B2751" s="2" t="str">
        <f>"B20231004101"</f>
        <v>B20231004101</v>
      </c>
      <c r="C2751" s="2" t="str">
        <f t="shared" si="646"/>
        <v>男</v>
      </c>
      <c r="D2751" s="2" t="str">
        <f t="shared" si="634"/>
        <v>8</v>
      </c>
      <c r="E2751" s="2" t="str">
        <f>"艺术设计学院"</f>
        <v>艺术设计学院</v>
      </c>
    </row>
    <row r="2752" ht="13.5" hidden="1" spans="1:5">
      <c r="A2752" s="2" t="str">
        <f>"刘意"</f>
        <v>刘意</v>
      </c>
      <c r="B2752" s="2" t="str">
        <f>"B20230902322"</f>
        <v>B20230902322</v>
      </c>
      <c r="C2752" s="2" t="str">
        <f t="shared" si="647"/>
        <v>女</v>
      </c>
      <c r="D2752" s="2" t="str">
        <f t="shared" si="634"/>
        <v>8</v>
      </c>
      <c r="E2752" s="2" t="str">
        <f t="shared" si="648"/>
        <v>经济与管理学院</v>
      </c>
    </row>
    <row r="2753" ht="13.5" hidden="1" spans="1:5">
      <c r="A2753" s="2" t="str">
        <f>"胡佳瑶"</f>
        <v>胡佳瑶</v>
      </c>
      <c r="B2753" s="2" t="str">
        <f>"B20210906127"</f>
        <v>B20210906127</v>
      </c>
      <c r="C2753" s="2" t="str">
        <f t="shared" si="647"/>
        <v>女</v>
      </c>
      <c r="D2753" s="2" t="str">
        <f t="shared" si="634"/>
        <v>8</v>
      </c>
      <c r="E2753" s="2" t="str">
        <f t="shared" si="648"/>
        <v>经济与管理学院</v>
      </c>
    </row>
    <row r="2754" ht="13.5" hidden="1" spans="1:5">
      <c r="A2754" s="2" t="str">
        <f>"陈希如"</f>
        <v>陈希如</v>
      </c>
      <c r="B2754" s="2" t="str">
        <f>"B20230803125"</f>
        <v>B20230803125</v>
      </c>
      <c r="C2754" s="2" t="str">
        <f t="shared" si="647"/>
        <v>女</v>
      </c>
      <c r="D2754" s="2" t="str">
        <f t="shared" si="634"/>
        <v>8</v>
      </c>
      <c r="E2754" s="2" t="str">
        <f>"外国语学院"</f>
        <v>外国语学院</v>
      </c>
    </row>
    <row r="2755" ht="13.5" hidden="1" spans="1:5">
      <c r="A2755" s="2" t="str">
        <f>"徐哲"</f>
        <v>徐哲</v>
      </c>
      <c r="B2755" s="2" t="str">
        <f>"B20231111209"</f>
        <v>B20231111209</v>
      </c>
      <c r="C2755" s="2" t="str">
        <f t="shared" ref="C2755:C2763" si="649">"男"</f>
        <v>男</v>
      </c>
      <c r="D2755" s="2" t="str">
        <f t="shared" si="634"/>
        <v>8</v>
      </c>
      <c r="E2755" s="2" t="str">
        <f>"音乐学院"</f>
        <v>音乐学院</v>
      </c>
    </row>
    <row r="2756" ht="13.5" hidden="1" spans="1:5">
      <c r="A2756" s="2" t="str">
        <f>"刘威"</f>
        <v>刘威</v>
      </c>
      <c r="B2756" s="2" t="str">
        <f>"B20210402102"</f>
        <v>B20210402102</v>
      </c>
      <c r="C2756" s="2" t="str">
        <f t="shared" si="649"/>
        <v>男</v>
      </c>
      <c r="D2756" s="2" t="str">
        <f t="shared" si="634"/>
        <v>8</v>
      </c>
      <c r="E2756" s="2" t="str">
        <f>"电子信息与电气工程学院"</f>
        <v>电子信息与电气工程学院</v>
      </c>
    </row>
    <row r="2757" ht="13.5" hidden="1" spans="1:5">
      <c r="A2757" s="2" t="str">
        <f>"何郴"</f>
        <v>何郴</v>
      </c>
      <c r="B2757" s="2" t="str">
        <f>"B20230906215"</f>
        <v>B20230906215</v>
      </c>
      <c r="C2757" s="2" t="str">
        <f t="shared" si="649"/>
        <v>男</v>
      </c>
      <c r="D2757" s="2" t="str">
        <f t="shared" si="634"/>
        <v>8</v>
      </c>
      <c r="E2757" s="2" t="str">
        <f>"经济与管理学院"</f>
        <v>经济与管理学院</v>
      </c>
    </row>
    <row r="2758" ht="13.5" hidden="1" spans="1:5">
      <c r="A2758" s="2" t="str">
        <f>"何小雨"</f>
        <v>何小雨</v>
      </c>
      <c r="B2758" s="2" t="str">
        <f>"B20230204114"</f>
        <v>B20230204114</v>
      </c>
      <c r="C2758" s="2" t="str">
        <f t="shared" si="649"/>
        <v>男</v>
      </c>
      <c r="D2758" s="2" t="str">
        <f t="shared" si="634"/>
        <v>8</v>
      </c>
      <c r="E2758" s="2" t="str">
        <f>"机电工程学院"</f>
        <v>机电工程学院</v>
      </c>
    </row>
    <row r="2759" ht="13.5" hidden="1" spans="1:5">
      <c r="A2759" s="2" t="str">
        <f>"滕良"</f>
        <v>滕良</v>
      </c>
      <c r="B2759" s="2" t="str">
        <f>"B20230202333"</f>
        <v>B20230202333</v>
      </c>
      <c r="C2759" s="2" t="str">
        <f t="shared" si="649"/>
        <v>男</v>
      </c>
      <c r="D2759" s="2" t="str">
        <f t="shared" si="634"/>
        <v>8</v>
      </c>
      <c r="E2759" s="2" t="str">
        <f>"机电工程学院"</f>
        <v>机电工程学院</v>
      </c>
    </row>
    <row r="2760" ht="13.5" hidden="1" spans="1:5">
      <c r="A2760" s="2" t="str">
        <f>"曾达"</f>
        <v>曾达</v>
      </c>
      <c r="B2760" s="2" t="str">
        <f>"B20210102102"</f>
        <v>B20210102102</v>
      </c>
      <c r="C2760" s="2" t="str">
        <f t="shared" si="649"/>
        <v>男</v>
      </c>
      <c r="D2760" s="2" t="str">
        <f t="shared" si="634"/>
        <v>8</v>
      </c>
      <c r="E2760" s="2" t="str">
        <f>"土木工程学院"</f>
        <v>土木工程学院</v>
      </c>
    </row>
    <row r="2761" customHeight="1" spans="1:5">
      <c r="A2761" s="6" t="str">
        <f>"邓勇"</f>
        <v>邓勇</v>
      </c>
      <c r="B2761" s="6" t="str">
        <f>"B20210302402"</f>
        <v>B20210302402</v>
      </c>
      <c r="C2761" s="6" t="str">
        <f t="shared" si="649"/>
        <v>男</v>
      </c>
      <c r="D2761" s="7" t="str">
        <f>"6"</f>
        <v>6</v>
      </c>
      <c r="E2761" s="6" t="str">
        <f>"计算机科学与工程学院"</f>
        <v>计算机科学与工程学院</v>
      </c>
    </row>
    <row r="2762" ht="13.5" hidden="1" spans="1:5">
      <c r="A2762" s="2" t="str">
        <f>"王锟"</f>
        <v>王锟</v>
      </c>
      <c r="B2762" s="2" t="str">
        <f>"B20230801203"</f>
        <v>B20230801203</v>
      </c>
      <c r="C2762" s="2" t="str">
        <f t="shared" si="649"/>
        <v>男</v>
      </c>
      <c r="D2762" s="2" t="str">
        <f t="shared" si="634"/>
        <v>8</v>
      </c>
      <c r="E2762" s="2" t="str">
        <f>"外国语学院"</f>
        <v>外国语学院</v>
      </c>
    </row>
    <row r="2763" ht="13.5" hidden="1" spans="1:5">
      <c r="A2763" s="2" t="str">
        <f>"郑艺林"</f>
        <v>郑艺林</v>
      </c>
      <c r="B2763" s="2" t="str">
        <f>"B20231002420"</f>
        <v>B20231002420</v>
      </c>
      <c r="C2763" s="2" t="str">
        <f t="shared" si="649"/>
        <v>男</v>
      </c>
      <c r="D2763" s="2" t="str">
        <f t="shared" si="634"/>
        <v>8</v>
      </c>
      <c r="E2763" s="2" t="str">
        <f>"艺术设计学院"</f>
        <v>艺术设计学院</v>
      </c>
    </row>
    <row r="2764" ht="13.5" hidden="1" spans="1:5">
      <c r="A2764" s="2" t="str">
        <f>"叶博湘"</f>
        <v>叶博湘</v>
      </c>
      <c r="B2764" s="2" t="str">
        <f>"B20220904107"</f>
        <v>B20220904107</v>
      </c>
      <c r="C2764" s="2" t="str">
        <f t="shared" ref="C2764:C2769" si="650">"女"</f>
        <v>女</v>
      </c>
      <c r="D2764" s="2" t="str">
        <f t="shared" si="634"/>
        <v>8</v>
      </c>
      <c r="E2764" s="2" t="str">
        <f t="shared" ref="E2764:E2766" si="651">"经济与管理学院"</f>
        <v>经济与管理学院</v>
      </c>
    </row>
    <row r="2765" ht="13.5" hidden="1" spans="1:5">
      <c r="A2765" s="2" t="str">
        <f>"蒋佳龙"</f>
        <v>蒋佳龙</v>
      </c>
      <c r="B2765" s="2" t="str">
        <f>"B20230902302"</f>
        <v>B20230902302</v>
      </c>
      <c r="C2765" s="2" t="str">
        <f t="shared" ref="C2765:C2768" si="652">"男"</f>
        <v>男</v>
      </c>
      <c r="D2765" s="2" t="str">
        <f t="shared" si="634"/>
        <v>8</v>
      </c>
      <c r="E2765" s="2" t="str">
        <f t="shared" si="651"/>
        <v>经济与管理学院</v>
      </c>
    </row>
    <row r="2766" ht="13.5" hidden="1" spans="1:5">
      <c r="A2766" s="2" t="str">
        <f>"丁慧君"</f>
        <v>丁慧君</v>
      </c>
      <c r="B2766" s="2" t="str">
        <f>"B20230901204"</f>
        <v>B20230901204</v>
      </c>
      <c r="C2766" s="2" t="str">
        <f t="shared" si="650"/>
        <v>女</v>
      </c>
      <c r="D2766" s="2" t="str">
        <f t="shared" si="634"/>
        <v>8</v>
      </c>
      <c r="E2766" s="2" t="str">
        <f t="shared" si="651"/>
        <v>经济与管理学院</v>
      </c>
    </row>
    <row r="2767" ht="13.5" hidden="1" spans="1:5">
      <c r="A2767" s="2" t="str">
        <f>"张学琪"</f>
        <v>张学琪</v>
      </c>
      <c r="B2767" s="2" t="str">
        <f>"B20221002316"</f>
        <v>B20221002316</v>
      </c>
      <c r="C2767" s="2" t="str">
        <f t="shared" si="652"/>
        <v>男</v>
      </c>
      <c r="D2767" s="2" t="str">
        <f t="shared" si="634"/>
        <v>8</v>
      </c>
      <c r="E2767" s="2" t="str">
        <f>"艺术设计学院"</f>
        <v>艺术设计学院</v>
      </c>
    </row>
    <row r="2768" ht="13.5" hidden="1" spans="1:5">
      <c r="A2768" s="2" t="str">
        <f>"毛哲轩"</f>
        <v>毛哲轩</v>
      </c>
      <c r="B2768" s="2" t="str">
        <f>"B20230901322"</f>
        <v>B20230901322</v>
      </c>
      <c r="C2768" s="2" t="str">
        <f t="shared" si="652"/>
        <v>男</v>
      </c>
      <c r="D2768" s="2" t="str">
        <f t="shared" si="634"/>
        <v>8</v>
      </c>
      <c r="E2768" s="2" t="str">
        <f>"经济与管理学院"</f>
        <v>经济与管理学院</v>
      </c>
    </row>
    <row r="2769" ht="13.5" hidden="1" spans="1:5">
      <c r="A2769" s="2" t="str">
        <f>"旷银芳"</f>
        <v>旷银芳</v>
      </c>
      <c r="B2769" s="2" t="str">
        <f>"B20220403130"</f>
        <v>B20220403130</v>
      </c>
      <c r="C2769" s="2" t="str">
        <f t="shared" si="650"/>
        <v>女</v>
      </c>
      <c r="D2769" s="2" t="str">
        <f t="shared" si="634"/>
        <v>8</v>
      </c>
      <c r="E2769" s="2" t="str">
        <f>"电子信息与电气工程学院"</f>
        <v>电子信息与电气工程学院</v>
      </c>
    </row>
    <row r="2770" ht="13.5" hidden="1" spans="1:5">
      <c r="A2770" s="2" t="str">
        <f>"刘子元"</f>
        <v>刘子元</v>
      </c>
      <c r="B2770" s="2" t="str">
        <f>"B20230403320"</f>
        <v>B20230403320</v>
      </c>
      <c r="C2770" s="2" t="str">
        <f>"男"</f>
        <v>男</v>
      </c>
      <c r="D2770" s="2" t="str">
        <f t="shared" si="634"/>
        <v>8</v>
      </c>
      <c r="E2770" s="2" t="str">
        <f>"电子信息与电气工程学院"</f>
        <v>电子信息与电气工程学院</v>
      </c>
    </row>
    <row r="2771" ht="13.5" hidden="1" spans="1:5">
      <c r="A2771" s="2" t="str">
        <f>"聂亚钦"</f>
        <v>聂亚钦</v>
      </c>
      <c r="B2771" s="2" t="str">
        <f>"B20200103123"</f>
        <v>B20200103123</v>
      </c>
      <c r="C2771" s="2" t="str">
        <f t="shared" ref="C2771:C2775" si="653">"女"</f>
        <v>女</v>
      </c>
      <c r="D2771" s="2" t="str">
        <f t="shared" si="634"/>
        <v>8</v>
      </c>
      <c r="E2771" s="2" t="str">
        <f>"土木工程学院"</f>
        <v>土木工程学院</v>
      </c>
    </row>
    <row r="2772" ht="13.5" hidden="1" spans="1:5">
      <c r="A2772" s="2" t="str">
        <f>"向芷萱"</f>
        <v>向芷萱</v>
      </c>
      <c r="B2772" s="2" t="str">
        <f>"B20230905127"</f>
        <v>B20230905127</v>
      </c>
      <c r="C2772" s="2" t="str">
        <f t="shared" si="653"/>
        <v>女</v>
      </c>
      <c r="D2772" s="2" t="str">
        <f t="shared" si="634"/>
        <v>8</v>
      </c>
      <c r="E2772" s="2" t="str">
        <f>"经济与管理学院"</f>
        <v>经济与管理学院</v>
      </c>
    </row>
    <row r="2773" ht="13.5" hidden="1" spans="1:5">
      <c r="A2773" s="2" t="str">
        <f>"鞠丹"</f>
        <v>鞠丹</v>
      </c>
      <c r="B2773" s="2" t="str">
        <f>"B20211002420"</f>
        <v>B20211002420</v>
      </c>
      <c r="C2773" s="2" t="str">
        <f t="shared" si="653"/>
        <v>女</v>
      </c>
      <c r="D2773" s="2" t="str">
        <f t="shared" si="634"/>
        <v>8</v>
      </c>
      <c r="E2773" s="2" t="str">
        <f>"艺术设计学院"</f>
        <v>艺术设计学院</v>
      </c>
    </row>
    <row r="2774" ht="13.5" hidden="1" spans="1:5">
      <c r="A2774" s="2" t="str">
        <f>"黄娜"</f>
        <v>黄娜</v>
      </c>
      <c r="B2774" s="2" t="str">
        <f>"B20220803104"</f>
        <v>B20220803104</v>
      </c>
      <c r="C2774" s="2" t="str">
        <f t="shared" si="653"/>
        <v>女</v>
      </c>
      <c r="D2774" s="2" t="str">
        <f t="shared" ref="D2774:D2837" si="654">"8"</f>
        <v>8</v>
      </c>
      <c r="E2774" s="2" t="str">
        <f>"外国语学院"</f>
        <v>外国语学院</v>
      </c>
    </row>
    <row r="2775" ht="13.5" hidden="1" spans="1:5">
      <c r="A2775" s="2" t="str">
        <f>"彭文佳"</f>
        <v>彭文佳</v>
      </c>
      <c r="B2775" s="2" t="str">
        <f>"B20220906208"</f>
        <v>B20220906208</v>
      </c>
      <c r="C2775" s="2" t="str">
        <f t="shared" si="653"/>
        <v>女</v>
      </c>
      <c r="D2775" s="2" t="str">
        <f t="shared" si="654"/>
        <v>8</v>
      </c>
      <c r="E2775" s="2" t="str">
        <f>"经济与管理学院"</f>
        <v>经济与管理学院</v>
      </c>
    </row>
    <row r="2776" ht="13.5" hidden="1" spans="1:5">
      <c r="A2776" s="2" t="str">
        <f>"邱枫"</f>
        <v>邱枫</v>
      </c>
      <c r="B2776" s="2" t="str">
        <f>"B20231302119"</f>
        <v>B20231302119</v>
      </c>
      <c r="C2776" s="2" t="str">
        <f>"男"</f>
        <v>男</v>
      </c>
      <c r="D2776" s="2" t="str">
        <f t="shared" si="654"/>
        <v>8</v>
      </c>
      <c r="E2776" s="2" t="str">
        <f>"材料与环境工程学院"</f>
        <v>材料与环境工程学院</v>
      </c>
    </row>
    <row r="2777" customHeight="1" spans="1:5">
      <c r="A2777" s="6" t="str">
        <f>"史睿特"</f>
        <v>史睿特</v>
      </c>
      <c r="B2777" s="6" t="str">
        <f>"B20210302403"</f>
        <v>B20210302403</v>
      </c>
      <c r="C2777" s="6" t="str">
        <f>"男"</f>
        <v>男</v>
      </c>
      <c r="D2777" s="7" t="str">
        <f>"7"</f>
        <v>7</v>
      </c>
      <c r="E2777" s="6" t="str">
        <f>"计算机科学与工程学院"</f>
        <v>计算机科学与工程学院</v>
      </c>
    </row>
    <row r="2778" ht="13.5" hidden="1" spans="1:5">
      <c r="A2778" s="2" t="str">
        <f>"陈雅玲"</f>
        <v>陈雅玲</v>
      </c>
      <c r="B2778" s="2" t="str">
        <f>"B20210601426"</f>
        <v>B20210601426</v>
      </c>
      <c r="C2778" s="2" t="str">
        <f t="shared" ref="C2777:C2781" si="655">"女"</f>
        <v>女</v>
      </c>
      <c r="D2778" s="2" t="str">
        <f t="shared" si="654"/>
        <v>8</v>
      </c>
      <c r="E2778" s="2" t="str">
        <f>"法学院"</f>
        <v>法学院</v>
      </c>
    </row>
    <row r="2779" ht="13.5" hidden="1" spans="1:5">
      <c r="A2779" s="2" t="str">
        <f>"金珊"</f>
        <v>金珊</v>
      </c>
      <c r="B2779" s="2" t="str">
        <f>"B20200901426"</f>
        <v>B20200901426</v>
      </c>
      <c r="C2779" s="2" t="str">
        <f t="shared" si="655"/>
        <v>女</v>
      </c>
      <c r="D2779" s="2" t="str">
        <f t="shared" si="654"/>
        <v>8</v>
      </c>
      <c r="E2779" s="2" t="str">
        <f>"经济与管理学院"</f>
        <v>经济与管理学院</v>
      </c>
    </row>
    <row r="2780" ht="13.5" hidden="1" spans="1:5">
      <c r="A2780" s="2" t="str">
        <f>"王芳"</f>
        <v>王芳</v>
      </c>
      <c r="B2780" s="2" t="str">
        <f>"B20230702416"</f>
        <v>B20230702416</v>
      </c>
      <c r="C2780" s="2" t="str">
        <f t="shared" si="655"/>
        <v>女</v>
      </c>
      <c r="D2780" s="2" t="str">
        <f t="shared" si="654"/>
        <v>8</v>
      </c>
      <c r="E2780" s="2" t="str">
        <f>"马栏山新媒体学院"</f>
        <v>马栏山新媒体学院</v>
      </c>
    </row>
    <row r="2781" ht="13.5" hidden="1" spans="1:5">
      <c r="A2781" s="2" t="str">
        <f>"胡飞燕"</f>
        <v>胡飞燕</v>
      </c>
      <c r="B2781" s="2" t="str">
        <f>"B20210902418"</f>
        <v>B20210902418</v>
      </c>
      <c r="C2781" s="2" t="str">
        <f t="shared" si="655"/>
        <v>女</v>
      </c>
      <c r="D2781" s="2" t="str">
        <f t="shared" si="654"/>
        <v>8</v>
      </c>
      <c r="E2781" s="2" t="str">
        <f t="shared" ref="E2781:E2786" si="656">"经济与管理学院"</f>
        <v>经济与管理学院</v>
      </c>
    </row>
    <row r="2782" ht="13.5" hidden="1" spans="1:5">
      <c r="A2782" s="2" t="str">
        <f>"欧常"</f>
        <v>欧常</v>
      </c>
      <c r="B2782" s="2" t="str">
        <f>"B20230404103"</f>
        <v>B20230404103</v>
      </c>
      <c r="C2782" s="2" t="str">
        <f>"男"</f>
        <v>男</v>
      </c>
      <c r="D2782" s="2" t="str">
        <f t="shared" si="654"/>
        <v>8</v>
      </c>
      <c r="E2782" s="2" t="str">
        <f>"电子信息与电气工程学院"</f>
        <v>电子信息与电气工程学院</v>
      </c>
    </row>
    <row r="2783" customHeight="1" spans="1:5">
      <c r="A2783" s="6" t="str">
        <f>"刘卓涵"</f>
        <v>刘卓涵</v>
      </c>
      <c r="B2783" s="6" t="str">
        <f>"B20210302404"</f>
        <v>B20210302404</v>
      </c>
      <c r="C2783" s="6" t="str">
        <f>"男"</f>
        <v>男</v>
      </c>
      <c r="D2783" s="7" t="str">
        <f>"3"</f>
        <v>3</v>
      </c>
      <c r="E2783" s="6" t="str">
        <f>"计算机科学与工程学院"</f>
        <v>计算机科学与工程学院</v>
      </c>
    </row>
    <row r="2784" ht="13.5" hidden="1" spans="1:5">
      <c r="A2784" s="2" t="str">
        <f>"谭鑫"</f>
        <v>谭鑫</v>
      </c>
      <c r="B2784" s="2" t="str">
        <f>"B20210803112"</f>
        <v>B20210803112</v>
      </c>
      <c r="C2784" s="2" t="str">
        <f t="shared" ref="C2784:C2788" si="657">"女"</f>
        <v>女</v>
      </c>
      <c r="D2784" s="2" t="str">
        <f t="shared" si="654"/>
        <v>8</v>
      </c>
      <c r="E2784" s="2" t="str">
        <f>"外国语学院"</f>
        <v>外国语学院</v>
      </c>
    </row>
    <row r="2785" ht="13.5" hidden="1" spans="1:5">
      <c r="A2785" s="2" t="str">
        <f>"王梦瑶"</f>
        <v>王梦瑶</v>
      </c>
      <c r="B2785" s="2" t="str">
        <f>"B20220902331"</f>
        <v>B20220902331</v>
      </c>
      <c r="C2785" s="2" t="str">
        <f t="shared" si="657"/>
        <v>女</v>
      </c>
      <c r="D2785" s="2" t="str">
        <f t="shared" si="654"/>
        <v>8</v>
      </c>
      <c r="E2785" s="2" t="str">
        <f t="shared" si="656"/>
        <v>经济与管理学院</v>
      </c>
    </row>
    <row r="2786" ht="13.5" hidden="1" spans="1:5">
      <c r="A2786" s="2" t="str">
        <f>"文海云"</f>
        <v>文海云</v>
      </c>
      <c r="B2786" s="2" t="str">
        <f>"B20230905136"</f>
        <v>B20230905136</v>
      </c>
      <c r="C2786" s="2" t="str">
        <f t="shared" si="657"/>
        <v>女</v>
      </c>
      <c r="D2786" s="2" t="str">
        <f t="shared" si="654"/>
        <v>8</v>
      </c>
      <c r="E2786" s="2" t="str">
        <f t="shared" si="656"/>
        <v>经济与管理学院</v>
      </c>
    </row>
    <row r="2787" ht="13.5" hidden="1" spans="1:5">
      <c r="A2787" s="2" t="str">
        <f>"唐庆雪"</f>
        <v>唐庆雪</v>
      </c>
      <c r="B2787" s="2" t="str">
        <f>"B20230601330"</f>
        <v>B20230601330</v>
      </c>
      <c r="C2787" s="2" t="str">
        <f t="shared" si="657"/>
        <v>女</v>
      </c>
      <c r="D2787" s="2" t="str">
        <f t="shared" si="654"/>
        <v>8</v>
      </c>
      <c r="E2787" s="2" t="str">
        <f>"法学院"</f>
        <v>法学院</v>
      </c>
    </row>
    <row r="2788" ht="13.5" hidden="1" spans="1:5">
      <c r="A2788" s="2" t="str">
        <f>"蒋雯萱"</f>
        <v>蒋雯萱</v>
      </c>
      <c r="B2788" s="2" t="str">
        <f>"B20230402327"</f>
        <v>B20230402327</v>
      </c>
      <c r="C2788" s="2" t="str">
        <f t="shared" si="657"/>
        <v>女</v>
      </c>
      <c r="D2788" s="2" t="str">
        <f t="shared" si="654"/>
        <v>8</v>
      </c>
      <c r="E2788" s="2" t="str">
        <f>"电子信息与电气工程学院"</f>
        <v>电子信息与电气工程学院</v>
      </c>
    </row>
    <row r="2789" ht="13.5" hidden="1" spans="1:5">
      <c r="A2789" s="2" t="str">
        <f>"邓佳伟"</f>
        <v>邓佳伟</v>
      </c>
      <c r="B2789" s="2" t="str">
        <f>"B20210402216"</f>
        <v>B20210402216</v>
      </c>
      <c r="C2789" s="2" t="str">
        <f t="shared" ref="C2789:C2793" si="658">"男"</f>
        <v>男</v>
      </c>
      <c r="D2789" s="2" t="str">
        <f t="shared" si="654"/>
        <v>8</v>
      </c>
      <c r="E2789" s="2" t="str">
        <f>"电子信息与电气工程学院"</f>
        <v>电子信息与电气工程学院</v>
      </c>
    </row>
    <row r="2790" ht="13.5" hidden="1" spans="1:5">
      <c r="A2790" s="2" t="str">
        <f>"罗艺扬"</f>
        <v>罗艺扬</v>
      </c>
      <c r="B2790" s="2" t="str">
        <f>"B20200802326"</f>
        <v>B20200802326</v>
      </c>
      <c r="C2790" s="2" t="str">
        <f t="shared" ref="C2790:C2794" si="659">"女"</f>
        <v>女</v>
      </c>
      <c r="D2790" s="2" t="str">
        <f t="shared" si="654"/>
        <v>8</v>
      </c>
      <c r="E2790" s="2" t="str">
        <f>"外国语学院"</f>
        <v>外国语学院</v>
      </c>
    </row>
    <row r="2791" customHeight="1" spans="1:5">
      <c r="A2791" s="6" t="str">
        <f>"杜萱萱"</f>
        <v>杜萱萱</v>
      </c>
      <c r="B2791" s="6" t="str">
        <f>"B20210302405"</f>
        <v>B20210302405</v>
      </c>
      <c r="C2791" s="6" t="str">
        <f t="shared" si="659"/>
        <v>女</v>
      </c>
      <c r="D2791" s="7" t="str">
        <f>"4"</f>
        <v>4</v>
      </c>
      <c r="E2791" s="6" t="str">
        <f>"计算机科学与工程学院"</f>
        <v>计算机科学与工程学院</v>
      </c>
    </row>
    <row r="2792" ht="13.5" hidden="1" spans="1:5">
      <c r="A2792" s="2" t="str">
        <f>"彭劼"</f>
        <v>彭劼</v>
      </c>
      <c r="B2792" s="2" t="str">
        <f>"B20230803107"</f>
        <v>B20230803107</v>
      </c>
      <c r="C2792" s="2" t="str">
        <f t="shared" si="659"/>
        <v>女</v>
      </c>
      <c r="D2792" s="2" t="str">
        <f t="shared" si="654"/>
        <v>8</v>
      </c>
      <c r="E2792" s="2" t="str">
        <f>"外国语学院"</f>
        <v>外国语学院</v>
      </c>
    </row>
    <row r="2793" ht="13.5" hidden="1" spans="1:5">
      <c r="A2793" s="2" t="str">
        <f>"周子豪"</f>
        <v>周子豪</v>
      </c>
      <c r="B2793" s="2" t="str">
        <f>"B20230504224"</f>
        <v>B20230504224</v>
      </c>
      <c r="C2793" s="2" t="str">
        <f t="shared" si="658"/>
        <v>男</v>
      </c>
      <c r="D2793" s="2" t="str">
        <f t="shared" si="654"/>
        <v>8</v>
      </c>
      <c r="E2793" s="2" t="str">
        <f t="shared" ref="E2793:E2798" si="660">"生物与化学工程学院"</f>
        <v>生物与化学工程学院</v>
      </c>
    </row>
    <row r="2794" ht="13.5" hidden="1" spans="1:5">
      <c r="A2794" s="2" t="str">
        <f>"李昭"</f>
        <v>李昭</v>
      </c>
      <c r="B2794" s="2" t="str">
        <f>"B20210503108"</f>
        <v>B20210503108</v>
      </c>
      <c r="C2794" s="2" t="str">
        <f t="shared" si="659"/>
        <v>女</v>
      </c>
      <c r="D2794" s="2" t="str">
        <f t="shared" si="654"/>
        <v>8</v>
      </c>
      <c r="E2794" s="2" t="str">
        <f>"材料与环境工程学院"</f>
        <v>材料与环境工程学院</v>
      </c>
    </row>
    <row r="2795" ht="13.5" hidden="1" spans="1:5">
      <c r="A2795" s="2" t="str">
        <f>"宋博文"</f>
        <v>宋博文</v>
      </c>
      <c r="B2795" s="2" t="str">
        <f>"B20230504114"</f>
        <v>B20230504114</v>
      </c>
      <c r="C2795" s="2" t="str">
        <f t="shared" ref="C2795:C2798" si="661">"男"</f>
        <v>男</v>
      </c>
      <c r="D2795" s="2" t="str">
        <f t="shared" si="654"/>
        <v>8</v>
      </c>
      <c r="E2795" s="2" t="str">
        <f t="shared" si="660"/>
        <v>生物与化学工程学院</v>
      </c>
    </row>
    <row r="2796" ht="13.5" hidden="1" spans="1:5">
      <c r="A2796" s="2" t="str">
        <f>"霍情深"</f>
        <v>霍情深</v>
      </c>
      <c r="B2796" s="2" t="str">
        <f>"B20230101237"</f>
        <v>B20230101237</v>
      </c>
      <c r="C2796" s="2" t="str">
        <f t="shared" si="661"/>
        <v>男</v>
      </c>
      <c r="D2796" s="2" t="str">
        <f t="shared" si="654"/>
        <v>8</v>
      </c>
      <c r="E2796" s="2" t="str">
        <f>"土木工程学院"</f>
        <v>土木工程学院</v>
      </c>
    </row>
    <row r="2797" ht="13.5" hidden="1" spans="1:5">
      <c r="A2797" s="2" t="str">
        <f>"向子欣"</f>
        <v>向子欣</v>
      </c>
      <c r="B2797" s="2" t="str">
        <f>"B20230702201"</f>
        <v>B20230702201</v>
      </c>
      <c r="C2797" s="2" t="str">
        <f>"女"</f>
        <v>女</v>
      </c>
      <c r="D2797" s="2" t="str">
        <f t="shared" si="654"/>
        <v>8</v>
      </c>
      <c r="E2797" s="2" t="str">
        <f>"马栏山新媒体学院"</f>
        <v>马栏山新媒体学院</v>
      </c>
    </row>
    <row r="2798" ht="13.5" hidden="1" spans="1:5">
      <c r="A2798" s="2" t="str">
        <f>"王映翔"</f>
        <v>王映翔</v>
      </c>
      <c r="B2798" s="2" t="str">
        <f>"B20230502214"</f>
        <v>B20230502214</v>
      </c>
      <c r="C2798" s="2" t="str">
        <f t="shared" si="661"/>
        <v>男</v>
      </c>
      <c r="D2798" s="2" t="str">
        <f t="shared" si="654"/>
        <v>8</v>
      </c>
      <c r="E2798" s="2" t="str">
        <f t="shared" si="660"/>
        <v>生物与化学工程学院</v>
      </c>
    </row>
    <row r="2799" ht="13.5" hidden="1" spans="1:5">
      <c r="A2799" s="2" t="str">
        <f>"张滢"</f>
        <v>张滢</v>
      </c>
      <c r="B2799" s="2" t="str">
        <f>"B20210803111"</f>
        <v>B20210803111</v>
      </c>
      <c r="C2799" s="2" t="str">
        <f>"女"</f>
        <v>女</v>
      </c>
      <c r="D2799" s="2" t="str">
        <f t="shared" si="654"/>
        <v>8</v>
      </c>
      <c r="E2799" s="2" t="str">
        <f>"外国语学院"</f>
        <v>外国语学院</v>
      </c>
    </row>
    <row r="2800" ht="13.5" hidden="1" spans="1:5">
      <c r="A2800" s="2" t="str">
        <f>"戚璐涛"</f>
        <v>戚璐涛</v>
      </c>
      <c r="B2800" s="2" t="str">
        <f>"B20210203129"</f>
        <v>B20210203129</v>
      </c>
      <c r="C2800" s="2" t="str">
        <f t="shared" ref="C2800:C2802" si="662">"男"</f>
        <v>男</v>
      </c>
      <c r="D2800" s="2" t="str">
        <f t="shared" si="654"/>
        <v>8</v>
      </c>
      <c r="E2800" s="2" t="str">
        <f>"机电工程学院"</f>
        <v>机电工程学院</v>
      </c>
    </row>
    <row r="2801" ht="13.5" hidden="1" spans="1:5">
      <c r="A2801" s="2" t="str">
        <f>"欧阳永康"</f>
        <v>欧阳永康</v>
      </c>
      <c r="B2801" s="2" t="str">
        <f>"B20220502201"</f>
        <v>B20220502201</v>
      </c>
      <c r="C2801" s="2" t="str">
        <f t="shared" si="662"/>
        <v>男</v>
      </c>
      <c r="D2801" s="2" t="str">
        <f t="shared" si="654"/>
        <v>8</v>
      </c>
      <c r="E2801" s="2" t="str">
        <f>"生物与化学工程学院"</f>
        <v>生物与化学工程学院</v>
      </c>
    </row>
    <row r="2802" ht="13.5" hidden="1" spans="1:5">
      <c r="A2802" s="2" t="str">
        <f>"谢璟乐"</f>
        <v>谢璟乐</v>
      </c>
      <c r="B2802" s="2" t="str">
        <f>"B20200905114"</f>
        <v>B20200905114</v>
      </c>
      <c r="C2802" s="2" t="str">
        <f t="shared" si="662"/>
        <v>男</v>
      </c>
      <c r="D2802" s="2" t="str">
        <f t="shared" si="654"/>
        <v>8</v>
      </c>
      <c r="E2802" s="2" t="str">
        <f>"法学院"</f>
        <v>法学院</v>
      </c>
    </row>
    <row r="2803" ht="13.5" hidden="1" spans="1:5">
      <c r="A2803" s="2" t="str">
        <f>"王璨"</f>
        <v>王璨</v>
      </c>
      <c r="B2803" s="2" t="str">
        <f>"B20211002306"</f>
        <v>B20211002306</v>
      </c>
      <c r="C2803" s="2" t="str">
        <f>"女"</f>
        <v>女</v>
      </c>
      <c r="D2803" s="2" t="str">
        <f t="shared" si="654"/>
        <v>8</v>
      </c>
      <c r="E2803" s="2" t="str">
        <f>"艺术设计学院"</f>
        <v>艺术设计学院</v>
      </c>
    </row>
    <row r="2804" ht="13.5" hidden="1" spans="1:5">
      <c r="A2804" s="2" t="str">
        <f>"周锦锋"</f>
        <v>周锦锋</v>
      </c>
      <c r="B2804" s="2" t="str">
        <f>"B20200403222"</f>
        <v>B20200403222</v>
      </c>
      <c r="C2804" s="2" t="str">
        <f t="shared" ref="C2804:C2807" si="663">"男"</f>
        <v>男</v>
      </c>
      <c r="D2804" s="2" t="str">
        <f t="shared" si="654"/>
        <v>8</v>
      </c>
      <c r="E2804" s="2" t="str">
        <f t="shared" ref="E2804:E2808" si="664">"电子信息与电气工程学院"</f>
        <v>电子信息与电气工程学院</v>
      </c>
    </row>
    <row r="2805" customHeight="1" spans="1:5">
      <c r="A2805" s="6" t="str">
        <f>"陈健"</f>
        <v>陈健</v>
      </c>
      <c r="B2805" s="6" t="str">
        <f>"B20210302406"</f>
        <v>B20210302406</v>
      </c>
      <c r="C2805" s="6" t="str">
        <f t="shared" si="663"/>
        <v>男</v>
      </c>
      <c r="D2805" s="7" t="str">
        <f>"5"</f>
        <v>5</v>
      </c>
      <c r="E2805" s="6" t="str">
        <f>"计算机科学与工程学院"</f>
        <v>计算机科学与工程学院</v>
      </c>
    </row>
    <row r="2806" customHeight="1" spans="1:5">
      <c r="A2806" s="6" t="str">
        <f>"王樱豫"</f>
        <v>王樱豫</v>
      </c>
      <c r="B2806" s="6" t="str">
        <f>"B20210302407"</f>
        <v>B20210302407</v>
      </c>
      <c r="C2806" s="6" t="str">
        <f>"女"</f>
        <v>女</v>
      </c>
      <c r="D2806" s="7" t="str">
        <f>"9"</f>
        <v>9</v>
      </c>
      <c r="E2806" s="6" t="str">
        <f>"计算机科学与工程学院"</f>
        <v>计算机科学与工程学院</v>
      </c>
    </row>
    <row r="2807" ht="13.5" hidden="1" spans="1:5">
      <c r="A2807" s="2" t="str">
        <f>"黄嘉星"</f>
        <v>黄嘉星</v>
      </c>
      <c r="B2807" s="2" t="str">
        <f>"B20220401129"</f>
        <v>B20220401129</v>
      </c>
      <c r="C2807" s="2" t="str">
        <f t="shared" si="663"/>
        <v>男</v>
      </c>
      <c r="D2807" s="2" t="str">
        <f t="shared" si="654"/>
        <v>8</v>
      </c>
      <c r="E2807" s="2" t="str">
        <f t="shared" si="664"/>
        <v>电子信息与电气工程学院</v>
      </c>
    </row>
    <row r="2808" ht="13.5" hidden="1" spans="1:5">
      <c r="A2808" s="2" t="str">
        <f>"郭媛"</f>
        <v>郭媛</v>
      </c>
      <c r="B2808" s="2" t="str">
        <f>"B20200402231"</f>
        <v>B20200402231</v>
      </c>
      <c r="C2808" s="2" t="str">
        <f t="shared" ref="C2808:C2812" si="665">"女"</f>
        <v>女</v>
      </c>
      <c r="D2808" s="2" t="str">
        <f t="shared" si="654"/>
        <v>8</v>
      </c>
      <c r="E2808" s="2" t="str">
        <f t="shared" si="664"/>
        <v>电子信息与电气工程学院</v>
      </c>
    </row>
    <row r="2809" ht="13.5" hidden="1" spans="1:5">
      <c r="A2809" s="2" t="str">
        <f>"陈晓杨"</f>
        <v>陈晓杨</v>
      </c>
      <c r="B2809" s="2" t="str">
        <f>"B20220801328"</f>
        <v>B20220801328</v>
      </c>
      <c r="C2809" s="2" t="str">
        <f t="shared" si="665"/>
        <v>女</v>
      </c>
      <c r="D2809" s="2" t="str">
        <f t="shared" si="654"/>
        <v>8</v>
      </c>
      <c r="E2809" s="2" t="str">
        <f>"外国语学院"</f>
        <v>外国语学院</v>
      </c>
    </row>
    <row r="2810" ht="13.5" hidden="1" spans="1:5">
      <c r="A2810" s="2" t="str">
        <f>"龚喜"</f>
        <v>龚喜</v>
      </c>
      <c r="B2810" s="2" t="str">
        <f>"B20220402109"</f>
        <v>B20220402109</v>
      </c>
      <c r="C2810" s="2" t="str">
        <f>"男"</f>
        <v>男</v>
      </c>
      <c r="D2810" s="2" t="str">
        <f t="shared" si="654"/>
        <v>8</v>
      </c>
      <c r="E2810" s="2" t="str">
        <f>"电子信息与电气工程学院"</f>
        <v>电子信息与电气工程学院</v>
      </c>
    </row>
    <row r="2811" ht="13.5" hidden="1" spans="1:5">
      <c r="A2811" s="2" t="str">
        <f>"王霞"</f>
        <v>王霞</v>
      </c>
      <c r="B2811" s="2" t="str">
        <f>"B20210802321"</f>
        <v>B20210802321</v>
      </c>
      <c r="C2811" s="2" t="str">
        <f t="shared" si="665"/>
        <v>女</v>
      </c>
      <c r="D2811" s="2" t="str">
        <f t="shared" si="654"/>
        <v>8</v>
      </c>
      <c r="E2811" s="2" t="str">
        <f>"外国语学院"</f>
        <v>外国语学院</v>
      </c>
    </row>
    <row r="2812" ht="13.5" hidden="1" spans="1:5">
      <c r="A2812" s="2" t="str">
        <f>"郑湘"</f>
        <v>郑湘</v>
      </c>
      <c r="B2812" s="2" t="str">
        <f>"B20230904319"</f>
        <v>B20230904319</v>
      </c>
      <c r="C2812" s="2" t="str">
        <f t="shared" si="665"/>
        <v>女</v>
      </c>
      <c r="D2812" s="2" t="str">
        <f t="shared" si="654"/>
        <v>8</v>
      </c>
      <c r="E2812" s="2" t="str">
        <f>"经济与管理学院"</f>
        <v>经济与管理学院</v>
      </c>
    </row>
    <row r="2813" customHeight="1" spans="1:5">
      <c r="A2813" s="6" t="str">
        <f>"唐文康"</f>
        <v>唐文康</v>
      </c>
      <c r="B2813" s="6" t="str">
        <f>"B20210302409"</f>
        <v>B20210302409</v>
      </c>
      <c r="C2813" s="6" t="str">
        <f>"男"</f>
        <v>男</v>
      </c>
      <c r="D2813" s="7" t="str">
        <f t="shared" si="654"/>
        <v>8</v>
      </c>
      <c r="E2813" s="6" t="str">
        <f>"计算机科学与工程学院"</f>
        <v>计算机科学与工程学院</v>
      </c>
    </row>
    <row r="2814" ht="13.5" hidden="1" spans="1:5">
      <c r="A2814" s="2" t="str">
        <f>"姚涵"</f>
        <v>姚涵</v>
      </c>
      <c r="B2814" s="2" t="str">
        <f>"B20231101316"</f>
        <v>B20231101316</v>
      </c>
      <c r="C2814" s="2" t="str">
        <f t="shared" ref="C2814:C2816" si="666">"女"</f>
        <v>女</v>
      </c>
      <c r="D2814" s="2" t="str">
        <f t="shared" si="654"/>
        <v>8</v>
      </c>
      <c r="E2814" s="2" t="str">
        <f>"音乐学院"</f>
        <v>音乐学院</v>
      </c>
    </row>
    <row r="2815" ht="13.5" hidden="1" spans="1:5">
      <c r="A2815" s="2" t="str">
        <f>"李湘"</f>
        <v>李湘</v>
      </c>
      <c r="B2815" s="2" t="str">
        <f>"B20210701112"</f>
        <v>B20210701112</v>
      </c>
      <c r="C2815" s="2" t="str">
        <f t="shared" si="666"/>
        <v>女</v>
      </c>
      <c r="D2815" s="2" t="str">
        <f t="shared" si="654"/>
        <v>8</v>
      </c>
      <c r="E2815" s="2" t="str">
        <f>"马栏山新媒体学院"</f>
        <v>马栏山新媒体学院</v>
      </c>
    </row>
    <row r="2816" ht="13.5" hidden="1" spans="1:5">
      <c r="A2816" s="2" t="str">
        <f>"毛云"</f>
        <v>毛云</v>
      </c>
      <c r="B2816" s="2" t="str">
        <f>"B20220504431"</f>
        <v>B20220504431</v>
      </c>
      <c r="C2816" s="2" t="str">
        <f t="shared" si="666"/>
        <v>女</v>
      </c>
      <c r="D2816" s="2" t="str">
        <f t="shared" si="654"/>
        <v>8</v>
      </c>
      <c r="E2816" s="2" t="str">
        <f>"生物与化学工程学院"</f>
        <v>生物与化学工程学院</v>
      </c>
    </row>
    <row r="2817" ht="13.5" hidden="1" spans="1:5">
      <c r="A2817" s="2" t="str">
        <f>"蒋海航"</f>
        <v>蒋海航</v>
      </c>
      <c r="B2817" s="2" t="str">
        <f>"B20221302421"</f>
        <v>B20221302421</v>
      </c>
      <c r="C2817" s="2" t="str">
        <f>"男"</f>
        <v>男</v>
      </c>
      <c r="D2817" s="2" t="str">
        <f t="shared" si="654"/>
        <v>8</v>
      </c>
      <c r="E2817" s="2" t="str">
        <f>"材料与环境工程学院"</f>
        <v>材料与环境工程学院</v>
      </c>
    </row>
    <row r="2818" ht="13.5" hidden="1" spans="1:5">
      <c r="A2818" s="2" t="str">
        <f>"李雨纯"</f>
        <v>李雨纯</v>
      </c>
      <c r="B2818" s="2" t="str">
        <f>"B20221001117"</f>
        <v>B20221001117</v>
      </c>
      <c r="C2818" s="2" t="str">
        <f t="shared" ref="C2818:C2822" si="667">"女"</f>
        <v>女</v>
      </c>
      <c r="D2818" s="2" t="str">
        <f t="shared" si="654"/>
        <v>8</v>
      </c>
      <c r="E2818" s="2" t="str">
        <f>"艺术设计学院"</f>
        <v>艺术设计学院</v>
      </c>
    </row>
    <row r="2819" ht="13.5" hidden="1" spans="1:5">
      <c r="A2819" s="2" t="str">
        <f>"雷哲"</f>
        <v>雷哲</v>
      </c>
      <c r="B2819" s="2" t="str">
        <f>"B20220403222"</f>
        <v>B20220403222</v>
      </c>
      <c r="C2819" s="2" t="str">
        <f>"男"</f>
        <v>男</v>
      </c>
      <c r="D2819" s="2" t="str">
        <f t="shared" si="654"/>
        <v>8</v>
      </c>
      <c r="E2819" s="2" t="str">
        <f>"电子信息与电气工程学院"</f>
        <v>电子信息与电气工程学院</v>
      </c>
    </row>
    <row r="2820" ht="13.5" hidden="1" spans="1:5">
      <c r="A2820" s="2" t="str">
        <f>"肖雅童"</f>
        <v>肖雅童</v>
      </c>
      <c r="B2820" s="2" t="str">
        <f>"B20210601121"</f>
        <v>B20210601121</v>
      </c>
      <c r="C2820" s="2" t="str">
        <f t="shared" si="667"/>
        <v>女</v>
      </c>
      <c r="D2820" s="2" t="str">
        <f t="shared" si="654"/>
        <v>8</v>
      </c>
      <c r="E2820" s="2" t="str">
        <f>"法学院"</f>
        <v>法学院</v>
      </c>
    </row>
    <row r="2821" ht="13.5" hidden="1" spans="1:5">
      <c r="A2821" s="2" t="str">
        <f>"雷雨欣"</f>
        <v>雷雨欣</v>
      </c>
      <c r="B2821" s="2" t="str">
        <f>"B20231004219"</f>
        <v>B20231004219</v>
      </c>
      <c r="C2821" s="2" t="str">
        <f t="shared" si="667"/>
        <v>女</v>
      </c>
      <c r="D2821" s="2" t="str">
        <f t="shared" si="654"/>
        <v>8</v>
      </c>
      <c r="E2821" s="2" t="str">
        <f>"艺术设计学院"</f>
        <v>艺术设计学院</v>
      </c>
    </row>
    <row r="2822" ht="13.5" hidden="1" spans="1:5">
      <c r="A2822" s="2" t="str">
        <f>"刘思腾"</f>
        <v>刘思腾</v>
      </c>
      <c r="B2822" s="2" t="str">
        <f>"B20210702101"</f>
        <v>B20210702101</v>
      </c>
      <c r="C2822" s="2" t="str">
        <f t="shared" si="667"/>
        <v>女</v>
      </c>
      <c r="D2822" s="2" t="str">
        <f t="shared" si="654"/>
        <v>8</v>
      </c>
      <c r="E2822" s="2" t="str">
        <f>"马栏山新媒体学院"</f>
        <v>马栏山新媒体学院</v>
      </c>
    </row>
    <row r="2823" ht="13.5" hidden="1" spans="1:5">
      <c r="A2823" s="2" t="str">
        <f>"文骏"</f>
        <v>文骏</v>
      </c>
      <c r="B2823" s="2" t="str">
        <f>"B20210204204"</f>
        <v>B20210204204</v>
      </c>
      <c r="C2823" s="2" t="str">
        <f>"男"</f>
        <v>男</v>
      </c>
      <c r="D2823" s="2" t="str">
        <f t="shared" si="654"/>
        <v>8</v>
      </c>
      <c r="E2823" s="2" t="str">
        <f>"机电工程学院"</f>
        <v>机电工程学院</v>
      </c>
    </row>
    <row r="2824" customHeight="1" spans="1:5">
      <c r="A2824" s="6" t="str">
        <f>"刘巍"</f>
        <v>刘巍</v>
      </c>
      <c r="B2824" s="6" t="str">
        <f>"B20210302412"</f>
        <v>B20210302412</v>
      </c>
      <c r="C2824" s="6" t="str">
        <f>"男"</f>
        <v>男</v>
      </c>
      <c r="D2824" s="7" t="str">
        <f>"10"</f>
        <v>10</v>
      </c>
      <c r="E2824" s="6" t="str">
        <f>"计算机科学与工程学院"</f>
        <v>计算机科学与工程学院</v>
      </c>
    </row>
    <row r="2825" ht="13.5" hidden="1" spans="1:5">
      <c r="A2825" s="2" t="str">
        <f>"周可钰"</f>
        <v>周可钰</v>
      </c>
      <c r="B2825" s="2" t="str">
        <f>"B20230402321"</f>
        <v>B20230402321</v>
      </c>
      <c r="C2825" s="2" t="str">
        <f t="shared" ref="C2825:C2830" si="668">"女"</f>
        <v>女</v>
      </c>
      <c r="D2825" s="2" t="str">
        <f t="shared" si="654"/>
        <v>8</v>
      </c>
      <c r="E2825" s="2" t="str">
        <f>"电子信息与电气工程学院"</f>
        <v>电子信息与电气工程学院</v>
      </c>
    </row>
    <row r="2826" customHeight="1" spans="1:5">
      <c r="A2826" s="6" t="str">
        <f>"罗凯文"</f>
        <v>罗凯文</v>
      </c>
      <c r="B2826" s="6" t="str">
        <f>"B20210302415"</f>
        <v>B20210302415</v>
      </c>
      <c r="C2826" s="6" t="str">
        <f>"男"</f>
        <v>男</v>
      </c>
      <c r="D2826" s="7" t="str">
        <f>"2"</f>
        <v>2</v>
      </c>
      <c r="E2826" s="6" t="str">
        <f>"计算机科学与工程学院"</f>
        <v>计算机科学与工程学院</v>
      </c>
    </row>
    <row r="2827" ht="13.5" hidden="1" spans="1:5">
      <c r="A2827" s="2" t="str">
        <f>"郭维"</f>
        <v>郭维</v>
      </c>
      <c r="B2827" s="2" t="str">
        <f>"B20220801118"</f>
        <v>B20220801118</v>
      </c>
      <c r="C2827" s="2" t="str">
        <f t="shared" si="668"/>
        <v>女</v>
      </c>
      <c r="D2827" s="2" t="str">
        <f t="shared" si="654"/>
        <v>8</v>
      </c>
      <c r="E2827" s="2" t="str">
        <f>"外国语学院"</f>
        <v>外国语学院</v>
      </c>
    </row>
    <row r="2828" ht="13.5" hidden="1" spans="1:5">
      <c r="A2828" s="2" t="str">
        <f>"覃瑜"</f>
        <v>覃瑜</v>
      </c>
      <c r="B2828" s="2" t="str">
        <f>"B20210403127"</f>
        <v>B20210403127</v>
      </c>
      <c r="C2828" s="2" t="str">
        <f t="shared" ref="C2826:C2833" si="669">"男"</f>
        <v>男</v>
      </c>
      <c r="D2828" s="2" t="str">
        <f t="shared" si="654"/>
        <v>8</v>
      </c>
      <c r="E2828" s="2" t="str">
        <f t="shared" ref="E2828:E2833" si="670">"电子信息与电气工程学院"</f>
        <v>电子信息与电气工程学院</v>
      </c>
    </row>
    <row r="2829" ht="13.5" hidden="1" spans="1:5">
      <c r="A2829" s="2" t="str">
        <f>"刘璐瑶"</f>
        <v>刘璐瑶</v>
      </c>
      <c r="B2829" s="2" t="str">
        <f>"B20230802128"</f>
        <v>B20230802128</v>
      </c>
      <c r="C2829" s="2" t="str">
        <f t="shared" si="668"/>
        <v>女</v>
      </c>
      <c r="D2829" s="2" t="str">
        <f t="shared" si="654"/>
        <v>8</v>
      </c>
      <c r="E2829" s="2" t="str">
        <f>"外国语学院"</f>
        <v>外国语学院</v>
      </c>
    </row>
    <row r="2830" ht="13.5" hidden="1" spans="1:5">
      <c r="A2830" s="2" t="str">
        <f>"黄祖瑞"</f>
        <v>黄祖瑞</v>
      </c>
      <c r="B2830" s="2" t="str">
        <f>"B20230903238"</f>
        <v>B20230903238</v>
      </c>
      <c r="C2830" s="2" t="str">
        <f t="shared" si="668"/>
        <v>女</v>
      </c>
      <c r="D2830" s="2" t="str">
        <f t="shared" si="654"/>
        <v>8</v>
      </c>
      <c r="E2830" s="2" t="str">
        <f>"经济与管理学院"</f>
        <v>经济与管理学院</v>
      </c>
    </row>
    <row r="2831" ht="13.5" hidden="1" spans="1:5">
      <c r="A2831" s="2" t="str">
        <f>"彭以信"</f>
        <v>彭以信</v>
      </c>
      <c r="B2831" s="2" t="str">
        <f>"B20220101428"</f>
        <v>B20220101428</v>
      </c>
      <c r="C2831" s="2" t="str">
        <f t="shared" si="669"/>
        <v>男</v>
      </c>
      <c r="D2831" s="2" t="str">
        <f t="shared" si="654"/>
        <v>8</v>
      </c>
      <c r="E2831" s="2" t="str">
        <f>"土木工程学院"</f>
        <v>土木工程学院</v>
      </c>
    </row>
    <row r="2832" ht="13.5" hidden="1" spans="1:5">
      <c r="A2832" s="2" t="str">
        <f>"唐振怀"</f>
        <v>唐振怀</v>
      </c>
      <c r="B2832" s="2" t="str">
        <f>"B20210403124"</f>
        <v>B20210403124</v>
      </c>
      <c r="C2832" s="2" t="str">
        <f t="shared" si="669"/>
        <v>男</v>
      </c>
      <c r="D2832" s="2" t="str">
        <f t="shared" si="654"/>
        <v>8</v>
      </c>
      <c r="E2832" s="2" t="str">
        <f t="shared" si="670"/>
        <v>电子信息与电气工程学院</v>
      </c>
    </row>
    <row r="2833" ht="13.5" hidden="1" spans="1:5">
      <c r="A2833" s="2" t="str">
        <f>"胡咏"</f>
        <v>胡咏</v>
      </c>
      <c r="B2833" s="2" t="str">
        <f>"B20230404214"</f>
        <v>B20230404214</v>
      </c>
      <c r="C2833" s="2" t="str">
        <f t="shared" si="669"/>
        <v>男</v>
      </c>
      <c r="D2833" s="2" t="str">
        <f t="shared" si="654"/>
        <v>8</v>
      </c>
      <c r="E2833" s="2" t="str">
        <f t="shared" si="670"/>
        <v>电子信息与电气工程学院</v>
      </c>
    </row>
    <row r="2834" ht="13.5" hidden="1" spans="1:5">
      <c r="A2834" s="2" t="str">
        <f>"李其誉"</f>
        <v>李其誉</v>
      </c>
      <c r="B2834" s="2" t="str">
        <f>"B20230801211"</f>
        <v>B20230801211</v>
      </c>
      <c r="C2834" s="2" t="str">
        <f t="shared" ref="C2834:C2837" si="671">"女"</f>
        <v>女</v>
      </c>
      <c r="D2834" s="2" t="str">
        <f t="shared" si="654"/>
        <v>8</v>
      </c>
      <c r="E2834" s="2" t="str">
        <f>"外国语学院"</f>
        <v>外国语学院</v>
      </c>
    </row>
    <row r="2835" ht="13.5" hidden="1" spans="1:5">
      <c r="A2835" s="2" t="str">
        <f>"周雅玲"</f>
        <v>周雅玲</v>
      </c>
      <c r="B2835" s="2" t="str">
        <f>"B20230404124"</f>
        <v>B20230404124</v>
      </c>
      <c r="C2835" s="2" t="str">
        <f t="shared" si="671"/>
        <v>女</v>
      </c>
      <c r="D2835" s="2" t="str">
        <f t="shared" si="654"/>
        <v>8</v>
      </c>
      <c r="E2835" s="2" t="str">
        <f>"电子信息与电气工程学院"</f>
        <v>电子信息与电气工程学院</v>
      </c>
    </row>
    <row r="2836" ht="13.5" hidden="1" spans="1:5">
      <c r="A2836" s="2" t="str">
        <f>"张健玮"</f>
        <v>张健玮</v>
      </c>
      <c r="B2836" s="2" t="str">
        <f>"B20230202406"</f>
        <v>B20230202406</v>
      </c>
      <c r="C2836" s="2" t="str">
        <f>"男"</f>
        <v>男</v>
      </c>
      <c r="D2836" s="2" t="str">
        <f t="shared" si="654"/>
        <v>8</v>
      </c>
      <c r="E2836" s="2" t="str">
        <f>"机电工程学院"</f>
        <v>机电工程学院</v>
      </c>
    </row>
    <row r="2837" ht="13.5" hidden="1" spans="1:5">
      <c r="A2837" s="2" t="str">
        <f>"朱昕芸"</f>
        <v>朱昕芸</v>
      </c>
      <c r="B2837" s="2" t="str">
        <f>"B20230704105"</f>
        <v>B20230704105</v>
      </c>
      <c r="C2837" s="2" t="str">
        <f t="shared" si="671"/>
        <v>女</v>
      </c>
      <c r="D2837" s="2" t="str">
        <f t="shared" si="654"/>
        <v>8</v>
      </c>
      <c r="E2837" s="2" t="str">
        <f t="shared" ref="E2837:E2841" si="672">"马栏山新媒体学院"</f>
        <v>马栏山新媒体学院</v>
      </c>
    </row>
    <row r="2838" ht="13.5" hidden="1" spans="1:5">
      <c r="A2838" s="2" t="str">
        <f>"陈伟豪"</f>
        <v>陈伟豪</v>
      </c>
      <c r="B2838" s="2" t="str">
        <f>"B20200704418"</f>
        <v>B20200704418</v>
      </c>
      <c r="C2838" s="2" t="str">
        <f>"男"</f>
        <v>男</v>
      </c>
      <c r="D2838" s="2" t="str">
        <f t="shared" ref="D2838:D2901" si="673">"8"</f>
        <v>8</v>
      </c>
      <c r="E2838" s="2" t="str">
        <f t="shared" si="672"/>
        <v>马栏山新媒体学院</v>
      </c>
    </row>
    <row r="2839" ht="13.5" hidden="1" spans="1:5">
      <c r="A2839" s="2" t="str">
        <f>"周晨欣"</f>
        <v>周晨欣</v>
      </c>
      <c r="B2839" s="2" t="str">
        <f>"B20230801311"</f>
        <v>B20230801311</v>
      </c>
      <c r="C2839" s="2" t="str">
        <f t="shared" ref="C2839:C2842" si="674">"女"</f>
        <v>女</v>
      </c>
      <c r="D2839" s="2" t="str">
        <f t="shared" si="673"/>
        <v>8</v>
      </c>
      <c r="E2839" s="2" t="str">
        <f>"外国语学院"</f>
        <v>外国语学院</v>
      </c>
    </row>
    <row r="2840" ht="13.5" hidden="1" spans="1:5">
      <c r="A2840" s="2" t="str">
        <f>"李乐婷"</f>
        <v>李乐婷</v>
      </c>
      <c r="B2840" s="2" t="str">
        <f>"B20220801128"</f>
        <v>B20220801128</v>
      </c>
      <c r="C2840" s="2" t="str">
        <f t="shared" si="674"/>
        <v>女</v>
      </c>
      <c r="D2840" s="2" t="str">
        <f t="shared" si="673"/>
        <v>8</v>
      </c>
      <c r="E2840" s="2" t="str">
        <f>"外国语学院"</f>
        <v>外国语学院</v>
      </c>
    </row>
    <row r="2841" ht="13.5" hidden="1" spans="1:5">
      <c r="A2841" s="2" t="str">
        <f>"周洁"</f>
        <v>周洁</v>
      </c>
      <c r="B2841" s="2" t="str">
        <f>"B20210704111"</f>
        <v>B20210704111</v>
      </c>
      <c r="C2841" s="2" t="str">
        <f t="shared" si="674"/>
        <v>女</v>
      </c>
      <c r="D2841" s="2" t="str">
        <f t="shared" si="673"/>
        <v>8</v>
      </c>
      <c r="E2841" s="2" t="str">
        <f t="shared" si="672"/>
        <v>马栏山新媒体学院</v>
      </c>
    </row>
    <row r="2842" ht="13.5" hidden="1" spans="1:5">
      <c r="A2842" s="2" t="str">
        <f>"熊仪"</f>
        <v>熊仪</v>
      </c>
      <c r="B2842" s="2" t="str">
        <f>"B20221111211"</f>
        <v>B20221111211</v>
      </c>
      <c r="C2842" s="2" t="str">
        <f t="shared" si="674"/>
        <v>女</v>
      </c>
      <c r="D2842" s="2" t="str">
        <f t="shared" si="673"/>
        <v>8</v>
      </c>
      <c r="E2842" s="2" t="str">
        <f>"音乐学院"</f>
        <v>音乐学院</v>
      </c>
    </row>
    <row r="2843" ht="13.5" hidden="1" spans="1:5">
      <c r="A2843" s="2" t="str">
        <f>"王阳"</f>
        <v>王阳</v>
      </c>
      <c r="B2843" s="2" t="str">
        <f>"B20230204118"</f>
        <v>B20230204118</v>
      </c>
      <c r="C2843" s="2" t="str">
        <f t="shared" ref="C2843:C2850" si="675">"男"</f>
        <v>男</v>
      </c>
      <c r="D2843" s="2" t="str">
        <f t="shared" si="673"/>
        <v>8</v>
      </c>
      <c r="E2843" s="2" t="str">
        <f>"机电工程学院"</f>
        <v>机电工程学院</v>
      </c>
    </row>
    <row r="2844" ht="13.5" hidden="1" spans="1:5">
      <c r="A2844" s="2" t="str">
        <f>"任俊阳"</f>
        <v>任俊阳</v>
      </c>
      <c r="B2844" s="2" t="str">
        <f>"B20230502109"</f>
        <v>B20230502109</v>
      </c>
      <c r="C2844" s="2" t="str">
        <f t="shared" si="675"/>
        <v>男</v>
      </c>
      <c r="D2844" s="2" t="str">
        <f t="shared" si="673"/>
        <v>8</v>
      </c>
      <c r="E2844" s="2" t="str">
        <f>"生物与化学工程学院"</f>
        <v>生物与化学工程学院</v>
      </c>
    </row>
    <row r="2845" ht="13.5" hidden="1" spans="1:5">
      <c r="A2845" s="2" t="str">
        <f>"黄思媛"</f>
        <v>黄思媛</v>
      </c>
      <c r="B2845" s="2" t="str">
        <f>"B20230701416"</f>
        <v>B20230701416</v>
      </c>
      <c r="C2845" s="2" t="str">
        <f>"女"</f>
        <v>女</v>
      </c>
      <c r="D2845" s="2" t="str">
        <f t="shared" si="673"/>
        <v>8</v>
      </c>
      <c r="E2845" s="2" t="str">
        <f>"马栏山新媒体学院"</f>
        <v>马栏山新媒体学院</v>
      </c>
    </row>
    <row r="2846" ht="13.5" hidden="1" spans="1:5">
      <c r="A2846" s="2" t="str">
        <f>"陈杭"</f>
        <v>陈杭</v>
      </c>
      <c r="B2846" s="2" t="str">
        <f>"B20210404104"</f>
        <v>B20210404104</v>
      </c>
      <c r="C2846" s="2" t="str">
        <f t="shared" si="675"/>
        <v>男</v>
      </c>
      <c r="D2846" s="2" t="str">
        <f t="shared" si="673"/>
        <v>8</v>
      </c>
      <c r="E2846" s="2" t="str">
        <f>"电子信息与电气工程学院"</f>
        <v>电子信息与电气工程学院</v>
      </c>
    </row>
    <row r="2847" ht="13.5" hidden="1" spans="1:5">
      <c r="A2847" s="2" t="str">
        <f>"李云浩"</f>
        <v>李云浩</v>
      </c>
      <c r="B2847" s="2" t="str">
        <f>"B20220204330"</f>
        <v>B20220204330</v>
      </c>
      <c r="C2847" s="2" t="str">
        <f t="shared" si="675"/>
        <v>男</v>
      </c>
      <c r="D2847" s="2" t="str">
        <f t="shared" si="673"/>
        <v>8</v>
      </c>
      <c r="E2847" s="2" t="str">
        <f>"机电工程学院"</f>
        <v>机电工程学院</v>
      </c>
    </row>
    <row r="2848" ht="13.5" hidden="1" spans="1:5">
      <c r="A2848" s="2" t="str">
        <f>"刘洋"</f>
        <v>刘洋</v>
      </c>
      <c r="B2848" s="2" t="str">
        <f>"B20230802104"</f>
        <v>B20230802104</v>
      </c>
      <c r="C2848" s="2" t="str">
        <f t="shared" si="675"/>
        <v>男</v>
      </c>
      <c r="D2848" s="2" t="str">
        <f t="shared" si="673"/>
        <v>8</v>
      </c>
      <c r="E2848" s="2" t="str">
        <f>"外国语学院"</f>
        <v>外国语学院</v>
      </c>
    </row>
    <row r="2849" ht="13.5" hidden="1" spans="1:5">
      <c r="A2849" s="2" t="str">
        <f>"易凌风"</f>
        <v>易凌风</v>
      </c>
      <c r="B2849" s="2" t="str">
        <f>"B20230905212"</f>
        <v>B20230905212</v>
      </c>
      <c r="C2849" s="2" t="str">
        <f t="shared" si="675"/>
        <v>男</v>
      </c>
      <c r="D2849" s="2" t="str">
        <f t="shared" si="673"/>
        <v>8</v>
      </c>
      <c r="E2849" s="2" t="str">
        <f>"经济与管理学院"</f>
        <v>经济与管理学院</v>
      </c>
    </row>
    <row r="2850" ht="13.5" hidden="1" spans="1:5">
      <c r="A2850" s="2" t="str">
        <f>"严国强"</f>
        <v>严国强</v>
      </c>
      <c r="B2850" s="2" t="str">
        <f>"B20220201120"</f>
        <v>B20220201120</v>
      </c>
      <c r="C2850" s="2" t="str">
        <f t="shared" si="675"/>
        <v>男</v>
      </c>
      <c r="D2850" s="2" t="str">
        <f t="shared" si="673"/>
        <v>8</v>
      </c>
      <c r="E2850" s="2" t="str">
        <f>"机电工程学院"</f>
        <v>机电工程学院</v>
      </c>
    </row>
    <row r="2851" ht="13.5" hidden="1" spans="1:5">
      <c r="A2851" s="2" t="str">
        <f>"周海燕"</f>
        <v>周海燕</v>
      </c>
      <c r="B2851" s="2" t="str">
        <f>"B20210801413"</f>
        <v>B20210801413</v>
      </c>
      <c r="C2851" s="2" t="str">
        <f t="shared" ref="C2851:C2855" si="676">"女"</f>
        <v>女</v>
      </c>
      <c r="D2851" s="2" t="str">
        <f t="shared" si="673"/>
        <v>8</v>
      </c>
      <c r="E2851" s="2" t="str">
        <f>"外国语学院"</f>
        <v>外国语学院</v>
      </c>
    </row>
    <row r="2852" ht="13.5" hidden="1" spans="1:5">
      <c r="A2852" s="2" t="str">
        <f>"胡燕"</f>
        <v>胡燕</v>
      </c>
      <c r="B2852" s="2" t="str">
        <f>"B20210902129"</f>
        <v>B20210902129</v>
      </c>
      <c r="C2852" s="2" t="str">
        <f t="shared" si="676"/>
        <v>女</v>
      </c>
      <c r="D2852" s="2" t="str">
        <f t="shared" si="673"/>
        <v>8</v>
      </c>
      <c r="E2852" s="2" t="str">
        <f>"经济与管理学院"</f>
        <v>经济与管理学院</v>
      </c>
    </row>
    <row r="2853" ht="13.5" hidden="1" spans="1:5">
      <c r="A2853" s="2" t="str">
        <f>"陈裕琪"</f>
        <v>陈裕琪</v>
      </c>
      <c r="B2853" s="2" t="str">
        <f>"B20220401201"</f>
        <v>B20220401201</v>
      </c>
      <c r="C2853" s="2" t="str">
        <f t="shared" ref="C2853:C2858" si="677">"男"</f>
        <v>男</v>
      </c>
      <c r="D2853" s="2" t="str">
        <f t="shared" si="673"/>
        <v>8</v>
      </c>
      <c r="E2853" s="2" t="str">
        <f t="shared" ref="E2853:E2857" si="678">"电子信息与电气工程学院"</f>
        <v>电子信息与电气工程学院</v>
      </c>
    </row>
    <row r="2854" ht="13.5" hidden="1" spans="1:5">
      <c r="A2854" s="2" t="str">
        <f>"廖佳程"</f>
        <v>廖佳程</v>
      </c>
      <c r="B2854" s="2" t="str">
        <f>"B20220401208"</f>
        <v>B20220401208</v>
      </c>
      <c r="C2854" s="2" t="str">
        <f t="shared" si="677"/>
        <v>男</v>
      </c>
      <c r="D2854" s="2" t="str">
        <f t="shared" si="673"/>
        <v>8</v>
      </c>
      <c r="E2854" s="2" t="str">
        <f t="shared" si="678"/>
        <v>电子信息与电气工程学院</v>
      </c>
    </row>
    <row r="2855" ht="13.5" hidden="1" spans="1:5">
      <c r="A2855" s="2" t="str">
        <f>"朱丹丹"</f>
        <v>朱丹丹</v>
      </c>
      <c r="B2855" s="2" t="str">
        <f>"B20180906228"</f>
        <v>B20180906228</v>
      </c>
      <c r="C2855" s="2" t="str">
        <f t="shared" si="676"/>
        <v>女</v>
      </c>
      <c r="D2855" s="2" t="str">
        <f t="shared" si="673"/>
        <v>8</v>
      </c>
      <c r="E2855" s="2" t="str">
        <f>"法学院"</f>
        <v>法学院</v>
      </c>
    </row>
    <row r="2856" ht="13.5" hidden="1" spans="1:5">
      <c r="A2856" s="2" t="str">
        <f>"姚纪星"</f>
        <v>姚纪星</v>
      </c>
      <c r="B2856" s="2" t="str">
        <f>"B20231111217"</f>
        <v>B20231111217</v>
      </c>
      <c r="C2856" s="2" t="str">
        <f t="shared" si="677"/>
        <v>男</v>
      </c>
      <c r="D2856" s="2" t="str">
        <f t="shared" si="673"/>
        <v>8</v>
      </c>
      <c r="E2856" s="2" t="str">
        <f>"音乐学院"</f>
        <v>音乐学院</v>
      </c>
    </row>
    <row r="2857" ht="13.5" hidden="1" spans="1:5">
      <c r="A2857" s="2" t="str">
        <f>"葛建胜"</f>
        <v>葛建胜</v>
      </c>
      <c r="B2857" s="2" t="str">
        <f>"B20210401329"</f>
        <v>B20210401329</v>
      </c>
      <c r="C2857" s="2" t="str">
        <f t="shared" si="677"/>
        <v>男</v>
      </c>
      <c r="D2857" s="2" t="str">
        <f t="shared" si="673"/>
        <v>8</v>
      </c>
      <c r="E2857" s="2" t="str">
        <f t="shared" si="678"/>
        <v>电子信息与电气工程学院</v>
      </c>
    </row>
    <row r="2858" customHeight="1" spans="1:5">
      <c r="A2858" s="6" t="str">
        <f>"唐涛"</f>
        <v>唐涛</v>
      </c>
      <c r="B2858" s="6" t="str">
        <f>"B20210302423"</f>
        <v>B20210302423</v>
      </c>
      <c r="C2858" s="6" t="str">
        <f t="shared" si="677"/>
        <v>男</v>
      </c>
      <c r="D2858" s="7" t="str">
        <f>"29"</f>
        <v>29</v>
      </c>
      <c r="E2858" s="6" t="str">
        <f>"计算机科学与工程学院"</f>
        <v>计算机科学与工程学院</v>
      </c>
    </row>
    <row r="2859" ht="13.5" hidden="1" spans="1:5">
      <c r="A2859" s="2" t="str">
        <f>"林源"</f>
        <v>林源</v>
      </c>
      <c r="B2859" s="2" t="str">
        <f>"B20220901224"</f>
        <v>B20220901224</v>
      </c>
      <c r="C2859" s="2" t="str">
        <f>"女"</f>
        <v>女</v>
      </c>
      <c r="D2859" s="2" t="str">
        <f t="shared" si="673"/>
        <v>8</v>
      </c>
      <c r="E2859" s="2" t="str">
        <f>"经济与管理学院"</f>
        <v>经济与管理学院</v>
      </c>
    </row>
    <row r="2860" ht="13.5" hidden="1" spans="1:5">
      <c r="A2860" s="2" t="str">
        <f>"朱宙轩"</f>
        <v>朱宙轩</v>
      </c>
      <c r="B2860" s="2" t="str">
        <f>"B20220204205"</f>
        <v>B20220204205</v>
      </c>
      <c r="C2860" s="2" t="str">
        <f t="shared" ref="C2860:C2863" si="679">"男"</f>
        <v>男</v>
      </c>
      <c r="D2860" s="2" t="str">
        <f t="shared" si="673"/>
        <v>8</v>
      </c>
      <c r="E2860" s="2" t="str">
        <f>"机电工程学院"</f>
        <v>机电工程学院</v>
      </c>
    </row>
    <row r="2861" ht="13.5" hidden="1" spans="1:5">
      <c r="A2861" s="2" t="str">
        <f>"王世壮"</f>
        <v>王世壮</v>
      </c>
      <c r="B2861" s="2" t="str">
        <f>"B20231002404"</f>
        <v>B20231002404</v>
      </c>
      <c r="C2861" s="2" t="str">
        <f t="shared" si="679"/>
        <v>男</v>
      </c>
      <c r="D2861" s="2" t="str">
        <f t="shared" si="673"/>
        <v>8</v>
      </c>
      <c r="E2861" s="2" t="str">
        <f>"艺术设计学院"</f>
        <v>艺术设计学院</v>
      </c>
    </row>
    <row r="2862" customHeight="1" spans="1:5">
      <c r="A2862" s="6" t="str">
        <f>"潘俊"</f>
        <v>潘俊</v>
      </c>
      <c r="B2862" s="6" t="str">
        <f>"B20210302427"</f>
        <v>B20210302427</v>
      </c>
      <c r="C2862" s="6" t="str">
        <f t="shared" si="679"/>
        <v>男</v>
      </c>
      <c r="D2862" s="7" t="str">
        <f>"5"</f>
        <v>5</v>
      </c>
      <c r="E2862" s="6" t="str">
        <f>"计算机科学与工程学院"</f>
        <v>计算机科学与工程学院</v>
      </c>
    </row>
    <row r="2863" ht="13.5" hidden="1" spans="1:5">
      <c r="A2863" s="2" t="str">
        <f>"陈松"</f>
        <v>陈松</v>
      </c>
      <c r="B2863" s="2" t="str">
        <f>"B20230902130"</f>
        <v>B20230902130</v>
      </c>
      <c r="C2863" s="2" t="str">
        <f t="shared" si="679"/>
        <v>男</v>
      </c>
      <c r="D2863" s="2" t="str">
        <f t="shared" si="673"/>
        <v>8</v>
      </c>
      <c r="E2863" s="2" t="str">
        <f t="shared" ref="E2863:E2866" si="680">"经济与管理学院"</f>
        <v>经济与管理学院</v>
      </c>
    </row>
    <row r="2864" ht="13.5" hidden="1" spans="1:5">
      <c r="A2864" s="2" t="str">
        <f>"邓睿宁"</f>
        <v>邓睿宁</v>
      </c>
      <c r="B2864" s="2" t="str">
        <f>"B20221003220"</f>
        <v>B20221003220</v>
      </c>
      <c r="C2864" s="2" t="str">
        <f t="shared" ref="C2864:C2871" si="681">"女"</f>
        <v>女</v>
      </c>
      <c r="D2864" s="2" t="str">
        <f t="shared" si="673"/>
        <v>8</v>
      </c>
      <c r="E2864" s="2" t="str">
        <f>"艺术设计学院"</f>
        <v>艺术设计学院</v>
      </c>
    </row>
    <row r="2865" ht="13.5" hidden="1" spans="1:5">
      <c r="A2865" s="2" t="str">
        <f>"薛颖"</f>
        <v>薛颖</v>
      </c>
      <c r="B2865" s="2" t="str">
        <f>"B20220904124"</f>
        <v>B20220904124</v>
      </c>
      <c r="C2865" s="2" t="str">
        <f t="shared" si="681"/>
        <v>女</v>
      </c>
      <c r="D2865" s="2" t="str">
        <f t="shared" si="673"/>
        <v>8</v>
      </c>
      <c r="E2865" s="2" t="str">
        <f t="shared" si="680"/>
        <v>经济与管理学院</v>
      </c>
    </row>
    <row r="2866" ht="13.5" hidden="1" spans="1:5">
      <c r="A2866" s="2" t="str">
        <f>"谭志杰"</f>
        <v>谭志杰</v>
      </c>
      <c r="B2866" s="2" t="str">
        <f>"B20190906207"</f>
        <v>B20190906207</v>
      </c>
      <c r="C2866" s="2" t="str">
        <f>"男"</f>
        <v>男</v>
      </c>
      <c r="D2866" s="2" t="str">
        <f t="shared" si="673"/>
        <v>8</v>
      </c>
      <c r="E2866" s="2" t="str">
        <f t="shared" si="680"/>
        <v>经济与管理学院</v>
      </c>
    </row>
    <row r="2867" ht="13.5" hidden="1" spans="1:5">
      <c r="A2867" s="2" t="str">
        <f>"毛硕"</f>
        <v>毛硕</v>
      </c>
      <c r="B2867" s="2" t="str">
        <f>"B20230101626"</f>
        <v>B20230101626</v>
      </c>
      <c r="C2867" s="2" t="str">
        <f>"男"</f>
        <v>男</v>
      </c>
      <c r="D2867" s="2" t="str">
        <f t="shared" si="673"/>
        <v>8</v>
      </c>
      <c r="E2867" s="2" t="str">
        <f>"土木工程学院"</f>
        <v>土木工程学院</v>
      </c>
    </row>
    <row r="2868" customHeight="1" spans="1:5">
      <c r="A2868" s="6" t="str">
        <f>"周润锋"</f>
        <v>周润锋</v>
      </c>
      <c r="B2868" s="6" t="str">
        <f>"B20210302429"</f>
        <v>B20210302429</v>
      </c>
      <c r="C2868" s="6" t="str">
        <f>"男"</f>
        <v>男</v>
      </c>
      <c r="D2868" s="7" t="str">
        <f>"6"</f>
        <v>6</v>
      </c>
      <c r="E2868" s="6" t="str">
        <f>"计算机科学与工程学院"</f>
        <v>计算机科学与工程学院</v>
      </c>
    </row>
    <row r="2869" ht="13.5" hidden="1" spans="1:5">
      <c r="A2869" s="2" t="str">
        <f>"刘宇沁"</f>
        <v>刘宇沁</v>
      </c>
      <c r="B2869" s="2" t="str">
        <f>"B20220701321"</f>
        <v>B20220701321</v>
      </c>
      <c r="C2869" s="2" t="str">
        <f t="shared" si="681"/>
        <v>女</v>
      </c>
      <c r="D2869" s="2" t="str">
        <f t="shared" si="673"/>
        <v>8</v>
      </c>
      <c r="E2869" s="2" t="str">
        <f>"马栏山新媒体学院"</f>
        <v>马栏山新媒体学院</v>
      </c>
    </row>
    <row r="2870" ht="13.5" hidden="1" spans="1:5">
      <c r="A2870" s="2" t="str">
        <f>"张欣"</f>
        <v>张欣</v>
      </c>
      <c r="B2870" s="2" t="str">
        <f>"B20230901113"</f>
        <v>B20230901113</v>
      </c>
      <c r="C2870" s="2" t="str">
        <f t="shared" si="681"/>
        <v>女</v>
      </c>
      <c r="D2870" s="2" t="str">
        <f t="shared" si="673"/>
        <v>8</v>
      </c>
      <c r="E2870" s="2" t="str">
        <f>"经济与管理学院"</f>
        <v>经济与管理学院</v>
      </c>
    </row>
    <row r="2871" ht="13.5" hidden="1" spans="1:5">
      <c r="A2871" s="2" t="str">
        <f>"张斐然"</f>
        <v>张斐然</v>
      </c>
      <c r="B2871" s="2" t="str">
        <f>"B20200704223"</f>
        <v>B20200704223</v>
      </c>
      <c r="C2871" s="2" t="str">
        <f t="shared" si="681"/>
        <v>女</v>
      </c>
      <c r="D2871" s="2" t="str">
        <f t="shared" si="673"/>
        <v>8</v>
      </c>
      <c r="E2871" s="2" t="str">
        <f>"马栏山新媒体学院"</f>
        <v>马栏山新媒体学院</v>
      </c>
    </row>
    <row r="2872" ht="13.5" hidden="1" spans="1:5">
      <c r="A2872" s="2" t="str">
        <f>"首汉中"</f>
        <v>首汉中</v>
      </c>
      <c r="B2872" s="2" t="str">
        <f>"B20220201131"</f>
        <v>B20220201131</v>
      </c>
      <c r="C2872" s="2" t="str">
        <f t="shared" ref="C2872:C2877" si="682">"男"</f>
        <v>男</v>
      </c>
      <c r="D2872" s="2" t="str">
        <f t="shared" si="673"/>
        <v>8</v>
      </c>
      <c r="E2872" s="2" t="str">
        <f>"机电工程学院"</f>
        <v>机电工程学院</v>
      </c>
    </row>
    <row r="2873" ht="13.5" hidden="1" spans="1:5">
      <c r="A2873" s="2" t="str">
        <f>"陈诺"</f>
        <v>陈诺</v>
      </c>
      <c r="B2873" s="2" t="str">
        <f>"B20230205111"</f>
        <v>B20230205111</v>
      </c>
      <c r="C2873" s="2" t="str">
        <f t="shared" si="682"/>
        <v>男</v>
      </c>
      <c r="D2873" s="2" t="str">
        <f t="shared" si="673"/>
        <v>8</v>
      </c>
      <c r="E2873" s="2" t="str">
        <f>"机电工程学院"</f>
        <v>机电工程学院</v>
      </c>
    </row>
    <row r="2874" ht="13.5" hidden="1" spans="1:5">
      <c r="A2874" s="2" t="str">
        <f>"肖冰睿"</f>
        <v>肖冰睿</v>
      </c>
      <c r="B2874" s="2" t="str">
        <f>"B20210801501"</f>
        <v>B20210801501</v>
      </c>
      <c r="C2874" s="2" t="str">
        <f t="shared" ref="C2874:C2876" si="683">"女"</f>
        <v>女</v>
      </c>
      <c r="D2874" s="2" t="str">
        <f t="shared" si="673"/>
        <v>8</v>
      </c>
      <c r="E2874" s="2" t="str">
        <f t="shared" ref="E2874:E2878" si="684">"外国语学院"</f>
        <v>外国语学院</v>
      </c>
    </row>
    <row r="2875" ht="13.5" hidden="1" spans="1:5">
      <c r="A2875" s="2" t="str">
        <f>"丁子桓"</f>
        <v>丁子桓</v>
      </c>
      <c r="B2875" s="2" t="str">
        <f>"B20220801226"</f>
        <v>B20220801226</v>
      </c>
      <c r="C2875" s="2" t="str">
        <f t="shared" si="683"/>
        <v>女</v>
      </c>
      <c r="D2875" s="2" t="str">
        <f t="shared" si="673"/>
        <v>8</v>
      </c>
      <c r="E2875" s="2" t="str">
        <f t="shared" si="684"/>
        <v>外国语学院</v>
      </c>
    </row>
    <row r="2876" ht="13.5" hidden="1" spans="1:5">
      <c r="A2876" s="2" t="str">
        <f>"唐小妹"</f>
        <v>唐小妹</v>
      </c>
      <c r="B2876" s="2" t="str">
        <f>"B20220906115"</f>
        <v>B20220906115</v>
      </c>
      <c r="C2876" s="2" t="str">
        <f t="shared" si="683"/>
        <v>女</v>
      </c>
      <c r="D2876" s="2" t="str">
        <f t="shared" si="673"/>
        <v>8</v>
      </c>
      <c r="E2876" s="2" t="str">
        <f>"经济与管理学院"</f>
        <v>经济与管理学院</v>
      </c>
    </row>
    <row r="2877" ht="13.5" hidden="1" spans="1:5">
      <c r="A2877" s="2" t="str">
        <f>"谭志焱"</f>
        <v>谭志焱</v>
      </c>
      <c r="B2877" s="2" t="str">
        <f>"B20231301132"</f>
        <v>B20231301132</v>
      </c>
      <c r="C2877" s="2" t="str">
        <f t="shared" si="682"/>
        <v>男</v>
      </c>
      <c r="D2877" s="2" t="str">
        <f t="shared" si="673"/>
        <v>8</v>
      </c>
      <c r="E2877" s="2" t="str">
        <f>"材料与环境工程学院"</f>
        <v>材料与环境工程学院</v>
      </c>
    </row>
    <row r="2878" ht="13.5" hidden="1" spans="1:5">
      <c r="A2878" s="2" t="str">
        <f>"魏子芊"</f>
        <v>魏子芊</v>
      </c>
      <c r="B2878" s="2" t="str">
        <f>"B20230801401"</f>
        <v>B20230801401</v>
      </c>
      <c r="C2878" s="2" t="str">
        <f>"女"</f>
        <v>女</v>
      </c>
      <c r="D2878" s="2" t="str">
        <f t="shared" si="673"/>
        <v>8</v>
      </c>
      <c r="E2878" s="2" t="str">
        <f t="shared" si="684"/>
        <v>外国语学院</v>
      </c>
    </row>
    <row r="2879" ht="13.5" hidden="1" spans="1:5">
      <c r="A2879" s="2" t="str">
        <f>"胡为钦"</f>
        <v>胡为钦</v>
      </c>
      <c r="B2879" s="2" t="str">
        <f>"B20210403115"</f>
        <v>B20210403115</v>
      </c>
      <c r="C2879" s="2" t="str">
        <f t="shared" ref="C2879:C2884" si="685">"男"</f>
        <v>男</v>
      </c>
      <c r="D2879" s="2" t="str">
        <f t="shared" si="673"/>
        <v>8</v>
      </c>
      <c r="E2879" s="2" t="str">
        <f>"电子信息与电气工程学院"</f>
        <v>电子信息与电气工程学院</v>
      </c>
    </row>
    <row r="2880" ht="13.5" hidden="1" spans="1:5">
      <c r="A2880" s="2" t="str">
        <f>"徐岳鹏"</f>
        <v>徐岳鹏</v>
      </c>
      <c r="B2880" s="2" t="str">
        <f>"B20231302221"</f>
        <v>B20231302221</v>
      </c>
      <c r="C2880" s="2" t="str">
        <f t="shared" si="685"/>
        <v>男</v>
      </c>
      <c r="D2880" s="2" t="str">
        <f t="shared" si="673"/>
        <v>8</v>
      </c>
      <c r="E2880" s="2" t="str">
        <f>"材料与环境工程学院"</f>
        <v>材料与环境工程学院</v>
      </c>
    </row>
    <row r="2881" ht="13.5" hidden="1" spans="1:5">
      <c r="A2881" s="2" t="str">
        <f>"谭佳仪"</f>
        <v>谭佳仪</v>
      </c>
      <c r="B2881" s="2" t="str">
        <f>"B20210803211"</f>
        <v>B20210803211</v>
      </c>
      <c r="C2881" s="2" t="str">
        <f>"女"</f>
        <v>女</v>
      </c>
      <c r="D2881" s="2" t="str">
        <f t="shared" si="673"/>
        <v>8</v>
      </c>
      <c r="E2881" s="2" t="str">
        <f>"外国语学院"</f>
        <v>外国语学院</v>
      </c>
    </row>
    <row r="2882" ht="13.5" hidden="1" spans="1:5">
      <c r="A2882" s="2" t="str">
        <f>"刘惠坤"</f>
        <v>刘惠坤</v>
      </c>
      <c r="B2882" s="2" t="str">
        <f>"B20230401102"</f>
        <v>B20230401102</v>
      </c>
      <c r="C2882" s="2" t="str">
        <f t="shared" si="685"/>
        <v>男</v>
      </c>
      <c r="D2882" s="2" t="str">
        <f t="shared" si="673"/>
        <v>8</v>
      </c>
      <c r="E2882" s="2" t="str">
        <f>"电子信息与电气工程学院"</f>
        <v>电子信息与电气工程学院</v>
      </c>
    </row>
    <row r="2883" customHeight="1" spans="1:5">
      <c r="A2883" s="6" t="str">
        <f>"徐享"</f>
        <v>徐享</v>
      </c>
      <c r="B2883" s="6" t="str">
        <f>"B20210302430"</f>
        <v>B20210302430</v>
      </c>
      <c r="C2883" s="6" t="str">
        <f t="shared" si="685"/>
        <v>男</v>
      </c>
      <c r="D2883" s="7" t="str">
        <f>"19"</f>
        <v>19</v>
      </c>
      <c r="E2883" s="6" t="str">
        <f>"计算机科学与工程学院"</f>
        <v>计算机科学与工程学院</v>
      </c>
    </row>
    <row r="2884" ht="13.5" hidden="1" spans="1:5">
      <c r="A2884" s="2" t="str">
        <f>"李昀峰"</f>
        <v>李昀峰</v>
      </c>
      <c r="B2884" s="2" t="str">
        <f>"B20210101327"</f>
        <v>B20210101327</v>
      </c>
      <c r="C2884" s="2" t="str">
        <f t="shared" si="685"/>
        <v>男</v>
      </c>
      <c r="D2884" s="2" t="str">
        <f t="shared" si="673"/>
        <v>8</v>
      </c>
      <c r="E2884" s="2" t="str">
        <f t="shared" ref="E2884:E2889" si="686">"土木工程学院"</f>
        <v>土木工程学院</v>
      </c>
    </row>
    <row r="2885" ht="13.5" hidden="1" spans="1:5">
      <c r="A2885" s="2" t="str">
        <f>"李昕玥"</f>
        <v>李昕玥</v>
      </c>
      <c r="B2885" s="2" t="str">
        <f>"B20230703218"</f>
        <v>B20230703218</v>
      </c>
      <c r="C2885" s="2" t="str">
        <f>"女"</f>
        <v>女</v>
      </c>
      <c r="D2885" s="2" t="str">
        <f t="shared" si="673"/>
        <v>8</v>
      </c>
      <c r="E2885" s="2" t="str">
        <f>"马栏山新媒体学院"</f>
        <v>马栏山新媒体学院</v>
      </c>
    </row>
    <row r="2886" ht="13.5" hidden="1" spans="1:5">
      <c r="A2886" s="2" t="str">
        <f>"刘成名"</f>
        <v>刘成名</v>
      </c>
      <c r="B2886" s="2" t="str">
        <f>"B20200101418"</f>
        <v>B20200101418</v>
      </c>
      <c r="C2886" s="2" t="str">
        <f t="shared" ref="C2886:C2894" si="687">"男"</f>
        <v>男</v>
      </c>
      <c r="D2886" s="2" t="str">
        <f t="shared" si="673"/>
        <v>8</v>
      </c>
      <c r="E2886" s="2" t="str">
        <f t="shared" si="686"/>
        <v>土木工程学院</v>
      </c>
    </row>
    <row r="2887" ht="13.5" hidden="1" spans="1:5">
      <c r="A2887" s="2" t="str">
        <f>"蔡祎言"</f>
        <v>蔡祎言</v>
      </c>
      <c r="B2887" s="2" t="str">
        <f>"B20231101327"</f>
        <v>B20231101327</v>
      </c>
      <c r="C2887" s="2" t="str">
        <f>"女"</f>
        <v>女</v>
      </c>
      <c r="D2887" s="2" t="str">
        <f t="shared" si="673"/>
        <v>8</v>
      </c>
      <c r="E2887" s="2" t="str">
        <f>"音乐学院"</f>
        <v>音乐学院</v>
      </c>
    </row>
    <row r="2888" ht="13.5" hidden="1" spans="1:5">
      <c r="A2888" s="2" t="str">
        <f>"罗雍"</f>
        <v>罗雍</v>
      </c>
      <c r="B2888" s="2" t="str">
        <f>"B20210202440"</f>
        <v>B20210202440</v>
      </c>
      <c r="C2888" s="2" t="str">
        <f t="shared" si="687"/>
        <v>男</v>
      </c>
      <c r="D2888" s="2" t="str">
        <f t="shared" si="673"/>
        <v>8</v>
      </c>
      <c r="E2888" s="2" t="str">
        <f>"机电工程学院"</f>
        <v>机电工程学院</v>
      </c>
    </row>
    <row r="2889" ht="13.5" hidden="1" spans="1:5">
      <c r="A2889" s="2" t="str">
        <f>"张昇鸿"</f>
        <v>张昇鸿</v>
      </c>
      <c r="B2889" s="2" t="str">
        <f>"B20200104120"</f>
        <v>B20200104120</v>
      </c>
      <c r="C2889" s="2" t="str">
        <f t="shared" si="687"/>
        <v>男</v>
      </c>
      <c r="D2889" s="2" t="str">
        <f t="shared" si="673"/>
        <v>8</v>
      </c>
      <c r="E2889" s="2" t="str">
        <f t="shared" si="686"/>
        <v>土木工程学院</v>
      </c>
    </row>
    <row r="2890" ht="13.5" hidden="1" spans="1:5">
      <c r="A2890" s="2" t="str">
        <f>"贺松林"</f>
        <v>贺松林</v>
      </c>
      <c r="B2890" s="2" t="str">
        <f>"B20200403128"</f>
        <v>B20200403128</v>
      </c>
      <c r="C2890" s="2" t="str">
        <f t="shared" si="687"/>
        <v>男</v>
      </c>
      <c r="D2890" s="2" t="str">
        <f t="shared" si="673"/>
        <v>8</v>
      </c>
      <c r="E2890" s="2" t="str">
        <f>"电子信息与电气工程学院"</f>
        <v>电子信息与电气工程学院</v>
      </c>
    </row>
    <row r="2891" ht="13.5" hidden="1" spans="1:5">
      <c r="A2891" s="2" t="str">
        <f>"万逸轩"</f>
        <v>万逸轩</v>
      </c>
      <c r="B2891" s="2" t="str">
        <f>"B20230601526"</f>
        <v>B20230601526</v>
      </c>
      <c r="C2891" s="2" t="str">
        <f t="shared" si="687"/>
        <v>男</v>
      </c>
      <c r="D2891" s="2" t="str">
        <f t="shared" si="673"/>
        <v>8</v>
      </c>
      <c r="E2891" s="2" t="str">
        <f>"法学院"</f>
        <v>法学院</v>
      </c>
    </row>
    <row r="2892" ht="13.5" hidden="1" spans="1:5">
      <c r="A2892" s="2" t="str">
        <f>"曾志伟"</f>
        <v>曾志伟</v>
      </c>
      <c r="B2892" s="2" t="str">
        <f>"B20230403317"</f>
        <v>B20230403317</v>
      </c>
      <c r="C2892" s="2" t="str">
        <f t="shared" si="687"/>
        <v>男</v>
      </c>
      <c r="D2892" s="2" t="str">
        <f t="shared" si="673"/>
        <v>8</v>
      </c>
      <c r="E2892" s="2" t="str">
        <f>"电子信息与电气工程学院"</f>
        <v>电子信息与电气工程学院</v>
      </c>
    </row>
    <row r="2893" ht="13.5" hidden="1" spans="1:5">
      <c r="A2893" s="2" t="str">
        <f>"侯宇轩"</f>
        <v>侯宇轩</v>
      </c>
      <c r="B2893" s="2" t="str">
        <f>"B20230101123"</f>
        <v>B20230101123</v>
      </c>
      <c r="C2893" s="2" t="str">
        <f t="shared" si="687"/>
        <v>男</v>
      </c>
      <c r="D2893" s="2" t="str">
        <f t="shared" si="673"/>
        <v>8</v>
      </c>
      <c r="E2893" s="2" t="str">
        <f>"土木工程学院"</f>
        <v>土木工程学院</v>
      </c>
    </row>
    <row r="2894" ht="13.5" hidden="1" spans="1:5">
      <c r="A2894" s="2" t="str">
        <f>"王伟栋"</f>
        <v>王伟栋</v>
      </c>
      <c r="B2894" s="2" t="str">
        <f>"B20220906104"</f>
        <v>B20220906104</v>
      </c>
      <c r="C2894" s="2" t="str">
        <f t="shared" si="687"/>
        <v>男</v>
      </c>
      <c r="D2894" s="2" t="str">
        <f t="shared" si="673"/>
        <v>8</v>
      </c>
      <c r="E2894" s="2" t="str">
        <f>"经济与管理学院"</f>
        <v>经济与管理学院</v>
      </c>
    </row>
    <row r="2895" ht="13.5" hidden="1" spans="1:5">
      <c r="A2895" s="2" t="str">
        <f>"王质越"</f>
        <v>王质越</v>
      </c>
      <c r="B2895" s="2" t="str">
        <f>"B20220905124"</f>
        <v>B20220905124</v>
      </c>
      <c r="C2895" s="2" t="str">
        <f t="shared" ref="C2895:C2897" si="688">"女"</f>
        <v>女</v>
      </c>
      <c r="D2895" s="2" t="str">
        <f t="shared" si="673"/>
        <v>8</v>
      </c>
      <c r="E2895" s="2" t="str">
        <f>"经济与管理学院"</f>
        <v>经济与管理学院</v>
      </c>
    </row>
    <row r="2896" customHeight="1" spans="1:5">
      <c r="A2896" s="6" t="str">
        <f>"许顶阳"</f>
        <v>许顶阳</v>
      </c>
      <c r="B2896" s="6" t="str">
        <f>"B20210302431"</f>
        <v>B20210302431</v>
      </c>
      <c r="C2896" s="6" t="str">
        <f>"男"</f>
        <v>男</v>
      </c>
      <c r="D2896" s="7" t="str">
        <f>"2"</f>
        <v>2</v>
      </c>
      <c r="E2896" s="6" t="str">
        <f>"计算机科学与工程学院"</f>
        <v>计算机科学与工程学院</v>
      </c>
    </row>
    <row r="2897" ht="13.5" hidden="1" spans="1:5">
      <c r="A2897" s="2" t="str">
        <f>"王苗"</f>
        <v>王苗</v>
      </c>
      <c r="B2897" s="2" t="str">
        <f>"B20210801314"</f>
        <v>B20210801314</v>
      </c>
      <c r="C2897" s="2" t="str">
        <f t="shared" si="688"/>
        <v>女</v>
      </c>
      <c r="D2897" s="2" t="str">
        <f t="shared" si="673"/>
        <v>8</v>
      </c>
      <c r="E2897" s="2" t="str">
        <f>"外国语学院"</f>
        <v>外国语学院</v>
      </c>
    </row>
    <row r="2898" ht="13.5" hidden="1" spans="1:5">
      <c r="A2898" s="2" t="str">
        <f>"刘春明"</f>
        <v>刘春明</v>
      </c>
      <c r="B2898" s="2" t="str">
        <f>"B20230402328"</f>
        <v>B20230402328</v>
      </c>
      <c r="C2898" s="2" t="str">
        <f>"男"</f>
        <v>男</v>
      </c>
      <c r="D2898" s="2" t="str">
        <f t="shared" si="673"/>
        <v>8</v>
      </c>
      <c r="E2898" s="2" t="str">
        <f>"电子信息与电气工程学院"</f>
        <v>电子信息与电气工程学院</v>
      </c>
    </row>
    <row r="2899" ht="13.5" hidden="1" spans="1:5">
      <c r="A2899" s="2" t="str">
        <f>"陈明慧"</f>
        <v>陈明慧</v>
      </c>
      <c r="B2899" s="2" t="str">
        <f>"B20210705125"</f>
        <v>B20210705125</v>
      </c>
      <c r="C2899" s="2" t="str">
        <f t="shared" ref="C2899:C2903" si="689">"女"</f>
        <v>女</v>
      </c>
      <c r="D2899" s="2" t="str">
        <f t="shared" si="673"/>
        <v>8</v>
      </c>
      <c r="E2899" s="2" t="str">
        <f>"马栏山新媒体学院"</f>
        <v>马栏山新媒体学院</v>
      </c>
    </row>
    <row r="2900" ht="13.5" hidden="1" spans="1:5">
      <c r="A2900" s="2" t="str">
        <f>"彭千琪"</f>
        <v>彭千琪</v>
      </c>
      <c r="B2900" s="2" t="str">
        <f>"B20220905214"</f>
        <v>B20220905214</v>
      </c>
      <c r="C2900" s="2" t="str">
        <f t="shared" si="689"/>
        <v>女</v>
      </c>
      <c r="D2900" s="2" t="str">
        <f t="shared" si="673"/>
        <v>8</v>
      </c>
      <c r="E2900" s="2" t="str">
        <f>"经济与管理学院"</f>
        <v>经济与管理学院</v>
      </c>
    </row>
    <row r="2901" ht="13.5" hidden="1" spans="1:5">
      <c r="A2901" s="2" t="str">
        <f>"魏沐霖"</f>
        <v>魏沐霖</v>
      </c>
      <c r="B2901" s="2" t="str">
        <f>"B20201004120"</f>
        <v>B20201004120</v>
      </c>
      <c r="C2901" s="2" t="str">
        <f t="shared" si="689"/>
        <v>女</v>
      </c>
      <c r="D2901" s="2" t="str">
        <f t="shared" si="673"/>
        <v>8</v>
      </c>
      <c r="E2901" s="2" t="str">
        <f>"艺术设计学院"</f>
        <v>艺术设计学院</v>
      </c>
    </row>
    <row r="2902" ht="13.5" hidden="1" spans="1:5">
      <c r="A2902" s="2" t="str">
        <f>"胡琪"</f>
        <v>胡琪</v>
      </c>
      <c r="B2902" s="2" t="str">
        <f>"B20230904128"</f>
        <v>B20230904128</v>
      </c>
      <c r="C2902" s="2" t="str">
        <f t="shared" si="689"/>
        <v>女</v>
      </c>
      <c r="D2902" s="2" t="str">
        <f t="shared" ref="D2902:D2965" si="690">"8"</f>
        <v>8</v>
      </c>
      <c r="E2902" s="2" t="str">
        <f>"经济与管理学院"</f>
        <v>经济与管理学院</v>
      </c>
    </row>
    <row r="2903" ht="13.5" hidden="1" spans="1:5">
      <c r="A2903" s="2" t="str">
        <f>"刘箐璇"</f>
        <v>刘箐璇</v>
      </c>
      <c r="B2903" s="2" t="str">
        <f>"B20230701103"</f>
        <v>B20230701103</v>
      </c>
      <c r="C2903" s="2" t="str">
        <f t="shared" si="689"/>
        <v>女</v>
      </c>
      <c r="D2903" s="2" t="str">
        <f t="shared" si="690"/>
        <v>8</v>
      </c>
      <c r="E2903" s="2" t="str">
        <f>"马栏山新媒体学院"</f>
        <v>马栏山新媒体学院</v>
      </c>
    </row>
    <row r="2904" ht="13.5" hidden="1" spans="1:5">
      <c r="A2904" s="2" t="str">
        <f>"唐篪"</f>
        <v>唐篪</v>
      </c>
      <c r="B2904" s="2" t="str">
        <f>"B20230601414"</f>
        <v>B20230601414</v>
      </c>
      <c r="C2904" s="2" t="str">
        <f t="shared" ref="C2904:C2909" si="691">"男"</f>
        <v>男</v>
      </c>
      <c r="D2904" s="2" t="str">
        <f t="shared" si="690"/>
        <v>8</v>
      </c>
      <c r="E2904" s="2" t="str">
        <f>"法学院"</f>
        <v>法学院</v>
      </c>
    </row>
    <row r="2905" ht="13.5" hidden="1" spans="1:5">
      <c r="A2905" s="2" t="str">
        <f>"刘稳"</f>
        <v>刘稳</v>
      </c>
      <c r="B2905" s="2" t="str">
        <f>"B20230201118"</f>
        <v>B20230201118</v>
      </c>
      <c r="C2905" s="2" t="str">
        <f t="shared" si="691"/>
        <v>男</v>
      </c>
      <c r="D2905" s="2" t="str">
        <f t="shared" si="690"/>
        <v>8</v>
      </c>
      <c r="E2905" s="2" t="str">
        <f>"机电工程学院"</f>
        <v>机电工程学院</v>
      </c>
    </row>
    <row r="2906" ht="13.5" hidden="1" spans="1:5">
      <c r="A2906" s="2" t="str">
        <f>"粟美轩"</f>
        <v>粟美轩</v>
      </c>
      <c r="B2906" s="2" t="str">
        <f>"B20230601308"</f>
        <v>B20230601308</v>
      </c>
      <c r="C2906" s="2" t="str">
        <f t="shared" ref="C2906:C2911" si="692">"女"</f>
        <v>女</v>
      </c>
      <c r="D2906" s="2" t="str">
        <f t="shared" si="690"/>
        <v>8</v>
      </c>
      <c r="E2906" s="2" t="str">
        <f>"法学院"</f>
        <v>法学院</v>
      </c>
    </row>
    <row r="2907" ht="13.5" hidden="1" spans="1:5">
      <c r="A2907" s="2" t="str">
        <f>"郭桂宇"</f>
        <v>郭桂宇</v>
      </c>
      <c r="B2907" s="2" t="str">
        <f>"B20230702230"</f>
        <v>B20230702230</v>
      </c>
      <c r="C2907" s="2" t="str">
        <f t="shared" si="691"/>
        <v>男</v>
      </c>
      <c r="D2907" s="2" t="str">
        <f t="shared" si="690"/>
        <v>8</v>
      </c>
      <c r="E2907" s="2" t="str">
        <f>"马栏山新媒体学院"</f>
        <v>马栏山新媒体学院</v>
      </c>
    </row>
    <row r="2908" customHeight="1" spans="1:5">
      <c r="A2908" s="6" t="str">
        <f>"胡裕成"</f>
        <v>胡裕成</v>
      </c>
      <c r="B2908" s="6" t="str">
        <f>"B20210304101"</f>
        <v>B20210304101</v>
      </c>
      <c r="C2908" s="6" t="str">
        <f t="shared" si="691"/>
        <v>男</v>
      </c>
      <c r="D2908" s="7" t="str">
        <f>"7"</f>
        <v>7</v>
      </c>
      <c r="E2908" s="6" t="str">
        <f>"计算机科学与工程学院"</f>
        <v>计算机科学与工程学院</v>
      </c>
    </row>
    <row r="2909" ht="13.5" hidden="1" spans="1:5">
      <c r="A2909" s="2" t="str">
        <f>"袁志鹏"</f>
        <v>袁志鹏</v>
      </c>
      <c r="B2909" s="2" t="str">
        <f>"B20200201106"</f>
        <v>B20200201106</v>
      </c>
      <c r="C2909" s="2" t="str">
        <f t="shared" si="691"/>
        <v>男</v>
      </c>
      <c r="D2909" s="2" t="str">
        <f t="shared" si="690"/>
        <v>8</v>
      </c>
      <c r="E2909" s="2" t="str">
        <f t="shared" ref="E2909:E2913" si="693">"机电工程学院"</f>
        <v>机电工程学院</v>
      </c>
    </row>
    <row r="2910" ht="13.5" hidden="1" spans="1:5">
      <c r="A2910" s="2" t="str">
        <f>"蔡缘"</f>
        <v>蔡缘</v>
      </c>
      <c r="B2910" s="2" t="str">
        <f>"B20230904223"</f>
        <v>B20230904223</v>
      </c>
      <c r="C2910" s="2" t="str">
        <f t="shared" si="692"/>
        <v>女</v>
      </c>
      <c r="D2910" s="2" t="str">
        <f t="shared" si="690"/>
        <v>8</v>
      </c>
      <c r="E2910" s="2" t="str">
        <f>"经济与管理学院"</f>
        <v>经济与管理学院</v>
      </c>
    </row>
    <row r="2911" ht="13.5" hidden="1" spans="1:5">
      <c r="A2911" s="2" t="str">
        <f>"曹玉坤"</f>
        <v>曹玉坤</v>
      </c>
      <c r="B2911" s="2" t="str">
        <f>"B20221004110"</f>
        <v>B20221004110</v>
      </c>
      <c r="C2911" s="2" t="str">
        <f t="shared" si="692"/>
        <v>女</v>
      </c>
      <c r="D2911" s="2" t="str">
        <f t="shared" si="690"/>
        <v>8</v>
      </c>
      <c r="E2911" s="2" t="str">
        <f>"艺术设计学院"</f>
        <v>艺术设计学院</v>
      </c>
    </row>
    <row r="2912" ht="13.5" hidden="1" spans="1:5">
      <c r="A2912" s="2" t="str">
        <f>"廖敏"</f>
        <v>廖敏</v>
      </c>
      <c r="B2912" s="2" t="str">
        <f>"B20210202213"</f>
        <v>B20210202213</v>
      </c>
      <c r="C2912" s="2" t="str">
        <f t="shared" ref="C2912:C2916" si="694">"男"</f>
        <v>男</v>
      </c>
      <c r="D2912" s="2" t="str">
        <f t="shared" si="690"/>
        <v>8</v>
      </c>
      <c r="E2912" s="2" t="str">
        <f t="shared" si="693"/>
        <v>机电工程学院</v>
      </c>
    </row>
    <row r="2913" ht="13.5" hidden="1" spans="1:5">
      <c r="A2913" s="2" t="str">
        <f>"邹晓锋"</f>
        <v>邹晓锋</v>
      </c>
      <c r="B2913" s="2" t="str">
        <f>"B20210202220"</f>
        <v>B20210202220</v>
      </c>
      <c r="C2913" s="2" t="str">
        <f t="shared" si="694"/>
        <v>男</v>
      </c>
      <c r="D2913" s="2" t="str">
        <f t="shared" si="690"/>
        <v>8</v>
      </c>
      <c r="E2913" s="2" t="str">
        <f t="shared" si="693"/>
        <v>机电工程学院</v>
      </c>
    </row>
    <row r="2914" ht="13.5" hidden="1" spans="1:5">
      <c r="A2914" s="2" t="str">
        <f>"王凤怡"</f>
        <v>王凤怡</v>
      </c>
      <c r="B2914" s="2" t="str">
        <f>"B20210104118"</f>
        <v>B20210104118</v>
      </c>
      <c r="C2914" s="2" t="str">
        <f t="shared" ref="C2914:C2917" si="695">"女"</f>
        <v>女</v>
      </c>
      <c r="D2914" s="2" t="str">
        <f t="shared" si="690"/>
        <v>8</v>
      </c>
      <c r="E2914" s="2" t="str">
        <f>"土木工程学院"</f>
        <v>土木工程学院</v>
      </c>
    </row>
    <row r="2915" ht="13.5" hidden="1" spans="1:5">
      <c r="A2915" s="2" t="str">
        <f>"陈锦秀"</f>
        <v>陈锦秀</v>
      </c>
      <c r="B2915" s="2" t="str">
        <f>"B20210701202"</f>
        <v>B20210701202</v>
      </c>
      <c r="C2915" s="2" t="str">
        <f t="shared" si="695"/>
        <v>女</v>
      </c>
      <c r="D2915" s="2" t="str">
        <f t="shared" si="690"/>
        <v>8</v>
      </c>
      <c r="E2915" s="2" t="str">
        <f>"马栏山新媒体学院"</f>
        <v>马栏山新媒体学院</v>
      </c>
    </row>
    <row r="2916" ht="13.5" hidden="1" spans="1:5">
      <c r="A2916" s="2" t="str">
        <f>"谭金武"</f>
        <v>谭金武</v>
      </c>
      <c r="B2916" s="2" t="str">
        <f>"B20220202423"</f>
        <v>B20220202423</v>
      </c>
      <c r="C2916" s="2" t="str">
        <f t="shared" si="694"/>
        <v>男</v>
      </c>
      <c r="D2916" s="2" t="str">
        <f t="shared" si="690"/>
        <v>8</v>
      </c>
      <c r="E2916" s="2" t="str">
        <f>"机电工程学院"</f>
        <v>机电工程学院</v>
      </c>
    </row>
    <row r="2917" ht="13.5" hidden="1" spans="1:5">
      <c r="A2917" s="2" t="str">
        <f>"张瑞洁"</f>
        <v>张瑞洁</v>
      </c>
      <c r="B2917" s="2" t="str">
        <f>"B20210901335"</f>
        <v>B20210901335</v>
      </c>
      <c r="C2917" s="2" t="str">
        <f t="shared" si="695"/>
        <v>女</v>
      </c>
      <c r="D2917" s="2" t="str">
        <f t="shared" si="690"/>
        <v>8</v>
      </c>
      <c r="E2917" s="2" t="str">
        <f>"经济与管理学院"</f>
        <v>经济与管理学院</v>
      </c>
    </row>
    <row r="2918" ht="13.5" hidden="1" spans="1:5">
      <c r="A2918" s="2" t="str">
        <f>"罗潇"</f>
        <v>罗潇</v>
      </c>
      <c r="B2918" s="2" t="str">
        <f>"B20210803109"</f>
        <v>B20210803109</v>
      </c>
      <c r="C2918" s="2" t="str">
        <f t="shared" ref="C2918:C2925" si="696">"男"</f>
        <v>男</v>
      </c>
      <c r="D2918" s="2" t="str">
        <f t="shared" si="690"/>
        <v>8</v>
      </c>
      <c r="E2918" s="2" t="str">
        <f>"外国语学院"</f>
        <v>外国语学院</v>
      </c>
    </row>
    <row r="2919" ht="13.5" hidden="1" spans="1:5">
      <c r="A2919" s="2" t="str">
        <f>"方可威"</f>
        <v>方可威</v>
      </c>
      <c r="B2919" s="2" t="str">
        <f>"B20200401113"</f>
        <v>B20200401113</v>
      </c>
      <c r="C2919" s="2" t="str">
        <f t="shared" si="696"/>
        <v>男</v>
      </c>
      <c r="D2919" s="2" t="str">
        <f t="shared" si="690"/>
        <v>8</v>
      </c>
      <c r="E2919" s="2" t="str">
        <f>"电子信息与电气工程学院"</f>
        <v>电子信息与电气工程学院</v>
      </c>
    </row>
    <row r="2920" ht="13.5" hidden="1" spans="1:5">
      <c r="A2920" s="2" t="str">
        <f>"李旭"</f>
        <v>李旭</v>
      </c>
      <c r="B2920" s="2" t="str">
        <f>"B20220502120"</f>
        <v>B20220502120</v>
      </c>
      <c r="C2920" s="2" t="str">
        <f t="shared" si="696"/>
        <v>男</v>
      </c>
      <c r="D2920" s="2" t="str">
        <f t="shared" si="690"/>
        <v>8</v>
      </c>
      <c r="E2920" s="2" t="str">
        <f>"生物与化学工程学院"</f>
        <v>生物与化学工程学院</v>
      </c>
    </row>
    <row r="2921" customHeight="1" spans="1:5">
      <c r="A2921" s="6" t="str">
        <f>"唐伟杰"</f>
        <v>唐伟杰</v>
      </c>
      <c r="B2921" s="6" t="str">
        <f>"B20210304102"</f>
        <v>B20210304102</v>
      </c>
      <c r="C2921" s="6" t="str">
        <f t="shared" si="696"/>
        <v>男</v>
      </c>
      <c r="D2921" s="7" t="str">
        <f>"2"</f>
        <v>2</v>
      </c>
      <c r="E2921" s="6" t="str">
        <f>"计算机科学与工程学院"</f>
        <v>计算机科学与工程学院</v>
      </c>
    </row>
    <row r="2922" ht="13.5" hidden="1" spans="1:5">
      <c r="A2922" s="2" t="str">
        <f>"丁豪"</f>
        <v>丁豪</v>
      </c>
      <c r="B2922" s="2" t="str">
        <f>"B20220402107"</f>
        <v>B20220402107</v>
      </c>
      <c r="C2922" s="2" t="str">
        <f t="shared" si="696"/>
        <v>男</v>
      </c>
      <c r="D2922" s="2" t="str">
        <f t="shared" si="690"/>
        <v>8</v>
      </c>
      <c r="E2922" s="2" t="str">
        <f>"电子信息与电气工程学院"</f>
        <v>电子信息与电气工程学院</v>
      </c>
    </row>
    <row r="2923" ht="13.5" hidden="1" spans="1:5">
      <c r="A2923" s="2" t="str">
        <f>"朱伟鑫"</f>
        <v>朱伟鑫</v>
      </c>
      <c r="B2923" s="2" t="str">
        <f>"B20200104111"</f>
        <v>B20200104111</v>
      </c>
      <c r="C2923" s="2" t="str">
        <f t="shared" si="696"/>
        <v>男</v>
      </c>
      <c r="D2923" s="2" t="str">
        <f t="shared" si="690"/>
        <v>8</v>
      </c>
      <c r="E2923" s="2" t="str">
        <f>"土木工程学院"</f>
        <v>土木工程学院</v>
      </c>
    </row>
    <row r="2924" customHeight="1" spans="1:5">
      <c r="A2924" s="6" t="str">
        <f>"江业群"</f>
        <v>江业群</v>
      </c>
      <c r="B2924" s="6" t="str">
        <f>"B20210304103"</f>
        <v>B20210304103</v>
      </c>
      <c r="C2924" s="6" t="str">
        <f t="shared" si="696"/>
        <v>男</v>
      </c>
      <c r="D2924" s="7" t="str">
        <f>"2"</f>
        <v>2</v>
      </c>
      <c r="E2924" s="6" t="str">
        <f>"计算机科学与工程学院"</f>
        <v>计算机科学与工程学院</v>
      </c>
    </row>
    <row r="2925" ht="13.5" hidden="1" spans="1:5">
      <c r="A2925" s="2" t="str">
        <f>"程学思"</f>
        <v>程学思</v>
      </c>
      <c r="B2925" s="2" t="str">
        <f>"B20220401423"</f>
        <v>B20220401423</v>
      </c>
      <c r="C2925" s="2" t="str">
        <f t="shared" si="696"/>
        <v>男</v>
      </c>
      <c r="D2925" s="2" t="str">
        <f t="shared" si="690"/>
        <v>8</v>
      </c>
      <c r="E2925" s="2" t="str">
        <f>"电子信息与电气工程学院"</f>
        <v>电子信息与电气工程学院</v>
      </c>
    </row>
    <row r="2926" ht="13.5" hidden="1" spans="1:5">
      <c r="A2926" s="2" t="str">
        <f>"罗娜拉"</f>
        <v>罗娜拉</v>
      </c>
      <c r="B2926" s="2" t="str">
        <f>"B20230901321"</f>
        <v>B20230901321</v>
      </c>
      <c r="C2926" s="2" t="str">
        <f t="shared" ref="C2926:C2931" si="697">"女"</f>
        <v>女</v>
      </c>
      <c r="D2926" s="2" t="str">
        <f t="shared" si="690"/>
        <v>8</v>
      </c>
      <c r="E2926" s="2" t="str">
        <f>"经济与管理学院"</f>
        <v>经济与管理学院</v>
      </c>
    </row>
    <row r="2927" ht="13.5" hidden="1" spans="1:5">
      <c r="A2927" s="2" t="str">
        <f>"胡智初"</f>
        <v>胡智初</v>
      </c>
      <c r="B2927" s="2" t="str">
        <f>"B20220704205"</f>
        <v>B20220704205</v>
      </c>
      <c r="C2927" s="2" t="str">
        <f t="shared" ref="C2927:C2933" si="698">"男"</f>
        <v>男</v>
      </c>
      <c r="D2927" s="2" t="str">
        <f t="shared" si="690"/>
        <v>8</v>
      </c>
      <c r="E2927" s="2" t="str">
        <f>"马栏山新媒体学院"</f>
        <v>马栏山新媒体学院</v>
      </c>
    </row>
    <row r="2928" customHeight="1" spans="1:5">
      <c r="A2928" s="6" t="str">
        <f>"徐智强"</f>
        <v>徐智强</v>
      </c>
      <c r="B2928" s="6" t="str">
        <f>"B20210304106"</f>
        <v>B20210304106</v>
      </c>
      <c r="C2928" s="6" t="str">
        <f t="shared" si="698"/>
        <v>男</v>
      </c>
      <c r="D2928" s="7" t="str">
        <f>"9"</f>
        <v>9</v>
      </c>
      <c r="E2928" s="6" t="str">
        <f>"计算机科学与工程学院"</f>
        <v>计算机科学与工程学院</v>
      </c>
    </row>
    <row r="2929" customHeight="1" spans="1:5">
      <c r="A2929" s="6" t="str">
        <f>"伍绍滨"</f>
        <v>伍绍滨</v>
      </c>
      <c r="B2929" s="6" t="str">
        <f>"B20210304109"</f>
        <v>B20210304109</v>
      </c>
      <c r="C2929" s="6" t="str">
        <f t="shared" si="698"/>
        <v>男</v>
      </c>
      <c r="D2929" s="7" t="str">
        <f>"7"</f>
        <v>7</v>
      </c>
      <c r="E2929" s="6" t="str">
        <f>"计算机科学与工程学院"</f>
        <v>计算机科学与工程学院</v>
      </c>
    </row>
    <row r="2930" ht="13.5" hidden="1" spans="1:5">
      <c r="A2930" s="2" t="str">
        <f>"谢如心"</f>
        <v>谢如心</v>
      </c>
      <c r="B2930" s="2" t="str">
        <f>"B20220801403"</f>
        <v>B20220801403</v>
      </c>
      <c r="C2930" s="2" t="str">
        <f t="shared" si="697"/>
        <v>女</v>
      </c>
      <c r="D2930" s="2" t="str">
        <f t="shared" si="690"/>
        <v>8</v>
      </c>
      <c r="E2930" s="2" t="str">
        <f>"外国语学院"</f>
        <v>外国语学院</v>
      </c>
    </row>
    <row r="2931" ht="13.5" hidden="1" spans="1:5">
      <c r="A2931" s="2" t="str">
        <f>"马珍珍"</f>
        <v>马珍珍</v>
      </c>
      <c r="B2931" s="2" t="str">
        <f>"B20210801611"</f>
        <v>B20210801611</v>
      </c>
      <c r="C2931" s="2" t="str">
        <f t="shared" si="697"/>
        <v>女</v>
      </c>
      <c r="D2931" s="2" t="str">
        <f t="shared" si="690"/>
        <v>8</v>
      </c>
      <c r="E2931" s="2" t="str">
        <f>"外国语学院"</f>
        <v>外国语学院</v>
      </c>
    </row>
    <row r="2932" ht="13.5" hidden="1" spans="1:5">
      <c r="A2932" s="2" t="str">
        <f>"郭福"</f>
        <v>郭福</v>
      </c>
      <c r="B2932" s="2" t="str">
        <f>"B20181002110"</f>
        <v>B20181002110</v>
      </c>
      <c r="C2932" s="2" t="str">
        <f t="shared" si="698"/>
        <v>男</v>
      </c>
      <c r="D2932" s="2" t="str">
        <f t="shared" si="690"/>
        <v>8</v>
      </c>
      <c r="E2932" s="2" t="str">
        <f>"艺术设计学院"</f>
        <v>艺术设计学院</v>
      </c>
    </row>
    <row r="2933" ht="13.5" hidden="1" spans="1:5">
      <c r="A2933" s="2" t="str">
        <f>"洪添锦"</f>
        <v>洪添锦</v>
      </c>
      <c r="B2933" s="2" t="str">
        <f>"B20220201228"</f>
        <v>B20220201228</v>
      </c>
      <c r="C2933" s="2" t="str">
        <f t="shared" si="698"/>
        <v>男</v>
      </c>
      <c r="D2933" s="2" t="str">
        <f t="shared" si="690"/>
        <v>8</v>
      </c>
      <c r="E2933" s="2" t="str">
        <f>"机电工程学院"</f>
        <v>机电工程学院</v>
      </c>
    </row>
    <row r="2934" ht="13.5" hidden="1" spans="1:5">
      <c r="A2934" s="2" t="str">
        <f>"刘苗苗"</f>
        <v>刘苗苗</v>
      </c>
      <c r="B2934" s="2" t="str">
        <f>"B20200902323"</f>
        <v>B20200902323</v>
      </c>
      <c r="C2934" s="2" t="str">
        <f t="shared" ref="C2934:C2938" si="699">"女"</f>
        <v>女</v>
      </c>
      <c r="D2934" s="2" t="str">
        <f t="shared" si="690"/>
        <v>8</v>
      </c>
      <c r="E2934" s="2" t="str">
        <f>"经济与管理学院"</f>
        <v>经济与管理学院</v>
      </c>
    </row>
    <row r="2935" ht="13.5" hidden="1" spans="1:5">
      <c r="A2935" s="2" t="str">
        <f>"陈永娅"</f>
        <v>陈永娅</v>
      </c>
      <c r="B2935" s="2" t="str">
        <f>"B20200704316"</f>
        <v>B20200704316</v>
      </c>
      <c r="C2935" s="2" t="str">
        <f t="shared" si="699"/>
        <v>女</v>
      </c>
      <c r="D2935" s="2" t="str">
        <f t="shared" si="690"/>
        <v>8</v>
      </c>
      <c r="E2935" s="2" t="str">
        <f>"马栏山新媒体学院"</f>
        <v>马栏山新媒体学院</v>
      </c>
    </row>
    <row r="2936" customHeight="1" spans="1:5">
      <c r="A2936" s="6" t="str">
        <f>"陈雨佳"</f>
        <v>陈雨佳</v>
      </c>
      <c r="B2936" s="6" t="str">
        <f>"B20210304111"</f>
        <v>B20210304111</v>
      </c>
      <c r="C2936" s="6" t="str">
        <f>"男"</f>
        <v>男</v>
      </c>
      <c r="D2936" s="7" t="str">
        <f>"6"</f>
        <v>6</v>
      </c>
      <c r="E2936" s="6" t="str">
        <f>"计算机科学与工程学院"</f>
        <v>计算机科学与工程学院</v>
      </c>
    </row>
    <row r="2937" ht="13.5" hidden="1" spans="1:5">
      <c r="A2937" s="2" t="str">
        <f>"李慧娟"</f>
        <v>李慧娟</v>
      </c>
      <c r="B2937" s="2" t="str">
        <f>"B20230204134"</f>
        <v>B20230204134</v>
      </c>
      <c r="C2937" s="2" t="str">
        <f t="shared" si="699"/>
        <v>女</v>
      </c>
      <c r="D2937" s="2" t="str">
        <f t="shared" si="690"/>
        <v>8</v>
      </c>
      <c r="E2937" s="2" t="str">
        <f>"机电工程学院"</f>
        <v>机电工程学院</v>
      </c>
    </row>
    <row r="2938" ht="13.5" hidden="1" spans="1:5">
      <c r="A2938" s="2" t="str">
        <f>"黄婧"</f>
        <v>黄婧</v>
      </c>
      <c r="B2938" s="2" t="str">
        <f>"B20230401415"</f>
        <v>B20230401415</v>
      </c>
      <c r="C2938" s="2" t="str">
        <f t="shared" si="699"/>
        <v>女</v>
      </c>
      <c r="D2938" s="2" t="str">
        <f t="shared" si="690"/>
        <v>8</v>
      </c>
      <c r="E2938" s="2" t="str">
        <f t="shared" ref="E2938:E2942" si="700">"电子信息与电气工程学院"</f>
        <v>电子信息与电气工程学院</v>
      </c>
    </row>
    <row r="2939" ht="13.5" hidden="1" spans="1:5">
      <c r="A2939" s="2" t="str">
        <f>"周俊"</f>
        <v>周俊</v>
      </c>
      <c r="B2939" s="2" t="str">
        <f>"B20220405116"</f>
        <v>B20220405116</v>
      </c>
      <c r="C2939" s="2" t="str">
        <f>"男"</f>
        <v>男</v>
      </c>
      <c r="D2939" s="2" t="str">
        <f t="shared" si="690"/>
        <v>8</v>
      </c>
      <c r="E2939" s="2" t="str">
        <f t="shared" si="700"/>
        <v>电子信息与电气工程学院</v>
      </c>
    </row>
    <row r="2940" ht="13.5" hidden="1" spans="1:5">
      <c r="A2940" s="2" t="str">
        <f>"邓雅慧"</f>
        <v>邓雅慧</v>
      </c>
      <c r="B2940" s="2" t="str">
        <f>"B20200801228"</f>
        <v>B20200801228</v>
      </c>
      <c r="C2940" s="2" t="str">
        <f t="shared" ref="C2940:C2945" si="701">"女"</f>
        <v>女</v>
      </c>
      <c r="D2940" s="2" t="str">
        <f t="shared" si="690"/>
        <v>8</v>
      </c>
      <c r="E2940" s="2" t="str">
        <f>"外国语学院"</f>
        <v>外国语学院</v>
      </c>
    </row>
    <row r="2941" ht="13.5" hidden="1" spans="1:5">
      <c r="A2941" s="2" t="str">
        <f>"李宇峰"</f>
        <v>李宇峰</v>
      </c>
      <c r="B2941" s="2" t="str">
        <f>"B20200502235"</f>
        <v>B20200502235</v>
      </c>
      <c r="C2941" s="2" t="str">
        <f>"男"</f>
        <v>男</v>
      </c>
      <c r="D2941" s="2" t="str">
        <f t="shared" si="690"/>
        <v>8</v>
      </c>
      <c r="E2941" s="2" t="str">
        <f t="shared" si="700"/>
        <v>电子信息与电气工程学院</v>
      </c>
    </row>
    <row r="2942" ht="13.5" hidden="1" spans="1:5">
      <c r="A2942" s="2" t="str">
        <f>"孟碧瑶"</f>
        <v>孟碧瑶</v>
      </c>
      <c r="B2942" s="2" t="str">
        <f>"B20210405101"</f>
        <v>B20210405101</v>
      </c>
      <c r="C2942" s="2" t="str">
        <f t="shared" si="701"/>
        <v>女</v>
      </c>
      <c r="D2942" s="2" t="str">
        <f t="shared" si="690"/>
        <v>8</v>
      </c>
      <c r="E2942" s="2" t="str">
        <f t="shared" si="700"/>
        <v>电子信息与电气工程学院</v>
      </c>
    </row>
    <row r="2943" customHeight="1" spans="1:5">
      <c r="A2943" s="6" t="str">
        <f>"钟家兴"</f>
        <v>钟家兴</v>
      </c>
      <c r="B2943" s="6" t="str">
        <f>"B20210304112"</f>
        <v>B20210304112</v>
      </c>
      <c r="C2943" s="6" t="str">
        <f>"男"</f>
        <v>男</v>
      </c>
      <c r="D2943" s="7" t="str">
        <f>"7"</f>
        <v>7</v>
      </c>
      <c r="E2943" s="6" t="str">
        <f>"计算机科学与工程学院"</f>
        <v>计算机科学与工程学院</v>
      </c>
    </row>
    <row r="2944" ht="13.5" hidden="1" spans="1:5">
      <c r="A2944" s="2" t="str">
        <f>"张可欣"</f>
        <v>张可欣</v>
      </c>
      <c r="B2944" s="2" t="str">
        <f>"B20230104224"</f>
        <v>B20230104224</v>
      </c>
      <c r="C2944" s="2" t="str">
        <f t="shared" si="701"/>
        <v>女</v>
      </c>
      <c r="D2944" s="2" t="str">
        <f t="shared" si="690"/>
        <v>8</v>
      </c>
      <c r="E2944" s="2" t="str">
        <f>"土木工程学院"</f>
        <v>土木工程学院</v>
      </c>
    </row>
    <row r="2945" ht="13.5" hidden="1" spans="1:5">
      <c r="A2945" s="2" t="str">
        <f>"唐楚婷"</f>
        <v>唐楚婷</v>
      </c>
      <c r="B2945" s="2" t="str">
        <f>"B20211101104"</f>
        <v>B20211101104</v>
      </c>
      <c r="C2945" s="2" t="str">
        <f t="shared" si="701"/>
        <v>女</v>
      </c>
      <c r="D2945" s="2" t="str">
        <f t="shared" si="690"/>
        <v>8</v>
      </c>
      <c r="E2945" s="2" t="str">
        <f>"音乐学院"</f>
        <v>音乐学院</v>
      </c>
    </row>
    <row r="2946" ht="13.5" hidden="1" spans="1:5">
      <c r="A2946" s="2" t="str">
        <f>"邝亚涛"</f>
        <v>邝亚涛</v>
      </c>
      <c r="B2946" s="2" t="str">
        <f>"B20210201224"</f>
        <v>B20210201224</v>
      </c>
      <c r="C2946" s="2" t="str">
        <f>"男"</f>
        <v>男</v>
      </c>
      <c r="D2946" s="2" t="str">
        <f t="shared" si="690"/>
        <v>8</v>
      </c>
      <c r="E2946" s="2" t="str">
        <f>"机电工程学院"</f>
        <v>机电工程学院</v>
      </c>
    </row>
    <row r="2947" ht="13.5" hidden="1" spans="1:5">
      <c r="A2947" s="2" t="str">
        <f>"蒋全慧"</f>
        <v>蒋全慧</v>
      </c>
      <c r="B2947" s="2" t="str">
        <f>"B20230501102"</f>
        <v>B20230501102</v>
      </c>
      <c r="C2947" s="2" t="str">
        <f t="shared" ref="C2947:C2949" si="702">"女"</f>
        <v>女</v>
      </c>
      <c r="D2947" s="2" t="str">
        <f t="shared" si="690"/>
        <v>8</v>
      </c>
      <c r="E2947" s="2" t="str">
        <f>"生物与化学工程学院"</f>
        <v>生物与化学工程学院</v>
      </c>
    </row>
    <row r="2948" ht="13.5" hidden="1" spans="1:5">
      <c r="A2948" s="2" t="str">
        <f>"黄彩蓉"</f>
        <v>黄彩蓉</v>
      </c>
      <c r="B2948" s="2" t="str">
        <f>"B20210904220"</f>
        <v>B20210904220</v>
      </c>
      <c r="C2948" s="2" t="str">
        <f t="shared" si="702"/>
        <v>女</v>
      </c>
      <c r="D2948" s="2" t="str">
        <f t="shared" si="690"/>
        <v>8</v>
      </c>
      <c r="E2948" s="2" t="str">
        <f>"经济与管理学院"</f>
        <v>经济与管理学院</v>
      </c>
    </row>
    <row r="2949" customHeight="1" spans="1:5">
      <c r="A2949" s="6" t="str">
        <f>"廖文俊"</f>
        <v>廖文俊</v>
      </c>
      <c r="B2949" s="6" t="str">
        <f>"B20210304113"</f>
        <v>B20210304113</v>
      </c>
      <c r="C2949" s="6" t="str">
        <f>"男"</f>
        <v>男</v>
      </c>
      <c r="D2949" s="7" t="str">
        <f>"7"</f>
        <v>7</v>
      </c>
      <c r="E2949" s="6" t="str">
        <f>"计算机科学与工程学院"</f>
        <v>计算机科学与工程学院</v>
      </c>
    </row>
    <row r="2950" ht="13.5" hidden="1" spans="1:5">
      <c r="A2950" s="2" t="str">
        <f>"李鑫"</f>
        <v>李鑫</v>
      </c>
      <c r="B2950" s="2" t="str">
        <f>"B20220405111"</f>
        <v>B20220405111</v>
      </c>
      <c r="C2950" s="2" t="str">
        <f>"男"</f>
        <v>男</v>
      </c>
      <c r="D2950" s="2" t="str">
        <f t="shared" si="690"/>
        <v>8</v>
      </c>
      <c r="E2950" s="2" t="str">
        <f>"电子信息与电气工程学院"</f>
        <v>电子信息与电气工程学院</v>
      </c>
    </row>
    <row r="2951" customHeight="1" spans="1:5">
      <c r="A2951" s="6" t="str">
        <f>"高晶晶"</f>
        <v>高晶晶</v>
      </c>
      <c r="B2951" s="6" t="str">
        <f>"B20210304114"</f>
        <v>B20210304114</v>
      </c>
      <c r="C2951" s="6" t="str">
        <f>"女"</f>
        <v>女</v>
      </c>
      <c r="D2951" s="7" t="str">
        <f>"7"</f>
        <v>7</v>
      </c>
      <c r="E2951" s="6" t="str">
        <f>"计算机科学与工程学院"</f>
        <v>计算机科学与工程学院</v>
      </c>
    </row>
    <row r="2952" ht="13.5" hidden="1" spans="1:5">
      <c r="A2952" s="2" t="str">
        <f>"韩施淇"</f>
        <v>韩施淇</v>
      </c>
      <c r="B2952" s="2" t="str">
        <f>"B20231101128"</f>
        <v>B20231101128</v>
      </c>
      <c r="C2952" s="2" t="str">
        <f t="shared" ref="C2951:C2957" si="703">"女"</f>
        <v>女</v>
      </c>
      <c r="D2952" s="2" t="str">
        <f t="shared" si="690"/>
        <v>8</v>
      </c>
      <c r="E2952" s="2" t="str">
        <f>"音乐学院"</f>
        <v>音乐学院</v>
      </c>
    </row>
    <row r="2953" ht="13.5" hidden="1" spans="1:5">
      <c r="A2953" s="2" t="str">
        <f>"江科毅"</f>
        <v>江科毅</v>
      </c>
      <c r="B2953" s="2" t="str">
        <f>"B20230102107"</f>
        <v>B20230102107</v>
      </c>
      <c r="C2953" s="2" t="str">
        <f>"男"</f>
        <v>男</v>
      </c>
      <c r="D2953" s="2" t="str">
        <f t="shared" si="690"/>
        <v>8</v>
      </c>
      <c r="E2953" s="2" t="str">
        <f>"土木工程学院"</f>
        <v>土木工程学院</v>
      </c>
    </row>
    <row r="2954" ht="13.5" hidden="1" spans="1:5">
      <c r="A2954" s="2" t="str">
        <f>"徐向林"</f>
        <v>徐向林</v>
      </c>
      <c r="B2954" s="2" t="str">
        <f>"B20210901145"</f>
        <v>B20210901145</v>
      </c>
      <c r="C2954" s="2" t="str">
        <f t="shared" si="703"/>
        <v>女</v>
      </c>
      <c r="D2954" s="2" t="str">
        <f t="shared" si="690"/>
        <v>8</v>
      </c>
      <c r="E2954" s="2" t="str">
        <f t="shared" ref="E2954:E2958" si="704">"经济与管理学院"</f>
        <v>经济与管理学院</v>
      </c>
    </row>
    <row r="2955" ht="13.5" hidden="1" spans="1:5">
      <c r="A2955" s="2" t="str">
        <f>"曹熙"</f>
        <v>曹熙</v>
      </c>
      <c r="B2955" s="2" t="str">
        <f>"B20200901117"</f>
        <v>B20200901117</v>
      </c>
      <c r="C2955" s="2" t="str">
        <f t="shared" si="703"/>
        <v>女</v>
      </c>
      <c r="D2955" s="2" t="str">
        <f t="shared" si="690"/>
        <v>8</v>
      </c>
      <c r="E2955" s="2" t="str">
        <f t="shared" si="704"/>
        <v>经济与管理学院</v>
      </c>
    </row>
    <row r="2956" ht="13.5" hidden="1" spans="1:5">
      <c r="A2956" s="2" t="str">
        <f>"刘水莲"</f>
        <v>刘水莲</v>
      </c>
      <c r="B2956" s="2" t="str">
        <f>"B20230803109"</f>
        <v>B20230803109</v>
      </c>
      <c r="C2956" s="2" t="str">
        <f t="shared" si="703"/>
        <v>女</v>
      </c>
      <c r="D2956" s="2" t="str">
        <f t="shared" si="690"/>
        <v>8</v>
      </c>
      <c r="E2956" s="2" t="str">
        <f>"外国语学院"</f>
        <v>外国语学院</v>
      </c>
    </row>
    <row r="2957" ht="13.5" hidden="1" spans="1:5">
      <c r="A2957" s="2" t="str">
        <f>"兰瑛"</f>
        <v>兰瑛</v>
      </c>
      <c r="B2957" s="2" t="str">
        <f>"B20210504107"</f>
        <v>B20210504107</v>
      </c>
      <c r="C2957" s="2" t="str">
        <f t="shared" si="703"/>
        <v>女</v>
      </c>
      <c r="D2957" s="2" t="str">
        <f t="shared" si="690"/>
        <v>8</v>
      </c>
      <c r="E2957" s="2" t="str">
        <f>"生物与化学工程学院"</f>
        <v>生物与化学工程学院</v>
      </c>
    </row>
    <row r="2958" ht="13.5" hidden="1" spans="1:5">
      <c r="A2958" s="2" t="str">
        <f>"赵浛博"</f>
        <v>赵浛博</v>
      </c>
      <c r="B2958" s="2" t="str">
        <f>"B20230904134"</f>
        <v>B20230904134</v>
      </c>
      <c r="C2958" s="2" t="str">
        <f t="shared" ref="C2958:C2961" si="705">"男"</f>
        <v>男</v>
      </c>
      <c r="D2958" s="2" t="str">
        <f t="shared" si="690"/>
        <v>8</v>
      </c>
      <c r="E2958" s="2" t="str">
        <f t="shared" si="704"/>
        <v>经济与管理学院</v>
      </c>
    </row>
    <row r="2959" customHeight="1" spans="1:5">
      <c r="A2959" s="6" t="str">
        <f>"高骅林"</f>
        <v>高骅林</v>
      </c>
      <c r="B2959" s="6" t="str">
        <f>"B20210304116"</f>
        <v>B20210304116</v>
      </c>
      <c r="C2959" s="6" t="str">
        <f t="shared" si="705"/>
        <v>男</v>
      </c>
      <c r="D2959" s="7" t="str">
        <f>"4"</f>
        <v>4</v>
      </c>
      <c r="E2959" s="6" t="str">
        <f>"计算机科学与工程学院"</f>
        <v>计算机科学与工程学院</v>
      </c>
    </row>
    <row r="2960" customHeight="1" spans="1:5">
      <c r="A2960" s="6" t="str">
        <f>"易志望"</f>
        <v>易志望</v>
      </c>
      <c r="B2960" s="6" t="str">
        <f>"B20210304117"</f>
        <v>B20210304117</v>
      </c>
      <c r="C2960" s="6" t="str">
        <f t="shared" si="705"/>
        <v>男</v>
      </c>
      <c r="D2960" s="7" t="str">
        <f>"4"</f>
        <v>4</v>
      </c>
      <c r="E2960" s="6" t="str">
        <f>"计算机科学与工程学院"</f>
        <v>计算机科学与工程学院</v>
      </c>
    </row>
    <row r="2961" ht="13.5" hidden="1" spans="1:5">
      <c r="A2961" s="2" t="str">
        <f>"温德峰"</f>
        <v>温德峰</v>
      </c>
      <c r="B2961" s="2" t="str">
        <f>"B20230201206"</f>
        <v>B20230201206</v>
      </c>
      <c r="C2961" s="2" t="str">
        <f t="shared" si="705"/>
        <v>男</v>
      </c>
      <c r="D2961" s="2" t="str">
        <f t="shared" si="690"/>
        <v>8</v>
      </c>
      <c r="E2961" s="2" t="str">
        <f>"机电工程学院"</f>
        <v>机电工程学院</v>
      </c>
    </row>
    <row r="2962" ht="13.5" hidden="1" spans="1:5">
      <c r="A2962" s="2" t="str">
        <f>"仇心怡"</f>
        <v>仇心怡</v>
      </c>
      <c r="B2962" s="2" t="str">
        <f>"B20230601121"</f>
        <v>B20230601121</v>
      </c>
      <c r="C2962" s="2" t="str">
        <f t="shared" ref="C2962:C2968" si="706">"女"</f>
        <v>女</v>
      </c>
      <c r="D2962" s="2" t="str">
        <f t="shared" si="690"/>
        <v>8</v>
      </c>
      <c r="E2962" s="2" t="str">
        <f>"法学院"</f>
        <v>法学院</v>
      </c>
    </row>
    <row r="2963" customHeight="1" spans="1:5">
      <c r="A2963" s="6" t="str">
        <f>"唐会茜"</f>
        <v>唐会茜</v>
      </c>
      <c r="B2963" s="6" t="str">
        <f>"B20210304120"</f>
        <v>B20210304120</v>
      </c>
      <c r="C2963" s="6" t="str">
        <f t="shared" si="706"/>
        <v>女</v>
      </c>
      <c r="D2963" s="7" t="str">
        <f>"1"</f>
        <v>1</v>
      </c>
      <c r="E2963" s="6" t="str">
        <f>"计算机科学与工程学院"</f>
        <v>计算机科学与工程学院</v>
      </c>
    </row>
    <row r="2964" ht="13.5" hidden="1" spans="1:5">
      <c r="A2964" s="2" t="str">
        <f>"蒋宇凡"</f>
        <v>蒋宇凡</v>
      </c>
      <c r="B2964" s="2" t="str">
        <f>"B20200101329"</f>
        <v>B20200101329</v>
      </c>
      <c r="C2964" s="2" t="str">
        <f>"男"</f>
        <v>男</v>
      </c>
      <c r="D2964" s="2" t="str">
        <f t="shared" si="690"/>
        <v>8</v>
      </c>
      <c r="E2964" s="2" t="str">
        <f>"土木工程学院"</f>
        <v>土木工程学院</v>
      </c>
    </row>
    <row r="2965" ht="13.5" hidden="1" spans="1:5">
      <c r="A2965" s="2" t="str">
        <f>"骆娟"</f>
        <v>骆娟</v>
      </c>
      <c r="B2965" s="2" t="str">
        <f>"B20220903122"</f>
        <v>B20220903122</v>
      </c>
      <c r="C2965" s="2" t="str">
        <f t="shared" si="706"/>
        <v>女</v>
      </c>
      <c r="D2965" s="2" t="str">
        <f t="shared" si="690"/>
        <v>8</v>
      </c>
      <c r="E2965" s="2" t="str">
        <f>"经济与管理学院"</f>
        <v>经济与管理学院</v>
      </c>
    </row>
    <row r="2966" ht="13.5" hidden="1" spans="1:5">
      <c r="A2966" s="2" t="str">
        <f>"彭紫藤"</f>
        <v>彭紫藤</v>
      </c>
      <c r="B2966" s="2" t="str">
        <f>"B20220801520"</f>
        <v>B20220801520</v>
      </c>
      <c r="C2966" s="2" t="str">
        <f t="shared" si="706"/>
        <v>女</v>
      </c>
      <c r="D2966" s="2" t="str">
        <f t="shared" ref="D2966:D3029" si="707">"8"</f>
        <v>8</v>
      </c>
      <c r="E2966" s="2" t="str">
        <f>"外国语学院"</f>
        <v>外国语学院</v>
      </c>
    </row>
    <row r="2967" customHeight="1" spans="1:5">
      <c r="A2967" s="6" t="str">
        <f>"桂帅"</f>
        <v>桂帅</v>
      </c>
      <c r="B2967" s="6" t="str">
        <f>"B20210304121"</f>
        <v>B20210304121</v>
      </c>
      <c r="C2967" s="6" t="str">
        <f>"男"</f>
        <v>男</v>
      </c>
      <c r="D2967" s="7" t="str">
        <f>"7"</f>
        <v>7</v>
      </c>
      <c r="E2967" s="6" t="str">
        <f>"计算机科学与工程学院"</f>
        <v>计算机科学与工程学院</v>
      </c>
    </row>
    <row r="2968" ht="13.5" hidden="1" spans="1:5">
      <c r="A2968" s="2" t="str">
        <f>"罗雅琪"</f>
        <v>罗雅琪</v>
      </c>
      <c r="B2968" s="2" t="str">
        <f>"B20210801606"</f>
        <v>B20210801606</v>
      </c>
      <c r="C2968" s="2" t="str">
        <f t="shared" si="706"/>
        <v>女</v>
      </c>
      <c r="D2968" s="2" t="str">
        <f t="shared" si="707"/>
        <v>8</v>
      </c>
      <c r="E2968" s="2" t="str">
        <f>"外国语学院"</f>
        <v>外国语学院</v>
      </c>
    </row>
    <row r="2969" ht="13.5" hidden="1" spans="1:5">
      <c r="A2969" s="2" t="str">
        <f>"姚若恒"</f>
        <v>姚若恒</v>
      </c>
      <c r="B2969" s="2" t="str">
        <f>"B20221302111"</f>
        <v>B20221302111</v>
      </c>
      <c r="C2969" s="2" t="str">
        <f>"男"</f>
        <v>男</v>
      </c>
      <c r="D2969" s="2" t="str">
        <f t="shared" si="707"/>
        <v>8</v>
      </c>
      <c r="E2969" s="2" t="str">
        <f>"材料与环境工程学院"</f>
        <v>材料与环境工程学院</v>
      </c>
    </row>
    <row r="2970" customHeight="1" spans="1:5">
      <c r="A2970" s="6" t="str">
        <f>"岳大俊"</f>
        <v>岳大俊</v>
      </c>
      <c r="B2970" s="6" t="str">
        <f>"B20210304122"</f>
        <v>B20210304122</v>
      </c>
      <c r="C2970" s="6" t="str">
        <f>"男"</f>
        <v>男</v>
      </c>
      <c r="D2970" s="7" t="str">
        <f>"7"</f>
        <v>7</v>
      </c>
      <c r="E2970" s="6" t="str">
        <f>"计算机科学与工程学院"</f>
        <v>计算机科学与工程学院</v>
      </c>
    </row>
    <row r="2971" ht="13.5" hidden="1" spans="1:5">
      <c r="A2971" s="2" t="str">
        <f>"谭文静"</f>
        <v>谭文静</v>
      </c>
      <c r="B2971" s="2" t="str">
        <f>"B20220906203"</f>
        <v>B20220906203</v>
      </c>
      <c r="C2971" s="2" t="str">
        <f t="shared" ref="C2971:C2973" si="708">"女"</f>
        <v>女</v>
      </c>
      <c r="D2971" s="2" t="str">
        <f t="shared" si="707"/>
        <v>8</v>
      </c>
      <c r="E2971" s="2" t="str">
        <f>"经济与管理学院"</f>
        <v>经济与管理学院</v>
      </c>
    </row>
    <row r="2972" ht="13.5" hidden="1" spans="1:5">
      <c r="A2972" s="2" t="str">
        <f>"张静怡"</f>
        <v>张静怡</v>
      </c>
      <c r="B2972" s="2" t="str">
        <f>"B20220404130"</f>
        <v>B20220404130</v>
      </c>
      <c r="C2972" s="2" t="str">
        <f t="shared" si="708"/>
        <v>女</v>
      </c>
      <c r="D2972" s="2" t="str">
        <f t="shared" si="707"/>
        <v>8</v>
      </c>
      <c r="E2972" s="2" t="str">
        <f>"电子信息与电气工程学院"</f>
        <v>电子信息与电气工程学院</v>
      </c>
    </row>
    <row r="2973" ht="13.5" hidden="1" spans="1:5">
      <c r="A2973" s="2" t="str">
        <f>"廖娅萱"</f>
        <v>廖娅萱</v>
      </c>
      <c r="B2973" s="2" t="str">
        <f>"B20220801320"</f>
        <v>B20220801320</v>
      </c>
      <c r="C2973" s="2" t="str">
        <f t="shared" si="708"/>
        <v>女</v>
      </c>
      <c r="D2973" s="2" t="str">
        <f t="shared" si="707"/>
        <v>8</v>
      </c>
      <c r="E2973" s="2" t="str">
        <f>"外国语学院"</f>
        <v>外国语学院</v>
      </c>
    </row>
    <row r="2974" ht="13.5" hidden="1" spans="1:5">
      <c r="A2974" s="2" t="str">
        <f>"雷袁灿"</f>
        <v>雷袁灿</v>
      </c>
      <c r="B2974" s="2" t="str">
        <f>"B20220102111"</f>
        <v>B20220102111</v>
      </c>
      <c r="C2974" s="2" t="str">
        <f>"男"</f>
        <v>男</v>
      </c>
      <c r="D2974" s="2" t="str">
        <f t="shared" si="707"/>
        <v>8</v>
      </c>
      <c r="E2974" s="2" t="str">
        <f>"土木工程学院"</f>
        <v>土木工程学院</v>
      </c>
    </row>
    <row r="2975" ht="13.5" hidden="1" spans="1:5">
      <c r="A2975" s="2" t="str">
        <f>"闫艺凡"</f>
        <v>闫艺凡</v>
      </c>
      <c r="B2975" s="2" t="str">
        <f>"B20210701301"</f>
        <v>B20210701301</v>
      </c>
      <c r="C2975" s="2" t="str">
        <f t="shared" ref="C2975:C2980" si="709">"女"</f>
        <v>女</v>
      </c>
      <c r="D2975" s="2" t="str">
        <f t="shared" si="707"/>
        <v>8</v>
      </c>
      <c r="E2975" s="2" t="str">
        <f>"马栏山新媒体学院"</f>
        <v>马栏山新媒体学院</v>
      </c>
    </row>
    <row r="2976" ht="13.5" hidden="1" spans="1:5">
      <c r="A2976" s="2" t="str">
        <f>"张志"</f>
        <v>张志</v>
      </c>
      <c r="B2976" s="2" t="str">
        <f>"B20231301224"</f>
        <v>B20231301224</v>
      </c>
      <c r="C2976" s="2" t="str">
        <f t="shared" ref="C2976:C2978" si="710">"男"</f>
        <v>男</v>
      </c>
      <c r="D2976" s="2" t="str">
        <f t="shared" si="707"/>
        <v>8</v>
      </c>
      <c r="E2976" s="2" t="str">
        <f>"材料与环境工程学院"</f>
        <v>材料与环境工程学院</v>
      </c>
    </row>
    <row r="2977" ht="13.5" hidden="1" spans="1:5">
      <c r="A2977" s="2" t="str">
        <f>"刘浩"</f>
        <v>刘浩</v>
      </c>
      <c r="B2977" s="2" t="str">
        <f>"B20210801212"</f>
        <v>B20210801212</v>
      </c>
      <c r="C2977" s="2" t="str">
        <f t="shared" si="710"/>
        <v>男</v>
      </c>
      <c r="D2977" s="2" t="str">
        <f t="shared" si="707"/>
        <v>8</v>
      </c>
      <c r="E2977" s="2" t="str">
        <f>"外国语学院"</f>
        <v>外国语学院</v>
      </c>
    </row>
    <row r="2978" ht="13.5" hidden="1" spans="1:5">
      <c r="A2978" s="2" t="str">
        <f>"邹语欣"</f>
        <v>邹语欣</v>
      </c>
      <c r="B2978" s="2" t="str">
        <f>"B20210402113"</f>
        <v>B20210402113</v>
      </c>
      <c r="C2978" s="2" t="str">
        <f t="shared" si="710"/>
        <v>男</v>
      </c>
      <c r="D2978" s="2" t="str">
        <f t="shared" si="707"/>
        <v>8</v>
      </c>
      <c r="E2978" s="2" t="str">
        <f>"电子信息与电气工程学院"</f>
        <v>电子信息与电气工程学院</v>
      </c>
    </row>
    <row r="2979" ht="13.5" hidden="1" spans="1:5">
      <c r="A2979" s="2" t="str">
        <f>"刘秋文"</f>
        <v>刘秋文</v>
      </c>
      <c r="B2979" s="2" t="str">
        <f>"B20230902329"</f>
        <v>B20230902329</v>
      </c>
      <c r="C2979" s="2" t="str">
        <f t="shared" si="709"/>
        <v>女</v>
      </c>
      <c r="D2979" s="2" t="str">
        <f t="shared" si="707"/>
        <v>8</v>
      </c>
      <c r="E2979" s="2" t="str">
        <f>"经济与管理学院"</f>
        <v>经济与管理学院</v>
      </c>
    </row>
    <row r="2980" ht="13.5" hidden="1" spans="1:5">
      <c r="A2980" s="2" t="str">
        <f>"代敬一"</f>
        <v>代敬一</v>
      </c>
      <c r="B2980" s="2" t="str">
        <f>"B20231004102"</f>
        <v>B20231004102</v>
      </c>
      <c r="C2980" s="2" t="str">
        <f t="shared" si="709"/>
        <v>女</v>
      </c>
      <c r="D2980" s="2" t="str">
        <f t="shared" si="707"/>
        <v>8</v>
      </c>
      <c r="E2980" s="2" t="str">
        <f>"艺术设计学院"</f>
        <v>艺术设计学院</v>
      </c>
    </row>
    <row r="2981" ht="13.5" hidden="1" spans="1:5">
      <c r="A2981" s="2" t="str">
        <f>"曾俊超"</f>
        <v>曾俊超</v>
      </c>
      <c r="B2981" s="2" t="str">
        <f>"B20230201401"</f>
        <v>B20230201401</v>
      </c>
      <c r="C2981" s="2" t="str">
        <f t="shared" ref="C2981:C2985" si="711">"男"</f>
        <v>男</v>
      </c>
      <c r="D2981" s="2" t="str">
        <f t="shared" si="707"/>
        <v>8</v>
      </c>
      <c r="E2981" s="2" t="str">
        <f>"机电工程学院"</f>
        <v>机电工程学院</v>
      </c>
    </row>
    <row r="2982" ht="13.5" hidden="1" spans="1:5">
      <c r="A2982" s="2" t="str">
        <f>"刘思颖"</f>
        <v>刘思颖</v>
      </c>
      <c r="B2982" s="2" t="str">
        <f>"B20231111114"</f>
        <v>B20231111114</v>
      </c>
      <c r="C2982" s="2" t="str">
        <f t="shared" ref="C2982:C2987" si="712">"女"</f>
        <v>女</v>
      </c>
      <c r="D2982" s="2" t="str">
        <f t="shared" si="707"/>
        <v>8</v>
      </c>
      <c r="E2982" s="2" t="str">
        <f>"音乐学院"</f>
        <v>音乐学院</v>
      </c>
    </row>
    <row r="2983" ht="13.5" hidden="1" spans="1:5">
      <c r="A2983" s="2" t="str">
        <f>"吴嘉欣"</f>
        <v>吴嘉欣</v>
      </c>
      <c r="B2983" s="2" t="str">
        <f>"B20230202221"</f>
        <v>B20230202221</v>
      </c>
      <c r="C2983" s="2" t="str">
        <f t="shared" si="711"/>
        <v>男</v>
      </c>
      <c r="D2983" s="2" t="str">
        <f t="shared" si="707"/>
        <v>8</v>
      </c>
      <c r="E2983" s="2" t="str">
        <f>"机电工程学院"</f>
        <v>机电工程学院</v>
      </c>
    </row>
    <row r="2984" ht="13.5" hidden="1" spans="1:5">
      <c r="A2984" s="2" t="str">
        <f>"吴佳旺"</f>
        <v>吴佳旺</v>
      </c>
      <c r="B2984" s="2" t="str">
        <f>"B20210503221"</f>
        <v>B20210503221</v>
      </c>
      <c r="C2984" s="2" t="str">
        <f t="shared" si="711"/>
        <v>男</v>
      </c>
      <c r="D2984" s="2" t="str">
        <f t="shared" si="707"/>
        <v>8</v>
      </c>
      <c r="E2984" s="2" t="str">
        <f>"材料与环境工程学院"</f>
        <v>材料与环境工程学院</v>
      </c>
    </row>
    <row r="2985" customHeight="1" spans="1:5">
      <c r="A2985" s="6" t="str">
        <f>"江文锋"</f>
        <v>江文锋</v>
      </c>
      <c r="B2985" s="6" t="str">
        <f>"B20210304123"</f>
        <v>B20210304123</v>
      </c>
      <c r="C2985" s="6" t="str">
        <f t="shared" si="711"/>
        <v>男</v>
      </c>
      <c r="D2985" s="7" t="str">
        <f>"13"</f>
        <v>13</v>
      </c>
      <c r="E2985" s="6" t="str">
        <f>"计算机科学与工程学院"</f>
        <v>计算机科学与工程学院</v>
      </c>
    </row>
    <row r="2986" ht="13.5" hidden="1" spans="1:5">
      <c r="A2986" s="2" t="str">
        <f>"肖立洲"</f>
        <v>肖立洲</v>
      </c>
      <c r="B2986" s="2" t="str">
        <f>"B20230901326"</f>
        <v>B20230901326</v>
      </c>
      <c r="C2986" s="2" t="str">
        <f t="shared" si="712"/>
        <v>女</v>
      </c>
      <c r="D2986" s="2" t="str">
        <f t="shared" si="707"/>
        <v>8</v>
      </c>
      <c r="E2986" s="2" t="str">
        <f>"经济与管理学院"</f>
        <v>经济与管理学院</v>
      </c>
    </row>
    <row r="2987" ht="13.5" hidden="1" spans="1:5">
      <c r="A2987" s="2" t="str">
        <f>"陈诚含"</f>
        <v>陈诚含</v>
      </c>
      <c r="B2987" s="2" t="str">
        <f>"B20220702130"</f>
        <v>B20220702130</v>
      </c>
      <c r="C2987" s="2" t="str">
        <f t="shared" si="712"/>
        <v>女</v>
      </c>
      <c r="D2987" s="2" t="str">
        <f t="shared" si="707"/>
        <v>8</v>
      </c>
      <c r="E2987" s="2" t="str">
        <f>"马栏山新媒体学院"</f>
        <v>马栏山新媒体学院</v>
      </c>
    </row>
    <row r="2988" ht="13.5" hidden="1" spans="1:5">
      <c r="A2988" s="2" t="str">
        <f>"张俊豪"</f>
        <v>张俊豪</v>
      </c>
      <c r="B2988" s="2" t="str">
        <f>"B20210202317"</f>
        <v>B20210202317</v>
      </c>
      <c r="C2988" s="2" t="str">
        <f>"男"</f>
        <v>男</v>
      </c>
      <c r="D2988" s="2" t="str">
        <f t="shared" si="707"/>
        <v>8</v>
      </c>
      <c r="E2988" s="2" t="str">
        <f>"机电工程学院"</f>
        <v>机电工程学院</v>
      </c>
    </row>
    <row r="2989" ht="13.5" hidden="1" spans="1:5">
      <c r="A2989" s="2" t="str">
        <f>"施函君"</f>
        <v>施函君</v>
      </c>
      <c r="B2989" s="2" t="str">
        <f>"B20201004121"</f>
        <v>B20201004121</v>
      </c>
      <c r="C2989" s="2" t="str">
        <f t="shared" ref="C2989:C2998" si="713">"女"</f>
        <v>女</v>
      </c>
      <c r="D2989" s="2" t="str">
        <f t="shared" si="707"/>
        <v>8</v>
      </c>
      <c r="E2989" s="2" t="str">
        <f>"艺术设计学院"</f>
        <v>艺术设计学院</v>
      </c>
    </row>
    <row r="2990" ht="13.5" hidden="1" spans="1:5">
      <c r="A2990" s="2" t="str">
        <f>"陈满"</f>
        <v>陈满</v>
      </c>
      <c r="B2990" s="2" t="str">
        <f>"B20230502126"</f>
        <v>B20230502126</v>
      </c>
      <c r="C2990" s="2" t="str">
        <f t="shared" si="713"/>
        <v>女</v>
      </c>
      <c r="D2990" s="2" t="str">
        <f t="shared" si="707"/>
        <v>8</v>
      </c>
      <c r="E2990" s="2" t="str">
        <f>"生物与化学工程学院"</f>
        <v>生物与化学工程学院</v>
      </c>
    </row>
    <row r="2991" ht="13.5" hidden="1" spans="1:5">
      <c r="A2991" s="2" t="str">
        <f>"周璇"</f>
        <v>周璇</v>
      </c>
      <c r="B2991" s="2" t="str">
        <f>"B20200503217"</f>
        <v>B20200503217</v>
      </c>
      <c r="C2991" s="2" t="str">
        <f t="shared" si="713"/>
        <v>女</v>
      </c>
      <c r="D2991" s="2" t="str">
        <f t="shared" si="707"/>
        <v>8</v>
      </c>
      <c r="E2991" s="2" t="str">
        <f>"生物与环境工程学院"</f>
        <v>生物与环境工程学院</v>
      </c>
    </row>
    <row r="2992" ht="13.5" hidden="1" spans="1:5">
      <c r="A2992" s="2" t="str">
        <f>"周彤彤"</f>
        <v>周彤彤</v>
      </c>
      <c r="B2992" s="2" t="str">
        <f>"B20220702428"</f>
        <v>B20220702428</v>
      </c>
      <c r="C2992" s="2" t="str">
        <f t="shared" si="713"/>
        <v>女</v>
      </c>
      <c r="D2992" s="2" t="str">
        <f t="shared" si="707"/>
        <v>8</v>
      </c>
      <c r="E2992" s="2" t="str">
        <f>"马栏山新媒体学院"</f>
        <v>马栏山新媒体学院</v>
      </c>
    </row>
    <row r="2993" ht="13.5" hidden="1" spans="1:5">
      <c r="A2993" s="2" t="str">
        <f>"李飞燕"</f>
        <v>李飞燕</v>
      </c>
      <c r="B2993" s="2" t="str">
        <f>"B20230905206"</f>
        <v>B20230905206</v>
      </c>
      <c r="C2993" s="2" t="str">
        <f t="shared" si="713"/>
        <v>女</v>
      </c>
      <c r="D2993" s="2" t="str">
        <f t="shared" si="707"/>
        <v>8</v>
      </c>
      <c r="E2993" s="2" t="str">
        <f t="shared" ref="E2993:E2997" si="714">"经济与管理学院"</f>
        <v>经济与管理学院</v>
      </c>
    </row>
    <row r="2994" ht="13.5" hidden="1" spans="1:5">
      <c r="A2994" s="2" t="str">
        <f>"邓翊祺"</f>
        <v>邓翊祺</v>
      </c>
      <c r="B2994" s="2" t="str">
        <f>"B20220801410"</f>
        <v>B20220801410</v>
      </c>
      <c r="C2994" s="2" t="str">
        <f t="shared" si="713"/>
        <v>女</v>
      </c>
      <c r="D2994" s="2" t="str">
        <f t="shared" si="707"/>
        <v>8</v>
      </c>
      <c r="E2994" s="2" t="str">
        <f>"外国语学院"</f>
        <v>外国语学院</v>
      </c>
    </row>
    <row r="2995" ht="13.5" hidden="1" spans="1:5">
      <c r="A2995" s="2" t="str">
        <f>"赵悦"</f>
        <v>赵悦</v>
      </c>
      <c r="B2995" s="2" t="str">
        <f>"B20230902227"</f>
        <v>B20230902227</v>
      </c>
      <c r="C2995" s="2" t="str">
        <f t="shared" si="713"/>
        <v>女</v>
      </c>
      <c r="D2995" s="2" t="str">
        <f t="shared" si="707"/>
        <v>8</v>
      </c>
      <c r="E2995" s="2" t="str">
        <f t="shared" si="714"/>
        <v>经济与管理学院</v>
      </c>
    </row>
    <row r="2996" ht="13.5" hidden="1" spans="1:5">
      <c r="A2996" s="2" t="str">
        <f>"罗凤云"</f>
        <v>罗凤云</v>
      </c>
      <c r="B2996" s="2" t="str">
        <f>"B20230402224"</f>
        <v>B20230402224</v>
      </c>
      <c r="C2996" s="2" t="str">
        <f t="shared" si="713"/>
        <v>女</v>
      </c>
      <c r="D2996" s="2" t="str">
        <f t="shared" si="707"/>
        <v>8</v>
      </c>
      <c r="E2996" s="2" t="str">
        <f>"电子信息与电气工程学院"</f>
        <v>电子信息与电气工程学院</v>
      </c>
    </row>
    <row r="2997" ht="13.5" hidden="1" spans="1:5">
      <c r="A2997" s="2" t="str">
        <f>"贺婷"</f>
        <v>贺婷</v>
      </c>
      <c r="B2997" s="2" t="str">
        <f>"B20220906111"</f>
        <v>B20220906111</v>
      </c>
      <c r="C2997" s="2" t="str">
        <f t="shared" si="713"/>
        <v>女</v>
      </c>
      <c r="D2997" s="2" t="str">
        <f t="shared" si="707"/>
        <v>8</v>
      </c>
      <c r="E2997" s="2" t="str">
        <f t="shared" si="714"/>
        <v>经济与管理学院</v>
      </c>
    </row>
    <row r="2998" customHeight="1" spans="1:5">
      <c r="A2998" s="6" t="str">
        <f>"赵丽竹"</f>
        <v>赵丽竹</v>
      </c>
      <c r="B2998" s="6" t="str">
        <f>"B20210304124"</f>
        <v>B20210304124</v>
      </c>
      <c r="C2998" s="6" t="str">
        <f t="shared" si="713"/>
        <v>女</v>
      </c>
      <c r="D2998" s="7" t="str">
        <f>"4"</f>
        <v>4</v>
      </c>
      <c r="E2998" s="6" t="str">
        <f>"计算机科学与工程学院"</f>
        <v>计算机科学与工程学院</v>
      </c>
    </row>
    <row r="2999" customHeight="1" spans="1:5">
      <c r="A2999" s="6" t="str">
        <f>"戴旭轩"</f>
        <v>戴旭轩</v>
      </c>
      <c r="B2999" s="6" t="str">
        <f>"B20210304125"</f>
        <v>B20210304125</v>
      </c>
      <c r="C2999" s="6" t="str">
        <f>"男"</f>
        <v>男</v>
      </c>
      <c r="D2999" s="7" t="str">
        <f>"5"</f>
        <v>5</v>
      </c>
      <c r="E2999" s="6" t="str">
        <f>"计算机科学与工程学院"</f>
        <v>计算机科学与工程学院</v>
      </c>
    </row>
    <row r="3000" ht="13.5" hidden="1" spans="1:5">
      <c r="A3000" s="2" t="str">
        <f>"谭淼"</f>
        <v>谭淼</v>
      </c>
      <c r="B3000" s="2" t="str">
        <f>"B20210505218"</f>
        <v>B20210505218</v>
      </c>
      <c r="C3000" s="2" t="str">
        <f t="shared" ref="C2998:C3002" si="715">"男"</f>
        <v>男</v>
      </c>
      <c r="D3000" s="2" t="str">
        <f t="shared" si="707"/>
        <v>8</v>
      </c>
      <c r="E3000" s="2" t="str">
        <f>"材料与环境工程学院"</f>
        <v>材料与环境工程学院</v>
      </c>
    </row>
    <row r="3001" ht="13.5" hidden="1" spans="1:5">
      <c r="A3001" s="2" t="str">
        <f>"李栋"</f>
        <v>李栋</v>
      </c>
      <c r="B3001" s="2" t="str">
        <f>"B20210201309"</f>
        <v>B20210201309</v>
      </c>
      <c r="C3001" s="2" t="str">
        <f t="shared" si="715"/>
        <v>男</v>
      </c>
      <c r="D3001" s="2" t="str">
        <f t="shared" si="707"/>
        <v>8</v>
      </c>
      <c r="E3001" s="2" t="str">
        <f>"机电工程学院"</f>
        <v>机电工程学院</v>
      </c>
    </row>
    <row r="3002" customHeight="1" spans="1:5">
      <c r="A3002" s="6" t="str">
        <f>"周瀚睿"</f>
        <v>周瀚睿</v>
      </c>
      <c r="B3002" s="6" t="str">
        <f>"B20210304126"</f>
        <v>B20210304126</v>
      </c>
      <c r="C3002" s="6" t="str">
        <f t="shared" si="715"/>
        <v>男</v>
      </c>
      <c r="D3002" s="7" t="str">
        <f>"6"</f>
        <v>6</v>
      </c>
      <c r="E3002" s="6" t="str">
        <f>"计算机科学与工程学院"</f>
        <v>计算机科学与工程学院</v>
      </c>
    </row>
    <row r="3003" ht="13.5" hidden="1" spans="1:5">
      <c r="A3003" s="2" t="str">
        <f>"谭曦"</f>
        <v>谭曦</v>
      </c>
      <c r="B3003" s="2" t="str">
        <f>"B20230504203"</f>
        <v>B20230504203</v>
      </c>
      <c r="C3003" s="2" t="str">
        <f t="shared" ref="C3003:C3008" si="716">"男"</f>
        <v>男</v>
      </c>
      <c r="D3003" s="2" t="str">
        <f t="shared" si="707"/>
        <v>8</v>
      </c>
      <c r="E3003" s="2" t="str">
        <f>"生物与化学工程学院"</f>
        <v>生物与化学工程学院</v>
      </c>
    </row>
    <row r="3004" ht="13.5" hidden="1" spans="1:5">
      <c r="A3004" s="2" t="str">
        <f>"李露露"</f>
        <v>李露露</v>
      </c>
      <c r="B3004" s="2" t="str">
        <f>"B20210802202"</f>
        <v>B20210802202</v>
      </c>
      <c r="C3004" s="2" t="str">
        <f>"女"</f>
        <v>女</v>
      </c>
      <c r="D3004" s="2" t="str">
        <f t="shared" si="707"/>
        <v>8</v>
      </c>
      <c r="E3004" s="2" t="str">
        <f>"外国语学院"</f>
        <v>外国语学院</v>
      </c>
    </row>
    <row r="3005" ht="13.5" hidden="1" spans="1:5">
      <c r="A3005" s="2" t="str">
        <f>"戴煜嫦"</f>
        <v>戴煜嫦</v>
      </c>
      <c r="B3005" s="2" t="str">
        <f>"B20210703205"</f>
        <v>B20210703205</v>
      </c>
      <c r="C3005" s="2" t="str">
        <f>"女"</f>
        <v>女</v>
      </c>
      <c r="D3005" s="2" t="str">
        <f t="shared" si="707"/>
        <v>8</v>
      </c>
      <c r="E3005" s="2" t="str">
        <f>"马栏山新媒体学院"</f>
        <v>马栏山新媒体学院</v>
      </c>
    </row>
    <row r="3006" customHeight="1" spans="1:5">
      <c r="A3006" s="6" t="str">
        <f>"卢卓云"</f>
        <v>卢卓云</v>
      </c>
      <c r="B3006" s="6" t="str">
        <f>"B20210304128"</f>
        <v>B20210304128</v>
      </c>
      <c r="C3006" s="6" t="str">
        <f>"男"</f>
        <v>男</v>
      </c>
      <c r="D3006" s="7" t="str">
        <f>"9"</f>
        <v>9</v>
      </c>
      <c r="E3006" s="6" t="str">
        <f>"计算机科学与工程学院"</f>
        <v>计算机科学与工程学院</v>
      </c>
    </row>
    <row r="3007" ht="13.5" hidden="1" spans="1:5">
      <c r="A3007" s="2" t="str">
        <f>"彭靖"</f>
        <v>彭靖</v>
      </c>
      <c r="B3007" s="2" t="str">
        <f>"B20200905224"</f>
        <v>B20200905224</v>
      </c>
      <c r="C3007" s="2" t="str">
        <f t="shared" si="716"/>
        <v>男</v>
      </c>
      <c r="D3007" s="2" t="str">
        <f t="shared" si="707"/>
        <v>8</v>
      </c>
      <c r="E3007" s="2" t="str">
        <f>"经济与管理学院"</f>
        <v>经济与管理学院</v>
      </c>
    </row>
    <row r="3008" ht="13.5" hidden="1" spans="1:5">
      <c r="A3008" s="2" t="str">
        <f>"汤昱"</f>
        <v>汤昱</v>
      </c>
      <c r="B3008" s="2" t="str">
        <f>"B20220101116"</f>
        <v>B20220101116</v>
      </c>
      <c r="C3008" s="2" t="str">
        <f t="shared" si="716"/>
        <v>男</v>
      </c>
      <c r="D3008" s="2" t="str">
        <f t="shared" si="707"/>
        <v>8</v>
      </c>
      <c r="E3008" s="2" t="str">
        <f>"土木工程学院"</f>
        <v>土木工程学院</v>
      </c>
    </row>
    <row r="3009" ht="13.5" hidden="1" spans="1:5">
      <c r="A3009" s="2" t="str">
        <f>"吴梅婷"</f>
        <v>吴梅婷</v>
      </c>
      <c r="B3009" s="2" t="str">
        <f>"B20211001115"</f>
        <v>B20211001115</v>
      </c>
      <c r="C3009" s="2" t="str">
        <f>"女"</f>
        <v>女</v>
      </c>
      <c r="D3009" s="2" t="str">
        <f t="shared" si="707"/>
        <v>8</v>
      </c>
      <c r="E3009" s="2" t="str">
        <f>"艺术设计学院"</f>
        <v>艺术设计学院</v>
      </c>
    </row>
    <row r="3010" ht="13.5" hidden="1" spans="1:5">
      <c r="A3010" s="2" t="str">
        <f>"谢喆坤"</f>
        <v>谢喆坤</v>
      </c>
      <c r="B3010" s="2" t="str">
        <f>"B20220201227"</f>
        <v>B20220201227</v>
      </c>
      <c r="C3010" s="2" t="str">
        <f t="shared" ref="C3010:C3012" si="717">"男"</f>
        <v>男</v>
      </c>
      <c r="D3010" s="2" t="str">
        <f t="shared" si="707"/>
        <v>8</v>
      </c>
      <c r="E3010" s="2" t="str">
        <f>"机电工程学院"</f>
        <v>机电工程学院</v>
      </c>
    </row>
    <row r="3011" ht="13.5" hidden="1" spans="1:5">
      <c r="A3011" s="2" t="str">
        <f>"赵文"</f>
        <v>赵文</v>
      </c>
      <c r="B3011" s="2" t="str">
        <f>"B20200702220"</f>
        <v>B20200702220</v>
      </c>
      <c r="C3011" s="2" t="str">
        <f t="shared" si="717"/>
        <v>男</v>
      </c>
      <c r="D3011" s="2" t="str">
        <f t="shared" si="707"/>
        <v>8</v>
      </c>
      <c r="E3011" s="2" t="str">
        <f>"法学院"</f>
        <v>法学院</v>
      </c>
    </row>
    <row r="3012" ht="13.5" hidden="1" spans="1:5">
      <c r="A3012" s="2" t="str">
        <f>"龚仕杰"</f>
        <v>龚仕杰</v>
      </c>
      <c r="B3012" s="2" t="str">
        <f>"B20230205131"</f>
        <v>B20230205131</v>
      </c>
      <c r="C3012" s="2" t="str">
        <f t="shared" si="717"/>
        <v>男</v>
      </c>
      <c r="D3012" s="2" t="str">
        <f t="shared" si="707"/>
        <v>8</v>
      </c>
      <c r="E3012" s="2" t="str">
        <f>"机电工程学院"</f>
        <v>机电工程学院</v>
      </c>
    </row>
    <row r="3013" ht="13.5" hidden="1" spans="1:5">
      <c r="A3013" s="2" t="str">
        <f>"黄颖婷"</f>
        <v>黄颖婷</v>
      </c>
      <c r="B3013" s="2" t="str">
        <f>"B20220902326"</f>
        <v>B20220902326</v>
      </c>
      <c r="C3013" s="2" t="str">
        <f t="shared" ref="C3013:C3016" si="718">"女"</f>
        <v>女</v>
      </c>
      <c r="D3013" s="2" t="str">
        <f t="shared" si="707"/>
        <v>8</v>
      </c>
      <c r="E3013" s="2" t="str">
        <f>"经济与管理学院"</f>
        <v>经济与管理学院</v>
      </c>
    </row>
    <row r="3014" ht="13.5" hidden="1" spans="1:5">
      <c r="A3014" s="2" t="str">
        <f>"李梁"</f>
        <v>李梁</v>
      </c>
      <c r="B3014" s="2" t="str">
        <f>"B20230803110"</f>
        <v>B20230803110</v>
      </c>
      <c r="C3014" s="2" t="str">
        <f t="shared" ref="C3014:C3019" si="719">"男"</f>
        <v>男</v>
      </c>
      <c r="D3014" s="2" t="str">
        <f t="shared" si="707"/>
        <v>8</v>
      </c>
      <c r="E3014" s="2" t="str">
        <f>"外国语学院"</f>
        <v>外国语学院</v>
      </c>
    </row>
    <row r="3015" ht="13.5" hidden="1" spans="1:5">
      <c r="A3015" s="2" t="str">
        <f>"胡奥"</f>
        <v>胡奥</v>
      </c>
      <c r="B3015" s="2" t="str">
        <f>"B20210902231"</f>
        <v>B20210902231</v>
      </c>
      <c r="C3015" s="2" t="str">
        <f t="shared" si="718"/>
        <v>女</v>
      </c>
      <c r="D3015" s="2" t="str">
        <f t="shared" si="707"/>
        <v>8</v>
      </c>
      <c r="E3015" s="2" t="str">
        <f>"经济与管理学院"</f>
        <v>经济与管理学院</v>
      </c>
    </row>
    <row r="3016" ht="13.5" hidden="1" spans="1:5">
      <c r="A3016" s="2" t="str">
        <f>"谭川"</f>
        <v>谭川</v>
      </c>
      <c r="B3016" s="2" t="str">
        <f>"B20220702127"</f>
        <v>B20220702127</v>
      </c>
      <c r="C3016" s="2" t="str">
        <f t="shared" si="718"/>
        <v>女</v>
      </c>
      <c r="D3016" s="2" t="str">
        <f t="shared" si="707"/>
        <v>8</v>
      </c>
      <c r="E3016" s="2" t="str">
        <f>"马栏山新媒体学院"</f>
        <v>马栏山新媒体学院</v>
      </c>
    </row>
    <row r="3017" ht="13.5" hidden="1" spans="1:5">
      <c r="A3017" s="2" t="str">
        <f>"雷航"</f>
        <v>雷航</v>
      </c>
      <c r="B3017" s="2" t="str">
        <f>"B20230101524"</f>
        <v>B20230101524</v>
      </c>
      <c r="C3017" s="2" t="str">
        <f t="shared" si="719"/>
        <v>男</v>
      </c>
      <c r="D3017" s="2" t="str">
        <f t="shared" si="707"/>
        <v>8</v>
      </c>
      <c r="E3017" s="2" t="str">
        <f>"土木工程学院"</f>
        <v>土木工程学院</v>
      </c>
    </row>
    <row r="3018" ht="13.5" hidden="1" spans="1:5">
      <c r="A3018" s="2" t="str">
        <f>"文澳"</f>
        <v>文澳</v>
      </c>
      <c r="B3018" s="2" t="str">
        <f>"B20220201124"</f>
        <v>B20220201124</v>
      </c>
      <c r="C3018" s="2" t="str">
        <f t="shared" si="719"/>
        <v>男</v>
      </c>
      <c r="D3018" s="2" t="str">
        <f t="shared" si="707"/>
        <v>8</v>
      </c>
      <c r="E3018" s="2" t="str">
        <f>"机电工程学院"</f>
        <v>机电工程学院</v>
      </c>
    </row>
    <row r="3019" ht="13.5" hidden="1" spans="1:5">
      <c r="A3019" s="2" t="str">
        <f>"李昊"</f>
        <v>李昊</v>
      </c>
      <c r="B3019" s="2" t="str">
        <f>"B20200404222"</f>
        <v>B20200404222</v>
      </c>
      <c r="C3019" s="2" t="str">
        <f t="shared" si="719"/>
        <v>男</v>
      </c>
      <c r="D3019" s="2" t="str">
        <f t="shared" si="707"/>
        <v>8</v>
      </c>
      <c r="E3019" s="2" t="str">
        <f>"电子信息与电气工程学院"</f>
        <v>电子信息与电气工程学院</v>
      </c>
    </row>
    <row r="3020" ht="13.5" hidden="1" spans="1:5">
      <c r="A3020" s="2" t="str">
        <f>"王欣铭"</f>
        <v>王欣铭</v>
      </c>
      <c r="B3020" s="2" t="str">
        <f>"B20231003111"</f>
        <v>B20231003111</v>
      </c>
      <c r="C3020" s="2" t="str">
        <f t="shared" ref="C3020:C3024" si="720">"女"</f>
        <v>女</v>
      </c>
      <c r="D3020" s="2" t="str">
        <f t="shared" si="707"/>
        <v>8</v>
      </c>
      <c r="E3020" s="2" t="str">
        <f>"艺术设计学院"</f>
        <v>艺术设计学院</v>
      </c>
    </row>
    <row r="3021" ht="13.5" hidden="1" spans="1:5">
      <c r="A3021" s="2" t="str">
        <f>"何依萱"</f>
        <v>何依萱</v>
      </c>
      <c r="B3021" s="2" t="str">
        <f>"B20200901307"</f>
        <v>B20200901307</v>
      </c>
      <c r="C3021" s="2" t="str">
        <f t="shared" si="720"/>
        <v>女</v>
      </c>
      <c r="D3021" s="2" t="str">
        <f t="shared" si="707"/>
        <v>8</v>
      </c>
      <c r="E3021" s="2" t="str">
        <f t="shared" ref="E3021:E3026" si="721">"经济与管理学院"</f>
        <v>经济与管理学院</v>
      </c>
    </row>
    <row r="3022" ht="13.5" hidden="1" spans="1:5">
      <c r="A3022" s="2" t="str">
        <f>"罗思敏"</f>
        <v>罗思敏</v>
      </c>
      <c r="B3022" s="2" t="str">
        <f>"B20220902308"</f>
        <v>B20220902308</v>
      </c>
      <c r="C3022" s="2" t="str">
        <f t="shared" si="720"/>
        <v>女</v>
      </c>
      <c r="D3022" s="2" t="str">
        <f t="shared" si="707"/>
        <v>8</v>
      </c>
      <c r="E3022" s="2" t="str">
        <f t="shared" si="721"/>
        <v>经济与管理学院</v>
      </c>
    </row>
    <row r="3023" ht="13.5" hidden="1" spans="1:5">
      <c r="A3023" s="2" t="str">
        <f>"彭景怡"</f>
        <v>彭景怡</v>
      </c>
      <c r="B3023" s="2" t="str">
        <f>"B20231001307"</f>
        <v>B20231001307</v>
      </c>
      <c r="C3023" s="2" t="str">
        <f t="shared" si="720"/>
        <v>女</v>
      </c>
      <c r="D3023" s="2" t="str">
        <f t="shared" si="707"/>
        <v>8</v>
      </c>
      <c r="E3023" s="2" t="str">
        <f>"艺术设计学院"</f>
        <v>艺术设计学院</v>
      </c>
    </row>
    <row r="3024" ht="13.5" hidden="1" spans="1:5">
      <c r="A3024" s="2" t="str">
        <f>"成贝怡"</f>
        <v>成贝怡</v>
      </c>
      <c r="B3024" s="2" t="str">
        <f>"B20221111118"</f>
        <v>B20221111118</v>
      </c>
      <c r="C3024" s="2" t="str">
        <f t="shared" si="720"/>
        <v>女</v>
      </c>
      <c r="D3024" s="2" t="str">
        <f t="shared" si="707"/>
        <v>8</v>
      </c>
      <c r="E3024" s="2" t="str">
        <f>"音乐学院"</f>
        <v>音乐学院</v>
      </c>
    </row>
    <row r="3025" ht="13.5" hidden="1" spans="1:5">
      <c r="A3025" s="2" t="str">
        <f>"张文骐"</f>
        <v>张文骐</v>
      </c>
      <c r="B3025" s="2" t="str">
        <f>"B20210403221"</f>
        <v>B20210403221</v>
      </c>
      <c r="C3025" s="2" t="str">
        <f>"男"</f>
        <v>男</v>
      </c>
      <c r="D3025" s="2" t="str">
        <f t="shared" si="707"/>
        <v>8</v>
      </c>
      <c r="E3025" s="2" t="str">
        <f>"电子信息与电气工程学院"</f>
        <v>电子信息与电气工程学院</v>
      </c>
    </row>
    <row r="3026" ht="13.5" hidden="1" spans="1:5">
      <c r="A3026" s="2" t="str">
        <f>"曹丽芳"</f>
        <v>曹丽芳</v>
      </c>
      <c r="B3026" s="2" t="str">
        <f>"B20210901247"</f>
        <v>B20210901247</v>
      </c>
      <c r="C3026" s="2" t="str">
        <f t="shared" ref="C3026:C3030" si="722">"女"</f>
        <v>女</v>
      </c>
      <c r="D3026" s="2" t="str">
        <f t="shared" si="707"/>
        <v>8</v>
      </c>
      <c r="E3026" s="2" t="str">
        <f t="shared" si="721"/>
        <v>经济与管理学院</v>
      </c>
    </row>
    <row r="3027" ht="13.5" hidden="1" spans="1:5">
      <c r="A3027" s="2" t="str">
        <f>"彭建军"</f>
        <v>彭建军</v>
      </c>
      <c r="B3027" s="2" t="str">
        <f>"B20231302211"</f>
        <v>B20231302211</v>
      </c>
      <c r="C3027" s="2" t="str">
        <f t="shared" ref="C3027:C3032" si="723">"男"</f>
        <v>男</v>
      </c>
      <c r="D3027" s="2" t="str">
        <f t="shared" si="707"/>
        <v>8</v>
      </c>
      <c r="E3027" s="2" t="str">
        <f>"材料与环境工程学院"</f>
        <v>材料与环境工程学院</v>
      </c>
    </row>
    <row r="3028" ht="13.5" hidden="1" spans="1:5">
      <c r="A3028" s="2" t="str">
        <f>"唐嘉怡"</f>
        <v>唐嘉怡</v>
      </c>
      <c r="B3028" s="2" t="str">
        <f>"B20230601103"</f>
        <v>B20230601103</v>
      </c>
      <c r="C3028" s="2" t="str">
        <f t="shared" si="722"/>
        <v>女</v>
      </c>
      <c r="D3028" s="2" t="str">
        <f t="shared" si="707"/>
        <v>8</v>
      </c>
      <c r="E3028" s="2" t="str">
        <f>"法学院"</f>
        <v>法学院</v>
      </c>
    </row>
    <row r="3029" ht="13.5" hidden="1" spans="1:5">
      <c r="A3029" s="2" t="str">
        <f>"刘甜源"</f>
        <v>刘甜源</v>
      </c>
      <c r="B3029" s="2" t="str">
        <f>"B20210905236"</f>
        <v>B20210905236</v>
      </c>
      <c r="C3029" s="2" t="str">
        <f t="shared" si="722"/>
        <v>女</v>
      </c>
      <c r="D3029" s="2" t="str">
        <f t="shared" si="707"/>
        <v>8</v>
      </c>
      <c r="E3029" s="2" t="str">
        <f>"经济与管理学院"</f>
        <v>经济与管理学院</v>
      </c>
    </row>
    <row r="3030" ht="13.5" hidden="1" spans="1:5">
      <c r="A3030" s="2" t="str">
        <f>"王思琪"</f>
        <v>王思琪</v>
      </c>
      <c r="B3030" s="2" t="str">
        <f>"B20221301217"</f>
        <v>B20221301217</v>
      </c>
      <c r="C3030" s="2" t="str">
        <f t="shared" si="722"/>
        <v>女</v>
      </c>
      <c r="D3030" s="2" t="str">
        <f t="shared" ref="D3030:D3093" si="724">"8"</f>
        <v>8</v>
      </c>
      <c r="E3030" s="2" t="str">
        <f>"材料与环境工程学院"</f>
        <v>材料与环境工程学院</v>
      </c>
    </row>
    <row r="3031" ht="13.5" hidden="1" spans="1:5">
      <c r="A3031" s="2" t="str">
        <f>"庞绎鑫"</f>
        <v>庞绎鑫</v>
      </c>
      <c r="B3031" s="2" t="str">
        <f>"B20210601109"</f>
        <v>B20210601109</v>
      </c>
      <c r="C3031" s="2" t="str">
        <f t="shared" si="723"/>
        <v>男</v>
      </c>
      <c r="D3031" s="2" t="str">
        <f t="shared" si="724"/>
        <v>8</v>
      </c>
      <c r="E3031" s="2" t="str">
        <f>"法学院"</f>
        <v>法学院</v>
      </c>
    </row>
    <row r="3032" ht="13.5" hidden="1" spans="1:5">
      <c r="A3032" s="2" t="str">
        <f>"皮榴炫"</f>
        <v>皮榴炫</v>
      </c>
      <c r="B3032" s="2" t="str">
        <f>"B20220401303"</f>
        <v>B20220401303</v>
      </c>
      <c r="C3032" s="2" t="str">
        <f t="shared" si="723"/>
        <v>男</v>
      </c>
      <c r="D3032" s="2" t="str">
        <f t="shared" si="724"/>
        <v>8</v>
      </c>
      <c r="E3032" s="2" t="str">
        <f>"电子信息与电气工程学院"</f>
        <v>电子信息与电气工程学院</v>
      </c>
    </row>
    <row r="3033" ht="13.5" hidden="1" spans="1:5">
      <c r="A3033" s="2" t="str">
        <f>"吴仪"</f>
        <v>吴仪</v>
      </c>
      <c r="B3033" s="2" t="str">
        <f>"B20220905136"</f>
        <v>B20220905136</v>
      </c>
      <c r="C3033" s="2" t="str">
        <f t="shared" ref="C3033:C3041" si="725">"女"</f>
        <v>女</v>
      </c>
      <c r="D3033" s="2" t="str">
        <f t="shared" si="724"/>
        <v>8</v>
      </c>
      <c r="E3033" s="2" t="str">
        <f t="shared" ref="E3033:E3037" si="726">"经济与管理学院"</f>
        <v>经济与管理学院</v>
      </c>
    </row>
    <row r="3034" ht="13.5" hidden="1" spans="1:5">
      <c r="A3034" s="2" t="str">
        <f>"颜铭州"</f>
        <v>颜铭州</v>
      </c>
      <c r="B3034" s="2" t="str">
        <f>"B20220701113"</f>
        <v>B20220701113</v>
      </c>
      <c r="C3034" s="2" t="str">
        <f>"男"</f>
        <v>男</v>
      </c>
      <c r="D3034" s="2" t="str">
        <f t="shared" si="724"/>
        <v>8</v>
      </c>
      <c r="E3034" s="2" t="str">
        <f>"马栏山新媒体学院"</f>
        <v>马栏山新媒体学院</v>
      </c>
    </row>
    <row r="3035" ht="13.5" hidden="1" spans="1:5">
      <c r="A3035" s="2" t="str">
        <f>"温梓骐"</f>
        <v>温梓骐</v>
      </c>
      <c r="B3035" s="2" t="str">
        <f>"B20210903221"</f>
        <v>B20210903221</v>
      </c>
      <c r="C3035" s="2" t="str">
        <f>"男"</f>
        <v>男</v>
      </c>
      <c r="D3035" s="2" t="str">
        <f t="shared" si="724"/>
        <v>8</v>
      </c>
      <c r="E3035" s="2" t="str">
        <f t="shared" si="726"/>
        <v>经济与管理学院</v>
      </c>
    </row>
    <row r="3036" ht="13.5" hidden="1" spans="1:5">
      <c r="A3036" s="2" t="str">
        <f>"龙心曦"</f>
        <v>龙心曦</v>
      </c>
      <c r="B3036" s="2" t="str">
        <f>"B20230901305"</f>
        <v>B20230901305</v>
      </c>
      <c r="C3036" s="2" t="str">
        <f t="shared" si="725"/>
        <v>女</v>
      </c>
      <c r="D3036" s="2" t="str">
        <f t="shared" si="724"/>
        <v>8</v>
      </c>
      <c r="E3036" s="2" t="str">
        <f t="shared" si="726"/>
        <v>经济与管理学院</v>
      </c>
    </row>
    <row r="3037" ht="13.5" hidden="1" spans="1:5">
      <c r="A3037" s="2" t="str">
        <f>"周慧琪"</f>
        <v>周慧琪</v>
      </c>
      <c r="B3037" s="2" t="str">
        <f>"B20230901303"</f>
        <v>B20230901303</v>
      </c>
      <c r="C3037" s="2" t="str">
        <f t="shared" si="725"/>
        <v>女</v>
      </c>
      <c r="D3037" s="2" t="str">
        <f t="shared" si="724"/>
        <v>8</v>
      </c>
      <c r="E3037" s="2" t="str">
        <f t="shared" si="726"/>
        <v>经济与管理学院</v>
      </c>
    </row>
    <row r="3038" ht="13.5" hidden="1" spans="1:5">
      <c r="A3038" s="2" t="str">
        <f>"陈佳怡"</f>
        <v>陈佳怡</v>
      </c>
      <c r="B3038" s="2" t="str">
        <f>"B20220402124"</f>
        <v>B20220402124</v>
      </c>
      <c r="C3038" s="2" t="str">
        <f t="shared" si="725"/>
        <v>女</v>
      </c>
      <c r="D3038" s="2" t="str">
        <f t="shared" si="724"/>
        <v>8</v>
      </c>
      <c r="E3038" s="2" t="str">
        <f>"电子信息与电气工程学院"</f>
        <v>电子信息与电气工程学院</v>
      </c>
    </row>
    <row r="3039" ht="13.5" hidden="1" spans="1:5">
      <c r="A3039" s="2" t="str">
        <f>"龚仙珍"</f>
        <v>龚仙珍</v>
      </c>
      <c r="B3039" s="2" t="str">
        <f>"B20220104126"</f>
        <v>B20220104126</v>
      </c>
      <c r="C3039" s="2" t="str">
        <f t="shared" si="725"/>
        <v>女</v>
      </c>
      <c r="D3039" s="2" t="str">
        <f t="shared" si="724"/>
        <v>8</v>
      </c>
      <c r="E3039" s="2" t="str">
        <f>"土木工程学院"</f>
        <v>土木工程学院</v>
      </c>
    </row>
    <row r="3040" ht="13.5" hidden="1" spans="1:5">
      <c r="A3040" s="2" t="str">
        <f>"陈佳怡"</f>
        <v>陈佳怡</v>
      </c>
      <c r="B3040" s="2" t="str">
        <f>"B20230702124"</f>
        <v>B20230702124</v>
      </c>
      <c r="C3040" s="2" t="str">
        <f t="shared" si="725"/>
        <v>女</v>
      </c>
      <c r="D3040" s="2" t="str">
        <f t="shared" si="724"/>
        <v>8</v>
      </c>
      <c r="E3040" s="2" t="str">
        <f>"马栏山新媒体学院"</f>
        <v>马栏山新媒体学院</v>
      </c>
    </row>
    <row r="3041" ht="13.5" hidden="1" spans="1:5">
      <c r="A3041" s="2" t="str">
        <f>"张兰"</f>
        <v>张兰</v>
      </c>
      <c r="B3041" s="2" t="str">
        <f>"B20230704413"</f>
        <v>B20230704413</v>
      </c>
      <c r="C3041" s="2" t="str">
        <f t="shared" si="725"/>
        <v>女</v>
      </c>
      <c r="D3041" s="2" t="str">
        <f t="shared" si="724"/>
        <v>8</v>
      </c>
      <c r="E3041" s="2" t="str">
        <f>"马栏山新媒体学院"</f>
        <v>马栏山新媒体学院</v>
      </c>
    </row>
    <row r="3042" customHeight="1" spans="1:5">
      <c r="A3042" s="6" t="str">
        <f>"王豪骏"</f>
        <v>王豪骏</v>
      </c>
      <c r="B3042" s="6" t="str">
        <f>"B20210304129"</f>
        <v>B20210304129</v>
      </c>
      <c r="C3042" s="6" t="str">
        <f>"男"</f>
        <v>男</v>
      </c>
      <c r="D3042" s="7" t="str">
        <f>"6"</f>
        <v>6</v>
      </c>
      <c r="E3042" s="6" t="str">
        <f>"计算机科学与工程学院"</f>
        <v>计算机科学与工程学院</v>
      </c>
    </row>
    <row r="3043" ht="13.5" hidden="1" spans="1:5">
      <c r="A3043" s="2" t="str">
        <f>"李栓柱"</f>
        <v>李栓柱</v>
      </c>
      <c r="B3043" s="2" t="str">
        <f>"B20200101434"</f>
        <v>B20200101434</v>
      </c>
      <c r="C3043" s="2" t="str">
        <f>"男"</f>
        <v>男</v>
      </c>
      <c r="D3043" s="2" t="str">
        <f t="shared" si="724"/>
        <v>8</v>
      </c>
      <c r="E3043" s="2" t="str">
        <f>"土木工程学院"</f>
        <v>土木工程学院</v>
      </c>
    </row>
    <row r="3044" customHeight="1" spans="1:5">
      <c r="A3044" s="6" t="str">
        <f>"李宗鑫"</f>
        <v>李宗鑫</v>
      </c>
      <c r="B3044" s="6" t="str">
        <f>"B20210304130"</f>
        <v>B20210304130</v>
      </c>
      <c r="C3044" s="6" t="str">
        <f>"男"</f>
        <v>男</v>
      </c>
      <c r="D3044" s="7" t="str">
        <f>"6"</f>
        <v>6</v>
      </c>
      <c r="E3044" s="6" t="str">
        <f>"计算机科学与工程学院"</f>
        <v>计算机科学与工程学院</v>
      </c>
    </row>
    <row r="3045" ht="13.5" hidden="1" spans="1:5">
      <c r="A3045" s="2" t="str">
        <f>"程娅楠"</f>
        <v>程娅楠</v>
      </c>
      <c r="B3045" s="2" t="str">
        <f>"B20201001416"</f>
        <v>B20201001416</v>
      </c>
      <c r="C3045" s="2" t="str">
        <f t="shared" ref="C3044:C3046" si="727">"女"</f>
        <v>女</v>
      </c>
      <c r="D3045" s="2" t="str">
        <f t="shared" si="724"/>
        <v>8</v>
      </c>
      <c r="E3045" s="2" t="str">
        <f>"艺术设计学院"</f>
        <v>艺术设计学院</v>
      </c>
    </row>
    <row r="3046" ht="13.5" hidden="1" spans="1:5">
      <c r="A3046" s="2" t="str">
        <f>"张扬"</f>
        <v>张扬</v>
      </c>
      <c r="B3046" s="2" t="str">
        <f>"B20220104203"</f>
        <v>B20220104203</v>
      </c>
      <c r="C3046" s="2" t="str">
        <f t="shared" si="727"/>
        <v>女</v>
      </c>
      <c r="D3046" s="2" t="str">
        <f t="shared" si="724"/>
        <v>8</v>
      </c>
      <c r="E3046" s="2" t="str">
        <f>"土木工程学院"</f>
        <v>土木工程学院</v>
      </c>
    </row>
    <row r="3047" customHeight="1" spans="1:5">
      <c r="A3047" s="6" t="str">
        <f>"陈威烨"</f>
        <v>陈威烨</v>
      </c>
      <c r="B3047" s="6" t="str">
        <f>"B20210304201"</f>
        <v>B20210304201</v>
      </c>
      <c r="C3047" s="6" t="str">
        <f>"男"</f>
        <v>男</v>
      </c>
      <c r="D3047" s="7" t="str">
        <f>"7"</f>
        <v>7</v>
      </c>
      <c r="E3047" s="6" t="str">
        <f>"计算机科学与工程学院"</f>
        <v>计算机科学与工程学院</v>
      </c>
    </row>
    <row r="3048" customHeight="1" spans="1:5">
      <c r="A3048" s="6" t="str">
        <f>"李嘉杰"</f>
        <v>李嘉杰</v>
      </c>
      <c r="B3048" s="6" t="str">
        <f>"B20210304202"</f>
        <v>B20210304202</v>
      </c>
      <c r="C3048" s="6" t="str">
        <f>"男"</f>
        <v>男</v>
      </c>
      <c r="D3048" s="7" t="str">
        <f>"9"</f>
        <v>9</v>
      </c>
      <c r="E3048" s="6" t="str">
        <f>"计算机科学与工程学院"</f>
        <v>计算机科学与工程学院</v>
      </c>
    </row>
    <row r="3049" ht="13.5" hidden="1" spans="1:5">
      <c r="A3049" s="2" t="str">
        <f>"陈寿华"</f>
        <v>陈寿华</v>
      </c>
      <c r="B3049" s="2" t="str">
        <f>"B20231003218"</f>
        <v>B20231003218</v>
      </c>
      <c r="C3049" s="2" t="str">
        <f t="shared" ref="C3049:C3051" si="728">"男"</f>
        <v>男</v>
      </c>
      <c r="D3049" s="2" t="str">
        <f t="shared" si="724"/>
        <v>8</v>
      </c>
      <c r="E3049" s="2" t="str">
        <f>"艺术设计学院"</f>
        <v>艺术设计学院</v>
      </c>
    </row>
    <row r="3050" customHeight="1" spans="1:5">
      <c r="A3050" s="6" t="str">
        <f>"彭翔"</f>
        <v>彭翔</v>
      </c>
      <c r="B3050" s="6" t="str">
        <f>"B20210304203"</f>
        <v>B20210304203</v>
      </c>
      <c r="C3050" s="6" t="str">
        <f t="shared" si="728"/>
        <v>男</v>
      </c>
      <c r="D3050" s="7" t="str">
        <f t="shared" si="724"/>
        <v>8</v>
      </c>
      <c r="E3050" s="6" t="str">
        <f>"计算机科学与工程学院"</f>
        <v>计算机科学与工程学院</v>
      </c>
    </row>
    <row r="3051" ht="13.5" hidden="1" spans="1:5">
      <c r="A3051" s="2" t="str">
        <f>"张广翃"</f>
        <v>张广翃</v>
      </c>
      <c r="B3051" s="2" t="str">
        <f>"B20210601411"</f>
        <v>B20210601411</v>
      </c>
      <c r="C3051" s="2" t="str">
        <f t="shared" si="728"/>
        <v>男</v>
      </c>
      <c r="D3051" s="2" t="str">
        <f t="shared" si="724"/>
        <v>8</v>
      </c>
      <c r="E3051" s="2" t="str">
        <f>"法学院"</f>
        <v>法学院</v>
      </c>
    </row>
    <row r="3052" ht="13.5" hidden="1" spans="1:5">
      <c r="A3052" s="2" t="str">
        <f>"邓博文"</f>
        <v>邓博文</v>
      </c>
      <c r="B3052" s="2" t="str">
        <f>"B20230703211"</f>
        <v>B20230703211</v>
      </c>
      <c r="C3052" s="2" t="str">
        <f t="shared" ref="C3052:C3057" si="729">"女"</f>
        <v>女</v>
      </c>
      <c r="D3052" s="2" t="str">
        <f t="shared" si="724"/>
        <v>8</v>
      </c>
      <c r="E3052" s="2" t="str">
        <f>"马栏山新媒体学院"</f>
        <v>马栏山新媒体学院</v>
      </c>
    </row>
    <row r="3053" ht="13.5" hidden="1" spans="1:5">
      <c r="A3053" s="2" t="str">
        <f>"赵钦未"</f>
        <v>赵钦未</v>
      </c>
      <c r="B3053" s="2" t="str">
        <f>"B20220101604"</f>
        <v>B20220101604</v>
      </c>
      <c r="C3053" s="2" t="str">
        <f t="shared" ref="C3053:C3056" si="730">"男"</f>
        <v>男</v>
      </c>
      <c r="D3053" s="2" t="str">
        <f t="shared" si="724"/>
        <v>8</v>
      </c>
      <c r="E3053" s="2" t="str">
        <f>"土木工程学院"</f>
        <v>土木工程学院</v>
      </c>
    </row>
    <row r="3054" ht="13.5" hidden="1" spans="1:5">
      <c r="A3054" s="2" t="str">
        <f>"李茜"</f>
        <v>李茜</v>
      </c>
      <c r="B3054" s="2" t="str">
        <f>"B20200502203"</f>
        <v>B20200502203</v>
      </c>
      <c r="C3054" s="2" t="str">
        <f t="shared" si="729"/>
        <v>女</v>
      </c>
      <c r="D3054" s="2" t="str">
        <f t="shared" si="724"/>
        <v>8</v>
      </c>
      <c r="E3054" s="2" t="str">
        <f>"生物与环境工程学院"</f>
        <v>生物与环境工程学院</v>
      </c>
    </row>
    <row r="3055" ht="13.5" hidden="1" spans="1:5">
      <c r="A3055" s="2" t="str">
        <f>"尹鹏"</f>
        <v>尹鹏</v>
      </c>
      <c r="B3055" s="2" t="str">
        <f>"B20230405113"</f>
        <v>B20230405113</v>
      </c>
      <c r="C3055" s="2" t="str">
        <f t="shared" si="730"/>
        <v>男</v>
      </c>
      <c r="D3055" s="2" t="str">
        <f t="shared" si="724"/>
        <v>8</v>
      </c>
      <c r="E3055" s="2" t="str">
        <f t="shared" ref="E3055:E3059" si="731">"电子信息与电气工程学院"</f>
        <v>电子信息与电气工程学院</v>
      </c>
    </row>
    <row r="3056" ht="13.5" hidden="1" spans="1:5">
      <c r="A3056" s="2" t="str">
        <f>"曾渝"</f>
        <v>曾渝</v>
      </c>
      <c r="B3056" s="2" t="str">
        <f>"B20220401318"</f>
        <v>B20220401318</v>
      </c>
      <c r="C3056" s="2" t="str">
        <f t="shared" si="730"/>
        <v>男</v>
      </c>
      <c r="D3056" s="2" t="str">
        <f t="shared" si="724"/>
        <v>8</v>
      </c>
      <c r="E3056" s="2" t="str">
        <f t="shared" si="731"/>
        <v>电子信息与电气工程学院</v>
      </c>
    </row>
    <row r="3057" ht="13.5" hidden="1" spans="1:5">
      <c r="A3057" s="2" t="str">
        <f>"张海燕"</f>
        <v>张海燕</v>
      </c>
      <c r="B3057" s="2" t="str">
        <f>"B20201001117"</f>
        <v>B20201001117</v>
      </c>
      <c r="C3057" s="2" t="str">
        <f t="shared" si="729"/>
        <v>女</v>
      </c>
      <c r="D3057" s="2" t="str">
        <f t="shared" si="724"/>
        <v>8</v>
      </c>
      <c r="E3057" s="2" t="str">
        <f>"艺术设计学院"</f>
        <v>艺术设计学院</v>
      </c>
    </row>
    <row r="3058" ht="13.5" hidden="1" spans="1:5">
      <c r="A3058" s="2" t="str">
        <f>"邓涵"</f>
        <v>邓涵</v>
      </c>
      <c r="B3058" s="2" t="str">
        <f>"B20210401321"</f>
        <v>B20210401321</v>
      </c>
      <c r="C3058" s="2" t="str">
        <f t="shared" ref="C3058:C3062" si="732">"男"</f>
        <v>男</v>
      </c>
      <c r="D3058" s="2" t="str">
        <f t="shared" si="724"/>
        <v>8</v>
      </c>
      <c r="E3058" s="2" t="str">
        <f t="shared" si="731"/>
        <v>电子信息与电气工程学院</v>
      </c>
    </row>
    <row r="3059" ht="13.5" hidden="1" spans="1:5">
      <c r="A3059" s="2" t="str">
        <f>"何罗强"</f>
        <v>何罗强</v>
      </c>
      <c r="B3059" s="2" t="str">
        <f>"B20210401406"</f>
        <v>B20210401406</v>
      </c>
      <c r="C3059" s="2" t="str">
        <f t="shared" si="732"/>
        <v>男</v>
      </c>
      <c r="D3059" s="2" t="str">
        <f t="shared" si="724"/>
        <v>8</v>
      </c>
      <c r="E3059" s="2" t="str">
        <f t="shared" si="731"/>
        <v>电子信息与电气工程学院</v>
      </c>
    </row>
    <row r="3060" ht="13.5" hidden="1" spans="1:5">
      <c r="A3060" s="2" t="str">
        <f>"齐寅初"</f>
        <v>齐寅初</v>
      </c>
      <c r="B3060" s="2" t="str">
        <f>"B20210905135"</f>
        <v>B20210905135</v>
      </c>
      <c r="C3060" s="2" t="str">
        <f t="shared" si="732"/>
        <v>男</v>
      </c>
      <c r="D3060" s="2" t="str">
        <f t="shared" si="724"/>
        <v>8</v>
      </c>
      <c r="E3060" s="2" t="str">
        <f>"经济与管理学院"</f>
        <v>经济与管理学院</v>
      </c>
    </row>
    <row r="3061" customHeight="1" spans="1:5">
      <c r="A3061" s="6" t="str">
        <f>"刘征宇"</f>
        <v>刘征宇</v>
      </c>
      <c r="B3061" s="6" t="str">
        <f>"B20210304204"</f>
        <v>B20210304204</v>
      </c>
      <c r="C3061" s="6" t="str">
        <f t="shared" si="732"/>
        <v>男</v>
      </c>
      <c r="D3061" s="7" t="str">
        <f>"6"</f>
        <v>6</v>
      </c>
      <c r="E3061" s="6" t="str">
        <f>"计算机科学与工程学院"</f>
        <v>计算机科学与工程学院</v>
      </c>
    </row>
    <row r="3062" ht="13.5" hidden="1" spans="1:5">
      <c r="A3062" s="2" t="str">
        <f>"谢俊伟"</f>
        <v>谢俊伟</v>
      </c>
      <c r="B3062" s="2" t="str">
        <f>"B20230201317"</f>
        <v>B20230201317</v>
      </c>
      <c r="C3062" s="2" t="str">
        <f t="shared" si="732"/>
        <v>男</v>
      </c>
      <c r="D3062" s="2" t="str">
        <f t="shared" si="724"/>
        <v>8</v>
      </c>
      <c r="E3062" s="2" t="str">
        <f t="shared" ref="E3062:E3068" si="733">"机电工程学院"</f>
        <v>机电工程学院</v>
      </c>
    </row>
    <row r="3063" ht="13.5" hidden="1" spans="1:5">
      <c r="A3063" s="2" t="str">
        <f>"杨静"</f>
        <v>杨静</v>
      </c>
      <c r="B3063" s="2" t="str">
        <f>"B20221101206"</f>
        <v>B20221101206</v>
      </c>
      <c r="C3063" s="2" t="str">
        <f t="shared" ref="C3063:C3066" si="734">"女"</f>
        <v>女</v>
      </c>
      <c r="D3063" s="2" t="str">
        <f t="shared" si="724"/>
        <v>8</v>
      </c>
      <c r="E3063" s="2" t="str">
        <f>"音乐学院"</f>
        <v>音乐学院</v>
      </c>
    </row>
    <row r="3064" ht="13.5" hidden="1" spans="1:5">
      <c r="A3064" s="2" t="str">
        <f>"黄琪缘"</f>
        <v>黄琪缘</v>
      </c>
      <c r="B3064" s="2" t="str">
        <f>"B20220905213"</f>
        <v>B20220905213</v>
      </c>
      <c r="C3064" s="2" t="str">
        <f t="shared" si="734"/>
        <v>女</v>
      </c>
      <c r="D3064" s="2" t="str">
        <f t="shared" si="724"/>
        <v>8</v>
      </c>
      <c r="E3064" s="2" t="str">
        <f>"经济与管理学院"</f>
        <v>经济与管理学院</v>
      </c>
    </row>
    <row r="3065" ht="13.5" hidden="1" spans="1:5">
      <c r="A3065" s="2" t="str">
        <f>"李孝欢"</f>
        <v>李孝欢</v>
      </c>
      <c r="B3065" s="2" t="str">
        <f>"B20220201324"</f>
        <v>B20220201324</v>
      </c>
      <c r="C3065" s="2" t="str">
        <f t="shared" ref="C3065:C3068" si="735">"男"</f>
        <v>男</v>
      </c>
      <c r="D3065" s="2" t="str">
        <f t="shared" si="724"/>
        <v>8</v>
      </c>
      <c r="E3065" s="2" t="str">
        <f t="shared" si="733"/>
        <v>机电工程学院</v>
      </c>
    </row>
    <row r="3066" ht="13.5" hidden="1" spans="1:5">
      <c r="A3066" s="2" t="str">
        <f>"刘子璇"</f>
        <v>刘子璇</v>
      </c>
      <c r="B3066" s="2" t="str">
        <f>"B20220906216"</f>
        <v>B20220906216</v>
      </c>
      <c r="C3066" s="2" t="str">
        <f t="shared" si="734"/>
        <v>女</v>
      </c>
      <c r="D3066" s="2" t="str">
        <f t="shared" si="724"/>
        <v>8</v>
      </c>
      <c r="E3066" s="2" t="str">
        <f>"经济与管理学院"</f>
        <v>经济与管理学院</v>
      </c>
    </row>
    <row r="3067" ht="13.5" hidden="1" spans="1:5">
      <c r="A3067" s="2" t="str">
        <f>"朱硕果"</f>
        <v>朱硕果</v>
      </c>
      <c r="B3067" s="2" t="str">
        <f>"B20210201214"</f>
        <v>B20210201214</v>
      </c>
      <c r="C3067" s="2" t="str">
        <f t="shared" si="735"/>
        <v>男</v>
      </c>
      <c r="D3067" s="2" t="str">
        <f t="shared" si="724"/>
        <v>8</v>
      </c>
      <c r="E3067" s="2" t="str">
        <f t="shared" si="733"/>
        <v>机电工程学院</v>
      </c>
    </row>
    <row r="3068" ht="13.5" hidden="1" spans="1:5">
      <c r="A3068" s="2" t="str">
        <f>"程奥"</f>
        <v>程奥</v>
      </c>
      <c r="B3068" s="2" t="str">
        <f>"B20220204409"</f>
        <v>B20220204409</v>
      </c>
      <c r="C3068" s="2" t="str">
        <f t="shared" si="735"/>
        <v>男</v>
      </c>
      <c r="D3068" s="2" t="str">
        <f t="shared" si="724"/>
        <v>8</v>
      </c>
      <c r="E3068" s="2" t="str">
        <f t="shared" si="733"/>
        <v>机电工程学院</v>
      </c>
    </row>
    <row r="3069" ht="13.5" hidden="1" spans="1:5">
      <c r="A3069" s="2" t="str">
        <f>"朱筱萌"</f>
        <v>朱筱萌</v>
      </c>
      <c r="B3069" s="2" t="str">
        <f>"B20210402224"</f>
        <v>B20210402224</v>
      </c>
      <c r="C3069" s="2" t="str">
        <f t="shared" ref="C3069:C3073" si="736">"女"</f>
        <v>女</v>
      </c>
      <c r="D3069" s="2" t="str">
        <f t="shared" si="724"/>
        <v>8</v>
      </c>
      <c r="E3069" s="2" t="str">
        <f>"电子信息与电气工程学院"</f>
        <v>电子信息与电气工程学院</v>
      </c>
    </row>
    <row r="3070" ht="13.5" hidden="1" spans="1:5">
      <c r="A3070" s="2" t="str">
        <f>"胡小宝"</f>
        <v>胡小宝</v>
      </c>
      <c r="B3070" s="2" t="str">
        <f>"B20220201221"</f>
        <v>B20220201221</v>
      </c>
      <c r="C3070" s="2" t="str">
        <f t="shared" ref="C3070:C3074" si="737">"男"</f>
        <v>男</v>
      </c>
      <c r="D3070" s="2" t="str">
        <f t="shared" si="724"/>
        <v>8</v>
      </c>
      <c r="E3070" s="2" t="str">
        <f t="shared" ref="E3070:E3074" si="738">"机电工程学院"</f>
        <v>机电工程学院</v>
      </c>
    </row>
    <row r="3071" ht="13.5" hidden="1" spans="1:5">
      <c r="A3071" s="2" t="str">
        <f>"李正阳"</f>
        <v>李正阳</v>
      </c>
      <c r="B3071" s="2" t="str">
        <f>"B20210401313"</f>
        <v>B20210401313</v>
      </c>
      <c r="C3071" s="2" t="str">
        <f t="shared" si="737"/>
        <v>男</v>
      </c>
      <c r="D3071" s="2" t="str">
        <f t="shared" si="724"/>
        <v>8</v>
      </c>
      <c r="E3071" s="2" t="str">
        <f>"电子信息与电气工程学院"</f>
        <v>电子信息与电气工程学院</v>
      </c>
    </row>
    <row r="3072" ht="13.5" hidden="1" spans="1:5">
      <c r="A3072" s="2" t="str">
        <f>"袁嘉羽"</f>
        <v>袁嘉羽</v>
      </c>
      <c r="B3072" s="2" t="str">
        <f>"B20210202131"</f>
        <v>B20210202131</v>
      </c>
      <c r="C3072" s="2" t="str">
        <f t="shared" si="736"/>
        <v>女</v>
      </c>
      <c r="D3072" s="2" t="str">
        <f t="shared" si="724"/>
        <v>8</v>
      </c>
      <c r="E3072" s="2" t="str">
        <f t="shared" si="738"/>
        <v>机电工程学院</v>
      </c>
    </row>
    <row r="3073" ht="13.5" hidden="1" spans="1:5">
      <c r="A3073" s="2" t="str">
        <f>"薛雅晨"</f>
        <v>薛雅晨</v>
      </c>
      <c r="B3073" s="2" t="str">
        <f>"B20210905241"</f>
        <v>B20210905241</v>
      </c>
      <c r="C3073" s="2" t="str">
        <f t="shared" si="736"/>
        <v>女</v>
      </c>
      <c r="D3073" s="2" t="str">
        <f t="shared" si="724"/>
        <v>8</v>
      </c>
      <c r="E3073" s="2" t="str">
        <f>"经济与管理学院"</f>
        <v>经济与管理学院</v>
      </c>
    </row>
    <row r="3074" ht="13.5" hidden="1" spans="1:5">
      <c r="A3074" s="2" t="str">
        <f>"赵凯强"</f>
        <v>赵凯强</v>
      </c>
      <c r="B3074" s="2" t="str">
        <f>"B20210202138"</f>
        <v>B20210202138</v>
      </c>
      <c r="C3074" s="2" t="str">
        <f t="shared" si="737"/>
        <v>男</v>
      </c>
      <c r="D3074" s="2" t="str">
        <f t="shared" si="724"/>
        <v>8</v>
      </c>
      <c r="E3074" s="2" t="str">
        <f t="shared" si="738"/>
        <v>机电工程学院</v>
      </c>
    </row>
    <row r="3075" ht="13.5" hidden="1" spans="1:5">
      <c r="A3075" s="2" t="str">
        <f>"张意"</f>
        <v>张意</v>
      </c>
      <c r="B3075" s="2" t="str">
        <f>"B20230702328"</f>
        <v>B20230702328</v>
      </c>
      <c r="C3075" s="2" t="str">
        <f t="shared" ref="C3075:C3082" si="739">"女"</f>
        <v>女</v>
      </c>
      <c r="D3075" s="2" t="str">
        <f t="shared" si="724"/>
        <v>8</v>
      </c>
      <c r="E3075" s="2" t="str">
        <f>"马栏山新媒体学院"</f>
        <v>马栏山新媒体学院</v>
      </c>
    </row>
    <row r="3076" ht="13.5" hidden="1" spans="1:5">
      <c r="A3076" s="2" t="str">
        <f>"彭睿"</f>
        <v>彭睿</v>
      </c>
      <c r="B3076" s="2" t="str">
        <f>"B20210402103"</f>
        <v>B20210402103</v>
      </c>
      <c r="C3076" s="2" t="str">
        <f t="shared" ref="C3076:C3079" si="740">"男"</f>
        <v>男</v>
      </c>
      <c r="D3076" s="2" t="str">
        <f t="shared" si="724"/>
        <v>8</v>
      </c>
      <c r="E3076" s="2" t="str">
        <f t="shared" ref="E3076:E3081" si="741">"电子信息与电气工程学院"</f>
        <v>电子信息与电气工程学院</v>
      </c>
    </row>
    <row r="3077" ht="13.5" hidden="1" spans="1:5">
      <c r="A3077" s="2" t="str">
        <f>"孙瑾宸"</f>
        <v>孙瑾宸</v>
      </c>
      <c r="B3077" s="2" t="str">
        <f>"B20210801126"</f>
        <v>B20210801126</v>
      </c>
      <c r="C3077" s="2" t="str">
        <f t="shared" si="739"/>
        <v>女</v>
      </c>
      <c r="D3077" s="2" t="str">
        <f t="shared" si="724"/>
        <v>8</v>
      </c>
      <c r="E3077" s="2" t="str">
        <f>"外国语学院"</f>
        <v>外国语学院</v>
      </c>
    </row>
    <row r="3078" ht="13.5" hidden="1" spans="1:5">
      <c r="A3078" s="2" t="str">
        <f>"孙森林"</f>
        <v>孙森林</v>
      </c>
      <c r="B3078" s="2" t="str">
        <f>"B20220401415"</f>
        <v>B20220401415</v>
      </c>
      <c r="C3078" s="2" t="str">
        <f t="shared" si="740"/>
        <v>男</v>
      </c>
      <c r="D3078" s="2" t="str">
        <f t="shared" si="724"/>
        <v>8</v>
      </c>
      <c r="E3078" s="2" t="str">
        <f t="shared" si="741"/>
        <v>电子信息与电气工程学院</v>
      </c>
    </row>
    <row r="3079" ht="13.5" hidden="1" spans="1:5">
      <c r="A3079" s="2" t="str">
        <f>"尹鹏"</f>
        <v>尹鹏</v>
      </c>
      <c r="B3079" s="2" t="str">
        <f>"B20230202323"</f>
        <v>B20230202323</v>
      </c>
      <c r="C3079" s="2" t="str">
        <f t="shared" si="740"/>
        <v>男</v>
      </c>
      <c r="D3079" s="2" t="str">
        <f t="shared" si="724"/>
        <v>8</v>
      </c>
      <c r="E3079" s="2" t="str">
        <f>"机电工程学院"</f>
        <v>机电工程学院</v>
      </c>
    </row>
    <row r="3080" ht="13.5" hidden="1" spans="1:5">
      <c r="A3080" s="2" t="str">
        <f>"黄冰冰"</f>
        <v>黄冰冰</v>
      </c>
      <c r="B3080" s="2" t="str">
        <f>"B20230901317"</f>
        <v>B20230901317</v>
      </c>
      <c r="C3080" s="2" t="str">
        <f t="shared" si="739"/>
        <v>女</v>
      </c>
      <c r="D3080" s="2" t="str">
        <f t="shared" si="724"/>
        <v>8</v>
      </c>
      <c r="E3080" s="2" t="str">
        <f>"经济与管理学院"</f>
        <v>经济与管理学院</v>
      </c>
    </row>
    <row r="3081" ht="13.5" hidden="1" spans="1:5">
      <c r="A3081" s="2" t="str">
        <f>"杨湘怡"</f>
        <v>杨湘怡</v>
      </c>
      <c r="B3081" s="2" t="str">
        <f>"B20230403126"</f>
        <v>B20230403126</v>
      </c>
      <c r="C3081" s="2" t="str">
        <f t="shared" si="739"/>
        <v>女</v>
      </c>
      <c r="D3081" s="2" t="str">
        <f t="shared" si="724"/>
        <v>8</v>
      </c>
      <c r="E3081" s="2" t="str">
        <f t="shared" si="741"/>
        <v>电子信息与电气工程学院</v>
      </c>
    </row>
    <row r="3082" ht="13.5" hidden="1" spans="1:5">
      <c r="A3082" s="2" t="str">
        <f>"易成琳"</f>
        <v>易成琳</v>
      </c>
      <c r="B3082" s="2" t="str">
        <f>"B20210502213"</f>
        <v>B20210502213</v>
      </c>
      <c r="C3082" s="2" t="str">
        <f t="shared" si="739"/>
        <v>女</v>
      </c>
      <c r="D3082" s="2" t="str">
        <f t="shared" si="724"/>
        <v>8</v>
      </c>
      <c r="E3082" s="2" t="str">
        <f>"生物与化学工程学院"</f>
        <v>生物与化学工程学院</v>
      </c>
    </row>
    <row r="3083" ht="13.5" hidden="1" spans="1:5">
      <c r="A3083" s="2" t="str">
        <f>"蒋慧祺"</f>
        <v>蒋慧祺</v>
      </c>
      <c r="B3083" s="2" t="str">
        <f>"B20231302220"</f>
        <v>B20231302220</v>
      </c>
      <c r="C3083" s="2" t="str">
        <f t="shared" ref="C3083:C3087" si="742">"男"</f>
        <v>男</v>
      </c>
      <c r="D3083" s="2" t="str">
        <f t="shared" si="724"/>
        <v>8</v>
      </c>
      <c r="E3083" s="2" t="str">
        <f>"材料与环境工程学院"</f>
        <v>材料与环境工程学院</v>
      </c>
    </row>
    <row r="3084" ht="13.5" hidden="1" spans="1:5">
      <c r="A3084" s="2" t="str">
        <f>"鲁雪琴"</f>
        <v>鲁雪琴</v>
      </c>
      <c r="B3084" s="2" t="str">
        <f>"B20230901231"</f>
        <v>B20230901231</v>
      </c>
      <c r="C3084" s="2" t="str">
        <f t="shared" ref="C3084:C3089" si="743">"女"</f>
        <v>女</v>
      </c>
      <c r="D3084" s="2" t="str">
        <f t="shared" si="724"/>
        <v>8</v>
      </c>
      <c r="E3084" s="2" t="str">
        <f>"经济与管理学院"</f>
        <v>经济与管理学院</v>
      </c>
    </row>
    <row r="3085" ht="13.5" hidden="1" spans="1:5">
      <c r="A3085" s="2" t="str">
        <f>"刘鑫晔"</f>
        <v>刘鑫晔</v>
      </c>
      <c r="B3085" s="2" t="str">
        <f>"B20220701117"</f>
        <v>B20220701117</v>
      </c>
      <c r="C3085" s="2" t="str">
        <f t="shared" si="743"/>
        <v>女</v>
      </c>
      <c r="D3085" s="2" t="str">
        <f t="shared" si="724"/>
        <v>8</v>
      </c>
      <c r="E3085" s="2" t="str">
        <f>"马栏山新媒体学院"</f>
        <v>马栏山新媒体学院</v>
      </c>
    </row>
    <row r="3086" ht="13.5" hidden="1" spans="1:5">
      <c r="A3086" s="2" t="str">
        <f>"戚瑞权"</f>
        <v>戚瑞权</v>
      </c>
      <c r="B3086" s="2" t="str">
        <f>"B20230202128"</f>
        <v>B20230202128</v>
      </c>
      <c r="C3086" s="2" t="str">
        <f t="shared" si="742"/>
        <v>男</v>
      </c>
      <c r="D3086" s="2" t="str">
        <f t="shared" si="724"/>
        <v>8</v>
      </c>
      <c r="E3086" s="2" t="str">
        <f>"机电工程学院"</f>
        <v>机电工程学院</v>
      </c>
    </row>
    <row r="3087" ht="13.5" hidden="1" spans="1:5">
      <c r="A3087" s="2" t="str">
        <f>"陈治群"</f>
        <v>陈治群</v>
      </c>
      <c r="B3087" s="2" t="str">
        <f>"B20230401120"</f>
        <v>B20230401120</v>
      </c>
      <c r="C3087" s="2" t="str">
        <f t="shared" si="742"/>
        <v>男</v>
      </c>
      <c r="D3087" s="2" t="str">
        <f t="shared" si="724"/>
        <v>8</v>
      </c>
      <c r="E3087" s="2" t="str">
        <f>"电子信息与电气工程学院"</f>
        <v>电子信息与电气工程学院</v>
      </c>
    </row>
    <row r="3088" ht="13.5" hidden="1" spans="1:5">
      <c r="A3088" s="2" t="str">
        <f>"周张灿"</f>
        <v>周张灿</v>
      </c>
      <c r="B3088" s="2" t="str">
        <f>"B20230904113"</f>
        <v>B20230904113</v>
      </c>
      <c r="C3088" s="2" t="str">
        <f t="shared" si="743"/>
        <v>女</v>
      </c>
      <c r="D3088" s="2" t="str">
        <f t="shared" si="724"/>
        <v>8</v>
      </c>
      <c r="E3088" s="2" t="str">
        <f>"经济与管理学院"</f>
        <v>经济与管理学院</v>
      </c>
    </row>
    <row r="3089" ht="13.5" hidden="1" spans="1:5">
      <c r="A3089" s="2" t="str">
        <f>"刘含"</f>
        <v>刘含</v>
      </c>
      <c r="B3089" s="2" t="str">
        <f>"B20220601425"</f>
        <v>B20220601425</v>
      </c>
      <c r="C3089" s="2" t="str">
        <f t="shared" si="743"/>
        <v>女</v>
      </c>
      <c r="D3089" s="2" t="str">
        <f t="shared" si="724"/>
        <v>8</v>
      </c>
      <c r="E3089" s="2" t="str">
        <f>"法学院"</f>
        <v>法学院</v>
      </c>
    </row>
    <row r="3090" ht="13.5" hidden="1" spans="1:5">
      <c r="A3090" s="2" t="str">
        <f>"张伟嘉"</f>
        <v>张伟嘉</v>
      </c>
      <c r="B3090" s="2" t="str">
        <f>"B20230601324"</f>
        <v>B20230601324</v>
      </c>
      <c r="C3090" s="2" t="str">
        <f t="shared" ref="C3090:C3093" si="744">"男"</f>
        <v>男</v>
      </c>
      <c r="D3090" s="2" t="str">
        <f t="shared" si="724"/>
        <v>8</v>
      </c>
      <c r="E3090" s="2" t="str">
        <f>"法学院"</f>
        <v>法学院</v>
      </c>
    </row>
    <row r="3091" customHeight="1" spans="1:5">
      <c r="A3091" s="6" t="str">
        <f>"马家骏"</f>
        <v>马家骏</v>
      </c>
      <c r="B3091" s="6" t="str">
        <f>"B20210304205"</f>
        <v>B20210304205</v>
      </c>
      <c r="C3091" s="6" t="str">
        <f t="shared" si="744"/>
        <v>男</v>
      </c>
      <c r="D3091" s="7" t="str">
        <f>"4"</f>
        <v>4</v>
      </c>
      <c r="E3091" s="6" t="str">
        <f>"计算机科学与工程学院"</f>
        <v>计算机科学与工程学院</v>
      </c>
    </row>
    <row r="3092" ht="13.5" hidden="1" spans="1:5">
      <c r="A3092" s="2" t="str">
        <f>"卢克才"</f>
        <v>卢克才</v>
      </c>
      <c r="B3092" s="2" t="str">
        <f>"B20210103231"</f>
        <v>B20210103231</v>
      </c>
      <c r="C3092" s="2" t="str">
        <f t="shared" si="744"/>
        <v>男</v>
      </c>
      <c r="D3092" s="2" t="str">
        <f t="shared" si="724"/>
        <v>8</v>
      </c>
      <c r="E3092" s="2" t="str">
        <f>"土木工程学院"</f>
        <v>土木工程学院</v>
      </c>
    </row>
    <row r="3093" customHeight="1" spans="1:5">
      <c r="A3093" s="6" t="str">
        <f>"姚瑞晨"</f>
        <v>姚瑞晨</v>
      </c>
      <c r="B3093" s="6" t="str">
        <f>"B20210304206"</f>
        <v>B20210304206</v>
      </c>
      <c r="C3093" s="6" t="str">
        <f t="shared" si="744"/>
        <v>男</v>
      </c>
      <c r="D3093" s="7" t="str">
        <f>"12"</f>
        <v>12</v>
      </c>
      <c r="E3093" s="6" t="str">
        <f>"计算机科学与工程学院"</f>
        <v>计算机科学与工程学院</v>
      </c>
    </row>
    <row r="3094" ht="13.5" hidden="1" spans="1:5">
      <c r="A3094" s="2" t="str">
        <f>"陈婕"</f>
        <v>陈婕</v>
      </c>
      <c r="B3094" s="2" t="str">
        <f>"B20230901215"</f>
        <v>B20230901215</v>
      </c>
      <c r="C3094" s="2" t="str">
        <f t="shared" ref="C3094:C3096" si="745">"女"</f>
        <v>女</v>
      </c>
      <c r="D3094" s="2" t="str">
        <f t="shared" ref="D3094:D3157" si="746">"8"</f>
        <v>8</v>
      </c>
      <c r="E3094" s="2" t="str">
        <f t="shared" ref="E3094:E3098" si="747">"经济与管理学院"</f>
        <v>经济与管理学院</v>
      </c>
    </row>
    <row r="3095" ht="13.5" hidden="1" spans="1:5">
      <c r="A3095" s="2" t="str">
        <f>"罗彤"</f>
        <v>罗彤</v>
      </c>
      <c r="B3095" s="2" t="str">
        <f>"B20230501125"</f>
        <v>B20230501125</v>
      </c>
      <c r="C3095" s="2" t="str">
        <f t="shared" si="745"/>
        <v>女</v>
      </c>
      <c r="D3095" s="2" t="str">
        <f t="shared" si="746"/>
        <v>8</v>
      </c>
      <c r="E3095" s="2" t="str">
        <f>"生物与化学工程学院"</f>
        <v>生物与化学工程学院</v>
      </c>
    </row>
    <row r="3096" ht="13.5" hidden="1" spans="1:5">
      <c r="A3096" s="2" t="str">
        <f>"彭姝颖"</f>
        <v>彭姝颖</v>
      </c>
      <c r="B3096" s="2" t="str">
        <f>"B20230901301"</f>
        <v>B20230901301</v>
      </c>
      <c r="C3096" s="2" t="str">
        <f t="shared" si="745"/>
        <v>女</v>
      </c>
      <c r="D3096" s="2" t="str">
        <f t="shared" si="746"/>
        <v>8</v>
      </c>
      <c r="E3096" s="2" t="str">
        <f t="shared" si="747"/>
        <v>经济与管理学院</v>
      </c>
    </row>
    <row r="3097" ht="13.5" hidden="1" spans="1:5">
      <c r="A3097" s="2" t="str">
        <f>"熊志诚"</f>
        <v>熊志诚</v>
      </c>
      <c r="B3097" s="2" t="str">
        <f>"B20230401119"</f>
        <v>B20230401119</v>
      </c>
      <c r="C3097" s="2" t="str">
        <f>"男"</f>
        <v>男</v>
      </c>
      <c r="D3097" s="2" t="str">
        <f t="shared" si="746"/>
        <v>8</v>
      </c>
      <c r="E3097" s="2" t="str">
        <f>"电子信息与电气工程学院"</f>
        <v>电子信息与电气工程学院</v>
      </c>
    </row>
    <row r="3098" ht="13.5" hidden="1" spans="1:5">
      <c r="A3098" s="2" t="str">
        <f>"邹莎莎"</f>
        <v>邹莎莎</v>
      </c>
      <c r="B3098" s="2" t="str">
        <f>"B20230903214"</f>
        <v>B20230903214</v>
      </c>
      <c r="C3098" s="2" t="str">
        <f t="shared" ref="C3098:C3101" si="748">"女"</f>
        <v>女</v>
      </c>
      <c r="D3098" s="2" t="str">
        <f t="shared" si="746"/>
        <v>8</v>
      </c>
      <c r="E3098" s="2" t="str">
        <f t="shared" si="747"/>
        <v>经济与管理学院</v>
      </c>
    </row>
    <row r="3099" ht="13.5" hidden="1" spans="1:5">
      <c r="A3099" s="2" t="str">
        <f>"杨媚"</f>
        <v>杨媚</v>
      </c>
      <c r="B3099" s="2" t="str">
        <f>"B20230802206"</f>
        <v>B20230802206</v>
      </c>
      <c r="C3099" s="2" t="str">
        <f t="shared" si="748"/>
        <v>女</v>
      </c>
      <c r="D3099" s="2" t="str">
        <f t="shared" si="746"/>
        <v>8</v>
      </c>
      <c r="E3099" s="2" t="str">
        <f>"外国语学院"</f>
        <v>外国语学院</v>
      </c>
    </row>
    <row r="3100" ht="13.5" hidden="1" spans="1:5">
      <c r="A3100" s="2" t="str">
        <f>"蔡姣"</f>
        <v>蔡姣</v>
      </c>
      <c r="B3100" s="2" t="str">
        <f>"B20220904322"</f>
        <v>B20220904322</v>
      </c>
      <c r="C3100" s="2" t="str">
        <f t="shared" si="748"/>
        <v>女</v>
      </c>
      <c r="D3100" s="2" t="str">
        <f t="shared" si="746"/>
        <v>8</v>
      </c>
      <c r="E3100" s="2" t="str">
        <f>"经济与管理学院"</f>
        <v>经济与管理学院</v>
      </c>
    </row>
    <row r="3101" ht="13.5" hidden="1" spans="1:5">
      <c r="A3101" s="2" t="str">
        <f>"蔡妍"</f>
        <v>蔡妍</v>
      </c>
      <c r="B3101" s="2" t="str">
        <f>"B20200704219"</f>
        <v>B20200704219</v>
      </c>
      <c r="C3101" s="2" t="str">
        <f t="shared" si="748"/>
        <v>女</v>
      </c>
      <c r="D3101" s="2" t="str">
        <f t="shared" si="746"/>
        <v>8</v>
      </c>
      <c r="E3101" s="2" t="str">
        <f>"马栏山新媒体学院"</f>
        <v>马栏山新媒体学院</v>
      </c>
    </row>
    <row r="3102" ht="13.5" hidden="1" spans="1:5">
      <c r="A3102" s="2" t="str">
        <f>"况承芝"</f>
        <v>况承芝</v>
      </c>
      <c r="B3102" s="2" t="str">
        <f>"B20210503134"</f>
        <v>B20210503134</v>
      </c>
      <c r="C3102" s="2" t="str">
        <f t="shared" ref="C3102:C3104" si="749">"男"</f>
        <v>男</v>
      </c>
      <c r="D3102" s="2" t="str">
        <f t="shared" si="746"/>
        <v>8</v>
      </c>
      <c r="E3102" s="2" t="str">
        <f>"材料与环境工程学院"</f>
        <v>材料与环境工程学院</v>
      </c>
    </row>
    <row r="3103" ht="13.5" hidden="1" spans="1:5">
      <c r="A3103" s="2" t="str">
        <f>"刘智铭"</f>
        <v>刘智铭</v>
      </c>
      <c r="B3103" s="2" t="str">
        <f>"B20200204232"</f>
        <v>B20200204232</v>
      </c>
      <c r="C3103" s="2" t="str">
        <f t="shared" si="749"/>
        <v>男</v>
      </c>
      <c r="D3103" s="2" t="str">
        <f t="shared" si="746"/>
        <v>8</v>
      </c>
      <c r="E3103" s="2" t="str">
        <f>"机电工程学院"</f>
        <v>机电工程学院</v>
      </c>
    </row>
    <row r="3104" customHeight="1" spans="1:5">
      <c r="A3104" s="6" t="str">
        <f>"罗娟"</f>
        <v>罗娟</v>
      </c>
      <c r="B3104" s="6" t="str">
        <f>"B20210304209"</f>
        <v>B20210304209</v>
      </c>
      <c r="C3104" s="6" t="str">
        <f>"女"</f>
        <v>女</v>
      </c>
      <c r="D3104" s="7" t="str">
        <f>"3"</f>
        <v>3</v>
      </c>
      <c r="E3104" s="6" t="str">
        <f>"计算机科学与工程学院"</f>
        <v>计算机科学与工程学院</v>
      </c>
    </row>
    <row r="3105" ht="13.5" hidden="1" spans="1:5">
      <c r="A3105" s="2" t="str">
        <f>"杨小群"</f>
        <v>杨小群</v>
      </c>
      <c r="B3105" s="2" t="str">
        <f>"B20210503125"</f>
        <v>B20210503125</v>
      </c>
      <c r="C3105" s="2" t="str">
        <f t="shared" ref="C3105:C3108" si="750">"女"</f>
        <v>女</v>
      </c>
      <c r="D3105" s="2" t="str">
        <f t="shared" si="746"/>
        <v>8</v>
      </c>
      <c r="E3105" s="2" t="str">
        <f>"材料与环境工程学院"</f>
        <v>材料与环境工程学院</v>
      </c>
    </row>
    <row r="3106" ht="13.5" hidden="1" spans="1:5">
      <c r="A3106" s="2" t="str">
        <f>"肖晶瑛"</f>
        <v>肖晶瑛</v>
      </c>
      <c r="B3106" s="2" t="str">
        <f>"B20220906221"</f>
        <v>B20220906221</v>
      </c>
      <c r="C3106" s="2" t="str">
        <f t="shared" si="750"/>
        <v>女</v>
      </c>
      <c r="D3106" s="2" t="str">
        <f t="shared" si="746"/>
        <v>8</v>
      </c>
      <c r="E3106" s="2" t="str">
        <f>"经济与管理学院"</f>
        <v>经济与管理学院</v>
      </c>
    </row>
    <row r="3107" ht="13.5" hidden="1" spans="1:5">
      <c r="A3107" s="2" t="str">
        <f>"彭湘栋"</f>
        <v>彭湘栋</v>
      </c>
      <c r="B3107" s="2" t="str">
        <f>"B20230701110"</f>
        <v>B20230701110</v>
      </c>
      <c r="C3107" s="2" t="str">
        <f t="shared" ref="C3107:C3110" si="751">"男"</f>
        <v>男</v>
      </c>
      <c r="D3107" s="2" t="str">
        <f t="shared" si="746"/>
        <v>8</v>
      </c>
      <c r="E3107" s="2" t="str">
        <f>"马栏山新媒体学院"</f>
        <v>马栏山新媒体学院</v>
      </c>
    </row>
    <row r="3108" ht="13.5" hidden="1" spans="1:5">
      <c r="A3108" s="2" t="str">
        <f>"周帅"</f>
        <v>周帅</v>
      </c>
      <c r="B3108" s="2" t="str">
        <f>"B20210601118"</f>
        <v>B20210601118</v>
      </c>
      <c r="C3108" s="2" t="str">
        <f t="shared" si="750"/>
        <v>女</v>
      </c>
      <c r="D3108" s="2" t="str">
        <f t="shared" si="746"/>
        <v>8</v>
      </c>
      <c r="E3108" s="2" t="str">
        <f>"法学院"</f>
        <v>法学院</v>
      </c>
    </row>
    <row r="3109" ht="13.5" hidden="1" spans="1:5">
      <c r="A3109" s="2" t="str">
        <f>"张兵兵"</f>
        <v>张兵兵</v>
      </c>
      <c r="B3109" s="2" t="str">
        <f>"B20200402206"</f>
        <v>B20200402206</v>
      </c>
      <c r="C3109" s="2" t="str">
        <f t="shared" si="751"/>
        <v>男</v>
      </c>
      <c r="D3109" s="2" t="str">
        <f t="shared" si="746"/>
        <v>8</v>
      </c>
      <c r="E3109" s="2" t="str">
        <f>"电子信息与电气工程学院"</f>
        <v>电子信息与电气工程学院</v>
      </c>
    </row>
    <row r="3110" ht="13.5" hidden="1" spans="1:5">
      <c r="A3110" s="2" t="str">
        <f>"周镜卓"</f>
        <v>周镜卓</v>
      </c>
      <c r="B3110" s="2" t="str">
        <f>"B20210403229"</f>
        <v>B20210403229</v>
      </c>
      <c r="C3110" s="2" t="str">
        <f t="shared" si="751"/>
        <v>男</v>
      </c>
      <c r="D3110" s="2" t="str">
        <f t="shared" si="746"/>
        <v>8</v>
      </c>
      <c r="E3110" s="2" t="str">
        <f>"电子信息与电气工程学院"</f>
        <v>电子信息与电气工程学院</v>
      </c>
    </row>
    <row r="3111" ht="13.5" hidden="1" spans="1:5">
      <c r="A3111" s="2" t="str">
        <f>"刘锦宁"</f>
        <v>刘锦宁</v>
      </c>
      <c r="B3111" s="2" t="str">
        <f>"B20220601216"</f>
        <v>B20220601216</v>
      </c>
      <c r="C3111" s="2" t="str">
        <f t="shared" ref="C3111:C3114" si="752">"女"</f>
        <v>女</v>
      </c>
      <c r="D3111" s="2" t="str">
        <f t="shared" si="746"/>
        <v>8</v>
      </c>
      <c r="E3111" s="2" t="str">
        <f>"法学院"</f>
        <v>法学院</v>
      </c>
    </row>
    <row r="3112" customHeight="1" spans="1:5">
      <c r="A3112" s="6" t="str">
        <f>"李来熙"</f>
        <v>李来熙</v>
      </c>
      <c r="B3112" s="6" t="str">
        <f>"B20210304213"</f>
        <v>B20210304213</v>
      </c>
      <c r="C3112" s="6" t="str">
        <f>"男"</f>
        <v>男</v>
      </c>
      <c r="D3112" s="7" t="str">
        <f>"6"</f>
        <v>6</v>
      </c>
      <c r="E3112" s="6" t="str">
        <f>"计算机科学与工程学院"</f>
        <v>计算机科学与工程学院</v>
      </c>
    </row>
    <row r="3113" ht="13.5" hidden="1" spans="1:5">
      <c r="A3113" s="2" t="str">
        <f>"邵步云"</f>
        <v>邵步云</v>
      </c>
      <c r="B3113" s="2" t="str">
        <f>"B20210101236"</f>
        <v>B20210101236</v>
      </c>
      <c r="C3113" s="2" t="str">
        <f t="shared" ref="C3113:C3118" si="753">"男"</f>
        <v>男</v>
      </c>
      <c r="D3113" s="2" t="str">
        <f t="shared" si="746"/>
        <v>8</v>
      </c>
      <c r="E3113" s="2" t="str">
        <f>"土木工程学院"</f>
        <v>土木工程学院</v>
      </c>
    </row>
    <row r="3114" ht="13.5" hidden="1" spans="1:5">
      <c r="A3114" s="2" t="str">
        <f>"李会"</f>
        <v>李会</v>
      </c>
      <c r="B3114" s="2" t="str">
        <f>"B20210906233"</f>
        <v>B20210906233</v>
      </c>
      <c r="C3114" s="2" t="str">
        <f t="shared" si="752"/>
        <v>女</v>
      </c>
      <c r="D3114" s="2" t="str">
        <f t="shared" si="746"/>
        <v>8</v>
      </c>
      <c r="E3114" s="2" t="str">
        <f>"经济与管理学院"</f>
        <v>经济与管理学院</v>
      </c>
    </row>
    <row r="3115" ht="13.5" hidden="1" spans="1:5">
      <c r="A3115" s="2" t="str">
        <f>"刘创"</f>
        <v>刘创</v>
      </c>
      <c r="B3115" s="2" t="str">
        <f>"B20220204309"</f>
        <v>B20220204309</v>
      </c>
      <c r="C3115" s="2" t="str">
        <f t="shared" si="753"/>
        <v>男</v>
      </c>
      <c r="D3115" s="2" t="str">
        <f t="shared" si="746"/>
        <v>8</v>
      </c>
      <c r="E3115" s="2" t="str">
        <f>"机电工程学院"</f>
        <v>机电工程学院</v>
      </c>
    </row>
    <row r="3116" ht="13.5" hidden="1" spans="1:5">
      <c r="A3116" s="2" t="str">
        <f>"熊志盛"</f>
        <v>熊志盛</v>
      </c>
      <c r="B3116" s="2" t="str">
        <f>"B20200204125"</f>
        <v>B20200204125</v>
      </c>
      <c r="C3116" s="2" t="str">
        <f t="shared" si="753"/>
        <v>男</v>
      </c>
      <c r="D3116" s="2" t="str">
        <f t="shared" si="746"/>
        <v>8</v>
      </c>
      <c r="E3116" s="2" t="str">
        <f>"机电工程学院"</f>
        <v>机电工程学院</v>
      </c>
    </row>
    <row r="3117" ht="13.5" hidden="1" spans="1:5">
      <c r="A3117" s="2" t="str">
        <f>"唐晓荣"</f>
        <v>唐晓荣</v>
      </c>
      <c r="B3117" s="2" t="str">
        <f>"B20211101124"</f>
        <v>B20211101124</v>
      </c>
      <c r="C3117" s="2" t="str">
        <f t="shared" si="753"/>
        <v>男</v>
      </c>
      <c r="D3117" s="2" t="str">
        <f t="shared" si="746"/>
        <v>8</v>
      </c>
      <c r="E3117" s="2" t="str">
        <f>"音乐学院"</f>
        <v>音乐学院</v>
      </c>
    </row>
    <row r="3118" ht="13.5" hidden="1" spans="1:5">
      <c r="A3118" s="2" t="str">
        <f>"赖家辉"</f>
        <v>赖家辉</v>
      </c>
      <c r="B3118" s="2" t="str">
        <f>"B20230501209"</f>
        <v>B20230501209</v>
      </c>
      <c r="C3118" s="2" t="str">
        <f t="shared" si="753"/>
        <v>男</v>
      </c>
      <c r="D3118" s="2" t="str">
        <f t="shared" si="746"/>
        <v>8</v>
      </c>
      <c r="E3118" s="2" t="str">
        <f>"生物与化学工程学院"</f>
        <v>生物与化学工程学院</v>
      </c>
    </row>
    <row r="3119" ht="13.5" hidden="1" spans="1:5">
      <c r="A3119" s="2" t="str">
        <f>"彭紫金"</f>
        <v>彭紫金</v>
      </c>
      <c r="B3119" s="2" t="str">
        <f>"B20210601308"</f>
        <v>B20210601308</v>
      </c>
      <c r="C3119" s="2" t="str">
        <f>"女"</f>
        <v>女</v>
      </c>
      <c r="D3119" s="2" t="str">
        <f t="shared" si="746"/>
        <v>8</v>
      </c>
      <c r="E3119" s="2" t="str">
        <f>"法学院"</f>
        <v>法学院</v>
      </c>
    </row>
    <row r="3120" ht="13.5" hidden="1" spans="1:5">
      <c r="A3120" s="2" t="str">
        <f>"申岩岩"</f>
        <v>申岩岩</v>
      </c>
      <c r="B3120" s="2" t="str">
        <f>"B20231002409"</f>
        <v>B20231002409</v>
      </c>
      <c r="C3120" s="2" t="str">
        <f t="shared" ref="C3120:C3123" si="754">"男"</f>
        <v>男</v>
      </c>
      <c r="D3120" s="2" t="str">
        <f t="shared" si="746"/>
        <v>8</v>
      </c>
      <c r="E3120" s="2" t="str">
        <f>"艺术设计学院"</f>
        <v>艺术设计学院</v>
      </c>
    </row>
    <row r="3121" customHeight="1" spans="1:5">
      <c r="A3121" s="6" t="str">
        <f>"钟景曦"</f>
        <v>钟景曦</v>
      </c>
      <c r="B3121" s="6" t="str">
        <f>"B20210304214"</f>
        <v>B20210304214</v>
      </c>
      <c r="C3121" s="6" t="str">
        <f t="shared" si="754"/>
        <v>男</v>
      </c>
      <c r="D3121" s="7" t="str">
        <f>"12"</f>
        <v>12</v>
      </c>
      <c r="E3121" s="6" t="str">
        <f>"计算机科学与工程学院"</f>
        <v>计算机科学与工程学院</v>
      </c>
    </row>
    <row r="3122" ht="13.5" hidden="1" spans="1:5">
      <c r="A3122" s="2" t="str">
        <f>"廖少杰"</f>
        <v>廖少杰</v>
      </c>
      <c r="B3122" s="2" t="str">
        <f>"B20231302127"</f>
        <v>B20231302127</v>
      </c>
      <c r="C3122" s="2" t="str">
        <f t="shared" si="754"/>
        <v>男</v>
      </c>
      <c r="D3122" s="2" t="str">
        <f t="shared" si="746"/>
        <v>8</v>
      </c>
      <c r="E3122" s="2" t="str">
        <f>"材料与环境工程学院"</f>
        <v>材料与环境工程学院</v>
      </c>
    </row>
    <row r="3123" ht="13.5" hidden="1" spans="1:5">
      <c r="A3123" s="2" t="str">
        <f>"李腾"</f>
        <v>李腾</v>
      </c>
      <c r="B3123" s="2" t="str">
        <f>"B20220401422"</f>
        <v>B20220401422</v>
      </c>
      <c r="C3123" s="2" t="str">
        <f t="shared" si="754"/>
        <v>男</v>
      </c>
      <c r="D3123" s="2" t="str">
        <f t="shared" si="746"/>
        <v>8</v>
      </c>
      <c r="E3123" s="2" t="str">
        <f>"电子信息与电气工程学院"</f>
        <v>电子信息与电气工程学院</v>
      </c>
    </row>
    <row r="3124" ht="13.5" hidden="1" spans="1:5">
      <c r="A3124" s="2" t="str">
        <f>"陈紫怡"</f>
        <v>陈紫怡</v>
      </c>
      <c r="B3124" s="2" t="str">
        <f>"B20211001207"</f>
        <v>B20211001207</v>
      </c>
      <c r="C3124" s="2" t="str">
        <f>"女"</f>
        <v>女</v>
      </c>
      <c r="D3124" s="2" t="str">
        <f t="shared" si="746"/>
        <v>8</v>
      </c>
      <c r="E3124" s="2" t="str">
        <f>"艺术设计学院"</f>
        <v>艺术设计学院</v>
      </c>
    </row>
    <row r="3125" ht="13.5" hidden="1" spans="1:5">
      <c r="A3125" s="2" t="str">
        <f>"周飘"</f>
        <v>周飘</v>
      </c>
      <c r="B3125" s="2" t="str">
        <f>"B20210401110"</f>
        <v>B20210401110</v>
      </c>
      <c r="C3125" s="2" t="str">
        <f t="shared" ref="C3125:C3132" si="755">"男"</f>
        <v>男</v>
      </c>
      <c r="D3125" s="2" t="str">
        <f t="shared" si="746"/>
        <v>8</v>
      </c>
      <c r="E3125" s="2" t="str">
        <f>"电子信息与电气工程学院"</f>
        <v>电子信息与电气工程学院</v>
      </c>
    </row>
    <row r="3126" ht="13.5" hidden="1" spans="1:5">
      <c r="A3126" s="2" t="str">
        <f>"刘嘉玟"</f>
        <v>刘嘉玟</v>
      </c>
      <c r="B3126" s="2" t="str">
        <f>"B20230504220"</f>
        <v>B20230504220</v>
      </c>
      <c r="C3126" s="2" t="str">
        <f t="shared" si="755"/>
        <v>男</v>
      </c>
      <c r="D3126" s="2" t="str">
        <f t="shared" si="746"/>
        <v>8</v>
      </c>
      <c r="E3126" s="2" t="str">
        <f>"生物与化学工程学院"</f>
        <v>生物与化学工程学院</v>
      </c>
    </row>
    <row r="3127" ht="13.5" hidden="1" spans="1:5">
      <c r="A3127" s="2" t="str">
        <f>"刘怡源"</f>
        <v>刘怡源</v>
      </c>
      <c r="B3127" s="2" t="str">
        <f>"B20230801102"</f>
        <v>B20230801102</v>
      </c>
      <c r="C3127" s="2" t="str">
        <f>"女"</f>
        <v>女</v>
      </c>
      <c r="D3127" s="2" t="str">
        <f t="shared" si="746"/>
        <v>8</v>
      </c>
      <c r="E3127" s="2" t="str">
        <f>"外国语学院"</f>
        <v>外国语学院</v>
      </c>
    </row>
    <row r="3128" ht="13.5" hidden="1" spans="1:5">
      <c r="A3128" s="2" t="str">
        <f>"杨邹祺"</f>
        <v>杨邹祺</v>
      </c>
      <c r="B3128" s="2" t="str">
        <f>"B20231111211"</f>
        <v>B20231111211</v>
      </c>
      <c r="C3128" s="2" t="str">
        <f t="shared" si="755"/>
        <v>男</v>
      </c>
      <c r="D3128" s="2" t="str">
        <f t="shared" si="746"/>
        <v>8</v>
      </c>
      <c r="E3128" s="2" t="str">
        <f>"音乐学院"</f>
        <v>音乐学院</v>
      </c>
    </row>
    <row r="3129" ht="13.5" hidden="1" spans="1:5">
      <c r="A3129" s="2" t="str">
        <f>"孙凯"</f>
        <v>孙凯</v>
      </c>
      <c r="B3129" s="2" t="str">
        <f>"B20230401422"</f>
        <v>B20230401422</v>
      </c>
      <c r="C3129" s="2" t="str">
        <f t="shared" si="755"/>
        <v>男</v>
      </c>
      <c r="D3129" s="2" t="str">
        <f t="shared" si="746"/>
        <v>8</v>
      </c>
      <c r="E3129" s="2" t="str">
        <f>"电子信息与电气工程学院"</f>
        <v>电子信息与电气工程学院</v>
      </c>
    </row>
    <row r="3130" ht="13.5" hidden="1" spans="1:5">
      <c r="A3130" s="2" t="str">
        <f>"陈思敏"</f>
        <v>陈思敏</v>
      </c>
      <c r="B3130" s="2" t="str">
        <f>"B20210902303"</f>
        <v>B20210902303</v>
      </c>
      <c r="C3130" s="2" t="str">
        <f t="shared" si="755"/>
        <v>男</v>
      </c>
      <c r="D3130" s="2" t="str">
        <f t="shared" si="746"/>
        <v>8</v>
      </c>
      <c r="E3130" s="2" t="str">
        <f>"经济与管理学院"</f>
        <v>经济与管理学院</v>
      </c>
    </row>
    <row r="3131" ht="13.5" hidden="1" spans="1:5">
      <c r="A3131" s="2" t="str">
        <f>"付一峰"</f>
        <v>付一峰</v>
      </c>
      <c r="B3131" s="2" t="str">
        <f>"B20220201415"</f>
        <v>B20220201415</v>
      </c>
      <c r="C3131" s="2" t="str">
        <f t="shared" si="755"/>
        <v>男</v>
      </c>
      <c r="D3131" s="2" t="str">
        <f t="shared" si="746"/>
        <v>8</v>
      </c>
      <c r="E3131" s="2" t="str">
        <f>"机电工程学院"</f>
        <v>机电工程学院</v>
      </c>
    </row>
    <row r="3132" ht="13.5" hidden="1" spans="1:5">
      <c r="A3132" s="2" t="str">
        <f>"贺承"</f>
        <v>贺承</v>
      </c>
      <c r="B3132" s="2" t="str">
        <f>"B20231302218"</f>
        <v>B20231302218</v>
      </c>
      <c r="C3132" s="2" t="str">
        <f t="shared" si="755"/>
        <v>男</v>
      </c>
      <c r="D3132" s="2" t="str">
        <f t="shared" si="746"/>
        <v>8</v>
      </c>
      <c r="E3132" s="2" t="str">
        <f>"材料与环境工程学院"</f>
        <v>材料与环境工程学院</v>
      </c>
    </row>
    <row r="3133" ht="13.5" hidden="1" spans="1:5">
      <c r="A3133" s="2" t="str">
        <f>"罗子静"</f>
        <v>罗子静</v>
      </c>
      <c r="B3133" s="2" t="str">
        <f>"B20210906132"</f>
        <v>B20210906132</v>
      </c>
      <c r="C3133" s="2" t="str">
        <f t="shared" ref="C3133:C3137" si="756">"女"</f>
        <v>女</v>
      </c>
      <c r="D3133" s="2" t="str">
        <f t="shared" si="746"/>
        <v>8</v>
      </c>
      <c r="E3133" s="2" t="str">
        <f>"经济与管理学院"</f>
        <v>经济与管理学院</v>
      </c>
    </row>
    <row r="3134" ht="13.5" hidden="1" spans="1:5">
      <c r="A3134" s="2" t="str">
        <f>"周俊杰"</f>
        <v>周俊杰</v>
      </c>
      <c r="B3134" s="2" t="str">
        <f>"B20221111104"</f>
        <v>B20221111104</v>
      </c>
      <c r="C3134" s="2" t="str">
        <f t="shared" ref="C3134:C3140" si="757">"男"</f>
        <v>男</v>
      </c>
      <c r="D3134" s="2" t="str">
        <f t="shared" si="746"/>
        <v>8</v>
      </c>
      <c r="E3134" s="2" t="str">
        <f>"音乐学院"</f>
        <v>音乐学院</v>
      </c>
    </row>
    <row r="3135" ht="13.5" hidden="1" spans="1:5">
      <c r="A3135" s="2" t="str">
        <f>"张臻懿"</f>
        <v>张臻懿</v>
      </c>
      <c r="B3135" s="2" t="str">
        <f>"B20220701220"</f>
        <v>B20220701220</v>
      </c>
      <c r="C3135" s="2" t="str">
        <f t="shared" si="756"/>
        <v>女</v>
      </c>
      <c r="D3135" s="2" t="str">
        <f t="shared" si="746"/>
        <v>8</v>
      </c>
      <c r="E3135" s="2" t="str">
        <f>"马栏山新媒体学院"</f>
        <v>马栏山新媒体学院</v>
      </c>
    </row>
    <row r="3136" ht="13.5" hidden="1" spans="1:5">
      <c r="A3136" s="2" t="str">
        <f>"刘妍"</f>
        <v>刘妍</v>
      </c>
      <c r="B3136" s="2" t="str">
        <f>"B20231101307"</f>
        <v>B20231101307</v>
      </c>
      <c r="C3136" s="2" t="str">
        <f t="shared" si="756"/>
        <v>女</v>
      </c>
      <c r="D3136" s="2" t="str">
        <f t="shared" si="746"/>
        <v>8</v>
      </c>
      <c r="E3136" s="2" t="str">
        <f>"音乐学院"</f>
        <v>音乐学院</v>
      </c>
    </row>
    <row r="3137" ht="13.5" hidden="1" spans="1:5">
      <c r="A3137" s="2" t="str">
        <f>"胡蝶"</f>
        <v>胡蝶</v>
      </c>
      <c r="B3137" s="2" t="str">
        <f>"B20230801227"</f>
        <v>B20230801227</v>
      </c>
      <c r="C3137" s="2" t="str">
        <f t="shared" si="756"/>
        <v>女</v>
      </c>
      <c r="D3137" s="2" t="str">
        <f t="shared" si="746"/>
        <v>8</v>
      </c>
      <c r="E3137" s="2" t="str">
        <f>"外国语学院"</f>
        <v>外国语学院</v>
      </c>
    </row>
    <row r="3138" ht="13.5" hidden="1" spans="1:5">
      <c r="A3138" s="2" t="str">
        <f>"张振玠"</f>
        <v>张振玠</v>
      </c>
      <c r="B3138" s="2" t="str">
        <f>"B20220102230"</f>
        <v>B20220102230</v>
      </c>
      <c r="C3138" s="2" t="str">
        <f t="shared" si="757"/>
        <v>男</v>
      </c>
      <c r="D3138" s="2" t="str">
        <f t="shared" si="746"/>
        <v>8</v>
      </c>
      <c r="E3138" s="2" t="str">
        <f>"土木工程学院"</f>
        <v>土木工程学院</v>
      </c>
    </row>
    <row r="3139" ht="13.5" hidden="1" spans="1:5">
      <c r="A3139" s="2" t="str">
        <f>"谢智勇"</f>
        <v>谢智勇</v>
      </c>
      <c r="B3139" s="2" t="str">
        <f>"B20230906132"</f>
        <v>B20230906132</v>
      </c>
      <c r="C3139" s="2" t="str">
        <f t="shared" si="757"/>
        <v>男</v>
      </c>
      <c r="D3139" s="2" t="str">
        <f t="shared" si="746"/>
        <v>8</v>
      </c>
      <c r="E3139" s="2" t="str">
        <f>"经济与管理学院"</f>
        <v>经济与管理学院</v>
      </c>
    </row>
    <row r="3140" customHeight="1" spans="1:5">
      <c r="A3140" s="6" t="str">
        <f>"詹万烨"</f>
        <v>詹万烨</v>
      </c>
      <c r="B3140" s="6" t="str">
        <f>"B20210304216"</f>
        <v>B20210304216</v>
      </c>
      <c r="C3140" s="6" t="str">
        <f t="shared" si="757"/>
        <v>男</v>
      </c>
      <c r="D3140" s="7" t="str">
        <f>"6"</f>
        <v>6</v>
      </c>
      <c r="E3140" s="6" t="str">
        <f>"计算机科学与工程学院"</f>
        <v>计算机科学与工程学院</v>
      </c>
    </row>
    <row r="3141" ht="13.5" hidden="1" spans="1:5">
      <c r="A3141" s="2" t="str">
        <f>"周淑坤"</f>
        <v>周淑坤</v>
      </c>
      <c r="B3141" s="2" t="str">
        <f>"B20210903224"</f>
        <v>B20210903224</v>
      </c>
      <c r="C3141" s="2" t="str">
        <f t="shared" ref="C3140:C3143" si="758">"女"</f>
        <v>女</v>
      </c>
      <c r="D3141" s="2" t="str">
        <f t="shared" si="746"/>
        <v>8</v>
      </c>
      <c r="E3141" s="2" t="str">
        <f>"经济与管理学院"</f>
        <v>经济与管理学院</v>
      </c>
    </row>
    <row r="3142" ht="13.5" hidden="1" spans="1:5">
      <c r="A3142" s="2" t="str">
        <f>"石新宇"</f>
        <v>石新宇</v>
      </c>
      <c r="B3142" s="2" t="str">
        <f>"B20220702124"</f>
        <v>B20220702124</v>
      </c>
      <c r="C3142" s="2" t="str">
        <f>"男"</f>
        <v>男</v>
      </c>
      <c r="D3142" s="2" t="str">
        <f t="shared" si="746"/>
        <v>8</v>
      </c>
      <c r="E3142" s="2" t="str">
        <f>"马栏山新媒体学院"</f>
        <v>马栏山新媒体学院</v>
      </c>
    </row>
    <row r="3143" ht="13.5" hidden="1" spans="1:5">
      <c r="A3143" s="2" t="str">
        <f>"汤曼"</f>
        <v>汤曼</v>
      </c>
      <c r="B3143" s="2" t="str">
        <f>"B20220101536"</f>
        <v>B20220101536</v>
      </c>
      <c r="C3143" s="2" t="str">
        <f t="shared" si="758"/>
        <v>女</v>
      </c>
      <c r="D3143" s="2" t="str">
        <f t="shared" si="746"/>
        <v>8</v>
      </c>
      <c r="E3143" s="2" t="str">
        <f>"土木工程学院"</f>
        <v>土木工程学院</v>
      </c>
    </row>
    <row r="3144" ht="13.5" hidden="1" spans="1:5">
      <c r="A3144" s="2" t="str">
        <f>"朱丞宇"</f>
        <v>朱丞宇</v>
      </c>
      <c r="B3144" s="2" t="str">
        <f>"B20220101335"</f>
        <v>B20220101335</v>
      </c>
      <c r="C3144" s="2" t="str">
        <f>"男"</f>
        <v>男</v>
      </c>
      <c r="D3144" s="2" t="str">
        <f t="shared" si="746"/>
        <v>8</v>
      </c>
      <c r="E3144" s="2" t="str">
        <f>"土木工程学院"</f>
        <v>土木工程学院</v>
      </c>
    </row>
    <row r="3145" ht="13.5" hidden="1" spans="1:5">
      <c r="A3145" s="2" t="str">
        <f>"秦雨"</f>
        <v>秦雨</v>
      </c>
      <c r="B3145" s="2" t="str">
        <f>"B20221101108"</f>
        <v>B20221101108</v>
      </c>
      <c r="C3145" s="2" t="str">
        <f t="shared" ref="C3145:C3148" si="759">"女"</f>
        <v>女</v>
      </c>
      <c r="D3145" s="2" t="str">
        <f t="shared" si="746"/>
        <v>8</v>
      </c>
      <c r="E3145" s="2" t="str">
        <f>"音乐学院"</f>
        <v>音乐学院</v>
      </c>
    </row>
    <row r="3146" ht="13.5" hidden="1" spans="1:5">
      <c r="A3146" s="2" t="str">
        <f>"罗佳妮"</f>
        <v>罗佳妮</v>
      </c>
      <c r="B3146" s="2" t="str">
        <f>"B20210801620"</f>
        <v>B20210801620</v>
      </c>
      <c r="C3146" s="2" t="str">
        <f t="shared" si="759"/>
        <v>女</v>
      </c>
      <c r="D3146" s="2" t="str">
        <f t="shared" si="746"/>
        <v>8</v>
      </c>
      <c r="E3146" s="2" t="str">
        <f>"外国语学院"</f>
        <v>外国语学院</v>
      </c>
    </row>
    <row r="3147" ht="13.5" hidden="1" spans="1:5">
      <c r="A3147" s="2" t="str">
        <f>"周钰楠"</f>
        <v>周钰楠</v>
      </c>
      <c r="B3147" s="2" t="str">
        <f>"B20220903232"</f>
        <v>B20220903232</v>
      </c>
      <c r="C3147" s="2" t="str">
        <f t="shared" si="759"/>
        <v>女</v>
      </c>
      <c r="D3147" s="2" t="str">
        <f t="shared" si="746"/>
        <v>8</v>
      </c>
      <c r="E3147" s="2" t="str">
        <f>"经济与管理学院"</f>
        <v>经济与管理学院</v>
      </c>
    </row>
    <row r="3148" ht="13.5" hidden="1" spans="1:5">
      <c r="A3148" s="2" t="str">
        <f>"张孟鑫"</f>
        <v>张孟鑫</v>
      </c>
      <c r="B3148" s="2" t="str">
        <f>"B20220703222"</f>
        <v>B20220703222</v>
      </c>
      <c r="C3148" s="2" t="str">
        <f t="shared" si="759"/>
        <v>女</v>
      </c>
      <c r="D3148" s="2" t="str">
        <f t="shared" si="746"/>
        <v>8</v>
      </c>
      <c r="E3148" s="2" t="str">
        <f>"马栏山新媒体学院"</f>
        <v>马栏山新媒体学院</v>
      </c>
    </row>
    <row r="3149" ht="13.5" hidden="1" spans="1:5">
      <c r="A3149" s="2" t="str">
        <f>"陈雨杭"</f>
        <v>陈雨杭</v>
      </c>
      <c r="B3149" s="2" t="str">
        <f>"B20230205206"</f>
        <v>B20230205206</v>
      </c>
      <c r="C3149" s="2" t="str">
        <f t="shared" ref="C3149:C3160" si="760">"男"</f>
        <v>男</v>
      </c>
      <c r="D3149" s="2" t="str">
        <f t="shared" si="746"/>
        <v>8</v>
      </c>
      <c r="E3149" s="2" t="str">
        <f>"机电工程学院"</f>
        <v>机电工程学院</v>
      </c>
    </row>
    <row r="3150" ht="13.5" hidden="1" spans="1:5">
      <c r="A3150" s="2" t="str">
        <f>"吕优"</f>
        <v>吕优</v>
      </c>
      <c r="B3150" s="2" t="str">
        <f>"B20210203126"</f>
        <v>B20210203126</v>
      </c>
      <c r="C3150" s="2" t="str">
        <f t="shared" si="760"/>
        <v>男</v>
      </c>
      <c r="D3150" s="2" t="str">
        <f t="shared" si="746"/>
        <v>8</v>
      </c>
      <c r="E3150" s="2" t="str">
        <f>"机电工程学院"</f>
        <v>机电工程学院</v>
      </c>
    </row>
    <row r="3151" ht="13.5" hidden="1" spans="1:5">
      <c r="A3151" s="2" t="str">
        <f>"董杰鸽"</f>
        <v>董杰鸽</v>
      </c>
      <c r="B3151" s="2" t="str">
        <f>"B20210802316"</f>
        <v>B20210802316</v>
      </c>
      <c r="C3151" s="2" t="str">
        <f>"女"</f>
        <v>女</v>
      </c>
      <c r="D3151" s="2" t="str">
        <f t="shared" si="746"/>
        <v>8</v>
      </c>
      <c r="E3151" s="2" t="str">
        <f>"外国语学院"</f>
        <v>外国语学院</v>
      </c>
    </row>
    <row r="3152" customHeight="1" spans="1:5">
      <c r="A3152" s="6" t="str">
        <f>"谢欣芸"</f>
        <v>谢欣芸</v>
      </c>
      <c r="B3152" s="6" t="str">
        <f>"B20210304217"</f>
        <v>B20210304217</v>
      </c>
      <c r="C3152" s="6" t="str">
        <f>"男"</f>
        <v>男</v>
      </c>
      <c r="D3152" s="7" t="str">
        <f>"7"</f>
        <v>7</v>
      </c>
      <c r="E3152" s="6" t="str">
        <f>"计算机科学与工程学院"</f>
        <v>计算机科学与工程学院</v>
      </c>
    </row>
    <row r="3153" ht="13.5" hidden="1" spans="1:5">
      <c r="A3153" s="2" t="str">
        <f>"李宇翔"</f>
        <v>李宇翔</v>
      </c>
      <c r="B3153" s="2" t="str">
        <f>"B20231111226"</f>
        <v>B20231111226</v>
      </c>
      <c r="C3153" s="2" t="str">
        <f t="shared" si="760"/>
        <v>男</v>
      </c>
      <c r="D3153" s="2" t="str">
        <f t="shared" si="746"/>
        <v>8</v>
      </c>
      <c r="E3153" s="2" t="str">
        <f>"音乐学院"</f>
        <v>音乐学院</v>
      </c>
    </row>
    <row r="3154" ht="13.5" hidden="1" spans="1:5">
      <c r="A3154" s="2" t="str">
        <f>"彭志成"</f>
        <v>彭志成</v>
      </c>
      <c r="B3154" s="2" t="str">
        <f>"B20220101123"</f>
        <v>B20220101123</v>
      </c>
      <c r="C3154" s="2" t="str">
        <f t="shared" si="760"/>
        <v>男</v>
      </c>
      <c r="D3154" s="2" t="str">
        <f t="shared" si="746"/>
        <v>8</v>
      </c>
      <c r="E3154" s="2" t="str">
        <f t="shared" ref="E3154:E3159" si="761">"土木工程学院"</f>
        <v>土木工程学院</v>
      </c>
    </row>
    <row r="3155" customHeight="1" spans="1:5">
      <c r="A3155" s="6" t="str">
        <f>"关予铭"</f>
        <v>关予铭</v>
      </c>
      <c r="B3155" s="6" t="str">
        <f>"B20210304219"</f>
        <v>B20210304219</v>
      </c>
      <c r="C3155" s="6" t="str">
        <f t="shared" si="760"/>
        <v>男</v>
      </c>
      <c r="D3155" s="7" t="str">
        <f>"6"</f>
        <v>6</v>
      </c>
      <c r="E3155" s="6" t="str">
        <f>"计算机科学与工程学院"</f>
        <v>计算机科学与工程学院</v>
      </c>
    </row>
    <row r="3156" ht="13.5" hidden="1" spans="1:5">
      <c r="A3156" s="2" t="str">
        <f>"余永江"</f>
        <v>余永江</v>
      </c>
      <c r="B3156" s="2" t="str">
        <f>"B20211101328"</f>
        <v>B20211101328</v>
      </c>
      <c r="C3156" s="2" t="str">
        <f t="shared" si="760"/>
        <v>男</v>
      </c>
      <c r="D3156" s="2" t="str">
        <f t="shared" si="746"/>
        <v>8</v>
      </c>
      <c r="E3156" s="2" t="str">
        <f>"音乐学院"</f>
        <v>音乐学院</v>
      </c>
    </row>
    <row r="3157" ht="13.5" hidden="1" spans="1:5">
      <c r="A3157" s="2" t="str">
        <f>"吴越"</f>
        <v>吴越</v>
      </c>
      <c r="B3157" s="2" t="str">
        <f>"B20230101425"</f>
        <v>B20230101425</v>
      </c>
      <c r="C3157" s="2" t="str">
        <f t="shared" si="760"/>
        <v>男</v>
      </c>
      <c r="D3157" s="2" t="str">
        <f t="shared" si="746"/>
        <v>8</v>
      </c>
      <c r="E3157" s="2" t="str">
        <f t="shared" si="761"/>
        <v>土木工程学院</v>
      </c>
    </row>
    <row r="3158" ht="13.5" hidden="1" spans="1:5">
      <c r="A3158" s="2" t="str">
        <f>"曲振义"</f>
        <v>曲振义</v>
      </c>
      <c r="B3158" s="2" t="str">
        <f>"B20230201231"</f>
        <v>B20230201231</v>
      </c>
      <c r="C3158" s="2" t="str">
        <f t="shared" si="760"/>
        <v>男</v>
      </c>
      <c r="D3158" s="2" t="str">
        <f t="shared" ref="D3158:D3221" si="762">"8"</f>
        <v>8</v>
      </c>
      <c r="E3158" s="2" t="str">
        <f>"机电工程学院"</f>
        <v>机电工程学院</v>
      </c>
    </row>
    <row r="3159" ht="13.5" hidden="1" spans="1:5">
      <c r="A3159" s="2" t="str">
        <f>"罗野"</f>
        <v>罗野</v>
      </c>
      <c r="B3159" s="2" t="str">
        <f>"B20200101312"</f>
        <v>B20200101312</v>
      </c>
      <c r="C3159" s="2" t="str">
        <f t="shared" si="760"/>
        <v>男</v>
      </c>
      <c r="D3159" s="2" t="str">
        <f t="shared" si="762"/>
        <v>8</v>
      </c>
      <c r="E3159" s="2" t="str">
        <f t="shared" si="761"/>
        <v>土木工程学院</v>
      </c>
    </row>
    <row r="3160" ht="13.5" hidden="1" spans="1:5">
      <c r="A3160" s="2" t="str">
        <f>"程高"</f>
        <v>程高</v>
      </c>
      <c r="B3160" s="2" t="str">
        <f>"B20220601228"</f>
        <v>B20220601228</v>
      </c>
      <c r="C3160" s="2" t="str">
        <f t="shared" si="760"/>
        <v>男</v>
      </c>
      <c r="D3160" s="2" t="str">
        <f t="shared" si="762"/>
        <v>8</v>
      </c>
      <c r="E3160" s="2" t="str">
        <f>"法学院"</f>
        <v>法学院</v>
      </c>
    </row>
    <row r="3161" ht="13.5" hidden="1" spans="1:5">
      <c r="A3161" s="2" t="str">
        <f>"马梦婕"</f>
        <v>马梦婕</v>
      </c>
      <c r="B3161" s="2" t="str">
        <f>"B20210801626"</f>
        <v>B20210801626</v>
      </c>
      <c r="C3161" s="2" t="str">
        <f t="shared" ref="C3161:C3163" si="763">"女"</f>
        <v>女</v>
      </c>
      <c r="D3161" s="2" t="str">
        <f t="shared" si="762"/>
        <v>8</v>
      </c>
      <c r="E3161" s="2" t="str">
        <f>"外国语学院"</f>
        <v>外国语学院</v>
      </c>
    </row>
    <row r="3162" ht="13.5" hidden="1" spans="1:5">
      <c r="A3162" s="2" t="str">
        <f>"李文欣"</f>
        <v>李文欣</v>
      </c>
      <c r="B3162" s="2" t="str">
        <f>"B20221111117"</f>
        <v>B20221111117</v>
      </c>
      <c r="C3162" s="2" t="str">
        <f t="shared" si="763"/>
        <v>女</v>
      </c>
      <c r="D3162" s="2" t="str">
        <f t="shared" si="762"/>
        <v>8</v>
      </c>
      <c r="E3162" s="2" t="str">
        <f>"音乐学院"</f>
        <v>音乐学院</v>
      </c>
    </row>
    <row r="3163" customHeight="1" spans="1:5">
      <c r="A3163" s="6" t="str">
        <f>"曹计金"</f>
        <v>曹计金</v>
      </c>
      <c r="B3163" s="6" t="str">
        <f>"B20210304220"</f>
        <v>B20210304220</v>
      </c>
      <c r="C3163" s="6" t="str">
        <f>"男"</f>
        <v>男</v>
      </c>
      <c r="D3163" s="7" t="str">
        <f>"6"</f>
        <v>6</v>
      </c>
      <c r="E3163" s="6" t="str">
        <f>"计算机科学与工程学院"</f>
        <v>计算机科学与工程学院</v>
      </c>
    </row>
    <row r="3164" ht="13.5" hidden="1" spans="1:5">
      <c r="A3164" s="2" t="str">
        <f>"刘奕君"</f>
        <v>刘奕君</v>
      </c>
      <c r="B3164" s="2" t="str">
        <f>"B20230702302"</f>
        <v>B20230702302</v>
      </c>
      <c r="C3164" s="2" t="str">
        <f t="shared" ref="C3164:C3169" si="764">"男"</f>
        <v>男</v>
      </c>
      <c r="D3164" s="2" t="str">
        <f t="shared" si="762"/>
        <v>8</v>
      </c>
      <c r="E3164" s="2" t="str">
        <f>"马栏山新媒体学院"</f>
        <v>马栏山新媒体学院</v>
      </c>
    </row>
    <row r="3165" ht="13.5" hidden="1" spans="1:5">
      <c r="A3165" s="2" t="str">
        <f>"邓羿洲"</f>
        <v>邓羿洲</v>
      </c>
      <c r="B3165" s="2" t="str">
        <f>"B20210906243"</f>
        <v>B20210906243</v>
      </c>
      <c r="C3165" s="2" t="str">
        <f t="shared" si="764"/>
        <v>男</v>
      </c>
      <c r="D3165" s="2" t="str">
        <f t="shared" si="762"/>
        <v>8</v>
      </c>
      <c r="E3165" s="2" t="str">
        <f>"经济与管理学院"</f>
        <v>经济与管理学院</v>
      </c>
    </row>
    <row r="3166" ht="13.5" hidden="1" spans="1:5">
      <c r="A3166" s="2" t="str">
        <f>"曾奕晨"</f>
        <v>曾奕晨</v>
      </c>
      <c r="B3166" s="2" t="str">
        <f>"B20230403107"</f>
        <v>B20230403107</v>
      </c>
      <c r="C3166" s="2" t="str">
        <f t="shared" si="764"/>
        <v>男</v>
      </c>
      <c r="D3166" s="2" t="str">
        <f t="shared" si="762"/>
        <v>8</v>
      </c>
      <c r="E3166" s="2" t="str">
        <f>"电子信息与电气工程学院"</f>
        <v>电子信息与电气工程学院</v>
      </c>
    </row>
    <row r="3167" ht="13.5" hidden="1" spans="1:5">
      <c r="A3167" s="2" t="str">
        <f>"吴长兴"</f>
        <v>吴长兴</v>
      </c>
      <c r="B3167" s="2" t="str">
        <f>"B20230401404"</f>
        <v>B20230401404</v>
      </c>
      <c r="C3167" s="2" t="str">
        <f t="shared" si="764"/>
        <v>男</v>
      </c>
      <c r="D3167" s="2" t="str">
        <f t="shared" si="762"/>
        <v>8</v>
      </c>
      <c r="E3167" s="2" t="str">
        <f>"电子信息与电气工程学院"</f>
        <v>电子信息与电气工程学院</v>
      </c>
    </row>
    <row r="3168" ht="13.5" hidden="1" spans="1:5">
      <c r="A3168" s="2" t="str">
        <f>"连琦"</f>
        <v>连琦</v>
      </c>
      <c r="B3168" s="2" t="str">
        <f>"B20210203232"</f>
        <v>B20210203232</v>
      </c>
      <c r="C3168" s="2" t="str">
        <f t="shared" si="764"/>
        <v>男</v>
      </c>
      <c r="D3168" s="2" t="str">
        <f t="shared" si="762"/>
        <v>8</v>
      </c>
      <c r="E3168" s="2" t="str">
        <f>"机电工程学院"</f>
        <v>机电工程学院</v>
      </c>
    </row>
    <row r="3169" ht="13.5" hidden="1" spans="1:5">
      <c r="A3169" s="2" t="str">
        <f>"曹赛"</f>
        <v>曹赛</v>
      </c>
      <c r="B3169" s="2" t="str">
        <f>"B20210801120"</f>
        <v>B20210801120</v>
      </c>
      <c r="C3169" s="2" t="str">
        <f t="shared" si="764"/>
        <v>男</v>
      </c>
      <c r="D3169" s="2" t="str">
        <f t="shared" si="762"/>
        <v>8</v>
      </c>
      <c r="E3169" s="2" t="str">
        <f>"外国语学院"</f>
        <v>外国语学院</v>
      </c>
    </row>
    <row r="3170" ht="13.5" hidden="1" spans="1:5">
      <c r="A3170" s="2" t="str">
        <f>"陈萱"</f>
        <v>陈萱</v>
      </c>
      <c r="B3170" s="2" t="str">
        <f>"B20210801110"</f>
        <v>B20210801110</v>
      </c>
      <c r="C3170" s="2" t="str">
        <f t="shared" ref="C3170:C3173" si="765">"女"</f>
        <v>女</v>
      </c>
      <c r="D3170" s="2" t="str">
        <f t="shared" si="762"/>
        <v>8</v>
      </c>
      <c r="E3170" s="2" t="str">
        <f>"外国语学院"</f>
        <v>外国语学院</v>
      </c>
    </row>
    <row r="3171" ht="13.5" hidden="1" spans="1:5">
      <c r="A3171" s="2" t="str">
        <f>"牛玉娇"</f>
        <v>牛玉娇</v>
      </c>
      <c r="B3171" s="2" t="str">
        <f>"B20201001101"</f>
        <v>B20201001101</v>
      </c>
      <c r="C3171" s="2" t="str">
        <f t="shared" si="765"/>
        <v>女</v>
      </c>
      <c r="D3171" s="2" t="str">
        <f t="shared" si="762"/>
        <v>8</v>
      </c>
      <c r="E3171" s="2" t="str">
        <f>"艺术设计学院"</f>
        <v>艺术设计学院</v>
      </c>
    </row>
    <row r="3172" ht="13.5" hidden="1" spans="1:5">
      <c r="A3172" s="2" t="str">
        <f>"欧佳依"</f>
        <v>欧佳依</v>
      </c>
      <c r="B3172" s="2" t="str">
        <f>"B20230104111"</f>
        <v>B20230104111</v>
      </c>
      <c r="C3172" s="2" t="str">
        <f t="shared" si="765"/>
        <v>女</v>
      </c>
      <c r="D3172" s="2" t="str">
        <f t="shared" si="762"/>
        <v>8</v>
      </c>
      <c r="E3172" s="2" t="str">
        <f>"土木工程学院"</f>
        <v>土木工程学院</v>
      </c>
    </row>
    <row r="3173" customHeight="1" spans="1:5">
      <c r="A3173" s="6" t="str">
        <f>"唐代标"</f>
        <v>唐代标</v>
      </c>
      <c r="B3173" s="6" t="str">
        <f>"B20210304221"</f>
        <v>B20210304221</v>
      </c>
      <c r="C3173" s="6" t="str">
        <f>"男"</f>
        <v>男</v>
      </c>
      <c r="D3173" s="7" t="str">
        <f>"6"</f>
        <v>6</v>
      </c>
      <c r="E3173" s="6" t="str">
        <f>"计算机科学与工程学院"</f>
        <v>计算机科学与工程学院</v>
      </c>
    </row>
    <row r="3174" ht="13.5" hidden="1" spans="1:5">
      <c r="A3174" s="2" t="str">
        <f>"刘俊"</f>
        <v>刘俊</v>
      </c>
      <c r="B3174" s="2" t="str">
        <f>"B20220402105"</f>
        <v>B20220402105</v>
      </c>
      <c r="C3174" s="2" t="str">
        <f>"男"</f>
        <v>男</v>
      </c>
      <c r="D3174" s="2" t="str">
        <f t="shared" si="762"/>
        <v>8</v>
      </c>
      <c r="E3174" s="2" t="str">
        <f>"电子信息与电气工程学院"</f>
        <v>电子信息与电气工程学院</v>
      </c>
    </row>
    <row r="3175" ht="13.5" hidden="1" spans="1:5">
      <c r="A3175" s="2" t="str">
        <f>"邬鑫华"</f>
        <v>邬鑫华</v>
      </c>
      <c r="B3175" s="2" t="str">
        <f>"B20230904326"</f>
        <v>B20230904326</v>
      </c>
      <c r="C3175" s="2" t="str">
        <f t="shared" ref="C3175:C3178" si="766">"女"</f>
        <v>女</v>
      </c>
      <c r="D3175" s="2" t="str">
        <f t="shared" si="762"/>
        <v>8</v>
      </c>
      <c r="E3175" s="2" t="str">
        <f>"经济与管理学院"</f>
        <v>经济与管理学院</v>
      </c>
    </row>
    <row r="3176" ht="13.5" hidden="1" spans="1:5">
      <c r="A3176" s="2" t="str">
        <f>"蒋淑君"</f>
        <v>蒋淑君</v>
      </c>
      <c r="B3176" s="2" t="str">
        <f>"B20230903208"</f>
        <v>B20230903208</v>
      </c>
      <c r="C3176" s="2" t="str">
        <f t="shared" si="766"/>
        <v>女</v>
      </c>
      <c r="D3176" s="2" t="str">
        <f t="shared" si="762"/>
        <v>8</v>
      </c>
      <c r="E3176" s="2" t="str">
        <f>"经济与管理学院"</f>
        <v>经济与管理学院</v>
      </c>
    </row>
    <row r="3177" ht="13.5" hidden="1" spans="1:5">
      <c r="A3177" s="2" t="str">
        <f>"周名晶"</f>
        <v>周名晶</v>
      </c>
      <c r="B3177" s="2" t="str">
        <f>"B20220601503"</f>
        <v>B20220601503</v>
      </c>
      <c r="C3177" s="2" t="str">
        <f t="shared" si="766"/>
        <v>女</v>
      </c>
      <c r="D3177" s="2" t="str">
        <f t="shared" si="762"/>
        <v>8</v>
      </c>
      <c r="E3177" s="2" t="str">
        <f>"法学院"</f>
        <v>法学院</v>
      </c>
    </row>
    <row r="3178" ht="13.5" hidden="1" spans="1:5">
      <c r="A3178" s="2" t="str">
        <f>"雷敏"</f>
        <v>雷敏</v>
      </c>
      <c r="B3178" s="2" t="str">
        <f>"B20220104205"</f>
        <v>B20220104205</v>
      </c>
      <c r="C3178" s="2" t="str">
        <f t="shared" si="766"/>
        <v>女</v>
      </c>
      <c r="D3178" s="2" t="str">
        <f t="shared" si="762"/>
        <v>8</v>
      </c>
      <c r="E3178" s="2" t="str">
        <f>"土木工程学院"</f>
        <v>土木工程学院</v>
      </c>
    </row>
    <row r="3179" ht="13.5" hidden="1" spans="1:5">
      <c r="A3179" s="2" t="str">
        <f>"龚家豪"</f>
        <v>龚家豪</v>
      </c>
      <c r="B3179" s="2" t="str">
        <f>"B20210704313"</f>
        <v>B20210704313</v>
      </c>
      <c r="C3179" s="2" t="str">
        <f>"男"</f>
        <v>男</v>
      </c>
      <c r="D3179" s="2" t="str">
        <f t="shared" si="762"/>
        <v>8</v>
      </c>
      <c r="E3179" s="2" t="str">
        <f>"马栏山新媒体学院"</f>
        <v>马栏山新媒体学院</v>
      </c>
    </row>
    <row r="3180" ht="13.5" hidden="1" spans="1:5">
      <c r="A3180" s="2" t="str">
        <f>"伍倩莲"</f>
        <v>伍倩莲</v>
      </c>
      <c r="B3180" s="2" t="str">
        <f>"B20210802115"</f>
        <v>B20210802115</v>
      </c>
      <c r="C3180" s="2" t="str">
        <f t="shared" ref="C3180:C3185" si="767">"女"</f>
        <v>女</v>
      </c>
      <c r="D3180" s="2" t="str">
        <f t="shared" si="762"/>
        <v>8</v>
      </c>
      <c r="E3180" s="2" t="str">
        <f>"外国语学院"</f>
        <v>外国语学院</v>
      </c>
    </row>
    <row r="3181" ht="13.5" hidden="1" spans="1:5">
      <c r="A3181" s="2" t="str">
        <f>"张婷"</f>
        <v>张婷</v>
      </c>
      <c r="B3181" s="2" t="str">
        <f>"B20230701211"</f>
        <v>B20230701211</v>
      </c>
      <c r="C3181" s="2" t="str">
        <f t="shared" si="767"/>
        <v>女</v>
      </c>
      <c r="D3181" s="2" t="str">
        <f t="shared" si="762"/>
        <v>8</v>
      </c>
      <c r="E3181" s="2" t="str">
        <f>"马栏山新媒体学院"</f>
        <v>马栏山新媒体学院</v>
      </c>
    </row>
    <row r="3182" ht="13.5" hidden="1" spans="1:5">
      <c r="A3182" s="2" t="str">
        <f>"王子灵"</f>
        <v>王子灵</v>
      </c>
      <c r="B3182" s="2" t="str">
        <f>"B20220901107"</f>
        <v>B20220901107</v>
      </c>
      <c r="C3182" s="2" t="str">
        <f t="shared" si="767"/>
        <v>女</v>
      </c>
      <c r="D3182" s="2" t="str">
        <f t="shared" si="762"/>
        <v>8</v>
      </c>
      <c r="E3182" s="2" t="str">
        <f>"经济与管理学院"</f>
        <v>经济与管理学院</v>
      </c>
    </row>
    <row r="3183" ht="13.5" hidden="1" spans="1:5">
      <c r="A3183" s="2" t="str">
        <f>"朱理婷"</f>
        <v>朱理婷</v>
      </c>
      <c r="B3183" s="2" t="str">
        <f>"B20210902217"</f>
        <v>B20210902217</v>
      </c>
      <c r="C3183" s="2" t="str">
        <f t="shared" si="767"/>
        <v>女</v>
      </c>
      <c r="D3183" s="2" t="str">
        <f t="shared" si="762"/>
        <v>8</v>
      </c>
      <c r="E3183" s="2" t="str">
        <f>"经济与管理学院"</f>
        <v>经济与管理学院</v>
      </c>
    </row>
    <row r="3184" ht="13.5" hidden="1" spans="1:5">
      <c r="A3184" s="2" t="str">
        <f>"赵煜"</f>
        <v>赵煜</v>
      </c>
      <c r="B3184" s="2" t="str">
        <f>"B20231001202"</f>
        <v>B20231001202</v>
      </c>
      <c r="C3184" s="2" t="str">
        <f t="shared" si="767"/>
        <v>女</v>
      </c>
      <c r="D3184" s="2" t="str">
        <f t="shared" si="762"/>
        <v>8</v>
      </c>
      <c r="E3184" s="2" t="str">
        <f t="shared" ref="E3184:E3187" si="768">"艺术设计学院"</f>
        <v>艺术设计学院</v>
      </c>
    </row>
    <row r="3185" ht="13.5" hidden="1" spans="1:5">
      <c r="A3185" s="2" t="str">
        <f>"黄依柳"</f>
        <v>黄依柳</v>
      </c>
      <c r="B3185" s="2" t="str">
        <f>"B20231003119"</f>
        <v>B20231003119</v>
      </c>
      <c r="C3185" s="2" t="str">
        <f t="shared" si="767"/>
        <v>女</v>
      </c>
      <c r="D3185" s="2" t="str">
        <f t="shared" si="762"/>
        <v>8</v>
      </c>
      <c r="E3185" s="2" t="str">
        <f t="shared" si="768"/>
        <v>艺术设计学院</v>
      </c>
    </row>
    <row r="3186" ht="13.5" hidden="1" spans="1:5">
      <c r="A3186" s="2" t="str">
        <f>"关淇峰"</f>
        <v>关淇峰</v>
      </c>
      <c r="B3186" s="2" t="str">
        <f>"B20230601424"</f>
        <v>B20230601424</v>
      </c>
      <c r="C3186" s="2" t="str">
        <f t="shared" ref="C3186:C3189" si="769">"男"</f>
        <v>男</v>
      </c>
      <c r="D3186" s="2" t="str">
        <f t="shared" si="762"/>
        <v>8</v>
      </c>
      <c r="E3186" s="2" t="str">
        <f>"法学院"</f>
        <v>法学院</v>
      </c>
    </row>
    <row r="3187" ht="13.5" hidden="1" spans="1:5">
      <c r="A3187" s="2" t="str">
        <f>"郭智"</f>
        <v>郭智</v>
      </c>
      <c r="B3187" s="2" t="str">
        <f>"B20211002215"</f>
        <v>B20211002215</v>
      </c>
      <c r="C3187" s="2" t="str">
        <f t="shared" si="769"/>
        <v>男</v>
      </c>
      <c r="D3187" s="2" t="str">
        <f t="shared" si="762"/>
        <v>8</v>
      </c>
      <c r="E3187" s="2" t="str">
        <f t="shared" si="768"/>
        <v>艺术设计学院</v>
      </c>
    </row>
    <row r="3188" ht="13.5" hidden="1" spans="1:5">
      <c r="A3188" s="2" t="str">
        <f>"钟梦婷"</f>
        <v>钟梦婷</v>
      </c>
      <c r="B3188" s="2" t="str">
        <f>"B20210503207"</f>
        <v>B20210503207</v>
      </c>
      <c r="C3188" s="2" t="str">
        <f t="shared" ref="C3188:C3193" si="770">"女"</f>
        <v>女</v>
      </c>
      <c r="D3188" s="2" t="str">
        <f t="shared" si="762"/>
        <v>8</v>
      </c>
      <c r="E3188" s="2" t="str">
        <f t="shared" ref="E3188:E3191" si="771">"材料与环境工程学院"</f>
        <v>材料与环境工程学院</v>
      </c>
    </row>
    <row r="3189" ht="13.5" hidden="1" spans="1:5">
      <c r="A3189" s="2" t="str">
        <f>"杨一平"</f>
        <v>杨一平</v>
      </c>
      <c r="B3189" s="2" t="str">
        <f>"B20200501214"</f>
        <v>B20200501214</v>
      </c>
      <c r="C3189" s="2" t="str">
        <f t="shared" si="769"/>
        <v>男</v>
      </c>
      <c r="D3189" s="2" t="str">
        <f t="shared" si="762"/>
        <v>8</v>
      </c>
      <c r="E3189" s="2" t="str">
        <f>"生物与环境工程学院"</f>
        <v>生物与环境工程学院</v>
      </c>
    </row>
    <row r="3190" ht="13.5" hidden="1" spans="1:5">
      <c r="A3190" s="2" t="str">
        <f>"肖超群"</f>
        <v>肖超群</v>
      </c>
      <c r="B3190" s="2" t="str">
        <f>"B20231302206"</f>
        <v>B20231302206</v>
      </c>
      <c r="C3190" s="2" t="str">
        <f t="shared" si="770"/>
        <v>女</v>
      </c>
      <c r="D3190" s="2" t="str">
        <f t="shared" si="762"/>
        <v>8</v>
      </c>
      <c r="E3190" s="2" t="str">
        <f t="shared" si="771"/>
        <v>材料与环境工程学院</v>
      </c>
    </row>
    <row r="3191" ht="13.5" hidden="1" spans="1:5">
      <c r="A3191" s="2" t="str">
        <f>"廖颖"</f>
        <v>廖颖</v>
      </c>
      <c r="B3191" s="2" t="str">
        <f>"B20210503216"</f>
        <v>B20210503216</v>
      </c>
      <c r="C3191" s="2" t="str">
        <f t="shared" ref="C3191:C3195" si="772">"男"</f>
        <v>男</v>
      </c>
      <c r="D3191" s="2" t="str">
        <f t="shared" si="762"/>
        <v>8</v>
      </c>
      <c r="E3191" s="2" t="str">
        <f t="shared" si="771"/>
        <v>材料与环境工程学院</v>
      </c>
    </row>
    <row r="3192" ht="13.5" hidden="1" spans="1:5">
      <c r="A3192" s="2" t="str">
        <f>"江俊"</f>
        <v>江俊</v>
      </c>
      <c r="B3192" s="2" t="str">
        <f>"B20200906118"</f>
        <v>B20200906118</v>
      </c>
      <c r="C3192" s="2" t="str">
        <f t="shared" si="772"/>
        <v>男</v>
      </c>
      <c r="D3192" s="2" t="str">
        <f t="shared" si="762"/>
        <v>8</v>
      </c>
      <c r="E3192" s="2" t="str">
        <f>"电子信息与电气工程学院"</f>
        <v>电子信息与电气工程学院</v>
      </c>
    </row>
    <row r="3193" ht="13.5" hidden="1" spans="1:5">
      <c r="A3193" s="2" t="str">
        <f>"许桢"</f>
        <v>许桢</v>
      </c>
      <c r="B3193" s="2" t="str">
        <f>"B20230701217"</f>
        <v>B20230701217</v>
      </c>
      <c r="C3193" s="2" t="str">
        <f t="shared" si="770"/>
        <v>女</v>
      </c>
      <c r="D3193" s="2" t="str">
        <f t="shared" si="762"/>
        <v>8</v>
      </c>
      <c r="E3193" s="2" t="str">
        <f>"马栏山新媒体学院"</f>
        <v>马栏山新媒体学院</v>
      </c>
    </row>
    <row r="3194" customHeight="1" spans="1:5">
      <c r="A3194" s="6" t="str">
        <f>"成皓"</f>
        <v>成皓</v>
      </c>
      <c r="B3194" s="6" t="str">
        <f>"B20210304222"</f>
        <v>B20210304222</v>
      </c>
      <c r="C3194" s="6" t="str">
        <f>"男"</f>
        <v>男</v>
      </c>
      <c r="D3194" s="7" t="str">
        <f>"7"</f>
        <v>7</v>
      </c>
      <c r="E3194" s="6" t="str">
        <f>"计算机科学与工程学院"</f>
        <v>计算机科学与工程学院</v>
      </c>
    </row>
    <row r="3195" customHeight="1" spans="1:5">
      <c r="A3195" s="6" t="str">
        <f>"黄瑜"</f>
        <v>黄瑜</v>
      </c>
      <c r="B3195" s="6" t="str">
        <f>"B20210304223"</f>
        <v>B20210304223</v>
      </c>
      <c r="C3195" s="6" t="str">
        <f>"女"</f>
        <v>女</v>
      </c>
      <c r="D3195" s="7" t="str">
        <f>"7"</f>
        <v>7</v>
      </c>
      <c r="E3195" s="6" t="str">
        <f>"计算机科学与工程学院"</f>
        <v>计算机科学与工程学院</v>
      </c>
    </row>
    <row r="3196" ht="13.5" hidden="1" spans="1:5">
      <c r="A3196" s="2" t="str">
        <f>"赵丽"</f>
        <v>赵丽</v>
      </c>
      <c r="B3196" s="2" t="str">
        <f>"B20220801321"</f>
        <v>B20220801321</v>
      </c>
      <c r="C3196" s="2" t="str">
        <f t="shared" ref="C3196:C3198" si="773">"女"</f>
        <v>女</v>
      </c>
      <c r="D3196" s="2" t="str">
        <f t="shared" si="762"/>
        <v>8</v>
      </c>
      <c r="E3196" s="2" t="str">
        <f>"外国语学院"</f>
        <v>外国语学院</v>
      </c>
    </row>
    <row r="3197" ht="13.5" hidden="1" spans="1:5">
      <c r="A3197" s="2" t="str">
        <f>"钟秋燕"</f>
        <v>钟秋燕</v>
      </c>
      <c r="B3197" s="2" t="str">
        <f>"B20200801101"</f>
        <v>B20200801101</v>
      </c>
      <c r="C3197" s="2" t="str">
        <f t="shared" si="773"/>
        <v>女</v>
      </c>
      <c r="D3197" s="2" t="str">
        <f t="shared" si="762"/>
        <v>8</v>
      </c>
      <c r="E3197" s="2" t="str">
        <f>"外国语学院"</f>
        <v>外国语学院</v>
      </c>
    </row>
    <row r="3198" ht="13.5" hidden="1" spans="1:5">
      <c r="A3198" s="2" t="str">
        <f>"刘雯"</f>
        <v>刘雯</v>
      </c>
      <c r="B3198" s="2" t="str">
        <f>"B20211002310"</f>
        <v>B20211002310</v>
      </c>
      <c r="C3198" s="2" t="str">
        <f t="shared" si="773"/>
        <v>女</v>
      </c>
      <c r="D3198" s="2" t="str">
        <f t="shared" si="762"/>
        <v>8</v>
      </c>
      <c r="E3198" s="2" t="str">
        <f>"艺术设计学院"</f>
        <v>艺术设计学院</v>
      </c>
    </row>
    <row r="3199" customHeight="1" spans="1:5">
      <c r="A3199" s="6" t="str">
        <f>"杨文毅"</f>
        <v>杨文毅</v>
      </c>
      <c r="B3199" s="6" t="str">
        <f>"B20210304224"</f>
        <v>B20210304224</v>
      </c>
      <c r="C3199" s="6" t="str">
        <f>"男"</f>
        <v>男</v>
      </c>
      <c r="D3199" s="7" t="str">
        <f>"5"</f>
        <v>5</v>
      </c>
      <c r="E3199" s="6" t="str">
        <f>"计算机科学与工程学院"</f>
        <v>计算机科学与工程学院</v>
      </c>
    </row>
    <row r="3200" ht="13.5" hidden="1" spans="1:5">
      <c r="A3200" s="2" t="str">
        <f>"王晨敏"</f>
        <v>王晨敏</v>
      </c>
      <c r="B3200" s="2" t="str">
        <f>"B20210203215"</f>
        <v>B20210203215</v>
      </c>
      <c r="C3200" s="2" t="str">
        <f>"女"</f>
        <v>女</v>
      </c>
      <c r="D3200" s="2" t="str">
        <f t="shared" si="762"/>
        <v>8</v>
      </c>
      <c r="E3200" s="2" t="str">
        <f t="shared" ref="E3200:E3204" si="774">"机电工程学院"</f>
        <v>机电工程学院</v>
      </c>
    </row>
    <row r="3201" ht="13.5" hidden="1" spans="1:5">
      <c r="A3201" s="2" t="str">
        <f>"白烁葶"</f>
        <v>白烁葶</v>
      </c>
      <c r="B3201" s="2" t="str">
        <f>"B20210502130"</f>
        <v>B20210502130</v>
      </c>
      <c r="C3201" s="2" t="str">
        <f>"女"</f>
        <v>女</v>
      </c>
      <c r="D3201" s="2" t="str">
        <f t="shared" si="762"/>
        <v>8</v>
      </c>
      <c r="E3201" s="2" t="str">
        <f>"生物与化学工程学院"</f>
        <v>生物与化学工程学院</v>
      </c>
    </row>
    <row r="3202" ht="13.5" hidden="1" spans="1:5">
      <c r="A3202" s="2" t="str">
        <f>"谢成亮"</f>
        <v>谢成亮</v>
      </c>
      <c r="B3202" s="2" t="str">
        <f>"B20200201213"</f>
        <v>B20200201213</v>
      </c>
      <c r="C3202" s="2" t="str">
        <f t="shared" ref="C3199:C3205" si="775">"男"</f>
        <v>男</v>
      </c>
      <c r="D3202" s="2" t="str">
        <f t="shared" si="762"/>
        <v>8</v>
      </c>
      <c r="E3202" s="2" t="str">
        <f t="shared" si="774"/>
        <v>机电工程学院</v>
      </c>
    </row>
    <row r="3203" customHeight="1" spans="1:5">
      <c r="A3203" s="6" t="str">
        <f>"张伟"</f>
        <v>张伟</v>
      </c>
      <c r="B3203" s="6" t="str">
        <f>"B20210304225"</f>
        <v>B20210304225</v>
      </c>
      <c r="C3203" s="6" t="str">
        <f t="shared" si="775"/>
        <v>男</v>
      </c>
      <c r="D3203" s="7" t="str">
        <f>"6"</f>
        <v>6</v>
      </c>
      <c r="E3203" s="6" t="str">
        <f>"计算机科学与工程学院"</f>
        <v>计算机科学与工程学院</v>
      </c>
    </row>
    <row r="3204" ht="13.5" hidden="1" spans="1:5">
      <c r="A3204" s="2" t="str">
        <f>"陈凯"</f>
        <v>陈凯</v>
      </c>
      <c r="B3204" s="2" t="str">
        <f>"B20230202204"</f>
        <v>B20230202204</v>
      </c>
      <c r="C3204" s="2" t="str">
        <f t="shared" si="775"/>
        <v>男</v>
      </c>
      <c r="D3204" s="2" t="str">
        <f t="shared" si="762"/>
        <v>8</v>
      </c>
      <c r="E3204" s="2" t="str">
        <f t="shared" si="774"/>
        <v>机电工程学院</v>
      </c>
    </row>
    <row r="3205" ht="13.5" hidden="1" spans="1:5">
      <c r="A3205" s="2" t="str">
        <f>"罗辉"</f>
        <v>罗辉</v>
      </c>
      <c r="B3205" s="2" t="str">
        <f>"B20210701217"</f>
        <v>B20210701217</v>
      </c>
      <c r="C3205" s="2" t="str">
        <f t="shared" si="775"/>
        <v>男</v>
      </c>
      <c r="D3205" s="2" t="str">
        <f t="shared" si="762"/>
        <v>8</v>
      </c>
      <c r="E3205" s="2" t="str">
        <f>"马栏山新媒体学院"</f>
        <v>马栏山新媒体学院</v>
      </c>
    </row>
    <row r="3206" ht="13.5" hidden="1" spans="1:5">
      <c r="A3206" s="2" t="str">
        <f>"游奇慧"</f>
        <v>游奇慧</v>
      </c>
      <c r="B3206" s="2" t="str">
        <f>"B20220902114"</f>
        <v>B20220902114</v>
      </c>
      <c r="C3206" s="2" t="str">
        <f t="shared" ref="C3206:C3211" si="776">"女"</f>
        <v>女</v>
      </c>
      <c r="D3206" s="2" t="str">
        <f t="shared" si="762"/>
        <v>8</v>
      </c>
      <c r="E3206" s="2" t="str">
        <f>"经济与管理学院"</f>
        <v>经济与管理学院</v>
      </c>
    </row>
    <row r="3207" ht="13.5" hidden="1" spans="1:5">
      <c r="A3207" s="2" t="str">
        <f>"周俊逸"</f>
        <v>周俊逸</v>
      </c>
      <c r="B3207" s="2" t="str">
        <f>"B20210403222"</f>
        <v>B20210403222</v>
      </c>
      <c r="C3207" s="2" t="str">
        <f t="shared" ref="C3207:C3212" si="777">"男"</f>
        <v>男</v>
      </c>
      <c r="D3207" s="2" t="str">
        <f t="shared" si="762"/>
        <v>8</v>
      </c>
      <c r="E3207" s="2" t="str">
        <f>"电子信息与电气工程学院"</f>
        <v>电子信息与电气工程学院</v>
      </c>
    </row>
    <row r="3208" ht="13.5" hidden="1" spans="1:5">
      <c r="A3208" s="2" t="str">
        <f>"蒋承轩"</f>
        <v>蒋承轩</v>
      </c>
      <c r="B3208" s="2" t="str">
        <f>"B20230601224"</f>
        <v>B20230601224</v>
      </c>
      <c r="C3208" s="2" t="str">
        <f t="shared" si="777"/>
        <v>男</v>
      </c>
      <c r="D3208" s="2" t="str">
        <f t="shared" si="762"/>
        <v>8</v>
      </c>
      <c r="E3208" s="2" t="str">
        <f>"法学院"</f>
        <v>法学院</v>
      </c>
    </row>
    <row r="3209" ht="13.5" hidden="1" spans="1:5">
      <c r="A3209" s="2" t="str">
        <f>"孙思怡"</f>
        <v>孙思怡</v>
      </c>
      <c r="B3209" s="2" t="str">
        <f>"B20230902202"</f>
        <v>B20230902202</v>
      </c>
      <c r="C3209" s="2" t="str">
        <f t="shared" si="776"/>
        <v>女</v>
      </c>
      <c r="D3209" s="2" t="str">
        <f t="shared" si="762"/>
        <v>8</v>
      </c>
      <c r="E3209" s="2" t="str">
        <f>"经济与管理学院"</f>
        <v>经济与管理学院</v>
      </c>
    </row>
    <row r="3210" ht="13.5" hidden="1" spans="1:5">
      <c r="A3210" s="2" t="str">
        <f>"谢瑞"</f>
        <v>谢瑞</v>
      </c>
      <c r="B3210" s="2" t="str">
        <f>"B20220801107"</f>
        <v>B20220801107</v>
      </c>
      <c r="C3210" s="2" t="str">
        <f t="shared" si="776"/>
        <v>女</v>
      </c>
      <c r="D3210" s="2" t="str">
        <f t="shared" si="762"/>
        <v>8</v>
      </c>
      <c r="E3210" s="2" t="str">
        <f>"外国语学院"</f>
        <v>外国语学院</v>
      </c>
    </row>
    <row r="3211" ht="13.5" hidden="1" spans="1:5">
      <c r="A3211" s="2" t="str">
        <f>"贺美丽"</f>
        <v>贺美丽</v>
      </c>
      <c r="B3211" s="2" t="str">
        <f>"B20221301126"</f>
        <v>B20221301126</v>
      </c>
      <c r="C3211" s="2" t="str">
        <f t="shared" si="776"/>
        <v>女</v>
      </c>
      <c r="D3211" s="2" t="str">
        <f t="shared" si="762"/>
        <v>8</v>
      </c>
      <c r="E3211" s="2" t="str">
        <f>"材料与环境工程学院"</f>
        <v>材料与环境工程学院</v>
      </c>
    </row>
    <row r="3212" ht="13.5" hidden="1" spans="1:5">
      <c r="A3212" s="2" t="str">
        <f>"邱文宗"</f>
        <v>邱文宗</v>
      </c>
      <c r="B3212" s="2" t="str">
        <f>"B20230202231"</f>
        <v>B20230202231</v>
      </c>
      <c r="C3212" s="2" t="str">
        <f t="shared" si="777"/>
        <v>男</v>
      </c>
      <c r="D3212" s="2" t="str">
        <f t="shared" si="762"/>
        <v>8</v>
      </c>
      <c r="E3212" s="2" t="str">
        <f t="shared" ref="E3212:E3216" si="778">"机电工程学院"</f>
        <v>机电工程学院</v>
      </c>
    </row>
    <row r="3213" ht="13.5" hidden="1" spans="1:5">
      <c r="A3213" s="2" t="str">
        <f>"杨湘娣"</f>
        <v>杨湘娣</v>
      </c>
      <c r="B3213" s="2" t="str">
        <f>"B20230704210"</f>
        <v>B20230704210</v>
      </c>
      <c r="C3213" s="2" t="str">
        <f>"女"</f>
        <v>女</v>
      </c>
      <c r="D3213" s="2" t="str">
        <f t="shared" si="762"/>
        <v>8</v>
      </c>
      <c r="E3213" s="2" t="str">
        <f>"马栏山新媒体学院"</f>
        <v>马栏山新媒体学院</v>
      </c>
    </row>
    <row r="3214" ht="13.5" hidden="1" spans="1:5">
      <c r="A3214" s="2" t="str">
        <f>"付美英"</f>
        <v>付美英</v>
      </c>
      <c r="B3214" s="2" t="str">
        <f>"B20230202130"</f>
        <v>B20230202130</v>
      </c>
      <c r="C3214" s="2" t="str">
        <f>"女"</f>
        <v>女</v>
      </c>
      <c r="D3214" s="2" t="str">
        <f t="shared" si="762"/>
        <v>8</v>
      </c>
      <c r="E3214" s="2" t="str">
        <f t="shared" si="778"/>
        <v>机电工程学院</v>
      </c>
    </row>
    <row r="3215" customHeight="1" spans="1:5">
      <c r="A3215" s="6" t="str">
        <f>"曾柳焯"</f>
        <v>曾柳焯</v>
      </c>
      <c r="B3215" s="6" t="str">
        <f>"B20210304226"</f>
        <v>B20210304226</v>
      </c>
      <c r="C3215" s="6" t="str">
        <f>"男"</f>
        <v>男</v>
      </c>
      <c r="D3215" s="7" t="str">
        <f>"6"</f>
        <v>6</v>
      </c>
      <c r="E3215" s="6" t="str">
        <f>"计算机科学与工程学院"</f>
        <v>计算机科学与工程学院</v>
      </c>
    </row>
    <row r="3216" ht="13.5" hidden="1" spans="1:5">
      <c r="A3216" s="2" t="str">
        <f>"李泽"</f>
        <v>李泽</v>
      </c>
      <c r="B3216" s="2" t="str">
        <f>"B20230202414"</f>
        <v>B20230202414</v>
      </c>
      <c r="C3216" s="2" t="str">
        <f t="shared" ref="C3215:C3219" si="779">"男"</f>
        <v>男</v>
      </c>
      <c r="D3216" s="2" t="str">
        <f t="shared" si="762"/>
        <v>8</v>
      </c>
      <c r="E3216" s="2" t="str">
        <f t="shared" si="778"/>
        <v>机电工程学院</v>
      </c>
    </row>
    <row r="3217" ht="13.5" hidden="1" spans="1:5">
      <c r="A3217" s="2" t="str">
        <f>"邓欣文"</f>
        <v>邓欣文</v>
      </c>
      <c r="B3217" s="2" t="str">
        <f>"B20201111102"</f>
        <v>B20201111102</v>
      </c>
      <c r="C3217" s="2" t="str">
        <f t="shared" si="779"/>
        <v>男</v>
      </c>
      <c r="D3217" s="2" t="str">
        <f t="shared" si="762"/>
        <v>8</v>
      </c>
      <c r="E3217" s="2" t="str">
        <f>"音乐学院"</f>
        <v>音乐学院</v>
      </c>
    </row>
    <row r="3218" ht="13.5" hidden="1" spans="1:5">
      <c r="A3218" s="2" t="str">
        <f>"江友文"</f>
        <v>江友文</v>
      </c>
      <c r="B3218" s="2" t="str">
        <f>"B20200701245"</f>
        <v>B20200701245</v>
      </c>
      <c r="C3218" s="2" t="str">
        <f t="shared" si="779"/>
        <v>男</v>
      </c>
      <c r="D3218" s="2" t="str">
        <f t="shared" si="762"/>
        <v>8</v>
      </c>
      <c r="E3218" s="2" t="str">
        <f>"马栏山新媒体学院"</f>
        <v>马栏山新媒体学院</v>
      </c>
    </row>
    <row r="3219" ht="13.5" hidden="1" spans="1:5">
      <c r="A3219" s="2" t="str">
        <f>"黄维"</f>
        <v>黄维</v>
      </c>
      <c r="B3219" s="2" t="str">
        <f>"B20210402105"</f>
        <v>B20210402105</v>
      </c>
      <c r="C3219" s="2" t="str">
        <f t="shared" si="779"/>
        <v>男</v>
      </c>
      <c r="D3219" s="2" t="str">
        <f t="shared" si="762"/>
        <v>8</v>
      </c>
      <c r="E3219" s="2" t="str">
        <f>"电子信息与电气工程学院"</f>
        <v>电子信息与电气工程学院</v>
      </c>
    </row>
    <row r="3220" ht="13.5" hidden="1" spans="1:5">
      <c r="A3220" s="2" t="str">
        <f>"甘钰琳"</f>
        <v>甘钰琳</v>
      </c>
      <c r="B3220" s="2" t="str">
        <f>"B20230702223"</f>
        <v>B20230702223</v>
      </c>
      <c r="C3220" s="2" t="str">
        <f>"女"</f>
        <v>女</v>
      </c>
      <c r="D3220" s="2" t="str">
        <f t="shared" si="762"/>
        <v>8</v>
      </c>
      <c r="E3220" s="2" t="str">
        <f>"马栏山新媒体学院"</f>
        <v>马栏山新媒体学院</v>
      </c>
    </row>
    <row r="3221" ht="13.5" hidden="1" spans="1:5">
      <c r="A3221" s="2" t="str">
        <f>"姜博文"</f>
        <v>姜博文</v>
      </c>
      <c r="B3221" s="2" t="str">
        <f>"B20220201307"</f>
        <v>B20220201307</v>
      </c>
      <c r="C3221" s="2" t="str">
        <f t="shared" ref="C3221:C3225" si="780">"男"</f>
        <v>男</v>
      </c>
      <c r="D3221" s="2" t="str">
        <f t="shared" si="762"/>
        <v>8</v>
      </c>
      <c r="E3221" s="2" t="str">
        <f>"机电工程学院"</f>
        <v>机电工程学院</v>
      </c>
    </row>
    <row r="3222" ht="13.5" hidden="1" spans="1:5">
      <c r="A3222" s="2" t="str">
        <f>"李泽坤"</f>
        <v>李泽坤</v>
      </c>
      <c r="B3222" s="2" t="str">
        <f>"B20210201420"</f>
        <v>B20210201420</v>
      </c>
      <c r="C3222" s="2" t="str">
        <f t="shared" si="780"/>
        <v>男</v>
      </c>
      <c r="D3222" s="2" t="str">
        <f t="shared" ref="D3222:D3285" si="781">"8"</f>
        <v>8</v>
      </c>
      <c r="E3222" s="2" t="str">
        <f>"机电工程学院"</f>
        <v>机电工程学院</v>
      </c>
    </row>
    <row r="3223" ht="13.5" hidden="1" spans="1:5">
      <c r="A3223" s="2" t="str">
        <f>"刘灵月"</f>
        <v>刘灵月</v>
      </c>
      <c r="B3223" s="2" t="str">
        <f>"B20230803106"</f>
        <v>B20230803106</v>
      </c>
      <c r="C3223" s="2" t="str">
        <f t="shared" ref="C3223:C3236" si="782">"女"</f>
        <v>女</v>
      </c>
      <c r="D3223" s="2" t="str">
        <f t="shared" si="781"/>
        <v>8</v>
      </c>
      <c r="E3223" s="2" t="str">
        <f t="shared" ref="E3223:E3226" si="783">"外国语学院"</f>
        <v>外国语学院</v>
      </c>
    </row>
    <row r="3224" ht="13.5" hidden="1" spans="1:5">
      <c r="A3224" s="2" t="str">
        <f>"叶思哲"</f>
        <v>叶思哲</v>
      </c>
      <c r="B3224" s="2" t="str">
        <f>"B20221101228"</f>
        <v>B20221101228</v>
      </c>
      <c r="C3224" s="2" t="str">
        <f t="shared" si="780"/>
        <v>男</v>
      </c>
      <c r="D3224" s="2" t="str">
        <f t="shared" si="781"/>
        <v>8</v>
      </c>
      <c r="E3224" s="2" t="str">
        <f>"音乐学院"</f>
        <v>音乐学院</v>
      </c>
    </row>
    <row r="3225" ht="13.5" hidden="1" spans="1:5">
      <c r="A3225" s="2" t="str">
        <f>"廖富绪"</f>
        <v>廖富绪</v>
      </c>
      <c r="B3225" s="2" t="str">
        <f>"B20230801330"</f>
        <v>B20230801330</v>
      </c>
      <c r="C3225" s="2" t="str">
        <f t="shared" si="780"/>
        <v>男</v>
      </c>
      <c r="D3225" s="2" t="str">
        <f t="shared" si="781"/>
        <v>8</v>
      </c>
      <c r="E3225" s="2" t="str">
        <f t="shared" si="783"/>
        <v>外国语学院</v>
      </c>
    </row>
    <row r="3226" ht="13.5" hidden="1" spans="1:5">
      <c r="A3226" s="2" t="str">
        <f>"贺欣雨"</f>
        <v>贺欣雨</v>
      </c>
      <c r="B3226" s="2" t="str">
        <f>"B20220801407"</f>
        <v>B20220801407</v>
      </c>
      <c r="C3226" s="2" t="str">
        <f t="shared" si="782"/>
        <v>女</v>
      </c>
      <c r="D3226" s="2" t="str">
        <f t="shared" si="781"/>
        <v>8</v>
      </c>
      <c r="E3226" s="2" t="str">
        <f t="shared" si="783"/>
        <v>外国语学院</v>
      </c>
    </row>
    <row r="3227" ht="13.5" hidden="1" spans="1:5">
      <c r="A3227" s="2" t="str">
        <f>"谢梓样"</f>
        <v>谢梓样</v>
      </c>
      <c r="B3227" s="2" t="str">
        <f>"B20200402319"</f>
        <v>B20200402319</v>
      </c>
      <c r="C3227" s="2" t="str">
        <f>"男"</f>
        <v>男</v>
      </c>
      <c r="D3227" s="2" t="str">
        <f t="shared" si="781"/>
        <v>8</v>
      </c>
      <c r="E3227" s="2" t="str">
        <f>"电子信息与电气工程学院"</f>
        <v>电子信息与电气工程学院</v>
      </c>
    </row>
    <row r="3228" ht="13.5" hidden="1" spans="1:5">
      <c r="A3228" s="2" t="str">
        <f>"陈汇源"</f>
        <v>陈汇源</v>
      </c>
      <c r="B3228" s="2" t="str">
        <f>"B20231101304"</f>
        <v>B20231101304</v>
      </c>
      <c r="C3228" s="2" t="str">
        <f t="shared" si="782"/>
        <v>女</v>
      </c>
      <c r="D3228" s="2" t="str">
        <f t="shared" si="781"/>
        <v>8</v>
      </c>
      <c r="E3228" s="2" t="str">
        <f>"音乐学院"</f>
        <v>音乐学院</v>
      </c>
    </row>
    <row r="3229" ht="13.5" hidden="1" spans="1:5">
      <c r="A3229" s="2" t="str">
        <f>"胡曦丹"</f>
        <v>胡曦丹</v>
      </c>
      <c r="B3229" s="2" t="str">
        <f>"B20210906105"</f>
        <v>B20210906105</v>
      </c>
      <c r="C3229" s="2" t="str">
        <f t="shared" si="782"/>
        <v>女</v>
      </c>
      <c r="D3229" s="2" t="str">
        <f t="shared" si="781"/>
        <v>8</v>
      </c>
      <c r="E3229" s="2" t="str">
        <f t="shared" ref="E3229:E3233" si="784">"经济与管理学院"</f>
        <v>经济与管理学院</v>
      </c>
    </row>
    <row r="3230" ht="13.5" hidden="1" spans="1:5">
      <c r="A3230" s="2" t="str">
        <f>"喻世瑶"</f>
        <v>喻世瑶</v>
      </c>
      <c r="B3230" s="2" t="str">
        <f>"B20210905129"</f>
        <v>B20210905129</v>
      </c>
      <c r="C3230" s="2" t="str">
        <f t="shared" si="782"/>
        <v>女</v>
      </c>
      <c r="D3230" s="2" t="str">
        <f t="shared" si="781"/>
        <v>8</v>
      </c>
      <c r="E3230" s="2" t="str">
        <f t="shared" si="784"/>
        <v>经济与管理学院</v>
      </c>
    </row>
    <row r="3231" customHeight="1" spans="1:5">
      <c r="A3231" s="6" t="str">
        <f>"陈劭"</f>
        <v>陈劭</v>
      </c>
      <c r="B3231" s="6" t="str">
        <f>"B20210304228"</f>
        <v>B20210304228</v>
      </c>
      <c r="C3231" s="6" t="str">
        <f>"男"</f>
        <v>男</v>
      </c>
      <c r="D3231" s="7" t="str">
        <f>"1"</f>
        <v>1</v>
      </c>
      <c r="E3231" s="6" t="str">
        <f>"计算机科学与工程学院"</f>
        <v>计算机科学与工程学院</v>
      </c>
    </row>
    <row r="3232" ht="13.5" hidden="1" spans="1:5">
      <c r="A3232" s="2" t="str">
        <f>"张梦哲"</f>
        <v>张梦哲</v>
      </c>
      <c r="B3232" s="2" t="str">
        <f>"B20220701413"</f>
        <v>B20220701413</v>
      </c>
      <c r="C3232" s="2" t="str">
        <f t="shared" si="782"/>
        <v>女</v>
      </c>
      <c r="D3232" s="2" t="str">
        <f t="shared" si="781"/>
        <v>8</v>
      </c>
      <c r="E3232" s="2" t="str">
        <f>"马栏山新媒体学院"</f>
        <v>马栏山新媒体学院</v>
      </c>
    </row>
    <row r="3233" ht="13.5" hidden="1" spans="1:5">
      <c r="A3233" s="2" t="str">
        <f>"伍伟"</f>
        <v>伍伟</v>
      </c>
      <c r="B3233" s="2" t="str">
        <f>"B20230906116"</f>
        <v>B20230906116</v>
      </c>
      <c r="C3233" s="2" t="str">
        <f t="shared" si="782"/>
        <v>女</v>
      </c>
      <c r="D3233" s="2" t="str">
        <f t="shared" si="781"/>
        <v>8</v>
      </c>
      <c r="E3233" s="2" t="str">
        <f t="shared" si="784"/>
        <v>经济与管理学院</v>
      </c>
    </row>
    <row r="3234" ht="13.5" hidden="1" spans="1:5">
      <c r="A3234" s="2" t="str">
        <f>"黄旖琳"</f>
        <v>黄旖琳</v>
      </c>
      <c r="B3234" s="2" t="str">
        <f>"B20230802214"</f>
        <v>B20230802214</v>
      </c>
      <c r="C3234" s="2" t="str">
        <f t="shared" si="782"/>
        <v>女</v>
      </c>
      <c r="D3234" s="2" t="str">
        <f t="shared" si="781"/>
        <v>8</v>
      </c>
      <c r="E3234" s="2" t="str">
        <f>"外国语学院"</f>
        <v>外国语学院</v>
      </c>
    </row>
    <row r="3235" ht="13.5" hidden="1" spans="1:5">
      <c r="A3235" s="2" t="str">
        <f>"贺晓颖"</f>
        <v>贺晓颖</v>
      </c>
      <c r="B3235" s="2" t="str">
        <f>"B20230906232"</f>
        <v>B20230906232</v>
      </c>
      <c r="C3235" s="2" t="str">
        <f t="shared" si="782"/>
        <v>女</v>
      </c>
      <c r="D3235" s="2" t="str">
        <f t="shared" si="781"/>
        <v>8</v>
      </c>
      <c r="E3235" s="2" t="str">
        <f>"经济与管理学院"</f>
        <v>经济与管理学院</v>
      </c>
    </row>
    <row r="3236" customHeight="1" spans="1:5">
      <c r="A3236" s="6" t="str">
        <f>"杭语婷"</f>
        <v>杭语婷</v>
      </c>
      <c r="B3236" s="6" t="str">
        <f>"B20210304301"</f>
        <v>B20210304301</v>
      </c>
      <c r="C3236" s="6" t="str">
        <f t="shared" si="782"/>
        <v>女</v>
      </c>
      <c r="D3236" s="7" t="str">
        <f>"7"</f>
        <v>7</v>
      </c>
      <c r="E3236" s="6" t="str">
        <f>"计算机科学与工程学院"</f>
        <v>计算机科学与工程学院</v>
      </c>
    </row>
    <row r="3237" ht="13.5" hidden="1" spans="1:5">
      <c r="A3237" s="2" t="str">
        <f>"林晶凤"</f>
        <v>林晶凤</v>
      </c>
      <c r="B3237" s="2" t="str">
        <f>"B20210901232"</f>
        <v>B20210901232</v>
      </c>
      <c r="C3237" s="2" t="str">
        <f t="shared" ref="C3237:C3242" si="785">"女"</f>
        <v>女</v>
      </c>
      <c r="D3237" s="2" t="str">
        <f t="shared" si="781"/>
        <v>8</v>
      </c>
      <c r="E3237" s="2" t="str">
        <f>"经济与管理学院"</f>
        <v>经济与管理学院</v>
      </c>
    </row>
    <row r="3238" ht="13.5" hidden="1" spans="1:5">
      <c r="A3238" s="2" t="str">
        <f>"周楠清"</f>
        <v>周楠清</v>
      </c>
      <c r="B3238" s="2" t="str">
        <f>"B20200402220"</f>
        <v>B20200402220</v>
      </c>
      <c r="C3238" s="2" t="str">
        <f>"男"</f>
        <v>男</v>
      </c>
      <c r="D3238" s="2" t="str">
        <f t="shared" si="781"/>
        <v>8</v>
      </c>
      <c r="E3238" s="2" t="str">
        <f>"电子信息与电气工程学院"</f>
        <v>电子信息与电气工程学院</v>
      </c>
    </row>
    <row r="3239" ht="13.5" hidden="1" spans="1:5">
      <c r="A3239" s="2" t="str">
        <f>"雷蕾"</f>
        <v>雷蕾</v>
      </c>
      <c r="B3239" s="2" t="str">
        <f>"B20201001415"</f>
        <v>B20201001415</v>
      </c>
      <c r="C3239" s="2" t="str">
        <f t="shared" si="785"/>
        <v>女</v>
      </c>
      <c r="D3239" s="2" t="str">
        <f t="shared" si="781"/>
        <v>8</v>
      </c>
      <c r="E3239" s="2" t="str">
        <f>"艺术设计学院"</f>
        <v>艺术设计学院</v>
      </c>
    </row>
    <row r="3240" customHeight="1" spans="1:5">
      <c r="A3240" s="6" t="str">
        <f>"杨欣怡"</f>
        <v>杨欣怡</v>
      </c>
      <c r="B3240" s="6" t="str">
        <f>"B20210304303"</f>
        <v>B20210304303</v>
      </c>
      <c r="C3240" s="6" t="str">
        <f t="shared" si="785"/>
        <v>女</v>
      </c>
      <c r="D3240" s="7" t="str">
        <f>"15"</f>
        <v>15</v>
      </c>
      <c r="E3240" s="6" t="str">
        <f>"计算机科学与工程学院"</f>
        <v>计算机科学与工程学院</v>
      </c>
    </row>
    <row r="3241" ht="13.5" hidden="1" spans="1:5">
      <c r="A3241" s="2" t="str">
        <f>"吴凡"</f>
        <v>吴凡</v>
      </c>
      <c r="B3241" s="2" t="str">
        <f>"B20221302224"</f>
        <v>B20221302224</v>
      </c>
      <c r="C3241" s="2" t="str">
        <f t="shared" si="785"/>
        <v>女</v>
      </c>
      <c r="D3241" s="2" t="str">
        <f t="shared" si="781"/>
        <v>8</v>
      </c>
      <c r="E3241" s="2" t="str">
        <f>"材料与环境工程学院"</f>
        <v>材料与环境工程学院</v>
      </c>
    </row>
    <row r="3242" customHeight="1" spans="1:5">
      <c r="A3242" s="6" t="str">
        <f>"颜昌晖"</f>
        <v>颜昌晖</v>
      </c>
      <c r="B3242" s="6" t="str">
        <f>"B20210304304"</f>
        <v>B20210304304</v>
      </c>
      <c r="C3242" s="6" t="str">
        <f>"男"</f>
        <v>男</v>
      </c>
      <c r="D3242" s="7" t="str">
        <f>"3"</f>
        <v>3</v>
      </c>
      <c r="E3242" s="6" t="str">
        <f>"计算机科学与工程学院"</f>
        <v>计算机科学与工程学院</v>
      </c>
    </row>
    <row r="3243" customHeight="1" spans="1:5">
      <c r="A3243" s="6" t="str">
        <f>"唐谕谦"</f>
        <v>唐谕谦</v>
      </c>
      <c r="B3243" s="6" t="str">
        <f>"B20210304308"</f>
        <v>B20210304308</v>
      </c>
      <c r="C3243" s="6" t="str">
        <f>"男"</f>
        <v>男</v>
      </c>
      <c r="D3243" s="7" t="str">
        <f>"4"</f>
        <v>4</v>
      </c>
      <c r="E3243" s="6" t="str">
        <f>"计算机科学与工程学院"</f>
        <v>计算机科学与工程学院</v>
      </c>
    </row>
    <row r="3244" ht="13.5" hidden="1" spans="1:5">
      <c r="A3244" s="2" t="str">
        <f>"田梦真"</f>
        <v>田梦真</v>
      </c>
      <c r="B3244" s="2" t="str">
        <f>"B20220101606"</f>
        <v>B20220101606</v>
      </c>
      <c r="C3244" s="2" t="str">
        <f t="shared" ref="C3244:C3249" si="786">"女"</f>
        <v>女</v>
      </c>
      <c r="D3244" s="2" t="str">
        <f t="shared" si="781"/>
        <v>8</v>
      </c>
      <c r="E3244" s="2" t="str">
        <f>"土木工程学院"</f>
        <v>土木工程学院</v>
      </c>
    </row>
    <row r="3245" ht="13.5" hidden="1" spans="1:5">
      <c r="A3245" s="2" t="str">
        <f>"温梓程"</f>
        <v>温梓程</v>
      </c>
      <c r="B3245" s="2" t="str">
        <f>"B20210904325"</f>
        <v>B20210904325</v>
      </c>
      <c r="C3245" s="2" t="str">
        <f t="shared" si="786"/>
        <v>女</v>
      </c>
      <c r="D3245" s="2" t="str">
        <f t="shared" si="781"/>
        <v>8</v>
      </c>
      <c r="E3245" s="2" t="str">
        <f>"经济与管理学院"</f>
        <v>经济与管理学院</v>
      </c>
    </row>
    <row r="3246" ht="13.5" hidden="1" spans="1:5">
      <c r="A3246" s="2" t="str">
        <f>"周南聿"</f>
        <v>周南聿</v>
      </c>
      <c r="B3246" s="2" t="str">
        <f>"B20231111115"</f>
        <v>B20231111115</v>
      </c>
      <c r="C3246" s="2" t="str">
        <f t="shared" ref="C3246:C3252" si="787">"男"</f>
        <v>男</v>
      </c>
      <c r="D3246" s="2" t="str">
        <f t="shared" si="781"/>
        <v>8</v>
      </c>
      <c r="E3246" s="2" t="str">
        <f>"音乐学院"</f>
        <v>音乐学院</v>
      </c>
    </row>
    <row r="3247" ht="13.5" hidden="1" spans="1:5">
      <c r="A3247" s="2" t="str">
        <f>"郭晓雯"</f>
        <v>郭晓雯</v>
      </c>
      <c r="B3247" s="2" t="str">
        <f>"B20200901434"</f>
        <v>B20200901434</v>
      </c>
      <c r="C3247" s="2" t="str">
        <f t="shared" si="786"/>
        <v>女</v>
      </c>
      <c r="D3247" s="2" t="str">
        <f t="shared" si="781"/>
        <v>8</v>
      </c>
      <c r="E3247" s="2" t="str">
        <f>"经济与管理学院"</f>
        <v>经济与管理学院</v>
      </c>
    </row>
    <row r="3248" ht="13.5" hidden="1" spans="1:5">
      <c r="A3248" s="2" t="str">
        <f>"高原"</f>
        <v>高原</v>
      </c>
      <c r="B3248" s="2" t="str">
        <f>"B20200702225"</f>
        <v>B20200702225</v>
      </c>
      <c r="C3248" s="2" t="str">
        <f t="shared" si="786"/>
        <v>女</v>
      </c>
      <c r="D3248" s="2" t="str">
        <f t="shared" si="781"/>
        <v>8</v>
      </c>
      <c r="E3248" s="2" t="str">
        <f>"马栏山新媒体学院"</f>
        <v>马栏山新媒体学院</v>
      </c>
    </row>
    <row r="3249" ht="13.5" hidden="1" spans="1:5">
      <c r="A3249" s="2" t="str">
        <f>"张祺"</f>
        <v>张祺</v>
      </c>
      <c r="B3249" s="2" t="str">
        <f>"B20200703302"</f>
        <v>B20200703302</v>
      </c>
      <c r="C3249" s="2" t="str">
        <f t="shared" si="786"/>
        <v>女</v>
      </c>
      <c r="D3249" s="2" t="str">
        <f t="shared" si="781"/>
        <v>8</v>
      </c>
      <c r="E3249" s="2" t="str">
        <f>"马栏山新媒体学院"</f>
        <v>马栏山新媒体学院</v>
      </c>
    </row>
    <row r="3250" ht="13.5" hidden="1" spans="1:5">
      <c r="A3250" s="2" t="str">
        <f>"郭俊"</f>
        <v>郭俊</v>
      </c>
      <c r="B3250" s="2" t="str">
        <f>"B20200101208"</f>
        <v>B20200101208</v>
      </c>
      <c r="C3250" s="2" t="str">
        <f t="shared" si="787"/>
        <v>男</v>
      </c>
      <c r="D3250" s="2" t="str">
        <f t="shared" si="781"/>
        <v>8</v>
      </c>
      <c r="E3250" s="2" t="str">
        <f>"土木工程学院"</f>
        <v>土木工程学院</v>
      </c>
    </row>
    <row r="3251" ht="13.5" hidden="1" spans="1:5">
      <c r="A3251" s="2" t="str">
        <f>"喻子健"</f>
        <v>喻子健</v>
      </c>
      <c r="B3251" s="2" t="str">
        <f>"B20231111207"</f>
        <v>B20231111207</v>
      </c>
      <c r="C3251" s="2" t="str">
        <f t="shared" si="787"/>
        <v>男</v>
      </c>
      <c r="D3251" s="2" t="str">
        <f t="shared" si="781"/>
        <v>8</v>
      </c>
      <c r="E3251" s="2" t="str">
        <f>"音乐学院"</f>
        <v>音乐学院</v>
      </c>
    </row>
    <row r="3252" ht="13.5" hidden="1" spans="1:5">
      <c r="A3252" s="2" t="str">
        <f>"吴昌正"</f>
        <v>吴昌正</v>
      </c>
      <c r="B3252" s="2" t="str">
        <f>"B20210403226"</f>
        <v>B20210403226</v>
      </c>
      <c r="C3252" s="2" t="str">
        <f t="shared" si="787"/>
        <v>男</v>
      </c>
      <c r="D3252" s="2" t="str">
        <f t="shared" si="781"/>
        <v>8</v>
      </c>
      <c r="E3252" s="2" t="str">
        <f t="shared" ref="E3252:E3256" si="788">"电子信息与电气工程学院"</f>
        <v>电子信息与电气工程学院</v>
      </c>
    </row>
    <row r="3253" ht="13.5" hidden="1" spans="1:5">
      <c r="A3253" s="2" t="str">
        <f>"龙念"</f>
        <v>龙念</v>
      </c>
      <c r="B3253" s="2" t="str">
        <f>"B20200202404"</f>
        <v>B20200202404</v>
      </c>
      <c r="C3253" s="2" t="str">
        <f>"女"</f>
        <v>女</v>
      </c>
      <c r="D3253" s="2" t="str">
        <f t="shared" si="781"/>
        <v>8</v>
      </c>
      <c r="E3253" s="2" t="str">
        <f>"机电工程学院"</f>
        <v>机电工程学院</v>
      </c>
    </row>
    <row r="3254" ht="13.5" hidden="1" spans="1:5">
      <c r="A3254" s="2" t="str">
        <f>"罗诚"</f>
        <v>罗诚</v>
      </c>
      <c r="B3254" s="2" t="str">
        <f>"B20230501121"</f>
        <v>B20230501121</v>
      </c>
      <c r="C3254" s="2" t="str">
        <f t="shared" ref="C3254:C3256" si="789">"男"</f>
        <v>男</v>
      </c>
      <c r="D3254" s="2" t="str">
        <f t="shared" si="781"/>
        <v>8</v>
      </c>
      <c r="E3254" s="2" t="str">
        <f>"生物与化学工程学院"</f>
        <v>生物与化学工程学院</v>
      </c>
    </row>
    <row r="3255" ht="13.5" hidden="1" spans="1:5">
      <c r="A3255" s="2" t="str">
        <f>"蒋贤明"</f>
        <v>蒋贤明</v>
      </c>
      <c r="B3255" s="2" t="str">
        <f>"B20200402115"</f>
        <v>B20200402115</v>
      </c>
      <c r="C3255" s="2" t="str">
        <f t="shared" si="789"/>
        <v>男</v>
      </c>
      <c r="D3255" s="2" t="str">
        <f t="shared" si="781"/>
        <v>8</v>
      </c>
      <c r="E3255" s="2" t="str">
        <f t="shared" si="788"/>
        <v>电子信息与电气工程学院</v>
      </c>
    </row>
    <row r="3256" ht="13.5" hidden="1" spans="1:5">
      <c r="A3256" s="2" t="str">
        <f>"喻果"</f>
        <v>喻果</v>
      </c>
      <c r="B3256" s="2" t="str">
        <f>"B20220403318"</f>
        <v>B20220403318</v>
      </c>
      <c r="C3256" s="2" t="str">
        <f t="shared" si="789"/>
        <v>男</v>
      </c>
      <c r="D3256" s="2" t="str">
        <f t="shared" si="781"/>
        <v>8</v>
      </c>
      <c r="E3256" s="2" t="str">
        <f t="shared" si="788"/>
        <v>电子信息与电气工程学院</v>
      </c>
    </row>
    <row r="3257" ht="13.5" hidden="1" spans="1:5">
      <c r="A3257" s="2" t="str">
        <f>"张思琦"</f>
        <v>张思琦</v>
      </c>
      <c r="B3257" s="2" t="str">
        <f>"B20200901311"</f>
        <v>B20200901311</v>
      </c>
      <c r="C3257" s="2" t="str">
        <f t="shared" ref="C3257:C3262" si="790">"女"</f>
        <v>女</v>
      </c>
      <c r="D3257" s="2" t="str">
        <f t="shared" si="781"/>
        <v>8</v>
      </c>
      <c r="E3257" s="2" t="str">
        <f>"经济与管理学院"</f>
        <v>经济与管理学院</v>
      </c>
    </row>
    <row r="3258" ht="13.5" hidden="1" spans="1:5">
      <c r="A3258" s="2" t="str">
        <f>"刘亮"</f>
        <v>刘亮</v>
      </c>
      <c r="B3258" s="2" t="str">
        <f>"B20200201334"</f>
        <v>B20200201334</v>
      </c>
      <c r="C3258" s="2" t="str">
        <f t="shared" ref="C3258:C3261" si="791">"男"</f>
        <v>男</v>
      </c>
      <c r="D3258" s="2" t="str">
        <f t="shared" si="781"/>
        <v>8</v>
      </c>
      <c r="E3258" s="2" t="str">
        <f>"机电工程学院"</f>
        <v>机电工程学院</v>
      </c>
    </row>
    <row r="3259" ht="13.5" hidden="1" spans="1:5">
      <c r="A3259" s="2" t="str">
        <f>"马伊珏"</f>
        <v>马伊珏</v>
      </c>
      <c r="B3259" s="2" t="str">
        <f>"B20221101230"</f>
        <v>B20221101230</v>
      </c>
      <c r="C3259" s="2" t="str">
        <f t="shared" si="790"/>
        <v>女</v>
      </c>
      <c r="D3259" s="2" t="str">
        <f t="shared" si="781"/>
        <v>8</v>
      </c>
      <c r="E3259" s="2" t="str">
        <f>"音乐学院"</f>
        <v>音乐学院</v>
      </c>
    </row>
    <row r="3260" ht="13.5" hidden="1" spans="1:5">
      <c r="A3260" s="2" t="str">
        <f>"宁志刚"</f>
        <v>宁志刚</v>
      </c>
      <c r="B3260" s="2" t="str">
        <f>"B20220201321"</f>
        <v>B20220201321</v>
      </c>
      <c r="C3260" s="2" t="str">
        <f t="shared" si="791"/>
        <v>男</v>
      </c>
      <c r="D3260" s="2" t="str">
        <f t="shared" si="781"/>
        <v>8</v>
      </c>
      <c r="E3260" s="2" t="str">
        <f>"机电工程学院"</f>
        <v>机电工程学院</v>
      </c>
    </row>
    <row r="3261" ht="13.5" hidden="1" spans="1:5">
      <c r="A3261" s="2" t="str">
        <f>"彭嘉炎"</f>
        <v>彭嘉炎</v>
      </c>
      <c r="B3261" s="2" t="str">
        <f>"B20210905207"</f>
        <v>B20210905207</v>
      </c>
      <c r="C3261" s="2" t="str">
        <f t="shared" si="791"/>
        <v>男</v>
      </c>
      <c r="D3261" s="2" t="str">
        <f t="shared" si="781"/>
        <v>8</v>
      </c>
      <c r="E3261" s="2" t="str">
        <f>"经济与管理学院"</f>
        <v>经济与管理学院</v>
      </c>
    </row>
    <row r="3262" ht="13.5" hidden="1" spans="1:5">
      <c r="A3262" s="2" t="str">
        <f>"欧阳思妮"</f>
        <v>欧阳思妮</v>
      </c>
      <c r="B3262" s="2" t="str">
        <f>"B20230601418"</f>
        <v>B20230601418</v>
      </c>
      <c r="C3262" s="2" t="str">
        <f t="shared" si="790"/>
        <v>女</v>
      </c>
      <c r="D3262" s="2" t="str">
        <f t="shared" si="781"/>
        <v>8</v>
      </c>
      <c r="E3262" s="2" t="str">
        <f>"法学院"</f>
        <v>法学院</v>
      </c>
    </row>
    <row r="3263" ht="13.5" hidden="1" spans="1:5">
      <c r="A3263" s="2" t="str">
        <f>"唐煜隆"</f>
        <v>唐煜隆</v>
      </c>
      <c r="B3263" s="2" t="str">
        <f>"B20231111119"</f>
        <v>B20231111119</v>
      </c>
      <c r="C3263" s="2" t="str">
        <f t="shared" ref="C3263:C3267" si="792">"男"</f>
        <v>男</v>
      </c>
      <c r="D3263" s="2" t="str">
        <f t="shared" si="781"/>
        <v>8</v>
      </c>
      <c r="E3263" s="2" t="str">
        <f>"音乐学院"</f>
        <v>音乐学院</v>
      </c>
    </row>
    <row r="3264" ht="13.5" hidden="1" spans="1:5">
      <c r="A3264" s="2" t="str">
        <f>"伍志"</f>
        <v>伍志</v>
      </c>
      <c r="B3264" s="2" t="str">
        <f>"B20220902324"</f>
        <v>B20220902324</v>
      </c>
      <c r="C3264" s="2" t="str">
        <f t="shared" si="792"/>
        <v>男</v>
      </c>
      <c r="D3264" s="2" t="str">
        <f t="shared" si="781"/>
        <v>8</v>
      </c>
      <c r="E3264" s="2" t="str">
        <f>"经济与管理学院"</f>
        <v>经济与管理学院</v>
      </c>
    </row>
    <row r="3265" ht="13.5" hidden="1" spans="1:5">
      <c r="A3265" s="2" t="str">
        <f>"廖佳荣"</f>
        <v>廖佳荣</v>
      </c>
      <c r="B3265" s="2" t="str">
        <f>"B20230401406"</f>
        <v>B20230401406</v>
      </c>
      <c r="C3265" s="2" t="str">
        <f t="shared" ref="C3265:C3268" si="793">"女"</f>
        <v>女</v>
      </c>
      <c r="D3265" s="2" t="str">
        <f t="shared" si="781"/>
        <v>8</v>
      </c>
      <c r="E3265" s="2" t="str">
        <f t="shared" ref="E3265:E3269" si="794">"电子信息与电气工程学院"</f>
        <v>电子信息与电气工程学院</v>
      </c>
    </row>
    <row r="3266" ht="13.5" hidden="1" spans="1:5">
      <c r="A3266" s="2" t="str">
        <f>"于钰琦"</f>
        <v>于钰琦</v>
      </c>
      <c r="B3266" s="2" t="str">
        <f>"B20210202106"</f>
        <v>B20210202106</v>
      </c>
      <c r="C3266" s="2" t="str">
        <f t="shared" si="793"/>
        <v>女</v>
      </c>
      <c r="D3266" s="2" t="str">
        <f t="shared" si="781"/>
        <v>8</v>
      </c>
      <c r="E3266" s="2" t="str">
        <f>"机电工程学院"</f>
        <v>机电工程学院</v>
      </c>
    </row>
    <row r="3267" ht="13.5" hidden="1" spans="1:5">
      <c r="A3267" s="2" t="str">
        <f>"王小鹏"</f>
        <v>王小鹏</v>
      </c>
      <c r="B3267" s="2" t="str">
        <f>"B20230402102"</f>
        <v>B20230402102</v>
      </c>
      <c r="C3267" s="2" t="str">
        <f t="shared" si="792"/>
        <v>男</v>
      </c>
      <c r="D3267" s="2" t="str">
        <f t="shared" si="781"/>
        <v>8</v>
      </c>
      <c r="E3267" s="2" t="str">
        <f t="shared" si="794"/>
        <v>电子信息与电气工程学院</v>
      </c>
    </row>
    <row r="3268" ht="13.5" hidden="1" spans="1:5">
      <c r="A3268" s="2" t="str">
        <f>"刘阳"</f>
        <v>刘阳</v>
      </c>
      <c r="B3268" s="2" t="str">
        <f>"B20230103218"</f>
        <v>B20230103218</v>
      </c>
      <c r="C3268" s="2" t="str">
        <f t="shared" si="793"/>
        <v>女</v>
      </c>
      <c r="D3268" s="2" t="str">
        <f t="shared" si="781"/>
        <v>8</v>
      </c>
      <c r="E3268" s="2" t="str">
        <f>"土木工程学院"</f>
        <v>土木工程学院</v>
      </c>
    </row>
    <row r="3269" ht="13.5" hidden="1" spans="1:5">
      <c r="A3269" s="2" t="str">
        <f>"唐剑坤"</f>
        <v>唐剑坤</v>
      </c>
      <c r="B3269" s="2" t="str">
        <f>"B20220401302"</f>
        <v>B20220401302</v>
      </c>
      <c r="C3269" s="2" t="str">
        <f t="shared" ref="C3269:C3275" si="795">"男"</f>
        <v>男</v>
      </c>
      <c r="D3269" s="2" t="str">
        <f t="shared" si="781"/>
        <v>8</v>
      </c>
      <c r="E3269" s="2" t="str">
        <f t="shared" si="794"/>
        <v>电子信息与电气工程学院</v>
      </c>
    </row>
    <row r="3270" ht="13.5" hidden="1" spans="1:5">
      <c r="A3270" s="2" t="str">
        <f>"李欣桐"</f>
        <v>李欣桐</v>
      </c>
      <c r="B3270" s="2" t="str">
        <f>"B20230904224"</f>
        <v>B20230904224</v>
      </c>
      <c r="C3270" s="2" t="str">
        <f t="shared" ref="C3270:C3272" si="796">"女"</f>
        <v>女</v>
      </c>
      <c r="D3270" s="2" t="str">
        <f t="shared" si="781"/>
        <v>8</v>
      </c>
      <c r="E3270" s="2" t="str">
        <f>"经济与管理学院"</f>
        <v>经济与管理学院</v>
      </c>
    </row>
    <row r="3271" ht="13.5" hidden="1" spans="1:5">
      <c r="A3271" s="2" t="str">
        <f>"于杭玉"</f>
        <v>于杭玉</v>
      </c>
      <c r="B3271" s="2" t="str">
        <f>"B20220903216"</f>
        <v>B20220903216</v>
      </c>
      <c r="C3271" s="2" t="str">
        <f t="shared" si="796"/>
        <v>女</v>
      </c>
      <c r="D3271" s="2" t="str">
        <f t="shared" si="781"/>
        <v>8</v>
      </c>
      <c r="E3271" s="2" t="str">
        <f>"经济与管理学院"</f>
        <v>经济与管理学院</v>
      </c>
    </row>
    <row r="3272" ht="13.5" hidden="1" spans="1:5">
      <c r="A3272" s="2" t="str">
        <f>"李梓萱"</f>
        <v>李梓萱</v>
      </c>
      <c r="B3272" s="2" t="str">
        <f>"B20210401209"</f>
        <v>B20210401209</v>
      </c>
      <c r="C3272" s="2" t="str">
        <f t="shared" si="796"/>
        <v>女</v>
      </c>
      <c r="D3272" s="2" t="str">
        <f t="shared" si="781"/>
        <v>8</v>
      </c>
      <c r="E3272" s="2" t="str">
        <f>"电子信息与电气工程学院"</f>
        <v>电子信息与电气工程学院</v>
      </c>
    </row>
    <row r="3273" ht="13.5" hidden="1" spans="1:5">
      <c r="A3273" s="2" t="str">
        <f>"张家珲"</f>
        <v>张家珲</v>
      </c>
      <c r="B3273" s="2" t="str">
        <f>"B20220103234"</f>
        <v>B20220103234</v>
      </c>
      <c r="C3273" s="2" t="str">
        <f t="shared" si="795"/>
        <v>男</v>
      </c>
      <c r="D3273" s="2" t="str">
        <f t="shared" si="781"/>
        <v>8</v>
      </c>
      <c r="E3273" s="2" t="str">
        <f>"土木工程学院"</f>
        <v>土木工程学院</v>
      </c>
    </row>
    <row r="3274" ht="13.5" hidden="1" spans="1:5">
      <c r="A3274" s="2" t="str">
        <f>"伍亿"</f>
        <v>伍亿</v>
      </c>
      <c r="B3274" s="2" t="str">
        <f>"B20200202118"</f>
        <v>B20200202118</v>
      </c>
      <c r="C3274" s="2" t="str">
        <f t="shared" si="795"/>
        <v>男</v>
      </c>
      <c r="D3274" s="2" t="str">
        <f t="shared" si="781"/>
        <v>8</v>
      </c>
      <c r="E3274" s="2" t="str">
        <f>"机电工程学院"</f>
        <v>机电工程学院</v>
      </c>
    </row>
    <row r="3275" ht="13.5" hidden="1" spans="1:5">
      <c r="A3275" s="2" t="str">
        <f>"胡悦"</f>
        <v>胡悦</v>
      </c>
      <c r="B3275" s="2" t="str">
        <f>"B20210101226"</f>
        <v>B20210101226</v>
      </c>
      <c r="C3275" s="2" t="str">
        <f t="shared" si="795"/>
        <v>男</v>
      </c>
      <c r="D3275" s="2" t="str">
        <f t="shared" si="781"/>
        <v>8</v>
      </c>
      <c r="E3275" s="2" t="str">
        <f>"土木工程学院"</f>
        <v>土木工程学院</v>
      </c>
    </row>
    <row r="3276" ht="13.5" hidden="1" spans="1:5">
      <c r="A3276" s="2" t="str">
        <f>"倪清琴"</f>
        <v>倪清琴</v>
      </c>
      <c r="B3276" s="2" t="str">
        <f>"B20220902203"</f>
        <v>B20220902203</v>
      </c>
      <c r="C3276" s="2" t="str">
        <f t="shared" ref="C3276:C3279" si="797">"女"</f>
        <v>女</v>
      </c>
      <c r="D3276" s="2" t="str">
        <f t="shared" si="781"/>
        <v>8</v>
      </c>
      <c r="E3276" s="2" t="str">
        <f t="shared" ref="E3276:E3281" si="798">"经济与管理学院"</f>
        <v>经济与管理学院</v>
      </c>
    </row>
    <row r="3277" customHeight="1" spans="1:5">
      <c r="A3277" s="6" t="str">
        <f>"陈锦"</f>
        <v>陈锦</v>
      </c>
      <c r="B3277" s="6" t="str">
        <f>"B20210304310"</f>
        <v>B20210304310</v>
      </c>
      <c r="C3277" s="6" t="str">
        <f>"男"</f>
        <v>男</v>
      </c>
      <c r="D3277" s="7" t="str">
        <f>"3"</f>
        <v>3</v>
      </c>
      <c r="E3277" s="6" t="str">
        <f>"计算机科学与工程学院"</f>
        <v>计算机科学与工程学院</v>
      </c>
    </row>
    <row r="3278" ht="13.5" hidden="1" spans="1:5">
      <c r="A3278" s="2" t="str">
        <f>"谢浩然"</f>
        <v>谢浩然</v>
      </c>
      <c r="B3278" s="2" t="str">
        <f>"B20230404117"</f>
        <v>B20230404117</v>
      </c>
      <c r="C3278" s="2" t="str">
        <f t="shared" ref="C3278:C3284" si="799">"男"</f>
        <v>男</v>
      </c>
      <c r="D3278" s="2" t="str">
        <f t="shared" si="781"/>
        <v>8</v>
      </c>
      <c r="E3278" s="2" t="str">
        <f>"电子信息与电气工程学院"</f>
        <v>电子信息与电气工程学院</v>
      </c>
    </row>
    <row r="3279" ht="13.5" hidden="1" spans="1:5">
      <c r="A3279" s="2" t="str">
        <f>"李依婷"</f>
        <v>李依婷</v>
      </c>
      <c r="B3279" s="2" t="str">
        <f>"B20210905209"</f>
        <v>B20210905209</v>
      </c>
      <c r="C3279" s="2" t="str">
        <f t="shared" si="797"/>
        <v>女</v>
      </c>
      <c r="D3279" s="2" t="str">
        <f t="shared" si="781"/>
        <v>8</v>
      </c>
      <c r="E3279" s="2" t="str">
        <f t="shared" si="798"/>
        <v>经济与管理学院</v>
      </c>
    </row>
    <row r="3280" ht="13.5" hidden="1" spans="1:5">
      <c r="A3280" s="2" t="str">
        <f>"李琦"</f>
        <v>李琦</v>
      </c>
      <c r="B3280" s="2" t="str">
        <f>"B20220403131"</f>
        <v>B20220403131</v>
      </c>
      <c r="C3280" s="2" t="str">
        <f t="shared" si="799"/>
        <v>男</v>
      </c>
      <c r="D3280" s="2" t="str">
        <f t="shared" si="781"/>
        <v>8</v>
      </c>
      <c r="E3280" s="2" t="str">
        <f>"电子信息与电气工程学院"</f>
        <v>电子信息与电气工程学院</v>
      </c>
    </row>
    <row r="3281" ht="13.5" hidden="1" spans="1:5">
      <c r="A3281" s="2" t="str">
        <f>"邹艺焓"</f>
        <v>邹艺焓</v>
      </c>
      <c r="B3281" s="2" t="str">
        <f>"B20220906224"</f>
        <v>B20220906224</v>
      </c>
      <c r="C3281" s="2" t="str">
        <f t="shared" ref="C3281:C3285" si="800">"女"</f>
        <v>女</v>
      </c>
      <c r="D3281" s="2" t="str">
        <f t="shared" si="781"/>
        <v>8</v>
      </c>
      <c r="E3281" s="2" t="str">
        <f t="shared" si="798"/>
        <v>经济与管理学院</v>
      </c>
    </row>
    <row r="3282" ht="13.5" hidden="1" spans="1:5">
      <c r="A3282" s="2" t="str">
        <f>"杨佳伶"</f>
        <v>杨佳伶</v>
      </c>
      <c r="B3282" s="2" t="str">
        <f>"B20200202230"</f>
        <v>B20200202230</v>
      </c>
      <c r="C3282" s="2" t="str">
        <f t="shared" si="800"/>
        <v>女</v>
      </c>
      <c r="D3282" s="2" t="str">
        <f t="shared" si="781"/>
        <v>8</v>
      </c>
      <c r="E3282" s="2" t="str">
        <f>"机电工程学院"</f>
        <v>机电工程学院</v>
      </c>
    </row>
    <row r="3283" ht="13.5" hidden="1" spans="1:5">
      <c r="A3283" s="2" t="str">
        <f>"杨华"</f>
        <v>杨华</v>
      </c>
      <c r="B3283" s="2" t="str">
        <f>"B20210903110"</f>
        <v>B20210903110</v>
      </c>
      <c r="C3283" s="2" t="str">
        <f t="shared" si="799"/>
        <v>男</v>
      </c>
      <c r="D3283" s="2" t="str">
        <f t="shared" si="781"/>
        <v>8</v>
      </c>
      <c r="E3283" s="2" t="str">
        <f>"经济与管理学院"</f>
        <v>经济与管理学院</v>
      </c>
    </row>
    <row r="3284" ht="13.5" hidden="1" spans="1:5">
      <c r="A3284" s="2" t="str">
        <f>"杜诚毅"</f>
        <v>杜诚毅</v>
      </c>
      <c r="B3284" s="2" t="str">
        <f>"B20210102117"</f>
        <v>B20210102117</v>
      </c>
      <c r="C3284" s="2" t="str">
        <f t="shared" si="799"/>
        <v>男</v>
      </c>
      <c r="D3284" s="2" t="str">
        <f t="shared" si="781"/>
        <v>8</v>
      </c>
      <c r="E3284" s="2" t="str">
        <f>"土木工程学院"</f>
        <v>土木工程学院</v>
      </c>
    </row>
    <row r="3285" ht="13.5" hidden="1" spans="1:5">
      <c r="A3285" s="2" t="str">
        <f>"廖家蕊"</f>
        <v>廖家蕊</v>
      </c>
      <c r="B3285" s="2" t="str">
        <f>"B20230702119"</f>
        <v>B20230702119</v>
      </c>
      <c r="C3285" s="2" t="str">
        <f t="shared" si="800"/>
        <v>女</v>
      </c>
      <c r="D3285" s="2" t="str">
        <f t="shared" si="781"/>
        <v>8</v>
      </c>
      <c r="E3285" s="2" t="str">
        <f>"马栏山新媒体学院"</f>
        <v>马栏山新媒体学院</v>
      </c>
    </row>
    <row r="3286" ht="13.5" hidden="1" spans="1:5">
      <c r="A3286" s="2" t="str">
        <f>"蒋勇"</f>
        <v>蒋勇</v>
      </c>
      <c r="B3286" s="2" t="str">
        <f>"B20221301202"</f>
        <v>B20221301202</v>
      </c>
      <c r="C3286" s="2" t="str">
        <f>"男"</f>
        <v>男</v>
      </c>
      <c r="D3286" s="2" t="str">
        <f t="shared" ref="D3286:D3349" si="801">"8"</f>
        <v>8</v>
      </c>
      <c r="E3286" s="2" t="str">
        <f>"材料与环境工程学院"</f>
        <v>材料与环境工程学院</v>
      </c>
    </row>
    <row r="3287" ht="13.5" hidden="1" spans="1:5">
      <c r="A3287" s="2" t="str">
        <f>"李松燚"</f>
        <v>李松燚</v>
      </c>
      <c r="B3287" s="2" t="str">
        <f>"B20220101414"</f>
        <v>B20220101414</v>
      </c>
      <c r="C3287" s="2" t="str">
        <f>"男"</f>
        <v>男</v>
      </c>
      <c r="D3287" s="2" t="str">
        <f t="shared" si="801"/>
        <v>8</v>
      </c>
      <c r="E3287" s="2" t="str">
        <f>"土木工程学院"</f>
        <v>土木工程学院</v>
      </c>
    </row>
    <row r="3288" ht="13.5" hidden="1" spans="1:5">
      <c r="A3288" s="2" t="str">
        <f>"谢宇轩"</f>
        <v>谢宇轩</v>
      </c>
      <c r="B3288" s="2" t="str">
        <f>"B20220504423"</f>
        <v>B20220504423</v>
      </c>
      <c r="C3288" s="2" t="str">
        <f t="shared" ref="C3288:C3291" si="802">"女"</f>
        <v>女</v>
      </c>
      <c r="D3288" s="2" t="str">
        <f t="shared" si="801"/>
        <v>8</v>
      </c>
      <c r="E3288" s="2" t="str">
        <f>"生物与化学工程学院"</f>
        <v>生物与化学工程学院</v>
      </c>
    </row>
    <row r="3289" ht="13.5" hidden="1" spans="1:5">
      <c r="A3289" s="2" t="str">
        <f>"安皖如"</f>
        <v>安皖如</v>
      </c>
      <c r="B3289" s="2" t="str">
        <f>"B20230704109"</f>
        <v>B20230704109</v>
      </c>
      <c r="C3289" s="2" t="str">
        <f t="shared" si="802"/>
        <v>女</v>
      </c>
      <c r="D3289" s="2" t="str">
        <f t="shared" si="801"/>
        <v>8</v>
      </c>
      <c r="E3289" s="2" t="str">
        <f>"马栏山新媒体学院"</f>
        <v>马栏山新媒体学院</v>
      </c>
    </row>
    <row r="3290" ht="13.5" hidden="1" spans="1:5">
      <c r="A3290" s="2" t="str">
        <f>"苏锦云"</f>
        <v>苏锦云</v>
      </c>
      <c r="B3290" s="2" t="str">
        <f>"B20220901335"</f>
        <v>B20220901335</v>
      </c>
      <c r="C3290" s="2" t="str">
        <f t="shared" si="802"/>
        <v>女</v>
      </c>
      <c r="D3290" s="2" t="str">
        <f t="shared" si="801"/>
        <v>8</v>
      </c>
      <c r="E3290" s="2" t="str">
        <f>"经济与管理学院"</f>
        <v>经济与管理学院</v>
      </c>
    </row>
    <row r="3291" ht="13.5" hidden="1" spans="1:5">
      <c r="A3291" s="2" t="str">
        <f>"马嫣"</f>
        <v>马嫣</v>
      </c>
      <c r="B3291" s="2" t="str">
        <f>"B20230601226"</f>
        <v>B20230601226</v>
      </c>
      <c r="C3291" s="2" t="str">
        <f t="shared" si="802"/>
        <v>女</v>
      </c>
      <c r="D3291" s="2" t="str">
        <f t="shared" si="801"/>
        <v>8</v>
      </c>
      <c r="E3291" s="2" t="str">
        <f>"法学院"</f>
        <v>法学院</v>
      </c>
    </row>
    <row r="3292" ht="13.5" hidden="1" spans="1:5">
      <c r="A3292" s="2" t="str">
        <f>"贺家豪"</f>
        <v>贺家豪</v>
      </c>
      <c r="B3292" s="2" t="str">
        <f>"B20200102105"</f>
        <v>B20200102105</v>
      </c>
      <c r="C3292" s="2" t="str">
        <f t="shared" ref="C3292:C3298" si="803">"男"</f>
        <v>男</v>
      </c>
      <c r="D3292" s="2" t="str">
        <f t="shared" si="801"/>
        <v>8</v>
      </c>
      <c r="E3292" s="2" t="str">
        <f>"土木工程学院"</f>
        <v>土木工程学院</v>
      </c>
    </row>
    <row r="3293" ht="13.5" hidden="1" spans="1:5">
      <c r="A3293" s="2" t="str">
        <f>"张安婷"</f>
        <v>张安婷</v>
      </c>
      <c r="B3293" s="2" t="str">
        <f>"B20220501208"</f>
        <v>B20220501208</v>
      </c>
      <c r="C3293" s="2" t="str">
        <f>"女"</f>
        <v>女</v>
      </c>
      <c r="D3293" s="2" t="str">
        <f t="shared" si="801"/>
        <v>8</v>
      </c>
      <c r="E3293" s="2" t="str">
        <f>"生物与化学工程学院"</f>
        <v>生物与化学工程学院</v>
      </c>
    </row>
    <row r="3294" ht="13.5" hidden="1" spans="1:5">
      <c r="A3294" s="2" t="str">
        <f>"刘柠琪"</f>
        <v>刘柠琪</v>
      </c>
      <c r="B3294" s="2" t="str">
        <f>"B20230901220"</f>
        <v>B20230901220</v>
      </c>
      <c r="C3294" s="2" t="str">
        <f>"女"</f>
        <v>女</v>
      </c>
      <c r="D3294" s="2" t="str">
        <f t="shared" si="801"/>
        <v>8</v>
      </c>
      <c r="E3294" s="2" t="str">
        <f>"经济与管理学院"</f>
        <v>经济与管理学院</v>
      </c>
    </row>
    <row r="3295" ht="13.5" hidden="1" spans="1:5">
      <c r="A3295" s="2" t="str">
        <f>"黄杰"</f>
        <v>黄杰</v>
      </c>
      <c r="B3295" s="2" t="str">
        <f>"B20200503126"</f>
        <v>B20200503126</v>
      </c>
      <c r="C3295" s="2" t="str">
        <f t="shared" si="803"/>
        <v>男</v>
      </c>
      <c r="D3295" s="2" t="str">
        <f t="shared" si="801"/>
        <v>8</v>
      </c>
      <c r="E3295" s="2" t="str">
        <f>"生物与环境工程学院"</f>
        <v>生物与环境工程学院</v>
      </c>
    </row>
    <row r="3296" ht="13.5" hidden="1" spans="1:5">
      <c r="A3296" s="2" t="str">
        <f>"廖哲勤"</f>
        <v>廖哲勤</v>
      </c>
      <c r="B3296" s="2" t="str">
        <f>"B20220803215"</f>
        <v>B20220803215</v>
      </c>
      <c r="C3296" s="2" t="str">
        <f t="shared" si="803"/>
        <v>男</v>
      </c>
      <c r="D3296" s="2" t="str">
        <f t="shared" si="801"/>
        <v>8</v>
      </c>
      <c r="E3296" s="2" t="str">
        <f>"外国语学院"</f>
        <v>外国语学院</v>
      </c>
    </row>
    <row r="3297" ht="13.5" hidden="1" spans="1:5">
      <c r="A3297" s="2" t="str">
        <f>"甘金成"</f>
        <v>甘金成</v>
      </c>
      <c r="B3297" s="2" t="str">
        <f>"B20200202129"</f>
        <v>B20200202129</v>
      </c>
      <c r="C3297" s="2" t="str">
        <f t="shared" si="803"/>
        <v>男</v>
      </c>
      <c r="D3297" s="2" t="str">
        <f t="shared" si="801"/>
        <v>8</v>
      </c>
      <c r="E3297" s="2" t="str">
        <f>"机电工程学院"</f>
        <v>机电工程学院</v>
      </c>
    </row>
    <row r="3298" ht="13.5" hidden="1" spans="1:5">
      <c r="A3298" s="2" t="str">
        <f>"朱天赐"</f>
        <v>朱天赐</v>
      </c>
      <c r="B3298" s="2" t="str">
        <f>"B20200202107"</f>
        <v>B20200202107</v>
      </c>
      <c r="C3298" s="2" t="str">
        <f t="shared" si="803"/>
        <v>男</v>
      </c>
      <c r="D3298" s="2" t="str">
        <f t="shared" si="801"/>
        <v>8</v>
      </c>
      <c r="E3298" s="2" t="str">
        <f>"机电工程学院"</f>
        <v>机电工程学院</v>
      </c>
    </row>
    <row r="3299" ht="13.5" hidden="1" spans="1:5">
      <c r="A3299" s="2" t="str">
        <f>"马兰雅"</f>
        <v>马兰雅</v>
      </c>
      <c r="B3299" s="2" t="str">
        <f>"B20200905215"</f>
        <v>B20200905215</v>
      </c>
      <c r="C3299" s="2" t="str">
        <f t="shared" ref="C3299:C3302" si="804">"女"</f>
        <v>女</v>
      </c>
      <c r="D3299" s="2" t="str">
        <f t="shared" si="801"/>
        <v>8</v>
      </c>
      <c r="E3299" s="2" t="str">
        <f>"经济与管理学院"</f>
        <v>经济与管理学院</v>
      </c>
    </row>
    <row r="3300" ht="13.5" hidden="1" spans="1:5">
      <c r="A3300" s="2" t="str">
        <f>"王可心"</f>
        <v>王可心</v>
      </c>
      <c r="B3300" s="2" t="str">
        <f>"B20200704208"</f>
        <v>B20200704208</v>
      </c>
      <c r="C3300" s="2" t="str">
        <f t="shared" si="804"/>
        <v>女</v>
      </c>
      <c r="D3300" s="2" t="str">
        <f t="shared" si="801"/>
        <v>8</v>
      </c>
      <c r="E3300" s="2" t="str">
        <f>"马栏山新媒体学院"</f>
        <v>马栏山新媒体学院</v>
      </c>
    </row>
    <row r="3301" ht="13.5" hidden="1" spans="1:5">
      <c r="A3301" s="2" t="str">
        <f>"钟浩"</f>
        <v>钟浩</v>
      </c>
      <c r="B3301" s="2" t="str">
        <f>"B20210402202"</f>
        <v>B20210402202</v>
      </c>
      <c r="C3301" s="2" t="str">
        <f t="shared" ref="C3301:C3305" si="805">"男"</f>
        <v>男</v>
      </c>
      <c r="D3301" s="2" t="str">
        <f t="shared" si="801"/>
        <v>8</v>
      </c>
      <c r="E3301" s="2" t="str">
        <f>"电子信息与电气工程学院"</f>
        <v>电子信息与电气工程学院</v>
      </c>
    </row>
    <row r="3302" ht="13.5" hidden="1" spans="1:5">
      <c r="A3302" s="2" t="str">
        <f>"高海艳"</f>
        <v>高海艳</v>
      </c>
      <c r="B3302" s="2" t="str">
        <f>"B20220701431"</f>
        <v>B20220701431</v>
      </c>
      <c r="C3302" s="2" t="str">
        <f t="shared" si="804"/>
        <v>女</v>
      </c>
      <c r="D3302" s="2" t="str">
        <f t="shared" si="801"/>
        <v>8</v>
      </c>
      <c r="E3302" s="2" t="str">
        <f>"马栏山新媒体学院"</f>
        <v>马栏山新媒体学院</v>
      </c>
    </row>
    <row r="3303" ht="13.5" hidden="1" spans="1:5">
      <c r="A3303" s="2" t="str">
        <f>"雷鑫吉"</f>
        <v>雷鑫吉</v>
      </c>
      <c r="B3303" s="2" t="str">
        <f>"B20230404218"</f>
        <v>B20230404218</v>
      </c>
      <c r="C3303" s="2" t="str">
        <f t="shared" si="805"/>
        <v>男</v>
      </c>
      <c r="D3303" s="2" t="str">
        <f t="shared" si="801"/>
        <v>8</v>
      </c>
      <c r="E3303" s="2" t="str">
        <f>"电子信息与电气工程学院"</f>
        <v>电子信息与电气工程学院</v>
      </c>
    </row>
    <row r="3304" ht="13.5" hidden="1" spans="1:5">
      <c r="A3304" s="2" t="str">
        <f>"夏瑶"</f>
        <v>夏瑶</v>
      </c>
      <c r="B3304" s="2" t="str">
        <f>"B20220801511"</f>
        <v>B20220801511</v>
      </c>
      <c r="C3304" s="2" t="str">
        <f t="shared" ref="C3304:C3307" si="806">"女"</f>
        <v>女</v>
      </c>
      <c r="D3304" s="2" t="str">
        <f t="shared" si="801"/>
        <v>8</v>
      </c>
      <c r="E3304" s="2" t="str">
        <f>"外国语学院"</f>
        <v>外国语学院</v>
      </c>
    </row>
    <row r="3305" ht="13.5" hidden="1" spans="1:5">
      <c r="A3305" s="2" t="str">
        <f>"黄浩"</f>
        <v>黄浩</v>
      </c>
      <c r="B3305" s="2" t="str">
        <f>"B20221302328"</f>
        <v>B20221302328</v>
      </c>
      <c r="C3305" s="2" t="str">
        <f t="shared" si="805"/>
        <v>男</v>
      </c>
      <c r="D3305" s="2" t="str">
        <f t="shared" si="801"/>
        <v>8</v>
      </c>
      <c r="E3305" s="2" t="str">
        <f>"材料与环境工程学院"</f>
        <v>材料与环境工程学院</v>
      </c>
    </row>
    <row r="3306" ht="13.5" hidden="1" spans="1:5">
      <c r="A3306" s="2" t="str">
        <f>"吉思盈"</f>
        <v>吉思盈</v>
      </c>
      <c r="B3306" s="2" t="str">
        <f>"B20211003103"</f>
        <v>B20211003103</v>
      </c>
      <c r="C3306" s="2" t="str">
        <f t="shared" si="806"/>
        <v>女</v>
      </c>
      <c r="D3306" s="2" t="str">
        <f t="shared" si="801"/>
        <v>8</v>
      </c>
      <c r="E3306" s="2" t="str">
        <f>"艺术设计学院"</f>
        <v>艺术设计学院</v>
      </c>
    </row>
    <row r="3307" ht="13.5" hidden="1" spans="1:5">
      <c r="A3307" s="2" t="str">
        <f>"李茜"</f>
        <v>李茜</v>
      </c>
      <c r="B3307" s="2" t="str">
        <f>"B20210801509"</f>
        <v>B20210801509</v>
      </c>
      <c r="C3307" s="2" t="str">
        <f t="shared" si="806"/>
        <v>女</v>
      </c>
      <c r="D3307" s="2" t="str">
        <f t="shared" si="801"/>
        <v>8</v>
      </c>
      <c r="E3307" s="2" t="str">
        <f>"外国语学院"</f>
        <v>外国语学院</v>
      </c>
    </row>
    <row r="3308" ht="13.5" hidden="1" spans="1:5">
      <c r="A3308" s="2" t="str">
        <f>"徐博"</f>
        <v>徐博</v>
      </c>
      <c r="B3308" s="2" t="str">
        <f>"B20231302223"</f>
        <v>B20231302223</v>
      </c>
      <c r="C3308" s="2" t="str">
        <f>"男"</f>
        <v>男</v>
      </c>
      <c r="D3308" s="2" t="str">
        <f t="shared" si="801"/>
        <v>8</v>
      </c>
      <c r="E3308" s="2" t="str">
        <f>"材料与环境工程学院"</f>
        <v>材料与环境工程学院</v>
      </c>
    </row>
    <row r="3309" ht="13.5" hidden="1" spans="1:5">
      <c r="A3309" s="2" t="str">
        <f>"李晶晶"</f>
        <v>李晶晶</v>
      </c>
      <c r="B3309" s="2" t="str">
        <f>"B20230904135"</f>
        <v>B20230904135</v>
      </c>
      <c r="C3309" s="2" t="str">
        <f t="shared" ref="C3309:C3315" si="807">"女"</f>
        <v>女</v>
      </c>
      <c r="D3309" s="2" t="str">
        <f t="shared" si="801"/>
        <v>8</v>
      </c>
      <c r="E3309" s="2" t="str">
        <f t="shared" ref="E3309:E3312" si="808">"经济与管理学院"</f>
        <v>经济与管理学院</v>
      </c>
    </row>
    <row r="3310" ht="13.5" hidden="1" spans="1:5">
      <c r="A3310" s="2" t="str">
        <f>"卢和超"</f>
        <v>卢和超</v>
      </c>
      <c r="B3310" s="2" t="str">
        <f>"B20230901138"</f>
        <v>B20230901138</v>
      </c>
      <c r="C3310" s="2" t="str">
        <f>"男"</f>
        <v>男</v>
      </c>
      <c r="D3310" s="2" t="str">
        <f t="shared" si="801"/>
        <v>8</v>
      </c>
      <c r="E3310" s="2" t="str">
        <f t="shared" si="808"/>
        <v>经济与管理学院</v>
      </c>
    </row>
    <row r="3311" ht="13.5" hidden="1" spans="1:5">
      <c r="A3311" s="2" t="str">
        <f>"胡蓉"</f>
        <v>胡蓉</v>
      </c>
      <c r="B3311" s="2" t="str">
        <f>"B20210902410"</f>
        <v>B20210902410</v>
      </c>
      <c r="C3311" s="2" t="str">
        <f t="shared" si="807"/>
        <v>女</v>
      </c>
      <c r="D3311" s="2" t="str">
        <f t="shared" si="801"/>
        <v>8</v>
      </c>
      <c r="E3311" s="2" t="str">
        <f t="shared" si="808"/>
        <v>经济与管理学院</v>
      </c>
    </row>
    <row r="3312" ht="13.5" hidden="1" spans="1:5">
      <c r="A3312" s="2" t="str">
        <f>"邓烨"</f>
        <v>邓烨</v>
      </c>
      <c r="B3312" s="2" t="str">
        <f>"B20210905213"</f>
        <v>B20210905213</v>
      </c>
      <c r="C3312" s="2" t="str">
        <f t="shared" si="807"/>
        <v>女</v>
      </c>
      <c r="D3312" s="2" t="str">
        <f t="shared" si="801"/>
        <v>8</v>
      </c>
      <c r="E3312" s="2" t="str">
        <f t="shared" si="808"/>
        <v>经济与管理学院</v>
      </c>
    </row>
    <row r="3313" ht="13.5" hidden="1" spans="1:5">
      <c r="A3313" s="2" t="str">
        <f>"周彤"</f>
        <v>周彤</v>
      </c>
      <c r="B3313" s="2" t="str">
        <f>"B20220502230"</f>
        <v>B20220502230</v>
      </c>
      <c r="C3313" s="2" t="str">
        <f t="shared" si="807"/>
        <v>女</v>
      </c>
      <c r="D3313" s="2" t="str">
        <f t="shared" si="801"/>
        <v>8</v>
      </c>
      <c r="E3313" s="2" t="str">
        <f>"生物与化学工程学院"</f>
        <v>生物与化学工程学院</v>
      </c>
    </row>
    <row r="3314" ht="13.5" hidden="1" spans="1:5">
      <c r="A3314" s="2" t="str">
        <f>"赵秋媛"</f>
        <v>赵秋媛</v>
      </c>
      <c r="B3314" s="2" t="str">
        <f>"B20220801122"</f>
        <v>B20220801122</v>
      </c>
      <c r="C3314" s="2" t="str">
        <f t="shared" si="807"/>
        <v>女</v>
      </c>
      <c r="D3314" s="2" t="str">
        <f t="shared" si="801"/>
        <v>8</v>
      </c>
      <c r="E3314" s="2" t="str">
        <f>"外国语学院"</f>
        <v>外国语学院</v>
      </c>
    </row>
    <row r="3315" ht="13.5" hidden="1" spans="1:5">
      <c r="A3315" s="2" t="str">
        <f>"冯怡然"</f>
        <v>冯怡然</v>
      </c>
      <c r="B3315" s="2" t="str">
        <f>"B20220701303"</f>
        <v>B20220701303</v>
      </c>
      <c r="C3315" s="2" t="str">
        <f t="shared" si="807"/>
        <v>女</v>
      </c>
      <c r="D3315" s="2" t="str">
        <f t="shared" si="801"/>
        <v>8</v>
      </c>
      <c r="E3315" s="2" t="str">
        <f>"马栏山新媒体学院"</f>
        <v>马栏山新媒体学院</v>
      </c>
    </row>
    <row r="3316" ht="13.5" hidden="1" spans="1:5">
      <c r="A3316" s="2" t="str">
        <f>"周宸逸"</f>
        <v>周宸逸</v>
      </c>
      <c r="B3316" s="2" t="str">
        <f>"B20230103112"</f>
        <v>B20230103112</v>
      </c>
      <c r="C3316" s="2" t="str">
        <f t="shared" ref="C3316:C3320" si="809">"男"</f>
        <v>男</v>
      </c>
      <c r="D3316" s="2" t="str">
        <f t="shared" si="801"/>
        <v>8</v>
      </c>
      <c r="E3316" s="2" t="str">
        <f>"土木工程学院"</f>
        <v>土木工程学院</v>
      </c>
    </row>
    <row r="3317" ht="13.5" hidden="1" spans="1:5">
      <c r="A3317" s="2" t="str">
        <f>"罗航政"</f>
        <v>罗航政</v>
      </c>
      <c r="B3317" s="2" t="str">
        <f>"B20200401205"</f>
        <v>B20200401205</v>
      </c>
      <c r="C3317" s="2" t="str">
        <f t="shared" si="809"/>
        <v>男</v>
      </c>
      <c r="D3317" s="2" t="str">
        <f t="shared" si="801"/>
        <v>8</v>
      </c>
      <c r="E3317" s="2" t="str">
        <f>"电子信息与电气工程学院"</f>
        <v>电子信息与电气工程学院</v>
      </c>
    </row>
    <row r="3318" ht="13.5" hidden="1" spans="1:5">
      <c r="A3318" s="2" t="str">
        <f>"郭梦鑫"</f>
        <v>郭梦鑫</v>
      </c>
      <c r="B3318" s="2" t="str">
        <f>"B20220101511"</f>
        <v>B20220101511</v>
      </c>
      <c r="C3318" s="2" t="str">
        <f t="shared" ref="C3318:C3321" si="810">"女"</f>
        <v>女</v>
      </c>
      <c r="D3318" s="2" t="str">
        <f t="shared" si="801"/>
        <v>8</v>
      </c>
      <c r="E3318" s="2" t="str">
        <f>"土木工程学院"</f>
        <v>土木工程学院</v>
      </c>
    </row>
    <row r="3319" ht="13.5" hidden="1" spans="1:5">
      <c r="A3319" s="2" t="str">
        <f>"陶文妮"</f>
        <v>陶文妮</v>
      </c>
      <c r="B3319" s="2" t="str">
        <f>"B20210601330"</f>
        <v>B20210601330</v>
      </c>
      <c r="C3319" s="2" t="str">
        <f t="shared" si="810"/>
        <v>女</v>
      </c>
      <c r="D3319" s="2" t="str">
        <f t="shared" si="801"/>
        <v>8</v>
      </c>
      <c r="E3319" s="2" t="str">
        <f>"法学院"</f>
        <v>法学院</v>
      </c>
    </row>
    <row r="3320" ht="13.5" hidden="1" spans="1:5">
      <c r="A3320" s="2" t="str">
        <f>"方琪浩"</f>
        <v>方琪浩</v>
      </c>
      <c r="B3320" s="2" t="str">
        <f>"B20221301106"</f>
        <v>B20221301106</v>
      </c>
      <c r="C3320" s="2" t="str">
        <f t="shared" si="809"/>
        <v>男</v>
      </c>
      <c r="D3320" s="2" t="str">
        <f t="shared" si="801"/>
        <v>8</v>
      </c>
      <c r="E3320" s="2" t="str">
        <f>"材料与环境工程学院"</f>
        <v>材料与环境工程学院</v>
      </c>
    </row>
    <row r="3321" ht="13.5" hidden="1" spans="1:5">
      <c r="A3321" s="2" t="str">
        <f>"张丽佳"</f>
        <v>张丽佳</v>
      </c>
      <c r="B3321" s="2" t="str">
        <f>"B20230801225"</f>
        <v>B20230801225</v>
      </c>
      <c r="C3321" s="2" t="str">
        <f t="shared" si="810"/>
        <v>女</v>
      </c>
      <c r="D3321" s="2" t="str">
        <f t="shared" si="801"/>
        <v>8</v>
      </c>
      <c r="E3321" s="2" t="str">
        <f>"外国语学院"</f>
        <v>外国语学院</v>
      </c>
    </row>
    <row r="3322" ht="13.5" hidden="1" spans="1:5">
      <c r="A3322" s="2" t="str">
        <f>"向金秋"</f>
        <v>向金秋</v>
      </c>
      <c r="B3322" s="2" t="str">
        <f>"B20220801129"</f>
        <v>B20220801129</v>
      </c>
      <c r="C3322" s="2" t="str">
        <f t="shared" ref="C3322:C3328" si="811">"男"</f>
        <v>男</v>
      </c>
      <c r="D3322" s="2" t="str">
        <f t="shared" si="801"/>
        <v>8</v>
      </c>
      <c r="E3322" s="2" t="str">
        <f>"外国语学院"</f>
        <v>外国语学院</v>
      </c>
    </row>
    <row r="3323" ht="13.5" hidden="1" spans="1:5">
      <c r="A3323" s="2" t="str">
        <f>"阳楚月"</f>
        <v>阳楚月</v>
      </c>
      <c r="B3323" s="2" t="str">
        <f>"B20220902123"</f>
        <v>B20220902123</v>
      </c>
      <c r="C3323" s="2" t="str">
        <f t="shared" ref="C3323:C3325" si="812">"女"</f>
        <v>女</v>
      </c>
      <c r="D3323" s="2" t="str">
        <f t="shared" si="801"/>
        <v>8</v>
      </c>
      <c r="E3323" s="2" t="str">
        <f t="shared" ref="E3323:E3325" si="813">"经济与管理学院"</f>
        <v>经济与管理学院</v>
      </c>
    </row>
    <row r="3324" ht="13.5" hidden="1" spans="1:5">
      <c r="A3324" s="2" t="str">
        <f>"廖昕婷"</f>
        <v>廖昕婷</v>
      </c>
      <c r="B3324" s="2" t="str">
        <f>"B20210906244"</f>
        <v>B20210906244</v>
      </c>
      <c r="C3324" s="2" t="str">
        <f t="shared" si="812"/>
        <v>女</v>
      </c>
      <c r="D3324" s="2" t="str">
        <f t="shared" si="801"/>
        <v>8</v>
      </c>
      <c r="E3324" s="2" t="str">
        <f t="shared" si="813"/>
        <v>经济与管理学院</v>
      </c>
    </row>
    <row r="3325" ht="13.5" hidden="1" spans="1:5">
      <c r="A3325" s="2" t="str">
        <f>"蔡文文"</f>
        <v>蔡文文</v>
      </c>
      <c r="B3325" s="2" t="str">
        <f>"B20230904313"</f>
        <v>B20230904313</v>
      </c>
      <c r="C3325" s="2" t="str">
        <f t="shared" si="812"/>
        <v>女</v>
      </c>
      <c r="D3325" s="2" t="str">
        <f t="shared" si="801"/>
        <v>8</v>
      </c>
      <c r="E3325" s="2" t="str">
        <f t="shared" si="813"/>
        <v>经济与管理学院</v>
      </c>
    </row>
    <row r="3326" ht="13.5" hidden="1" spans="1:5">
      <c r="A3326" s="2" t="str">
        <f>"彭彬"</f>
        <v>彭彬</v>
      </c>
      <c r="B3326" s="2" t="str">
        <f>"B20230601123"</f>
        <v>B20230601123</v>
      </c>
      <c r="C3326" s="2" t="str">
        <f t="shared" si="811"/>
        <v>男</v>
      </c>
      <c r="D3326" s="2" t="str">
        <f t="shared" si="801"/>
        <v>8</v>
      </c>
      <c r="E3326" s="2" t="str">
        <f>"法学院"</f>
        <v>法学院</v>
      </c>
    </row>
    <row r="3327" customHeight="1" spans="1:5">
      <c r="A3327" s="6" t="str">
        <f>"何鹏淋"</f>
        <v>何鹏淋</v>
      </c>
      <c r="B3327" s="6" t="str">
        <f>"B20210304315"</f>
        <v>B20210304315</v>
      </c>
      <c r="C3327" s="6" t="str">
        <f t="shared" si="811"/>
        <v>男</v>
      </c>
      <c r="D3327" s="7" t="str">
        <f>"2"</f>
        <v>2</v>
      </c>
      <c r="E3327" s="6" t="str">
        <f>"计算机科学与工程学院"</f>
        <v>计算机科学与工程学院</v>
      </c>
    </row>
    <row r="3328" ht="13.5" hidden="1" spans="1:5">
      <c r="A3328" s="2" t="str">
        <f>"宋天铖"</f>
        <v>宋天铖</v>
      </c>
      <c r="B3328" s="2" t="str">
        <f>"B20221101302"</f>
        <v>B20221101302</v>
      </c>
      <c r="C3328" s="2" t="str">
        <f t="shared" si="811"/>
        <v>男</v>
      </c>
      <c r="D3328" s="2" t="str">
        <f t="shared" si="801"/>
        <v>8</v>
      </c>
      <c r="E3328" s="2" t="str">
        <f>"音乐学院"</f>
        <v>音乐学院</v>
      </c>
    </row>
    <row r="3329" ht="13.5" hidden="1" spans="1:5">
      <c r="A3329" s="2" t="str">
        <f>"鲜阳"</f>
        <v>鲜阳</v>
      </c>
      <c r="B3329" s="2" t="str">
        <f>"B20230704123"</f>
        <v>B20230704123</v>
      </c>
      <c r="C3329" s="2" t="str">
        <f t="shared" ref="C3329:C3332" si="814">"女"</f>
        <v>女</v>
      </c>
      <c r="D3329" s="2" t="str">
        <f t="shared" si="801"/>
        <v>8</v>
      </c>
      <c r="E3329" s="2" t="str">
        <f>"马栏山新媒体学院"</f>
        <v>马栏山新媒体学院</v>
      </c>
    </row>
    <row r="3330" ht="13.5" hidden="1" spans="1:5">
      <c r="A3330" s="2" t="str">
        <f>"朱珂瑜"</f>
        <v>朱珂瑜</v>
      </c>
      <c r="B3330" s="2" t="str">
        <f>"B20220801217"</f>
        <v>B20220801217</v>
      </c>
      <c r="C3330" s="2" t="str">
        <f t="shared" si="814"/>
        <v>女</v>
      </c>
      <c r="D3330" s="2" t="str">
        <f t="shared" si="801"/>
        <v>8</v>
      </c>
      <c r="E3330" s="2" t="str">
        <f>"外国语学院"</f>
        <v>外国语学院</v>
      </c>
    </row>
    <row r="3331" ht="13.5" hidden="1" spans="1:5">
      <c r="A3331" s="2" t="str">
        <f>"马诗瑜"</f>
        <v>马诗瑜</v>
      </c>
      <c r="B3331" s="2" t="str">
        <f>"B20221001218"</f>
        <v>B20221001218</v>
      </c>
      <c r="C3331" s="2" t="str">
        <f t="shared" si="814"/>
        <v>女</v>
      </c>
      <c r="D3331" s="2" t="str">
        <f t="shared" si="801"/>
        <v>8</v>
      </c>
      <c r="E3331" s="2" t="str">
        <f>"艺术设计学院"</f>
        <v>艺术设计学院</v>
      </c>
    </row>
    <row r="3332" ht="13.5" hidden="1" spans="1:5">
      <c r="A3332" s="2" t="str">
        <f>"陈浩淼"</f>
        <v>陈浩淼</v>
      </c>
      <c r="B3332" s="2" t="str">
        <f>"B20230104116"</f>
        <v>B20230104116</v>
      </c>
      <c r="C3332" s="2" t="str">
        <f t="shared" si="814"/>
        <v>女</v>
      </c>
      <c r="D3332" s="2" t="str">
        <f t="shared" si="801"/>
        <v>8</v>
      </c>
      <c r="E3332" s="2" t="str">
        <f>"土木工程学院"</f>
        <v>土木工程学院</v>
      </c>
    </row>
    <row r="3333" ht="13.5" hidden="1" spans="1:5">
      <c r="A3333" s="2" t="str">
        <f>"杨俊"</f>
        <v>杨俊</v>
      </c>
      <c r="B3333" s="2" t="str">
        <f>"B20210401316"</f>
        <v>B20210401316</v>
      </c>
      <c r="C3333" s="2" t="str">
        <f>"男"</f>
        <v>男</v>
      </c>
      <c r="D3333" s="2" t="str">
        <f t="shared" si="801"/>
        <v>8</v>
      </c>
      <c r="E3333" s="2" t="str">
        <f>"电子信息与电气工程学院"</f>
        <v>电子信息与电气工程学院</v>
      </c>
    </row>
    <row r="3334" ht="13.5" hidden="1" spans="1:5">
      <c r="A3334" s="2" t="str">
        <f>"杨添乐"</f>
        <v>杨添乐</v>
      </c>
      <c r="B3334" s="2" t="str">
        <f>"B20230205109"</f>
        <v>B20230205109</v>
      </c>
      <c r="C3334" s="2" t="str">
        <f t="shared" ref="C3334:C3336" si="815">"女"</f>
        <v>女</v>
      </c>
      <c r="D3334" s="2" t="str">
        <f t="shared" si="801"/>
        <v>8</v>
      </c>
      <c r="E3334" s="2" t="str">
        <f>"机电工程学院"</f>
        <v>机电工程学院</v>
      </c>
    </row>
    <row r="3335" ht="13.5" hidden="1" spans="1:5">
      <c r="A3335" s="2" t="str">
        <f>"刘涵"</f>
        <v>刘涵</v>
      </c>
      <c r="B3335" s="2" t="str">
        <f>"B20230905133"</f>
        <v>B20230905133</v>
      </c>
      <c r="C3335" s="2" t="str">
        <f t="shared" si="815"/>
        <v>女</v>
      </c>
      <c r="D3335" s="2" t="str">
        <f t="shared" si="801"/>
        <v>8</v>
      </c>
      <c r="E3335" s="2" t="str">
        <f>"经济与管理学院"</f>
        <v>经济与管理学院</v>
      </c>
    </row>
    <row r="3336" ht="13.5" hidden="1" spans="1:5">
      <c r="A3336" s="2" t="str">
        <f>"隆艳"</f>
        <v>隆艳</v>
      </c>
      <c r="B3336" s="2" t="str">
        <f>"B20230103205"</f>
        <v>B20230103205</v>
      </c>
      <c r="C3336" s="2" t="str">
        <f t="shared" si="815"/>
        <v>女</v>
      </c>
      <c r="D3336" s="2" t="str">
        <f t="shared" si="801"/>
        <v>8</v>
      </c>
      <c r="E3336" s="2" t="str">
        <f>"土木工程学院"</f>
        <v>土木工程学院</v>
      </c>
    </row>
    <row r="3337" ht="13.5" hidden="1" spans="1:5">
      <c r="A3337" s="2" t="str">
        <f>"耿健杰"</f>
        <v>耿健杰</v>
      </c>
      <c r="B3337" s="2" t="str">
        <f>"B20220504433"</f>
        <v>B20220504433</v>
      </c>
      <c r="C3337" s="2" t="str">
        <f t="shared" ref="C3337:C3345" si="816">"男"</f>
        <v>男</v>
      </c>
      <c r="D3337" s="2" t="str">
        <f t="shared" si="801"/>
        <v>8</v>
      </c>
      <c r="E3337" s="2" t="str">
        <f>"生物与化学工程学院"</f>
        <v>生物与化学工程学院</v>
      </c>
    </row>
    <row r="3338" ht="13.5" hidden="1" spans="1:5">
      <c r="A3338" s="2" t="str">
        <f>"林静"</f>
        <v>林静</v>
      </c>
      <c r="B3338" s="2" t="str">
        <f>"B20230802133"</f>
        <v>B20230802133</v>
      </c>
      <c r="C3338" s="2" t="str">
        <f>"女"</f>
        <v>女</v>
      </c>
      <c r="D3338" s="2" t="str">
        <f t="shared" si="801"/>
        <v>8</v>
      </c>
      <c r="E3338" s="2" t="str">
        <f>"外国语学院"</f>
        <v>外国语学院</v>
      </c>
    </row>
    <row r="3339" customHeight="1" spans="1:5">
      <c r="A3339" s="6" t="str">
        <f>"费燕"</f>
        <v>费燕</v>
      </c>
      <c r="B3339" s="6" t="str">
        <f>"B20210304317"</f>
        <v>B20210304317</v>
      </c>
      <c r="C3339" s="6" t="str">
        <f>"女"</f>
        <v>女</v>
      </c>
      <c r="D3339" s="7" t="str">
        <f>"10"</f>
        <v>10</v>
      </c>
      <c r="E3339" s="6" t="str">
        <f>"计算机科学与工程学院"</f>
        <v>计算机科学与工程学院</v>
      </c>
    </row>
    <row r="3340" ht="13.5" hidden="1" spans="1:5">
      <c r="A3340" s="2" t="str">
        <f>"吴馨敏"</f>
        <v>吴馨敏</v>
      </c>
      <c r="B3340" s="2" t="str">
        <f>"B20230201207"</f>
        <v>B20230201207</v>
      </c>
      <c r="C3340" s="2" t="str">
        <f>"女"</f>
        <v>女</v>
      </c>
      <c r="D3340" s="2" t="str">
        <f t="shared" si="801"/>
        <v>8</v>
      </c>
      <c r="E3340" s="2" t="str">
        <f t="shared" ref="E3340:E3343" si="817">"机电工程学院"</f>
        <v>机电工程学院</v>
      </c>
    </row>
    <row r="3341" ht="13.5" hidden="1" spans="1:5">
      <c r="A3341" s="2" t="str">
        <f>"罗轶升"</f>
        <v>罗轶升</v>
      </c>
      <c r="B3341" s="2" t="str">
        <f>"B20200202203"</f>
        <v>B20200202203</v>
      </c>
      <c r="C3341" s="2" t="str">
        <f t="shared" si="816"/>
        <v>男</v>
      </c>
      <c r="D3341" s="2" t="str">
        <f t="shared" si="801"/>
        <v>8</v>
      </c>
      <c r="E3341" s="2" t="str">
        <f t="shared" si="817"/>
        <v>机电工程学院</v>
      </c>
    </row>
    <row r="3342" customHeight="1" spans="1:5">
      <c r="A3342" s="6" t="str">
        <f>"张行杰"</f>
        <v>张行杰</v>
      </c>
      <c r="B3342" s="6" t="str">
        <f>"B20210304322"</f>
        <v>B20210304322</v>
      </c>
      <c r="C3342" s="6" t="str">
        <f t="shared" si="816"/>
        <v>男</v>
      </c>
      <c r="D3342" s="7" t="str">
        <f>"11"</f>
        <v>11</v>
      </c>
      <c r="E3342" s="6" t="str">
        <f>"计算机科学与工程学院"</f>
        <v>计算机科学与工程学院</v>
      </c>
    </row>
    <row r="3343" ht="13.5" hidden="1" spans="1:5">
      <c r="A3343" s="2" t="str">
        <f>"曾超"</f>
        <v>曾超</v>
      </c>
      <c r="B3343" s="2" t="str">
        <f>"B20200204219"</f>
        <v>B20200204219</v>
      </c>
      <c r="C3343" s="2" t="str">
        <f t="shared" si="816"/>
        <v>男</v>
      </c>
      <c r="D3343" s="2" t="str">
        <f t="shared" si="801"/>
        <v>8</v>
      </c>
      <c r="E3343" s="2" t="str">
        <f t="shared" si="817"/>
        <v>机电工程学院</v>
      </c>
    </row>
    <row r="3344" ht="13.5" hidden="1" spans="1:5">
      <c r="A3344" s="2" t="str">
        <f>"段洪瑞"</f>
        <v>段洪瑞</v>
      </c>
      <c r="B3344" s="2" t="str">
        <f>"B20200401406"</f>
        <v>B20200401406</v>
      </c>
      <c r="C3344" s="2" t="str">
        <f t="shared" si="816"/>
        <v>男</v>
      </c>
      <c r="D3344" s="2" t="str">
        <f t="shared" si="801"/>
        <v>8</v>
      </c>
      <c r="E3344" s="2" t="str">
        <f>"电子信息与电气工程学院"</f>
        <v>电子信息与电气工程学院</v>
      </c>
    </row>
    <row r="3345" ht="13.5" hidden="1" spans="1:5">
      <c r="A3345" s="2" t="str">
        <f>"李自豪"</f>
        <v>李自豪</v>
      </c>
      <c r="B3345" s="2" t="str">
        <f>"B20230501236"</f>
        <v>B20230501236</v>
      </c>
      <c r="C3345" s="2" t="str">
        <f t="shared" si="816"/>
        <v>男</v>
      </c>
      <c r="D3345" s="2" t="str">
        <f t="shared" si="801"/>
        <v>8</v>
      </c>
      <c r="E3345" s="2" t="str">
        <f>"生物与化学工程学院"</f>
        <v>生物与化学工程学院</v>
      </c>
    </row>
    <row r="3346" ht="13.5" hidden="1" spans="1:5">
      <c r="A3346" s="2" t="str">
        <f>"罗雨芊"</f>
        <v>罗雨芊</v>
      </c>
      <c r="B3346" s="2" t="str">
        <f>"B20230701115"</f>
        <v>B20230701115</v>
      </c>
      <c r="C3346" s="2" t="str">
        <f t="shared" ref="C3346:C3348" si="818">"女"</f>
        <v>女</v>
      </c>
      <c r="D3346" s="2" t="str">
        <f t="shared" si="801"/>
        <v>8</v>
      </c>
      <c r="E3346" s="2" t="str">
        <f>"马栏山新媒体学院"</f>
        <v>马栏山新媒体学院</v>
      </c>
    </row>
    <row r="3347" customHeight="1" spans="1:5">
      <c r="A3347" s="6" t="str">
        <f>"郭丙尧"</f>
        <v>郭丙尧</v>
      </c>
      <c r="B3347" s="6" t="str">
        <f>"B20210304327"</f>
        <v>B20210304327</v>
      </c>
      <c r="C3347" s="6" t="str">
        <f>"男"</f>
        <v>男</v>
      </c>
      <c r="D3347" s="7" t="str">
        <f>"6"</f>
        <v>6</v>
      </c>
      <c r="E3347" s="6" t="str">
        <f>"计算机科学与工程学院"</f>
        <v>计算机科学与工程学院</v>
      </c>
    </row>
    <row r="3348" ht="13.5" hidden="1" spans="1:5">
      <c r="A3348" s="2" t="str">
        <f>"李小青"</f>
        <v>李小青</v>
      </c>
      <c r="B3348" s="2" t="str">
        <f>"B20210903123"</f>
        <v>B20210903123</v>
      </c>
      <c r="C3348" s="2" t="str">
        <f t="shared" si="818"/>
        <v>女</v>
      </c>
      <c r="D3348" s="2" t="str">
        <f t="shared" si="801"/>
        <v>8</v>
      </c>
      <c r="E3348" s="2" t="str">
        <f>"经济与管理学院"</f>
        <v>经济与管理学院</v>
      </c>
    </row>
    <row r="3349" ht="13.5" hidden="1" spans="1:5">
      <c r="A3349" s="2" t="str">
        <f>"蒋旭"</f>
        <v>蒋旭</v>
      </c>
      <c r="B3349" s="2" t="str">
        <f>"B20220502204"</f>
        <v>B20220502204</v>
      </c>
      <c r="C3349" s="2" t="str">
        <f t="shared" ref="C3349:C3352" si="819">"男"</f>
        <v>男</v>
      </c>
      <c r="D3349" s="2" t="str">
        <f t="shared" si="801"/>
        <v>8</v>
      </c>
      <c r="E3349" s="2" t="str">
        <f>"生物与化学工程学院"</f>
        <v>生物与化学工程学院</v>
      </c>
    </row>
    <row r="3350" ht="13.5" hidden="1" spans="1:5">
      <c r="A3350" s="2" t="str">
        <f>"向思思"</f>
        <v>向思思</v>
      </c>
      <c r="B3350" s="2" t="str">
        <f>"B20220701313"</f>
        <v>B20220701313</v>
      </c>
      <c r="C3350" s="2" t="str">
        <f>"女"</f>
        <v>女</v>
      </c>
      <c r="D3350" s="2" t="str">
        <f t="shared" ref="D3350:D3406" si="820">"8"</f>
        <v>8</v>
      </c>
      <c r="E3350" s="2" t="str">
        <f>"马栏山新媒体学院"</f>
        <v>马栏山新媒体学院</v>
      </c>
    </row>
    <row r="3351" ht="13.5" hidden="1" spans="1:5">
      <c r="A3351" s="2" t="str">
        <f>"谭博"</f>
        <v>谭博</v>
      </c>
      <c r="B3351" s="2" t="str">
        <f>"B20230901329"</f>
        <v>B20230901329</v>
      </c>
      <c r="C3351" s="2" t="str">
        <f t="shared" si="819"/>
        <v>男</v>
      </c>
      <c r="D3351" s="2" t="str">
        <f t="shared" si="820"/>
        <v>8</v>
      </c>
      <c r="E3351" s="2" t="str">
        <f>"经济与管理学院"</f>
        <v>经济与管理学院</v>
      </c>
    </row>
    <row r="3352" ht="13.5" hidden="1" spans="1:5">
      <c r="A3352" s="2" t="str">
        <f>"肖明轩"</f>
        <v>肖明轩</v>
      </c>
      <c r="B3352" s="2" t="str">
        <f>"B20230704317"</f>
        <v>B20230704317</v>
      </c>
      <c r="C3352" s="2" t="str">
        <f t="shared" si="819"/>
        <v>男</v>
      </c>
      <c r="D3352" s="2" t="str">
        <f t="shared" si="820"/>
        <v>8</v>
      </c>
      <c r="E3352" s="2" t="str">
        <f>"马栏山新媒体学院"</f>
        <v>马栏山新媒体学院</v>
      </c>
    </row>
    <row r="3353" ht="13.5" hidden="1" spans="1:5">
      <c r="A3353" s="2" t="str">
        <f>"王艺"</f>
        <v>王艺</v>
      </c>
      <c r="B3353" s="2" t="str">
        <f>"B20220504105"</f>
        <v>B20220504105</v>
      </c>
      <c r="C3353" s="2" t="str">
        <f>"女"</f>
        <v>女</v>
      </c>
      <c r="D3353" s="2" t="str">
        <f t="shared" si="820"/>
        <v>8</v>
      </c>
      <c r="E3353" s="2" t="str">
        <f>"生物与化学工程学院"</f>
        <v>生物与化学工程学院</v>
      </c>
    </row>
    <row r="3354" ht="13.5" hidden="1" spans="1:5">
      <c r="A3354" s="2" t="str">
        <f>"谢伟晟"</f>
        <v>谢伟晟</v>
      </c>
      <c r="B3354" s="2" t="str">
        <f>"B20220401320"</f>
        <v>B20220401320</v>
      </c>
      <c r="C3354" s="2" t="str">
        <f t="shared" ref="C3354:C3357" si="821">"男"</f>
        <v>男</v>
      </c>
      <c r="D3354" s="2" t="str">
        <f t="shared" si="820"/>
        <v>8</v>
      </c>
      <c r="E3354" s="2" t="str">
        <f>"电子信息与电气工程学院"</f>
        <v>电子信息与电气工程学院</v>
      </c>
    </row>
    <row r="3355" ht="13.5" hidden="1" spans="1:5">
      <c r="A3355" s="2" t="str">
        <f>"韩鑫佟"</f>
        <v>韩鑫佟</v>
      </c>
      <c r="B3355" s="2" t="str">
        <f>"B20230201205"</f>
        <v>B20230201205</v>
      </c>
      <c r="C3355" s="2" t="str">
        <f t="shared" si="821"/>
        <v>男</v>
      </c>
      <c r="D3355" s="2" t="str">
        <f t="shared" si="820"/>
        <v>8</v>
      </c>
      <c r="E3355" s="2" t="str">
        <f>"机电工程学院"</f>
        <v>机电工程学院</v>
      </c>
    </row>
    <row r="3356" customHeight="1" spans="1:5">
      <c r="A3356" s="6" t="str">
        <f>"凡颖良"</f>
        <v>凡颖良</v>
      </c>
      <c r="B3356" s="6" t="str">
        <f>"B20210304328"</f>
        <v>B20210304328</v>
      </c>
      <c r="C3356" s="6" t="str">
        <f>"女"</f>
        <v>女</v>
      </c>
      <c r="D3356" s="7" t="str">
        <f t="shared" si="820"/>
        <v>8</v>
      </c>
      <c r="E3356" s="6" t="str">
        <f>"计算机科学与工程学院"</f>
        <v>计算机科学与工程学院</v>
      </c>
    </row>
    <row r="3357" ht="13.5" hidden="1" spans="1:5">
      <c r="A3357" s="2" t="str">
        <f>"严斌"</f>
        <v>严斌</v>
      </c>
      <c r="B3357" s="2" t="str">
        <f>"B20231302212"</f>
        <v>B20231302212</v>
      </c>
      <c r="C3357" s="2" t="str">
        <f t="shared" si="821"/>
        <v>男</v>
      </c>
      <c r="D3357" s="2" t="str">
        <f t="shared" si="820"/>
        <v>8</v>
      </c>
      <c r="E3357" s="2" t="str">
        <f>"材料与环境工程学院"</f>
        <v>材料与环境工程学院</v>
      </c>
    </row>
    <row r="3358" ht="13.5" hidden="1" spans="1:5">
      <c r="A3358" s="2" t="str">
        <f>"陈恩悦"</f>
        <v>陈恩悦</v>
      </c>
      <c r="B3358" s="2" t="str">
        <f>"B20211101330"</f>
        <v>B20211101330</v>
      </c>
      <c r="C3358" s="2" t="str">
        <f>"女"</f>
        <v>女</v>
      </c>
      <c r="D3358" s="2" t="str">
        <f t="shared" si="820"/>
        <v>8</v>
      </c>
      <c r="E3358" s="2" t="str">
        <f>"音乐学院"</f>
        <v>音乐学院</v>
      </c>
    </row>
    <row r="3359" ht="13.5" hidden="1" spans="1:5">
      <c r="A3359" s="2" t="str">
        <f>"王彬"</f>
        <v>王彬</v>
      </c>
      <c r="B3359" s="2" t="str">
        <f>"B20220201303"</f>
        <v>B20220201303</v>
      </c>
      <c r="C3359" s="2" t="str">
        <f t="shared" ref="C3359:C3366" si="822">"男"</f>
        <v>男</v>
      </c>
      <c r="D3359" s="2" t="str">
        <f t="shared" si="820"/>
        <v>8</v>
      </c>
      <c r="E3359" s="2" t="str">
        <f>"机电工程学院"</f>
        <v>机电工程学院</v>
      </c>
    </row>
    <row r="3360" ht="13.5" hidden="1" spans="1:5">
      <c r="A3360" s="2" t="str">
        <f>"汤鹏"</f>
        <v>汤鹏</v>
      </c>
      <c r="B3360" s="2" t="str">
        <f>"B20210402225"</f>
        <v>B20210402225</v>
      </c>
      <c r="C3360" s="2" t="str">
        <f t="shared" si="822"/>
        <v>男</v>
      </c>
      <c r="D3360" s="2" t="str">
        <f t="shared" si="820"/>
        <v>8</v>
      </c>
      <c r="E3360" s="2" t="str">
        <f>"电子信息与电气工程学院"</f>
        <v>电子信息与电气工程学院</v>
      </c>
    </row>
    <row r="3361" ht="13.5" hidden="1" spans="1:5">
      <c r="A3361" s="2" t="str">
        <f>"刘淑仪"</f>
        <v>刘淑仪</v>
      </c>
      <c r="B3361" s="2" t="str">
        <f>"B20220101118"</f>
        <v>B20220101118</v>
      </c>
      <c r="C3361" s="2" t="str">
        <f>"女"</f>
        <v>女</v>
      </c>
      <c r="D3361" s="2" t="str">
        <f t="shared" si="820"/>
        <v>8</v>
      </c>
      <c r="E3361" s="2" t="str">
        <f>"土木工程学院"</f>
        <v>土木工程学院</v>
      </c>
    </row>
    <row r="3362" ht="13.5" hidden="1" spans="1:5">
      <c r="A3362" s="2" t="str">
        <f>"朱钰坊"</f>
        <v>朱钰坊</v>
      </c>
      <c r="B3362" s="2" t="str">
        <f>"B20210905225"</f>
        <v>B20210905225</v>
      </c>
      <c r="C3362" s="2" t="str">
        <f>"女"</f>
        <v>女</v>
      </c>
      <c r="D3362" s="2" t="str">
        <f t="shared" si="820"/>
        <v>8</v>
      </c>
      <c r="E3362" s="2" t="str">
        <f>"经济与管理学院"</f>
        <v>经济与管理学院</v>
      </c>
    </row>
    <row r="3363" ht="13.5" hidden="1" spans="1:5">
      <c r="A3363" s="2" t="str">
        <f>"周以纯"</f>
        <v>周以纯</v>
      </c>
      <c r="B3363" s="2" t="str">
        <f>"B20230201422"</f>
        <v>B20230201422</v>
      </c>
      <c r="C3363" s="2" t="str">
        <f t="shared" si="822"/>
        <v>男</v>
      </c>
      <c r="D3363" s="2" t="str">
        <f t="shared" si="820"/>
        <v>8</v>
      </c>
      <c r="E3363" s="2" t="str">
        <f>"机电工程学院"</f>
        <v>机电工程学院</v>
      </c>
    </row>
    <row r="3364" ht="13.5" hidden="1" spans="1:5">
      <c r="A3364" s="2" t="str">
        <f>"李志荣"</f>
        <v>李志荣</v>
      </c>
      <c r="B3364" s="2" t="str">
        <f>"B20210904230"</f>
        <v>B20210904230</v>
      </c>
      <c r="C3364" s="2" t="str">
        <f t="shared" si="822"/>
        <v>男</v>
      </c>
      <c r="D3364" s="2" t="str">
        <f t="shared" si="820"/>
        <v>8</v>
      </c>
      <c r="E3364" s="2" t="str">
        <f>"经济与管理学院"</f>
        <v>经济与管理学院</v>
      </c>
    </row>
    <row r="3365" ht="13.5" hidden="1" spans="1:5">
      <c r="A3365" s="2" t="str">
        <f>"唐旖隆"</f>
        <v>唐旖隆</v>
      </c>
      <c r="B3365" s="2" t="str">
        <f>"B20220403229"</f>
        <v>B20220403229</v>
      </c>
      <c r="C3365" s="2" t="str">
        <f t="shared" si="822"/>
        <v>男</v>
      </c>
      <c r="D3365" s="2" t="str">
        <f t="shared" si="820"/>
        <v>8</v>
      </c>
      <c r="E3365" s="2" t="str">
        <f>"电子信息与电气工程学院"</f>
        <v>电子信息与电气工程学院</v>
      </c>
    </row>
    <row r="3366" ht="13.5" hidden="1" spans="1:5">
      <c r="A3366" s="2" t="str">
        <f>"向天一"</f>
        <v>向天一</v>
      </c>
      <c r="B3366" s="2" t="str">
        <f>"B20220803221"</f>
        <v>B20220803221</v>
      </c>
      <c r="C3366" s="2" t="str">
        <f t="shared" si="822"/>
        <v>男</v>
      </c>
      <c r="D3366" s="2" t="str">
        <f t="shared" si="820"/>
        <v>8</v>
      </c>
      <c r="E3366" s="2" t="str">
        <f>"外国语学院"</f>
        <v>外国语学院</v>
      </c>
    </row>
    <row r="3367" ht="13.5" hidden="1" spans="1:5">
      <c r="A3367" s="2" t="str">
        <f>"陈雅芳"</f>
        <v>陈雅芳</v>
      </c>
      <c r="B3367" s="2" t="str">
        <f>"B20230803208"</f>
        <v>B20230803208</v>
      </c>
      <c r="C3367" s="2" t="str">
        <f>"女"</f>
        <v>女</v>
      </c>
      <c r="D3367" s="2" t="str">
        <f t="shared" si="820"/>
        <v>8</v>
      </c>
      <c r="E3367" s="2" t="str">
        <f>"外国语学院"</f>
        <v>外国语学院</v>
      </c>
    </row>
    <row r="3368" ht="13.5" hidden="1" spans="1:5">
      <c r="A3368" s="2" t="str">
        <f>"肖云阁"</f>
        <v>肖云阁</v>
      </c>
      <c r="B3368" s="2" t="str">
        <f>"B20200703212"</f>
        <v>B20200703212</v>
      </c>
      <c r="C3368" s="2" t="str">
        <f t="shared" ref="C3368:C3371" si="823">"男"</f>
        <v>男</v>
      </c>
      <c r="D3368" s="2" t="str">
        <f t="shared" si="820"/>
        <v>8</v>
      </c>
      <c r="E3368" s="2" t="str">
        <f>"马栏山新媒体学院"</f>
        <v>马栏山新媒体学院</v>
      </c>
    </row>
    <row r="3369" ht="13.5" hidden="1" spans="1:5">
      <c r="A3369" s="2" t="str">
        <f>"胡左革"</f>
        <v>胡左革</v>
      </c>
      <c r="B3369" s="2" t="str">
        <f>"B20210204222"</f>
        <v>B20210204222</v>
      </c>
      <c r="C3369" s="2" t="str">
        <f t="shared" si="823"/>
        <v>男</v>
      </c>
      <c r="D3369" s="2" t="str">
        <f t="shared" si="820"/>
        <v>8</v>
      </c>
      <c r="E3369" s="2" t="str">
        <f>"机电工程学院"</f>
        <v>机电工程学院</v>
      </c>
    </row>
    <row r="3370" ht="13.5" hidden="1" spans="1:5">
      <c r="A3370" s="2" t="str">
        <f>"陈琦豪"</f>
        <v>陈琦豪</v>
      </c>
      <c r="B3370" s="2" t="str">
        <f>"B20210901238"</f>
        <v>B20210901238</v>
      </c>
      <c r="C3370" s="2" t="str">
        <f t="shared" si="823"/>
        <v>男</v>
      </c>
      <c r="D3370" s="2" t="str">
        <f t="shared" si="820"/>
        <v>8</v>
      </c>
      <c r="E3370" s="2" t="str">
        <f>"经济与管理学院"</f>
        <v>经济与管理学院</v>
      </c>
    </row>
    <row r="3371" ht="13.5" hidden="1" spans="1:5">
      <c r="A3371" s="2" t="str">
        <f>"骆福庆"</f>
        <v>骆福庆</v>
      </c>
      <c r="B3371" s="2" t="str">
        <f>"B20230201424"</f>
        <v>B20230201424</v>
      </c>
      <c r="C3371" s="2" t="str">
        <f t="shared" si="823"/>
        <v>男</v>
      </c>
      <c r="D3371" s="2" t="str">
        <f t="shared" si="820"/>
        <v>8</v>
      </c>
      <c r="E3371" s="2" t="str">
        <f>"机电工程学院"</f>
        <v>机电工程学院</v>
      </c>
    </row>
    <row r="3372" ht="13.5" hidden="1" spans="1:5">
      <c r="A3372" s="2" t="str">
        <f>"蔡雨妍"</f>
        <v>蔡雨妍</v>
      </c>
      <c r="B3372" s="2" t="str">
        <f>"B20230802126"</f>
        <v>B20230802126</v>
      </c>
      <c r="C3372" s="2" t="str">
        <f t="shared" ref="C3372:C3376" si="824">"女"</f>
        <v>女</v>
      </c>
      <c r="D3372" s="2" t="str">
        <f t="shared" si="820"/>
        <v>8</v>
      </c>
      <c r="E3372" s="2" t="str">
        <f>"外国语学院"</f>
        <v>外国语学院</v>
      </c>
    </row>
    <row r="3373" ht="13.5" hidden="1" spans="1:5">
      <c r="A3373" s="2" t="str">
        <f>"戴白丹"</f>
        <v>戴白丹</v>
      </c>
      <c r="B3373" s="2" t="str">
        <f>"B20220104135"</f>
        <v>B20220104135</v>
      </c>
      <c r="C3373" s="2" t="str">
        <f t="shared" si="824"/>
        <v>女</v>
      </c>
      <c r="D3373" s="2" t="str">
        <f t="shared" si="820"/>
        <v>8</v>
      </c>
      <c r="E3373" s="2" t="str">
        <f>"土木工程学院"</f>
        <v>土木工程学院</v>
      </c>
    </row>
    <row r="3374" ht="13.5" hidden="1" spans="1:5">
      <c r="A3374" s="2" t="str">
        <f>"唐梦瑜"</f>
        <v>唐梦瑜</v>
      </c>
      <c r="B3374" s="2" t="str">
        <f>"B20210802220"</f>
        <v>B20210802220</v>
      </c>
      <c r="C3374" s="2" t="str">
        <f t="shared" si="824"/>
        <v>女</v>
      </c>
      <c r="D3374" s="2" t="str">
        <f t="shared" si="820"/>
        <v>8</v>
      </c>
      <c r="E3374" s="2" t="str">
        <f>"外国语学院"</f>
        <v>外国语学院</v>
      </c>
    </row>
    <row r="3375" ht="13.5" hidden="1" spans="1:5">
      <c r="A3375" s="2" t="str">
        <f>"周颖涵"</f>
        <v>周颖涵</v>
      </c>
      <c r="B3375" s="2" t="str">
        <f>"B20230704209"</f>
        <v>B20230704209</v>
      </c>
      <c r="C3375" s="2" t="str">
        <f t="shared" si="824"/>
        <v>女</v>
      </c>
      <c r="D3375" s="2" t="str">
        <f t="shared" si="820"/>
        <v>8</v>
      </c>
      <c r="E3375" s="2" t="str">
        <f>"马栏山新媒体学院"</f>
        <v>马栏山新媒体学院</v>
      </c>
    </row>
    <row r="3376" ht="13.5" hidden="1" spans="1:5">
      <c r="A3376" s="2" t="str">
        <f>"朱若菁"</f>
        <v>朱若菁</v>
      </c>
      <c r="B3376" s="2" t="str">
        <f>"B20231101201"</f>
        <v>B20231101201</v>
      </c>
      <c r="C3376" s="2" t="str">
        <f t="shared" si="824"/>
        <v>女</v>
      </c>
      <c r="D3376" s="2" t="str">
        <f t="shared" si="820"/>
        <v>8</v>
      </c>
      <c r="E3376" s="2" t="str">
        <f>"音乐学院"</f>
        <v>音乐学院</v>
      </c>
    </row>
    <row r="3377" ht="13.5" hidden="1" spans="1:5">
      <c r="A3377" s="2" t="str">
        <f>"胡云航"</f>
        <v>胡云航</v>
      </c>
      <c r="B3377" s="2" t="str">
        <f>"B20230204205"</f>
        <v>B20230204205</v>
      </c>
      <c r="C3377" s="2" t="str">
        <f t="shared" ref="C3377:C3379" si="825">"男"</f>
        <v>男</v>
      </c>
      <c r="D3377" s="2" t="str">
        <f t="shared" si="820"/>
        <v>8</v>
      </c>
      <c r="E3377" s="2" t="str">
        <f>"机电工程学院"</f>
        <v>机电工程学院</v>
      </c>
    </row>
    <row r="3378" ht="13.5" hidden="1" spans="1:5">
      <c r="A3378" s="2" t="str">
        <f>"伍俊权"</f>
        <v>伍俊权</v>
      </c>
      <c r="B3378" s="2" t="str">
        <f>"B20230405106"</f>
        <v>B20230405106</v>
      </c>
      <c r="C3378" s="2" t="str">
        <f t="shared" si="825"/>
        <v>男</v>
      </c>
      <c r="D3378" s="2" t="str">
        <f t="shared" si="820"/>
        <v>8</v>
      </c>
      <c r="E3378" s="2" t="str">
        <f t="shared" ref="E3378:E3383" si="826">"电子信息与电气工程学院"</f>
        <v>电子信息与电气工程学院</v>
      </c>
    </row>
    <row r="3379" ht="13.5" hidden="1" spans="1:5">
      <c r="A3379" s="2" t="str">
        <f>"刘宸希"</f>
        <v>刘宸希</v>
      </c>
      <c r="B3379" s="2" t="str">
        <f>"B20210101605"</f>
        <v>B20210101605</v>
      </c>
      <c r="C3379" s="2" t="str">
        <f t="shared" si="825"/>
        <v>男</v>
      </c>
      <c r="D3379" s="2" t="str">
        <f t="shared" si="820"/>
        <v>8</v>
      </c>
      <c r="E3379" s="2" t="str">
        <f>"土木工程学院"</f>
        <v>土木工程学院</v>
      </c>
    </row>
    <row r="3380" ht="13.5" hidden="1" spans="1:5">
      <c r="A3380" s="2" t="str">
        <f>"章茜婷"</f>
        <v>章茜婷</v>
      </c>
      <c r="B3380" s="2" t="str">
        <f>"B20220901124"</f>
        <v>B20220901124</v>
      </c>
      <c r="C3380" s="2" t="str">
        <f>"女"</f>
        <v>女</v>
      </c>
      <c r="D3380" s="2" t="str">
        <f t="shared" si="820"/>
        <v>8</v>
      </c>
      <c r="E3380" s="2" t="str">
        <f>"经济与管理学院"</f>
        <v>经济与管理学院</v>
      </c>
    </row>
    <row r="3381" ht="13.5" hidden="1" spans="1:5">
      <c r="A3381" s="2" t="str">
        <f>"李戎潮"</f>
        <v>李戎潮</v>
      </c>
      <c r="B3381" s="2" t="str">
        <f>"B20230402220"</f>
        <v>B20230402220</v>
      </c>
      <c r="C3381" s="2" t="str">
        <f t="shared" ref="C3381:C3385" si="827">"男"</f>
        <v>男</v>
      </c>
      <c r="D3381" s="2" t="str">
        <f t="shared" si="820"/>
        <v>8</v>
      </c>
      <c r="E3381" s="2" t="str">
        <f t="shared" si="826"/>
        <v>电子信息与电气工程学院</v>
      </c>
    </row>
    <row r="3382" ht="13.5" hidden="1" spans="1:5">
      <c r="A3382" s="2" t="str">
        <f>"陈宇翔"</f>
        <v>陈宇翔</v>
      </c>
      <c r="B3382" s="2" t="str">
        <f>"B20230501212"</f>
        <v>B20230501212</v>
      </c>
      <c r="C3382" s="2" t="str">
        <f t="shared" si="827"/>
        <v>男</v>
      </c>
      <c r="D3382" s="2" t="str">
        <f t="shared" si="820"/>
        <v>8</v>
      </c>
      <c r="E3382" s="2" t="str">
        <f>"生物与化学工程学院"</f>
        <v>生物与化学工程学院</v>
      </c>
    </row>
    <row r="3383" ht="13.5" hidden="1" spans="1:5">
      <c r="A3383" s="2" t="str">
        <f>"曹文卓"</f>
        <v>曹文卓</v>
      </c>
      <c r="B3383" s="2" t="str">
        <f>"B20210405121"</f>
        <v>B20210405121</v>
      </c>
      <c r="C3383" s="2" t="str">
        <f t="shared" si="827"/>
        <v>男</v>
      </c>
      <c r="D3383" s="2" t="str">
        <f t="shared" si="820"/>
        <v>8</v>
      </c>
      <c r="E3383" s="2" t="str">
        <f t="shared" si="826"/>
        <v>电子信息与电气工程学院</v>
      </c>
    </row>
    <row r="3384" ht="13.5" hidden="1" spans="1:5">
      <c r="A3384" s="2" t="str">
        <f>"刘善康"</f>
        <v>刘善康</v>
      </c>
      <c r="B3384" s="2" t="str">
        <f>"B20210101411"</f>
        <v>B20210101411</v>
      </c>
      <c r="C3384" s="2" t="str">
        <f t="shared" si="827"/>
        <v>男</v>
      </c>
      <c r="D3384" s="2" t="str">
        <f t="shared" si="820"/>
        <v>8</v>
      </c>
      <c r="E3384" s="2" t="str">
        <f>"土木工程学院"</f>
        <v>土木工程学院</v>
      </c>
    </row>
    <row r="3385" ht="13.5" hidden="1" spans="1:5">
      <c r="A3385" s="2" t="str">
        <f>"徐旭平"</f>
        <v>徐旭平</v>
      </c>
      <c r="B3385" s="2" t="str">
        <f>"B20230205228"</f>
        <v>B20230205228</v>
      </c>
      <c r="C3385" s="2" t="str">
        <f t="shared" si="827"/>
        <v>男</v>
      </c>
      <c r="D3385" s="2" t="str">
        <f t="shared" si="820"/>
        <v>8</v>
      </c>
      <c r="E3385" s="2" t="str">
        <f>"机电工程学院"</f>
        <v>机电工程学院</v>
      </c>
    </row>
    <row r="3386" ht="13.5" hidden="1" spans="1:5">
      <c r="A3386" s="2" t="str">
        <f>"李晓玲"</f>
        <v>李晓玲</v>
      </c>
      <c r="B3386" s="2" t="str">
        <f>"B20200801422"</f>
        <v>B20200801422</v>
      </c>
      <c r="C3386" s="2" t="str">
        <f t="shared" ref="C3386:C3391" si="828">"女"</f>
        <v>女</v>
      </c>
      <c r="D3386" s="2" t="str">
        <f t="shared" si="820"/>
        <v>8</v>
      </c>
      <c r="E3386" s="2" t="str">
        <f>"外国语学院"</f>
        <v>外国语学院</v>
      </c>
    </row>
    <row r="3387" ht="13.5" hidden="1" spans="1:5">
      <c r="A3387" s="2" t="str">
        <f>"胡娜薇"</f>
        <v>胡娜薇</v>
      </c>
      <c r="B3387" s="2" t="str">
        <f>"B20211004110"</f>
        <v>B20211004110</v>
      </c>
      <c r="C3387" s="2" t="str">
        <f t="shared" si="828"/>
        <v>女</v>
      </c>
      <c r="D3387" s="2" t="str">
        <f t="shared" si="820"/>
        <v>8</v>
      </c>
      <c r="E3387" s="2" t="str">
        <f>"艺术设计学院"</f>
        <v>艺术设计学院</v>
      </c>
    </row>
    <row r="3388" ht="13.5" hidden="1" spans="1:5">
      <c r="A3388" s="2" t="str">
        <f>"汤子亮"</f>
        <v>汤子亮</v>
      </c>
      <c r="B3388" s="2" t="str">
        <f>"B20230102225"</f>
        <v>B20230102225</v>
      </c>
      <c r="C3388" s="2" t="str">
        <f t="shared" ref="C3388:C3392" si="829">"男"</f>
        <v>男</v>
      </c>
      <c r="D3388" s="2" t="str">
        <f t="shared" si="820"/>
        <v>8</v>
      </c>
      <c r="E3388" s="2" t="str">
        <f>"土木工程学院"</f>
        <v>土木工程学院</v>
      </c>
    </row>
    <row r="3389" customHeight="1" spans="1:5">
      <c r="A3389" s="6" t="str">
        <f>"邓立坤"</f>
        <v>邓立坤</v>
      </c>
      <c r="B3389" s="6" t="str">
        <f>"B20210304329"</f>
        <v>B20210304329</v>
      </c>
      <c r="C3389" s="6" t="str">
        <f t="shared" si="829"/>
        <v>男</v>
      </c>
      <c r="D3389" s="7" t="str">
        <f>"10"</f>
        <v>10</v>
      </c>
      <c r="E3389" s="6" t="str">
        <f>"计算机科学与工程学院"</f>
        <v>计算机科学与工程学院</v>
      </c>
    </row>
    <row r="3390" ht="13.5" hidden="1" spans="1:5">
      <c r="A3390" s="2" t="str">
        <f>"虢思琪"</f>
        <v>虢思琪</v>
      </c>
      <c r="B3390" s="2" t="str">
        <f>"B20230601511"</f>
        <v>B20230601511</v>
      </c>
      <c r="C3390" s="2" t="str">
        <f t="shared" si="828"/>
        <v>女</v>
      </c>
      <c r="D3390" s="2" t="str">
        <f t="shared" si="820"/>
        <v>8</v>
      </c>
      <c r="E3390" s="2" t="str">
        <f>"法学院"</f>
        <v>法学院</v>
      </c>
    </row>
    <row r="3391" ht="13.5" hidden="1" spans="1:5">
      <c r="A3391" s="2" t="str">
        <f>"肖湘俊"</f>
        <v>肖湘俊</v>
      </c>
      <c r="B3391" s="2" t="str">
        <f>"B20231002108"</f>
        <v>B20231002108</v>
      </c>
      <c r="C3391" s="2" t="str">
        <f t="shared" si="828"/>
        <v>女</v>
      </c>
      <c r="D3391" s="2" t="str">
        <f t="shared" si="820"/>
        <v>8</v>
      </c>
      <c r="E3391" s="2" t="str">
        <f>"艺术设计学院"</f>
        <v>艺术设计学院</v>
      </c>
    </row>
    <row r="3392" ht="13.5" hidden="1" spans="1:5">
      <c r="A3392" s="2" t="str">
        <f>"侯柏轩"</f>
        <v>侯柏轩</v>
      </c>
      <c r="B3392" s="2" t="str">
        <f>"B20200201414"</f>
        <v>B20200201414</v>
      </c>
      <c r="C3392" s="2" t="str">
        <f t="shared" si="829"/>
        <v>男</v>
      </c>
      <c r="D3392" s="2" t="str">
        <f t="shared" si="820"/>
        <v>8</v>
      </c>
      <c r="E3392" s="2" t="str">
        <f>"机电工程学院"</f>
        <v>机电工程学院</v>
      </c>
    </row>
    <row r="3393" ht="13.5" hidden="1" spans="1:5">
      <c r="A3393" s="2" t="str">
        <f>"李青格"</f>
        <v>李青格</v>
      </c>
      <c r="B3393" s="2" t="str">
        <f>"B20220803112"</f>
        <v>B20220803112</v>
      </c>
      <c r="C3393" s="2" t="str">
        <f t="shared" ref="C3393:C3399" si="830">"女"</f>
        <v>女</v>
      </c>
      <c r="D3393" s="2" t="str">
        <f t="shared" si="820"/>
        <v>8</v>
      </c>
      <c r="E3393" s="2" t="str">
        <f>"外国语学院"</f>
        <v>外国语学院</v>
      </c>
    </row>
    <row r="3394" ht="13.5" hidden="1" spans="1:5">
      <c r="A3394" s="2" t="str">
        <f>"姜环宇"</f>
        <v>姜环宇</v>
      </c>
      <c r="B3394" s="2" t="str">
        <f>"B20231302125"</f>
        <v>B20231302125</v>
      </c>
      <c r="C3394" s="2" t="str">
        <f t="shared" ref="C3394:C3397" si="831">"男"</f>
        <v>男</v>
      </c>
      <c r="D3394" s="2" t="str">
        <f t="shared" si="820"/>
        <v>8</v>
      </c>
      <c r="E3394" s="2" t="str">
        <f>"材料与环境工程学院"</f>
        <v>材料与环境工程学院</v>
      </c>
    </row>
    <row r="3395" ht="13.5" hidden="1" spans="1:5">
      <c r="A3395" s="2" t="str">
        <f>"王朝阳"</f>
        <v>王朝阳</v>
      </c>
      <c r="B3395" s="2" t="str">
        <f>"B20210505235"</f>
        <v>B20210505235</v>
      </c>
      <c r="C3395" s="2" t="str">
        <f t="shared" si="831"/>
        <v>男</v>
      </c>
      <c r="D3395" s="2" t="str">
        <f t="shared" si="820"/>
        <v>8</v>
      </c>
      <c r="E3395" s="2" t="str">
        <f>"材料与环境工程学院"</f>
        <v>材料与环境工程学院</v>
      </c>
    </row>
    <row r="3396" ht="13.5" hidden="1" spans="1:5">
      <c r="A3396" s="2" t="str">
        <f>"张佳欣"</f>
        <v>张佳欣</v>
      </c>
      <c r="B3396" s="2" t="str">
        <f>"B20210704114"</f>
        <v>B20210704114</v>
      </c>
      <c r="C3396" s="2" t="str">
        <f t="shared" si="830"/>
        <v>女</v>
      </c>
      <c r="D3396" s="2" t="str">
        <f t="shared" si="820"/>
        <v>8</v>
      </c>
      <c r="E3396" s="2" t="str">
        <f t="shared" ref="E3396:E3399" si="832">"马栏山新媒体学院"</f>
        <v>马栏山新媒体学院</v>
      </c>
    </row>
    <row r="3397" ht="13.5" hidden="1" spans="1:5">
      <c r="A3397" s="2" t="str">
        <f>"宁小雨"</f>
        <v>宁小雨</v>
      </c>
      <c r="B3397" s="2" t="str">
        <f>"B20230403108"</f>
        <v>B20230403108</v>
      </c>
      <c r="C3397" s="2" t="str">
        <f t="shared" si="831"/>
        <v>男</v>
      </c>
      <c r="D3397" s="2" t="str">
        <f t="shared" si="820"/>
        <v>8</v>
      </c>
      <c r="E3397" s="2" t="str">
        <f>"电子信息与电气工程学院"</f>
        <v>电子信息与电气工程学院</v>
      </c>
    </row>
    <row r="3398" ht="13.5" hidden="1" spans="1:5">
      <c r="A3398" s="2" t="str">
        <f>"赵茂廷"</f>
        <v>赵茂廷</v>
      </c>
      <c r="B3398" s="2" t="str">
        <f>"B20210704216"</f>
        <v>B20210704216</v>
      </c>
      <c r="C3398" s="2" t="str">
        <f t="shared" si="830"/>
        <v>女</v>
      </c>
      <c r="D3398" s="2" t="str">
        <f t="shared" si="820"/>
        <v>8</v>
      </c>
      <c r="E3398" s="2" t="str">
        <f t="shared" si="832"/>
        <v>马栏山新媒体学院</v>
      </c>
    </row>
    <row r="3399" ht="13.5" hidden="1" spans="1:5">
      <c r="A3399" s="2" t="str">
        <f>"张宇婷"</f>
        <v>张宇婷</v>
      </c>
      <c r="B3399" s="2" t="str">
        <f>"B20230701332"</f>
        <v>B20230701332</v>
      </c>
      <c r="C3399" s="2" t="str">
        <f t="shared" si="830"/>
        <v>女</v>
      </c>
      <c r="D3399" s="2" t="str">
        <f t="shared" si="820"/>
        <v>8</v>
      </c>
      <c r="E3399" s="2" t="str">
        <f t="shared" si="832"/>
        <v>马栏山新媒体学院</v>
      </c>
    </row>
    <row r="3400" ht="13.5" hidden="1" spans="1:5">
      <c r="A3400" s="2" t="str">
        <f>"吴迪"</f>
        <v>吴迪</v>
      </c>
      <c r="B3400" s="2" t="str">
        <f>"B20230502205"</f>
        <v>B20230502205</v>
      </c>
      <c r="C3400" s="2" t="str">
        <f>"男"</f>
        <v>男</v>
      </c>
      <c r="D3400" s="2" t="str">
        <f t="shared" si="820"/>
        <v>8</v>
      </c>
      <c r="E3400" s="2" t="str">
        <f>"生物与化学工程学院"</f>
        <v>生物与化学工程学院</v>
      </c>
    </row>
    <row r="3401" ht="13.5" hidden="1" spans="1:5">
      <c r="A3401" s="2" t="str">
        <f>"曾雨佳"</f>
        <v>曾雨佳</v>
      </c>
      <c r="B3401" s="2" t="str">
        <f>"B20230906109"</f>
        <v>B20230906109</v>
      </c>
      <c r="C3401" s="2" t="str">
        <f t="shared" ref="C3401:C3403" si="833">"女"</f>
        <v>女</v>
      </c>
      <c r="D3401" s="2" t="str">
        <f t="shared" si="820"/>
        <v>8</v>
      </c>
      <c r="E3401" s="2" t="str">
        <f>"经济与管理学院"</f>
        <v>经济与管理学院</v>
      </c>
    </row>
    <row r="3402" ht="13.5" hidden="1" spans="1:5">
      <c r="A3402" s="2" t="str">
        <f>"李睿"</f>
        <v>李睿</v>
      </c>
      <c r="B3402" s="2" t="str">
        <f>"B20221111222"</f>
        <v>B20221111222</v>
      </c>
      <c r="C3402" s="2" t="str">
        <f t="shared" si="833"/>
        <v>女</v>
      </c>
      <c r="D3402" s="2" t="str">
        <f t="shared" si="820"/>
        <v>8</v>
      </c>
      <c r="E3402" s="2" t="str">
        <f>"音乐学院"</f>
        <v>音乐学院</v>
      </c>
    </row>
    <row r="3403" ht="13.5" hidden="1" spans="1:5">
      <c r="A3403" s="2" t="str">
        <f>"贺乐乐"</f>
        <v>贺乐乐</v>
      </c>
      <c r="B3403" s="2" t="str">
        <f>"B20211002123"</f>
        <v>B20211002123</v>
      </c>
      <c r="C3403" s="2" t="str">
        <f t="shared" si="833"/>
        <v>女</v>
      </c>
      <c r="D3403" s="2" t="str">
        <f t="shared" si="820"/>
        <v>8</v>
      </c>
      <c r="E3403" s="2" t="str">
        <f>"艺术设计学院"</f>
        <v>艺术设计学院</v>
      </c>
    </row>
    <row r="3404" ht="13.5" hidden="1" spans="1:5">
      <c r="A3404" s="2" t="str">
        <f>"蔡世佳"</f>
        <v>蔡世佳</v>
      </c>
      <c r="B3404" s="2" t="str">
        <f>"B20200201432"</f>
        <v>B20200201432</v>
      </c>
      <c r="C3404" s="2" t="str">
        <f t="shared" ref="C3404:C3408" si="834">"男"</f>
        <v>男</v>
      </c>
      <c r="D3404" s="2" t="str">
        <f t="shared" si="820"/>
        <v>8</v>
      </c>
      <c r="E3404" s="2" t="str">
        <f>"马栏山新媒体学院"</f>
        <v>马栏山新媒体学院</v>
      </c>
    </row>
    <row r="3405" ht="13.5" hidden="1" spans="1:5">
      <c r="A3405" s="2" t="str">
        <f>"黄秋艳"</f>
        <v>黄秋艳</v>
      </c>
      <c r="B3405" s="2" t="str">
        <f>"B20210801326"</f>
        <v>B20210801326</v>
      </c>
      <c r="C3405" s="2" t="str">
        <f>"女"</f>
        <v>女</v>
      </c>
      <c r="D3405" s="2" t="str">
        <f t="shared" si="820"/>
        <v>8</v>
      </c>
      <c r="E3405" s="2" t="str">
        <f>"外国语学院"</f>
        <v>外国语学院</v>
      </c>
    </row>
    <row r="3406" ht="13.5" hidden="1" spans="1:5">
      <c r="A3406" s="2" t="str">
        <f>"李珂"</f>
        <v>李珂</v>
      </c>
      <c r="B3406" s="2" t="str">
        <f>"B20200402333"</f>
        <v>B20200402333</v>
      </c>
      <c r="C3406" s="2" t="str">
        <f t="shared" si="834"/>
        <v>男</v>
      </c>
      <c r="D3406" s="2" t="str">
        <f t="shared" si="820"/>
        <v>8</v>
      </c>
      <c r="E3406" s="2" t="str">
        <f>"电子信息与电气工程学院"</f>
        <v>电子信息与电气工程学院</v>
      </c>
    </row>
    <row r="3407" ht="13.5" hidden="1" spans="1:5">
      <c r="A3407" s="2" t="str">
        <f>"杜章和"</f>
        <v>杜章和</v>
      </c>
      <c r="B3407" s="2" t="str">
        <f>"B20200402208"</f>
        <v>B20200402208</v>
      </c>
      <c r="C3407" s="2" t="str">
        <f t="shared" si="834"/>
        <v>男</v>
      </c>
      <c r="D3407" s="2" t="str">
        <f t="shared" ref="D3407:D3470" si="835">"7"</f>
        <v>7</v>
      </c>
      <c r="E3407" s="2" t="str">
        <f>"电子信息与电气工程学院"</f>
        <v>电子信息与电气工程学院</v>
      </c>
    </row>
    <row r="3408" ht="13.5" hidden="1" spans="1:5">
      <c r="A3408" s="2" t="str">
        <f>"陈思瑶"</f>
        <v>陈思瑶</v>
      </c>
      <c r="B3408" s="2" t="str">
        <f>"B20200503136"</f>
        <v>B20200503136</v>
      </c>
      <c r="C3408" s="2" t="str">
        <f t="shared" si="834"/>
        <v>男</v>
      </c>
      <c r="D3408" s="2" t="str">
        <f t="shared" si="835"/>
        <v>7</v>
      </c>
      <c r="E3408" s="2" t="str">
        <f>"生物与环境工程学院"</f>
        <v>生物与环境工程学院</v>
      </c>
    </row>
    <row r="3409" ht="13.5" hidden="1" spans="1:5">
      <c r="A3409" s="2" t="str">
        <f>"莫鑫琳"</f>
        <v>莫鑫琳</v>
      </c>
      <c r="B3409" s="2" t="str">
        <f>"B20210906208"</f>
        <v>B20210906208</v>
      </c>
      <c r="C3409" s="2" t="str">
        <f t="shared" ref="C3409:C3413" si="836">"女"</f>
        <v>女</v>
      </c>
      <c r="D3409" s="2" t="str">
        <f t="shared" si="835"/>
        <v>7</v>
      </c>
      <c r="E3409" s="2" t="str">
        <f t="shared" ref="E3409:E3413" si="837">"经济与管理学院"</f>
        <v>经济与管理学院</v>
      </c>
    </row>
    <row r="3410" ht="13.5" hidden="1" spans="1:5">
      <c r="A3410" s="2" t="str">
        <f>"欧阳立恒"</f>
        <v>欧阳立恒</v>
      </c>
      <c r="B3410" s="2" t="str">
        <f>"B20230703312"</f>
        <v>B20230703312</v>
      </c>
      <c r="C3410" s="2" t="str">
        <f t="shared" ref="C3410:C3414" si="838">"男"</f>
        <v>男</v>
      </c>
      <c r="D3410" s="2" t="str">
        <f t="shared" si="835"/>
        <v>7</v>
      </c>
      <c r="E3410" s="2" t="str">
        <f>"马栏山新媒体学院"</f>
        <v>马栏山新媒体学院</v>
      </c>
    </row>
    <row r="3411" ht="13.5" hidden="1" spans="1:5">
      <c r="A3411" s="2" t="str">
        <f>"刘烨轩"</f>
        <v>刘烨轩</v>
      </c>
      <c r="B3411" s="2" t="str">
        <f>"B20210905212"</f>
        <v>B20210905212</v>
      </c>
      <c r="C3411" s="2" t="str">
        <f t="shared" si="836"/>
        <v>女</v>
      </c>
      <c r="D3411" s="2" t="str">
        <f t="shared" si="835"/>
        <v>7</v>
      </c>
      <c r="E3411" s="2" t="str">
        <f t="shared" si="837"/>
        <v>经济与管理学院</v>
      </c>
    </row>
    <row r="3412" ht="13.5" hidden="1" spans="1:5">
      <c r="A3412" s="2" t="str">
        <f>"粟俊"</f>
        <v>粟俊</v>
      </c>
      <c r="B3412" s="2" t="str">
        <f>"B20210201322"</f>
        <v>B20210201322</v>
      </c>
      <c r="C3412" s="2" t="str">
        <f t="shared" si="838"/>
        <v>男</v>
      </c>
      <c r="D3412" s="2" t="str">
        <f t="shared" si="835"/>
        <v>7</v>
      </c>
      <c r="E3412" s="2" t="str">
        <f>"机电工程学院"</f>
        <v>机电工程学院</v>
      </c>
    </row>
    <row r="3413" ht="13.5" hidden="1" spans="1:5">
      <c r="A3413" s="2" t="str">
        <f>"罗至君"</f>
        <v>罗至君</v>
      </c>
      <c r="B3413" s="2" t="str">
        <f>"B20200901106"</f>
        <v>B20200901106</v>
      </c>
      <c r="C3413" s="2" t="str">
        <f t="shared" si="836"/>
        <v>女</v>
      </c>
      <c r="D3413" s="2" t="str">
        <f t="shared" si="835"/>
        <v>7</v>
      </c>
      <c r="E3413" s="2" t="str">
        <f t="shared" si="837"/>
        <v>经济与管理学院</v>
      </c>
    </row>
    <row r="3414" ht="13.5" hidden="1" spans="1:5">
      <c r="A3414" s="2" t="str">
        <f>"赵文扬"</f>
        <v>赵文扬</v>
      </c>
      <c r="B3414" s="2" t="str">
        <f>"B20230101328"</f>
        <v>B20230101328</v>
      </c>
      <c r="C3414" s="2" t="str">
        <f t="shared" si="838"/>
        <v>男</v>
      </c>
      <c r="D3414" s="2" t="str">
        <f t="shared" si="835"/>
        <v>7</v>
      </c>
      <c r="E3414" s="2" t="str">
        <f>"土木工程学院"</f>
        <v>土木工程学院</v>
      </c>
    </row>
    <row r="3415" ht="13.5" hidden="1" spans="1:5">
      <c r="A3415" s="2" t="str">
        <f>"陈艳华"</f>
        <v>陈艳华</v>
      </c>
      <c r="B3415" s="2" t="str">
        <f>"B20210704426"</f>
        <v>B20210704426</v>
      </c>
      <c r="C3415" s="2" t="str">
        <f t="shared" ref="C3415:C3419" si="839">"女"</f>
        <v>女</v>
      </c>
      <c r="D3415" s="2" t="str">
        <f t="shared" si="835"/>
        <v>7</v>
      </c>
      <c r="E3415" s="2" t="str">
        <f>"马栏山新媒体学院"</f>
        <v>马栏山新媒体学院</v>
      </c>
    </row>
    <row r="3416" ht="13.5" hidden="1" spans="1:5">
      <c r="A3416" s="2" t="str">
        <f>"唐磊"</f>
        <v>唐磊</v>
      </c>
      <c r="B3416" s="2" t="str">
        <f>"B20230201428"</f>
        <v>B20230201428</v>
      </c>
      <c r="C3416" s="2" t="str">
        <f t="shared" ref="C3416:C3421" si="840">"男"</f>
        <v>男</v>
      </c>
      <c r="D3416" s="2" t="str">
        <f t="shared" si="835"/>
        <v>7</v>
      </c>
      <c r="E3416" s="2" t="str">
        <f>"机电工程学院"</f>
        <v>机电工程学院</v>
      </c>
    </row>
    <row r="3417" ht="13.5" hidden="1" spans="1:5">
      <c r="A3417" s="2" t="str">
        <f>"杨佳隆"</f>
        <v>杨佳隆</v>
      </c>
      <c r="B3417" s="2" t="str">
        <f>"B20230403225"</f>
        <v>B20230403225</v>
      </c>
      <c r="C3417" s="2" t="str">
        <f t="shared" si="840"/>
        <v>男</v>
      </c>
      <c r="D3417" s="2" t="str">
        <f t="shared" si="835"/>
        <v>7</v>
      </c>
      <c r="E3417" s="2" t="str">
        <f>"电子信息与电气工程学院"</f>
        <v>电子信息与电气工程学院</v>
      </c>
    </row>
    <row r="3418" ht="13.5" hidden="1" spans="1:5">
      <c r="A3418" s="2" t="str">
        <f>"王晓"</f>
        <v>王晓</v>
      </c>
      <c r="B3418" s="2" t="str">
        <f>"B20230904229"</f>
        <v>B20230904229</v>
      </c>
      <c r="C3418" s="2" t="str">
        <f t="shared" si="839"/>
        <v>女</v>
      </c>
      <c r="D3418" s="2" t="str">
        <f t="shared" si="835"/>
        <v>7</v>
      </c>
      <c r="E3418" s="2" t="str">
        <f>"经济与管理学院"</f>
        <v>经济与管理学院</v>
      </c>
    </row>
    <row r="3419" ht="13.5" hidden="1" spans="1:5">
      <c r="A3419" s="2" t="str">
        <f>"乐子涵"</f>
        <v>乐子涵</v>
      </c>
      <c r="B3419" s="2" t="str">
        <f>"B20230904111"</f>
        <v>B20230904111</v>
      </c>
      <c r="C3419" s="2" t="str">
        <f t="shared" si="839"/>
        <v>女</v>
      </c>
      <c r="D3419" s="2" t="str">
        <f t="shared" si="835"/>
        <v>7</v>
      </c>
      <c r="E3419" s="2" t="str">
        <f>"经济与管理学院"</f>
        <v>经济与管理学院</v>
      </c>
    </row>
    <row r="3420" ht="13.5" hidden="1" spans="1:5">
      <c r="A3420" s="2" t="str">
        <f>"彭科"</f>
        <v>彭科</v>
      </c>
      <c r="B3420" s="2" t="str">
        <f>"B20230401105"</f>
        <v>B20230401105</v>
      </c>
      <c r="C3420" s="2" t="str">
        <f t="shared" si="840"/>
        <v>男</v>
      </c>
      <c r="D3420" s="2" t="str">
        <f t="shared" si="835"/>
        <v>7</v>
      </c>
      <c r="E3420" s="2" t="str">
        <f>"电子信息与电气工程学院"</f>
        <v>电子信息与电气工程学院</v>
      </c>
    </row>
    <row r="3421" ht="13.5" hidden="1" spans="1:5">
      <c r="A3421" s="2" t="str">
        <f>"唐梓鑫"</f>
        <v>唐梓鑫</v>
      </c>
      <c r="B3421" s="2" t="str">
        <f>"B20230201307"</f>
        <v>B20230201307</v>
      </c>
      <c r="C3421" s="2" t="str">
        <f t="shared" si="840"/>
        <v>男</v>
      </c>
      <c r="D3421" s="2" t="str">
        <f t="shared" si="835"/>
        <v>7</v>
      </c>
      <c r="E3421" s="2" t="str">
        <f>"机电工程学院"</f>
        <v>机电工程学院</v>
      </c>
    </row>
    <row r="3422" ht="13.5" hidden="1" spans="1:5">
      <c r="A3422" s="2" t="str">
        <f>"吴梦瑶"</f>
        <v>吴梦瑶</v>
      </c>
      <c r="B3422" s="2" t="str">
        <f>"B20230802230"</f>
        <v>B20230802230</v>
      </c>
      <c r="C3422" s="2" t="str">
        <f t="shared" ref="C3422:C3426" si="841">"女"</f>
        <v>女</v>
      </c>
      <c r="D3422" s="2" t="str">
        <f t="shared" si="835"/>
        <v>7</v>
      </c>
      <c r="E3422" s="2" t="str">
        <f>"外国语学院"</f>
        <v>外国语学院</v>
      </c>
    </row>
    <row r="3423" ht="13.5" hidden="1" spans="1:5">
      <c r="A3423" s="2" t="str">
        <f>"易思楷"</f>
        <v>易思楷</v>
      </c>
      <c r="B3423" s="2" t="str">
        <f>"B20230202229"</f>
        <v>B20230202229</v>
      </c>
      <c r="C3423" s="2" t="str">
        <f t="shared" ref="C3423:C3428" si="842">"男"</f>
        <v>男</v>
      </c>
      <c r="D3423" s="2" t="str">
        <f t="shared" si="835"/>
        <v>7</v>
      </c>
      <c r="E3423" s="2" t="str">
        <f>"机电工程学院"</f>
        <v>机电工程学院</v>
      </c>
    </row>
    <row r="3424" ht="13.5" hidden="1" spans="1:5">
      <c r="A3424" s="2" t="str">
        <f>"石镜妃"</f>
        <v>石镜妃</v>
      </c>
      <c r="B3424" s="2" t="str">
        <f>"B20220903124"</f>
        <v>B20220903124</v>
      </c>
      <c r="C3424" s="2" t="str">
        <f t="shared" si="841"/>
        <v>女</v>
      </c>
      <c r="D3424" s="2" t="str">
        <f t="shared" si="835"/>
        <v>7</v>
      </c>
      <c r="E3424" s="2" t="str">
        <f>"经济与管理学院"</f>
        <v>经济与管理学院</v>
      </c>
    </row>
    <row r="3425" customHeight="1" spans="1:5">
      <c r="A3425" s="6" t="str">
        <f>"杨启凡"</f>
        <v>杨启凡</v>
      </c>
      <c r="B3425" s="6" t="str">
        <f>"B20210304330"</f>
        <v>B20210304330</v>
      </c>
      <c r="C3425" s="6" t="str">
        <f>"男"</f>
        <v>男</v>
      </c>
      <c r="D3425" s="7" t="str">
        <f>"16"</f>
        <v>16</v>
      </c>
      <c r="E3425" s="6" t="str">
        <f>"计算机科学与工程学院"</f>
        <v>计算机科学与工程学院</v>
      </c>
    </row>
    <row r="3426" ht="13.5" hidden="1" spans="1:5">
      <c r="A3426" s="2" t="str">
        <f>"徐彬宾"</f>
        <v>徐彬宾</v>
      </c>
      <c r="B3426" s="2" t="str">
        <f>"B20231001306"</f>
        <v>B20231001306</v>
      </c>
      <c r="C3426" s="2" t="str">
        <f t="shared" si="841"/>
        <v>女</v>
      </c>
      <c r="D3426" s="2" t="str">
        <f t="shared" si="835"/>
        <v>7</v>
      </c>
      <c r="E3426" s="2" t="str">
        <f>"艺术设计学院"</f>
        <v>艺术设计学院</v>
      </c>
    </row>
    <row r="3427" ht="13.5" hidden="1" spans="1:5">
      <c r="A3427" s="2" t="str">
        <f>"马子尧"</f>
        <v>马子尧</v>
      </c>
      <c r="B3427" s="2" t="str">
        <f>"B20200503206"</f>
        <v>B20200503206</v>
      </c>
      <c r="C3427" s="2" t="str">
        <f t="shared" si="842"/>
        <v>男</v>
      </c>
      <c r="D3427" s="2" t="str">
        <f t="shared" si="835"/>
        <v>7</v>
      </c>
      <c r="E3427" s="2" t="str">
        <f>"生物与环境工程学院"</f>
        <v>生物与环境工程学院</v>
      </c>
    </row>
    <row r="3428" ht="13.5" hidden="1" spans="1:5">
      <c r="A3428" s="2" t="str">
        <f>"唐祺康"</f>
        <v>唐祺康</v>
      </c>
      <c r="B3428" s="2" t="str">
        <f>"B20221302319"</f>
        <v>B20221302319</v>
      </c>
      <c r="C3428" s="2" t="str">
        <f t="shared" si="842"/>
        <v>男</v>
      </c>
      <c r="D3428" s="2" t="str">
        <f t="shared" si="835"/>
        <v>7</v>
      </c>
      <c r="E3428" s="2" t="str">
        <f>"材料与环境工程学院"</f>
        <v>材料与环境工程学院</v>
      </c>
    </row>
    <row r="3429" ht="13.5" hidden="1" spans="1:5">
      <c r="A3429" s="2" t="str">
        <f>"贺子琪"</f>
        <v>贺子琪</v>
      </c>
      <c r="B3429" s="2" t="str">
        <f>"B20200904121"</f>
        <v>B20200904121</v>
      </c>
      <c r="C3429" s="2" t="str">
        <f t="shared" ref="C3429:C3431" si="843">"女"</f>
        <v>女</v>
      </c>
      <c r="D3429" s="2" t="str">
        <f t="shared" si="835"/>
        <v>7</v>
      </c>
      <c r="E3429" s="2" t="str">
        <f>"经济与管理学院"</f>
        <v>经济与管理学院</v>
      </c>
    </row>
    <row r="3430" ht="13.5" hidden="1" spans="1:5">
      <c r="A3430" s="2" t="str">
        <f>"何湘"</f>
        <v>何湘</v>
      </c>
      <c r="B3430" s="2" t="str">
        <f>"B20200703120"</f>
        <v>B20200703120</v>
      </c>
      <c r="C3430" s="2" t="str">
        <f t="shared" si="843"/>
        <v>女</v>
      </c>
      <c r="D3430" s="2" t="str">
        <f t="shared" si="835"/>
        <v>7</v>
      </c>
      <c r="E3430" s="2" t="str">
        <f>"马栏山新媒体学院"</f>
        <v>马栏山新媒体学院</v>
      </c>
    </row>
    <row r="3431" customHeight="1" spans="1:5">
      <c r="A3431" s="6" t="str">
        <f>"李云谦"</f>
        <v>李云谦</v>
      </c>
      <c r="B3431" s="6" t="str">
        <f>"B20210304332"</f>
        <v>B20210304332</v>
      </c>
      <c r="C3431" s="6" t="str">
        <f t="shared" si="843"/>
        <v>女</v>
      </c>
      <c r="D3431" s="7" t="str">
        <f>"12"</f>
        <v>12</v>
      </c>
      <c r="E3431" s="6" t="str">
        <f>"计算机科学与工程学院"</f>
        <v>计算机科学与工程学院</v>
      </c>
    </row>
    <row r="3432" ht="13.5" hidden="1" spans="1:5">
      <c r="A3432" s="2" t="str">
        <f>"秦俊博"</f>
        <v>秦俊博</v>
      </c>
      <c r="B3432" s="2" t="str">
        <f>"B20220204418"</f>
        <v>B20220204418</v>
      </c>
      <c r="C3432" s="2" t="str">
        <f t="shared" ref="C3432:C3435" si="844">"男"</f>
        <v>男</v>
      </c>
      <c r="D3432" s="2" t="str">
        <f t="shared" si="835"/>
        <v>7</v>
      </c>
      <c r="E3432" s="2" t="str">
        <f>"机电工程学院"</f>
        <v>机电工程学院</v>
      </c>
    </row>
    <row r="3433" ht="13.5" hidden="1" spans="1:5">
      <c r="A3433" s="2" t="str">
        <f>"谌杨为乐"</f>
        <v>谌杨为乐</v>
      </c>
      <c r="B3433" s="2" t="str">
        <f>"B20210601413"</f>
        <v>B20210601413</v>
      </c>
      <c r="C3433" s="2" t="str">
        <f t="shared" si="844"/>
        <v>男</v>
      </c>
      <c r="D3433" s="2" t="str">
        <f t="shared" si="835"/>
        <v>7</v>
      </c>
      <c r="E3433" s="2" t="str">
        <f>"法学院"</f>
        <v>法学院</v>
      </c>
    </row>
    <row r="3434" ht="13.5" hidden="1" spans="1:5">
      <c r="A3434" s="2" t="str">
        <f>"张影"</f>
        <v>张影</v>
      </c>
      <c r="B3434" s="2" t="str">
        <f>"B20210401426"</f>
        <v>B20210401426</v>
      </c>
      <c r="C3434" s="2" t="str">
        <f t="shared" si="844"/>
        <v>男</v>
      </c>
      <c r="D3434" s="2" t="str">
        <f t="shared" si="835"/>
        <v>7</v>
      </c>
      <c r="E3434" s="2" t="str">
        <f>"电子信息与电气工程学院"</f>
        <v>电子信息与电气工程学院</v>
      </c>
    </row>
    <row r="3435" ht="13.5" hidden="1" spans="1:5">
      <c r="A3435" s="2" t="str">
        <f>"金德省"</f>
        <v>金德省</v>
      </c>
      <c r="B3435" s="2" t="str">
        <f>"B20211101331"</f>
        <v>B20211101331</v>
      </c>
      <c r="C3435" s="2" t="str">
        <f t="shared" si="844"/>
        <v>男</v>
      </c>
      <c r="D3435" s="2" t="str">
        <f t="shared" si="835"/>
        <v>7</v>
      </c>
      <c r="E3435" s="2" t="str">
        <f>"音乐学院"</f>
        <v>音乐学院</v>
      </c>
    </row>
    <row r="3436" ht="13.5" hidden="1" spans="1:5">
      <c r="A3436" s="2" t="str">
        <f>"龙思颖"</f>
        <v>龙思颖</v>
      </c>
      <c r="B3436" s="2" t="str">
        <f>"B20220901203"</f>
        <v>B20220901203</v>
      </c>
      <c r="C3436" s="2" t="str">
        <f t="shared" ref="C3436:C3438" si="845">"女"</f>
        <v>女</v>
      </c>
      <c r="D3436" s="2" t="str">
        <f t="shared" si="835"/>
        <v>7</v>
      </c>
      <c r="E3436" s="2" t="str">
        <f>"经济与管理学院"</f>
        <v>经济与管理学院</v>
      </c>
    </row>
    <row r="3437" ht="13.5" hidden="1" spans="1:5">
      <c r="A3437" s="2" t="str">
        <f>"龙嘉慧"</f>
        <v>龙嘉慧</v>
      </c>
      <c r="B3437" s="2" t="str">
        <f>"B20220803218"</f>
        <v>B20220803218</v>
      </c>
      <c r="C3437" s="2" t="str">
        <f t="shared" si="845"/>
        <v>女</v>
      </c>
      <c r="D3437" s="2" t="str">
        <f t="shared" si="835"/>
        <v>7</v>
      </c>
      <c r="E3437" s="2" t="str">
        <f>"外国语学院"</f>
        <v>外国语学院</v>
      </c>
    </row>
    <row r="3438" ht="13.5" hidden="1" spans="1:5">
      <c r="A3438" s="2" t="str">
        <f>"莫依兰"</f>
        <v>莫依兰</v>
      </c>
      <c r="B3438" s="2" t="str">
        <f>"B20230703307"</f>
        <v>B20230703307</v>
      </c>
      <c r="C3438" s="2" t="str">
        <f t="shared" si="845"/>
        <v>女</v>
      </c>
      <c r="D3438" s="2" t="str">
        <f t="shared" si="835"/>
        <v>7</v>
      </c>
      <c r="E3438" s="2" t="str">
        <f>"马栏山新媒体学院"</f>
        <v>马栏山新媒体学院</v>
      </c>
    </row>
    <row r="3439" ht="13.5" hidden="1" spans="1:5">
      <c r="A3439" s="2" t="str">
        <f>"唐鹏"</f>
        <v>唐鹏</v>
      </c>
      <c r="B3439" s="2" t="str">
        <f>"B20220202417"</f>
        <v>B20220202417</v>
      </c>
      <c r="C3439" s="2" t="str">
        <f t="shared" ref="C3439:C3445" si="846">"男"</f>
        <v>男</v>
      </c>
      <c r="D3439" s="2" t="str">
        <f t="shared" si="835"/>
        <v>7</v>
      </c>
      <c r="E3439" s="2" t="str">
        <f>"机电工程学院"</f>
        <v>机电工程学院</v>
      </c>
    </row>
    <row r="3440" ht="13.5" hidden="1" spans="1:5">
      <c r="A3440" s="2" t="str">
        <f>"曹语萱"</f>
        <v>曹语萱</v>
      </c>
      <c r="B3440" s="2" t="str">
        <f>"B20230205311"</f>
        <v>B20230205311</v>
      </c>
      <c r="C3440" s="2" t="str">
        <f t="shared" ref="C3440:C3442" si="847">"女"</f>
        <v>女</v>
      </c>
      <c r="D3440" s="2" t="str">
        <f t="shared" si="835"/>
        <v>7</v>
      </c>
      <c r="E3440" s="2" t="str">
        <f>"机电工程学院"</f>
        <v>机电工程学院</v>
      </c>
    </row>
    <row r="3441" ht="13.5" hidden="1" spans="1:5">
      <c r="A3441" s="2" t="str">
        <f>"易俊彤"</f>
        <v>易俊彤</v>
      </c>
      <c r="B3441" s="2" t="str">
        <f>"B20230103110"</f>
        <v>B20230103110</v>
      </c>
      <c r="C3441" s="2" t="str">
        <f t="shared" si="847"/>
        <v>女</v>
      </c>
      <c r="D3441" s="2" t="str">
        <f t="shared" si="835"/>
        <v>7</v>
      </c>
      <c r="E3441" s="2" t="str">
        <f>"土木工程学院"</f>
        <v>土木工程学院</v>
      </c>
    </row>
    <row r="3442" ht="13.5" hidden="1" spans="1:5">
      <c r="A3442" s="2" t="str">
        <f>"易湘娜"</f>
        <v>易湘娜</v>
      </c>
      <c r="B3442" s="2" t="str">
        <f>"B20220903227"</f>
        <v>B20220903227</v>
      </c>
      <c r="C3442" s="2" t="str">
        <f t="shared" si="847"/>
        <v>女</v>
      </c>
      <c r="D3442" s="2" t="str">
        <f t="shared" si="835"/>
        <v>7</v>
      </c>
      <c r="E3442" s="2" t="str">
        <f>"经济与管理学院"</f>
        <v>经济与管理学院</v>
      </c>
    </row>
    <row r="3443" ht="13.5" hidden="1" spans="1:5">
      <c r="A3443" s="2" t="str">
        <f>"于啸"</f>
        <v>于啸</v>
      </c>
      <c r="B3443" s="2" t="str">
        <f>"B20230402234"</f>
        <v>B20230402234</v>
      </c>
      <c r="C3443" s="2" t="str">
        <f t="shared" si="846"/>
        <v>男</v>
      </c>
      <c r="D3443" s="2" t="str">
        <f t="shared" si="835"/>
        <v>7</v>
      </c>
      <c r="E3443" s="2" t="str">
        <f t="shared" ref="E3443:E3445" si="848">"电子信息与电气工程学院"</f>
        <v>电子信息与电气工程学院</v>
      </c>
    </row>
    <row r="3444" ht="13.5" hidden="1" spans="1:5">
      <c r="A3444" s="2" t="str">
        <f>"刘观飞"</f>
        <v>刘观飞</v>
      </c>
      <c r="B3444" s="2" t="str">
        <f>"B20230401323"</f>
        <v>B20230401323</v>
      </c>
      <c r="C3444" s="2" t="str">
        <f t="shared" si="846"/>
        <v>男</v>
      </c>
      <c r="D3444" s="2" t="str">
        <f t="shared" si="835"/>
        <v>7</v>
      </c>
      <c r="E3444" s="2" t="str">
        <f t="shared" si="848"/>
        <v>电子信息与电气工程学院</v>
      </c>
    </row>
    <row r="3445" ht="13.5" hidden="1" spans="1:5">
      <c r="A3445" s="2" t="str">
        <f>"彭彦燊"</f>
        <v>彭彦燊</v>
      </c>
      <c r="B3445" s="2" t="str">
        <f>"B20200401224"</f>
        <v>B20200401224</v>
      </c>
      <c r="C3445" s="2" t="str">
        <f t="shared" si="846"/>
        <v>男</v>
      </c>
      <c r="D3445" s="2" t="str">
        <f t="shared" si="835"/>
        <v>7</v>
      </c>
      <c r="E3445" s="2" t="str">
        <f t="shared" si="848"/>
        <v>电子信息与电气工程学院</v>
      </c>
    </row>
    <row r="3446" ht="13.5" hidden="1" spans="1:5">
      <c r="A3446" s="2" t="str">
        <f>"曾莹"</f>
        <v>曾莹</v>
      </c>
      <c r="B3446" s="2" t="str">
        <f>"B20201101316"</f>
        <v>B20201101316</v>
      </c>
      <c r="C3446" s="2" t="str">
        <f t="shared" ref="C3446:C3451" si="849">"女"</f>
        <v>女</v>
      </c>
      <c r="D3446" s="2" t="str">
        <f t="shared" si="835"/>
        <v>7</v>
      </c>
      <c r="E3446" s="2" t="str">
        <f>"音乐学院"</f>
        <v>音乐学院</v>
      </c>
    </row>
    <row r="3447" ht="13.5" hidden="1" spans="1:5">
      <c r="A3447" s="2" t="str">
        <f>"孙卓"</f>
        <v>孙卓</v>
      </c>
      <c r="B3447" s="2" t="str">
        <f>"B20230403301"</f>
        <v>B20230403301</v>
      </c>
      <c r="C3447" s="2" t="str">
        <f>"男"</f>
        <v>男</v>
      </c>
      <c r="D3447" s="2" t="str">
        <f t="shared" si="835"/>
        <v>7</v>
      </c>
      <c r="E3447" s="2" t="str">
        <f>"电子信息与电气工程学院"</f>
        <v>电子信息与电气工程学院</v>
      </c>
    </row>
    <row r="3448" ht="13.5" hidden="1" spans="1:5">
      <c r="A3448" s="2" t="str">
        <f>"李赛赛"</f>
        <v>李赛赛</v>
      </c>
      <c r="B3448" s="2" t="str">
        <f>"B20210101108"</f>
        <v>B20210101108</v>
      </c>
      <c r="C3448" s="2" t="str">
        <f t="shared" si="849"/>
        <v>女</v>
      </c>
      <c r="D3448" s="2" t="str">
        <f t="shared" si="835"/>
        <v>7</v>
      </c>
      <c r="E3448" s="2" t="str">
        <f>"土木工程学院"</f>
        <v>土木工程学院</v>
      </c>
    </row>
    <row r="3449" ht="13.5" hidden="1" spans="1:5">
      <c r="A3449" s="2" t="str">
        <f>"黄舒楠"</f>
        <v>黄舒楠</v>
      </c>
      <c r="B3449" s="2" t="str">
        <f>"B20230801229"</f>
        <v>B20230801229</v>
      </c>
      <c r="C3449" s="2" t="str">
        <f t="shared" si="849"/>
        <v>女</v>
      </c>
      <c r="D3449" s="2" t="str">
        <f t="shared" si="835"/>
        <v>7</v>
      </c>
      <c r="E3449" s="2" t="str">
        <f>"外国语学院"</f>
        <v>外国语学院</v>
      </c>
    </row>
    <row r="3450" ht="13.5" hidden="1" spans="1:5">
      <c r="A3450" s="2" t="str">
        <f>"房心茹"</f>
        <v>房心茹</v>
      </c>
      <c r="B3450" s="2" t="str">
        <f>"B20220705121"</f>
        <v>B20220705121</v>
      </c>
      <c r="C3450" s="2" t="str">
        <f t="shared" si="849"/>
        <v>女</v>
      </c>
      <c r="D3450" s="2" t="str">
        <f t="shared" si="835"/>
        <v>7</v>
      </c>
      <c r="E3450" s="2" t="str">
        <f>"马栏山新媒体学院"</f>
        <v>马栏山新媒体学院</v>
      </c>
    </row>
    <row r="3451" ht="13.5" hidden="1" spans="1:5">
      <c r="A3451" s="2" t="str">
        <f>"钟燕媛"</f>
        <v>钟燕媛</v>
      </c>
      <c r="B3451" s="2" t="str">
        <f>"B20230702421"</f>
        <v>B20230702421</v>
      </c>
      <c r="C3451" s="2" t="str">
        <f t="shared" si="849"/>
        <v>女</v>
      </c>
      <c r="D3451" s="2" t="str">
        <f t="shared" si="835"/>
        <v>7</v>
      </c>
      <c r="E3451" s="2" t="str">
        <f>"马栏山新媒体学院"</f>
        <v>马栏山新媒体学院</v>
      </c>
    </row>
    <row r="3452" ht="13.5" hidden="1" spans="1:5">
      <c r="A3452" s="2" t="str">
        <f>"熊思毅"</f>
        <v>熊思毅</v>
      </c>
      <c r="B3452" s="2" t="str">
        <f>"B20230906105"</f>
        <v>B20230906105</v>
      </c>
      <c r="C3452" s="2" t="str">
        <f t="shared" ref="C3452:C3455" si="850">"男"</f>
        <v>男</v>
      </c>
      <c r="D3452" s="2" t="str">
        <f t="shared" si="835"/>
        <v>7</v>
      </c>
      <c r="E3452" s="2" t="str">
        <f>"经济与管理学院"</f>
        <v>经济与管理学院</v>
      </c>
    </row>
    <row r="3453" ht="13.5" hidden="1" spans="1:5">
      <c r="A3453" s="2" t="str">
        <f>"刘松柏"</f>
        <v>刘松柏</v>
      </c>
      <c r="B3453" s="2" t="str">
        <f>"B20230601221"</f>
        <v>B20230601221</v>
      </c>
      <c r="C3453" s="2" t="str">
        <f t="shared" si="850"/>
        <v>男</v>
      </c>
      <c r="D3453" s="2" t="str">
        <f t="shared" si="835"/>
        <v>7</v>
      </c>
      <c r="E3453" s="2" t="str">
        <f>"法学院"</f>
        <v>法学院</v>
      </c>
    </row>
    <row r="3454" ht="13.5" hidden="1" spans="1:5">
      <c r="A3454" s="2" t="str">
        <f>"张亚芳"</f>
        <v>张亚芳</v>
      </c>
      <c r="B3454" s="2" t="str">
        <f>"B20220803107"</f>
        <v>B20220803107</v>
      </c>
      <c r="C3454" s="2" t="str">
        <f t="shared" ref="C3454:C3458" si="851">"女"</f>
        <v>女</v>
      </c>
      <c r="D3454" s="2" t="str">
        <f t="shared" si="835"/>
        <v>7</v>
      </c>
      <c r="E3454" s="2" t="str">
        <f>"外国语学院"</f>
        <v>外国语学院</v>
      </c>
    </row>
    <row r="3455" customHeight="1" spans="1:5">
      <c r="A3455" s="6" t="str">
        <f>"姚萱妮"</f>
        <v>姚萱妮</v>
      </c>
      <c r="B3455" s="6" t="str">
        <f>"B20210304403"</f>
        <v>B20210304403</v>
      </c>
      <c r="C3455" s="6" t="str">
        <f t="shared" si="851"/>
        <v>女</v>
      </c>
      <c r="D3455" s="7" t="str">
        <f>"6"</f>
        <v>6</v>
      </c>
      <c r="E3455" s="6" t="str">
        <f>"计算机科学与工程学院"</f>
        <v>计算机科学与工程学院</v>
      </c>
    </row>
    <row r="3456" ht="13.5" hidden="1" spans="1:5">
      <c r="A3456" s="2" t="str">
        <f>"王语馨"</f>
        <v>王语馨</v>
      </c>
      <c r="B3456" s="2" t="str">
        <f>"B20230104203"</f>
        <v>B20230104203</v>
      </c>
      <c r="C3456" s="2" t="str">
        <f t="shared" si="851"/>
        <v>女</v>
      </c>
      <c r="D3456" s="2" t="str">
        <f t="shared" si="835"/>
        <v>7</v>
      </c>
      <c r="E3456" s="2" t="str">
        <f t="shared" ref="E3456:E3461" si="852">"土木工程学院"</f>
        <v>土木工程学院</v>
      </c>
    </row>
    <row r="3457" customHeight="1" spans="1:5">
      <c r="A3457" s="6" t="str">
        <f>"石嘉豪"</f>
        <v>石嘉豪</v>
      </c>
      <c r="B3457" s="6" t="str">
        <f>"B20210304405"</f>
        <v>B20210304405</v>
      </c>
      <c r="C3457" s="6" t="str">
        <f>"男"</f>
        <v>男</v>
      </c>
      <c r="D3457" s="7" t="str">
        <f>"10"</f>
        <v>10</v>
      </c>
      <c r="E3457" s="6" t="str">
        <f>"计算机科学与工程学院"</f>
        <v>计算机科学与工程学院</v>
      </c>
    </row>
    <row r="3458" customHeight="1" spans="1:5">
      <c r="A3458" s="6" t="str">
        <f>"张雨辰"</f>
        <v>张雨辰</v>
      </c>
      <c r="B3458" s="6" t="str">
        <f>"B20210304406"</f>
        <v>B20210304406</v>
      </c>
      <c r="C3458" s="6" t="str">
        <f>"男"</f>
        <v>男</v>
      </c>
      <c r="D3458" s="7" t="str">
        <f>"7"</f>
        <v>7</v>
      </c>
      <c r="E3458" s="6" t="str">
        <f>"计算机科学与工程学院"</f>
        <v>计算机科学与工程学院</v>
      </c>
    </row>
    <row r="3459" ht="13.5" hidden="1" spans="1:5">
      <c r="A3459" s="2" t="str">
        <f>"王洋"</f>
        <v>王洋</v>
      </c>
      <c r="B3459" s="2" t="str">
        <f>"B20210102122"</f>
        <v>B20210102122</v>
      </c>
      <c r="C3459" s="2" t="str">
        <f t="shared" ref="C3457:C3465" si="853">"男"</f>
        <v>男</v>
      </c>
      <c r="D3459" s="2" t="str">
        <f t="shared" si="835"/>
        <v>7</v>
      </c>
      <c r="E3459" s="2" t="str">
        <f t="shared" si="852"/>
        <v>土木工程学院</v>
      </c>
    </row>
    <row r="3460" ht="13.5" hidden="1" spans="1:5">
      <c r="A3460" s="2" t="str">
        <f>"谭政添"</f>
        <v>谭政添</v>
      </c>
      <c r="B3460" s="2" t="str">
        <f>"B20200701222"</f>
        <v>B20200701222</v>
      </c>
      <c r="C3460" s="2" t="str">
        <f t="shared" si="853"/>
        <v>男</v>
      </c>
      <c r="D3460" s="2" t="str">
        <f t="shared" si="835"/>
        <v>7</v>
      </c>
      <c r="E3460" s="2" t="str">
        <f>"马栏山新媒体学院"</f>
        <v>马栏山新媒体学院</v>
      </c>
    </row>
    <row r="3461" ht="13.5" hidden="1" spans="1:5">
      <c r="A3461" s="2" t="str">
        <f>"王霄"</f>
        <v>王霄</v>
      </c>
      <c r="B3461" s="2" t="str">
        <f>"B20230102130"</f>
        <v>B20230102130</v>
      </c>
      <c r="C3461" s="2" t="str">
        <f t="shared" si="853"/>
        <v>男</v>
      </c>
      <c r="D3461" s="2" t="str">
        <f t="shared" si="835"/>
        <v>7</v>
      </c>
      <c r="E3461" s="2" t="str">
        <f t="shared" si="852"/>
        <v>土木工程学院</v>
      </c>
    </row>
    <row r="3462" ht="13.5" hidden="1" spans="1:5">
      <c r="A3462" s="2" t="str">
        <f>"陈佳炜"</f>
        <v>陈佳炜</v>
      </c>
      <c r="B3462" s="2" t="str">
        <f>"B20230701131"</f>
        <v>B20230701131</v>
      </c>
      <c r="C3462" s="2" t="str">
        <f t="shared" si="853"/>
        <v>男</v>
      </c>
      <c r="D3462" s="2" t="str">
        <f t="shared" si="835"/>
        <v>7</v>
      </c>
      <c r="E3462" s="2" t="str">
        <f>"马栏山新媒体学院"</f>
        <v>马栏山新媒体学院</v>
      </c>
    </row>
    <row r="3463" ht="13.5" hidden="1" spans="1:5">
      <c r="A3463" s="2" t="str">
        <f>"陈富强"</f>
        <v>陈富强</v>
      </c>
      <c r="B3463" s="2" t="str">
        <f>"B20200204103"</f>
        <v>B20200204103</v>
      </c>
      <c r="C3463" s="2" t="str">
        <f t="shared" si="853"/>
        <v>男</v>
      </c>
      <c r="D3463" s="2" t="str">
        <f t="shared" si="835"/>
        <v>7</v>
      </c>
      <c r="E3463" s="2" t="str">
        <f>"机电工程学院"</f>
        <v>机电工程学院</v>
      </c>
    </row>
    <row r="3464" ht="13.5" hidden="1" spans="1:5">
      <c r="A3464" s="2" t="str">
        <f>"张灿"</f>
        <v>张灿</v>
      </c>
      <c r="B3464" s="2" t="str">
        <f>"B20220501230"</f>
        <v>B20220501230</v>
      </c>
      <c r="C3464" s="2" t="str">
        <f t="shared" si="853"/>
        <v>男</v>
      </c>
      <c r="D3464" s="2" t="str">
        <f t="shared" si="835"/>
        <v>7</v>
      </c>
      <c r="E3464" s="2" t="str">
        <f>"生物与化学工程学院"</f>
        <v>生物与化学工程学院</v>
      </c>
    </row>
    <row r="3465" customHeight="1" spans="1:5">
      <c r="A3465" s="6" t="str">
        <f>"董哲铭"</f>
        <v>董哲铭</v>
      </c>
      <c r="B3465" s="6" t="str">
        <f>"B20210304407"</f>
        <v>B20210304407</v>
      </c>
      <c r="C3465" s="6" t="str">
        <f t="shared" si="853"/>
        <v>男</v>
      </c>
      <c r="D3465" s="7" t="str">
        <f>"8"</f>
        <v>8</v>
      </c>
      <c r="E3465" s="6" t="str">
        <f>"计算机科学与工程学院"</f>
        <v>计算机科学与工程学院</v>
      </c>
    </row>
    <row r="3466" ht="13.5" hidden="1" spans="1:5">
      <c r="A3466" s="2" t="str">
        <f>"胡湘"</f>
        <v>胡湘</v>
      </c>
      <c r="B3466" s="2" t="str">
        <f>"B20200701244"</f>
        <v>B20200701244</v>
      </c>
      <c r="C3466" s="2" t="str">
        <f>"女"</f>
        <v>女</v>
      </c>
      <c r="D3466" s="2" t="str">
        <f t="shared" si="835"/>
        <v>7</v>
      </c>
      <c r="E3466" s="2" t="str">
        <f>"马栏山新媒体学院"</f>
        <v>马栏山新媒体学院</v>
      </c>
    </row>
    <row r="3467" ht="13.5" hidden="1" spans="1:5">
      <c r="A3467" s="2" t="str">
        <f>"秦振豪"</f>
        <v>秦振豪</v>
      </c>
      <c r="B3467" s="2" t="str">
        <f>"B20200402229"</f>
        <v>B20200402229</v>
      </c>
      <c r="C3467" s="2" t="str">
        <f t="shared" ref="C3467:C3472" si="854">"男"</f>
        <v>男</v>
      </c>
      <c r="D3467" s="2" t="str">
        <f t="shared" si="835"/>
        <v>7</v>
      </c>
      <c r="E3467" s="2" t="str">
        <f>"电子信息与电气工程学院"</f>
        <v>电子信息与电气工程学院</v>
      </c>
    </row>
    <row r="3468" customHeight="1" spans="1:5">
      <c r="A3468" s="6" t="str">
        <f>"李松骏"</f>
        <v>李松骏</v>
      </c>
      <c r="B3468" s="6" t="str">
        <f>"B20210304408"</f>
        <v>B20210304408</v>
      </c>
      <c r="C3468" s="6" t="str">
        <f t="shared" si="854"/>
        <v>男</v>
      </c>
      <c r="D3468" s="7" t="str">
        <f t="shared" si="835"/>
        <v>7</v>
      </c>
      <c r="E3468" s="6" t="str">
        <f>"计算机科学与工程学院"</f>
        <v>计算机科学与工程学院</v>
      </c>
    </row>
    <row r="3469" ht="13.5" hidden="1" spans="1:5">
      <c r="A3469" s="2" t="str">
        <f>"邓春梅"</f>
        <v>邓春梅</v>
      </c>
      <c r="B3469" s="2" t="str">
        <f>"B20230601530"</f>
        <v>B20230601530</v>
      </c>
      <c r="C3469" s="2" t="str">
        <f t="shared" ref="C3469:C3474" si="855">"女"</f>
        <v>女</v>
      </c>
      <c r="D3469" s="2" t="str">
        <f t="shared" si="835"/>
        <v>7</v>
      </c>
      <c r="E3469" s="2" t="str">
        <f>"法学院"</f>
        <v>法学院</v>
      </c>
    </row>
    <row r="3470" ht="13.5" hidden="1" spans="1:5">
      <c r="A3470" s="2" t="str">
        <f>"王俊池"</f>
        <v>王俊池</v>
      </c>
      <c r="B3470" s="2" t="str">
        <f>"B20220501137"</f>
        <v>B20220501137</v>
      </c>
      <c r="C3470" s="2" t="str">
        <f t="shared" si="854"/>
        <v>男</v>
      </c>
      <c r="D3470" s="2" t="str">
        <f t="shared" si="835"/>
        <v>7</v>
      </c>
      <c r="E3470" s="2" t="str">
        <f>"生物与化学工程学院"</f>
        <v>生物与化学工程学院</v>
      </c>
    </row>
    <row r="3471" customHeight="1" spans="1:5">
      <c r="A3471" s="6" t="str">
        <f>"王政"</f>
        <v>王政</v>
      </c>
      <c r="B3471" s="6" t="str">
        <f>"B20210304410"</f>
        <v>B20210304410</v>
      </c>
      <c r="C3471" s="6" t="str">
        <f t="shared" si="854"/>
        <v>男</v>
      </c>
      <c r="D3471" s="7" t="str">
        <f>"6"</f>
        <v>6</v>
      </c>
      <c r="E3471" s="6" t="str">
        <f>"计算机科学与工程学院"</f>
        <v>计算机科学与工程学院</v>
      </c>
    </row>
    <row r="3472" ht="13.5" hidden="1" spans="1:5">
      <c r="A3472" s="2" t="str">
        <f>"曾熹远"</f>
        <v>曾熹远</v>
      </c>
      <c r="B3472" s="2" t="str">
        <f>"B20230501235"</f>
        <v>B20230501235</v>
      </c>
      <c r="C3472" s="2" t="str">
        <f t="shared" si="854"/>
        <v>男</v>
      </c>
      <c r="D3472" s="2" t="str">
        <f t="shared" ref="D3471:D3534" si="856">"7"</f>
        <v>7</v>
      </c>
      <c r="E3472" s="2" t="str">
        <f>"生物与化学工程学院"</f>
        <v>生物与化学工程学院</v>
      </c>
    </row>
    <row r="3473" ht="13.5" hidden="1" spans="1:5">
      <c r="A3473" s="2" t="str">
        <f>"戴心怡"</f>
        <v>戴心怡</v>
      </c>
      <c r="B3473" s="2" t="str">
        <f>"B20230704311"</f>
        <v>B20230704311</v>
      </c>
      <c r="C3473" s="2" t="str">
        <f t="shared" si="855"/>
        <v>女</v>
      </c>
      <c r="D3473" s="2" t="str">
        <f t="shared" si="856"/>
        <v>7</v>
      </c>
      <c r="E3473" s="2" t="str">
        <f>"马栏山新媒体学院"</f>
        <v>马栏山新媒体学院</v>
      </c>
    </row>
    <row r="3474" ht="13.5" hidden="1" spans="1:5">
      <c r="A3474" s="2" t="str">
        <f>"周林倩"</f>
        <v>周林倩</v>
      </c>
      <c r="B3474" s="2" t="str">
        <f>"B20200102106"</f>
        <v>B20200102106</v>
      </c>
      <c r="C3474" s="2" t="str">
        <f t="shared" si="855"/>
        <v>女</v>
      </c>
      <c r="D3474" s="2" t="str">
        <f t="shared" si="856"/>
        <v>7</v>
      </c>
      <c r="E3474" s="2" t="str">
        <f>"土木工程学院"</f>
        <v>土木工程学院</v>
      </c>
    </row>
    <row r="3475" ht="13.5" hidden="1" spans="1:5">
      <c r="A3475" s="2" t="str">
        <f>"王双旗"</f>
        <v>王双旗</v>
      </c>
      <c r="B3475" s="2" t="str">
        <f>"B20220402205"</f>
        <v>B20220402205</v>
      </c>
      <c r="C3475" s="2" t="str">
        <f t="shared" ref="C3475:C3478" si="857">"男"</f>
        <v>男</v>
      </c>
      <c r="D3475" s="2" t="str">
        <f t="shared" si="856"/>
        <v>7</v>
      </c>
      <c r="E3475" s="2" t="str">
        <f>"电子信息与电气工程学院"</f>
        <v>电子信息与电气工程学院</v>
      </c>
    </row>
    <row r="3476" ht="13.5" hidden="1" spans="1:5">
      <c r="A3476" s="2" t="str">
        <f>"熊文懿"</f>
        <v>熊文懿</v>
      </c>
      <c r="B3476" s="2" t="str">
        <f>"B20230402209"</f>
        <v>B20230402209</v>
      </c>
      <c r="C3476" s="2" t="str">
        <f t="shared" si="857"/>
        <v>男</v>
      </c>
      <c r="D3476" s="2" t="str">
        <f t="shared" si="856"/>
        <v>7</v>
      </c>
      <c r="E3476" s="2" t="str">
        <f>"电子信息与电气工程学院"</f>
        <v>电子信息与电气工程学院</v>
      </c>
    </row>
    <row r="3477" customHeight="1" spans="1:5">
      <c r="A3477" s="6" t="str">
        <f>"谭楚杨"</f>
        <v>谭楚杨</v>
      </c>
      <c r="B3477" s="6" t="str">
        <f>"B20210304411"</f>
        <v>B20210304411</v>
      </c>
      <c r="C3477" s="6" t="str">
        <f t="shared" si="857"/>
        <v>男</v>
      </c>
      <c r="D3477" s="7" t="str">
        <f>"12"</f>
        <v>12</v>
      </c>
      <c r="E3477" s="6" t="str">
        <f>"计算机科学与工程学院"</f>
        <v>计算机科学与工程学院</v>
      </c>
    </row>
    <row r="3478" customHeight="1" spans="1:5">
      <c r="A3478" s="6" t="str">
        <f>"龚稳"</f>
        <v>龚稳</v>
      </c>
      <c r="B3478" s="6" t="str">
        <f>"B20210304412"</f>
        <v>B20210304412</v>
      </c>
      <c r="C3478" s="6" t="str">
        <f t="shared" si="857"/>
        <v>男</v>
      </c>
      <c r="D3478" s="7" t="str">
        <f>"6"</f>
        <v>6</v>
      </c>
      <c r="E3478" s="6" t="str">
        <f>"计算机科学与工程学院"</f>
        <v>计算机科学与工程学院</v>
      </c>
    </row>
    <row r="3479" ht="13.5" hidden="1" spans="1:5">
      <c r="A3479" s="2" t="str">
        <f>"刘小洋"</f>
        <v>刘小洋</v>
      </c>
      <c r="B3479" s="2" t="str">
        <f>"B20230201203"</f>
        <v>B20230201203</v>
      </c>
      <c r="C3479" s="2" t="str">
        <f t="shared" ref="C3479:C3483" si="858">"男"</f>
        <v>男</v>
      </c>
      <c r="D3479" s="2" t="str">
        <f t="shared" si="856"/>
        <v>7</v>
      </c>
      <c r="E3479" s="2" t="str">
        <f t="shared" ref="E3479:E3481" si="859">"机电工程学院"</f>
        <v>机电工程学院</v>
      </c>
    </row>
    <row r="3480" ht="13.5" hidden="1" spans="1:5">
      <c r="A3480" s="2" t="str">
        <f>"邓宇轩"</f>
        <v>邓宇轩</v>
      </c>
      <c r="B3480" s="2" t="str">
        <f>"B20230205326"</f>
        <v>B20230205326</v>
      </c>
      <c r="C3480" s="2" t="str">
        <f t="shared" si="858"/>
        <v>男</v>
      </c>
      <c r="D3480" s="2" t="str">
        <f t="shared" si="856"/>
        <v>7</v>
      </c>
      <c r="E3480" s="2" t="str">
        <f t="shared" si="859"/>
        <v>机电工程学院</v>
      </c>
    </row>
    <row r="3481" ht="13.5" hidden="1" spans="1:5">
      <c r="A3481" s="2" t="str">
        <f>"张鹏"</f>
        <v>张鹏</v>
      </c>
      <c r="B3481" s="2" t="str">
        <f>"B20220202421"</f>
        <v>B20220202421</v>
      </c>
      <c r="C3481" s="2" t="str">
        <f t="shared" si="858"/>
        <v>男</v>
      </c>
      <c r="D3481" s="2" t="str">
        <f t="shared" si="856"/>
        <v>7</v>
      </c>
      <c r="E3481" s="2" t="str">
        <f t="shared" si="859"/>
        <v>机电工程学院</v>
      </c>
    </row>
    <row r="3482" ht="13.5" hidden="1" spans="1:5">
      <c r="A3482" s="2" t="str">
        <f>"赵李志"</f>
        <v>赵李志</v>
      </c>
      <c r="B3482" s="2" t="str">
        <f>"B20230104131"</f>
        <v>B20230104131</v>
      </c>
      <c r="C3482" s="2" t="str">
        <f t="shared" si="858"/>
        <v>男</v>
      </c>
      <c r="D3482" s="2" t="str">
        <f t="shared" si="856"/>
        <v>7</v>
      </c>
      <c r="E3482" s="2" t="str">
        <f>"土木工程学院"</f>
        <v>土木工程学院</v>
      </c>
    </row>
    <row r="3483" ht="13.5" hidden="1" spans="1:5">
      <c r="A3483" s="2" t="str">
        <f>"陈洋"</f>
        <v>陈洋</v>
      </c>
      <c r="B3483" s="2" t="str">
        <f>"B20230202314"</f>
        <v>B20230202314</v>
      </c>
      <c r="C3483" s="2" t="str">
        <f t="shared" si="858"/>
        <v>男</v>
      </c>
      <c r="D3483" s="2" t="str">
        <f t="shared" si="856"/>
        <v>7</v>
      </c>
      <c r="E3483" s="2" t="str">
        <f>"机电工程学院"</f>
        <v>机电工程学院</v>
      </c>
    </row>
    <row r="3484" ht="13.5" hidden="1" spans="1:5">
      <c r="A3484" s="2" t="str">
        <f>"张奕娟"</f>
        <v>张奕娟</v>
      </c>
      <c r="B3484" s="2" t="str">
        <f>"B20220504104"</f>
        <v>B20220504104</v>
      </c>
      <c r="C3484" s="2" t="str">
        <f t="shared" ref="C3484:C3488" si="860">"女"</f>
        <v>女</v>
      </c>
      <c r="D3484" s="2" t="str">
        <f t="shared" si="856"/>
        <v>7</v>
      </c>
      <c r="E3484" s="2" t="str">
        <f>"生物与化学工程学院"</f>
        <v>生物与化学工程学院</v>
      </c>
    </row>
    <row r="3485" ht="13.5" hidden="1" spans="1:5">
      <c r="A3485" s="2" t="str">
        <f>"翁康平"</f>
        <v>翁康平</v>
      </c>
      <c r="B3485" s="2" t="str">
        <f>"B20210905228"</f>
        <v>B20210905228</v>
      </c>
      <c r="C3485" s="2" t="str">
        <f t="shared" ref="C3485:C3491" si="861">"男"</f>
        <v>男</v>
      </c>
      <c r="D3485" s="2" t="str">
        <f t="shared" si="856"/>
        <v>7</v>
      </c>
      <c r="E3485" s="2" t="str">
        <f t="shared" ref="E3485:E3488" si="862">"经济与管理学院"</f>
        <v>经济与管理学院</v>
      </c>
    </row>
    <row r="3486" ht="13.5" hidden="1" spans="1:5">
      <c r="A3486" s="2" t="str">
        <f>"蔡雨舒"</f>
        <v>蔡雨舒</v>
      </c>
      <c r="B3486" s="2" t="str">
        <f>"B20230902123"</f>
        <v>B20230902123</v>
      </c>
      <c r="C3486" s="2" t="str">
        <f t="shared" si="860"/>
        <v>女</v>
      </c>
      <c r="D3486" s="2" t="str">
        <f t="shared" si="856"/>
        <v>7</v>
      </c>
      <c r="E3486" s="2" t="str">
        <f t="shared" si="862"/>
        <v>经济与管理学院</v>
      </c>
    </row>
    <row r="3487" ht="13.5" hidden="1" spans="1:5">
      <c r="A3487" s="2" t="str">
        <f>"魏雅欣"</f>
        <v>魏雅欣</v>
      </c>
      <c r="B3487" s="2" t="str">
        <f>"B20221101222"</f>
        <v>B20221101222</v>
      </c>
      <c r="C3487" s="2" t="str">
        <f t="shared" si="860"/>
        <v>女</v>
      </c>
      <c r="D3487" s="2" t="str">
        <f t="shared" si="856"/>
        <v>7</v>
      </c>
      <c r="E3487" s="2" t="str">
        <f>"音乐学院"</f>
        <v>音乐学院</v>
      </c>
    </row>
    <row r="3488" ht="13.5" hidden="1" spans="1:5">
      <c r="A3488" s="2" t="str">
        <f>"成思嘉"</f>
        <v>成思嘉</v>
      </c>
      <c r="B3488" s="2" t="str">
        <f>"B20210901121"</f>
        <v>B20210901121</v>
      </c>
      <c r="C3488" s="2" t="str">
        <f t="shared" si="860"/>
        <v>女</v>
      </c>
      <c r="D3488" s="2" t="str">
        <f t="shared" si="856"/>
        <v>7</v>
      </c>
      <c r="E3488" s="2" t="str">
        <f t="shared" si="862"/>
        <v>经济与管理学院</v>
      </c>
    </row>
    <row r="3489" ht="13.5" hidden="1" spans="1:5">
      <c r="A3489" s="2" t="str">
        <f>"杨均"</f>
        <v>杨均</v>
      </c>
      <c r="B3489" s="2" t="str">
        <f>"B20200101206"</f>
        <v>B20200101206</v>
      </c>
      <c r="C3489" s="2" t="str">
        <f t="shared" si="861"/>
        <v>男</v>
      </c>
      <c r="D3489" s="2" t="str">
        <f t="shared" si="856"/>
        <v>7</v>
      </c>
      <c r="E3489" s="2" t="str">
        <f>"土木工程学院"</f>
        <v>土木工程学院</v>
      </c>
    </row>
    <row r="3490" ht="13.5" hidden="1" spans="1:5">
      <c r="A3490" s="2" t="str">
        <f>"何凯辉"</f>
        <v>何凯辉</v>
      </c>
      <c r="B3490" s="2" t="str">
        <f>"B20220204230"</f>
        <v>B20220204230</v>
      </c>
      <c r="C3490" s="2" t="str">
        <f t="shared" si="861"/>
        <v>男</v>
      </c>
      <c r="D3490" s="2" t="str">
        <f t="shared" si="856"/>
        <v>7</v>
      </c>
      <c r="E3490" s="2" t="str">
        <f>"机电工程学院"</f>
        <v>机电工程学院</v>
      </c>
    </row>
    <row r="3491" ht="13.5" hidden="1" spans="1:5">
      <c r="A3491" s="2" t="str">
        <f>"章辉"</f>
        <v>章辉</v>
      </c>
      <c r="B3491" s="2" t="str">
        <f>"B20220204231"</f>
        <v>B20220204231</v>
      </c>
      <c r="C3491" s="2" t="str">
        <f t="shared" si="861"/>
        <v>男</v>
      </c>
      <c r="D3491" s="2" t="str">
        <f t="shared" si="856"/>
        <v>7</v>
      </c>
      <c r="E3491" s="2" t="str">
        <f>"机电工程学院"</f>
        <v>机电工程学院</v>
      </c>
    </row>
    <row r="3492" ht="13.5" hidden="1" spans="1:5">
      <c r="A3492" s="2" t="str">
        <f>"刘鑫"</f>
        <v>刘鑫</v>
      </c>
      <c r="B3492" s="2" t="str">
        <f>"B20220404231"</f>
        <v>B20220404231</v>
      </c>
      <c r="C3492" s="2" t="str">
        <f t="shared" ref="C3492:C3498" si="863">"女"</f>
        <v>女</v>
      </c>
      <c r="D3492" s="2" t="str">
        <f t="shared" si="856"/>
        <v>7</v>
      </c>
      <c r="E3492" s="2" t="str">
        <f>"电子信息与电气工程学院"</f>
        <v>电子信息与电气工程学院</v>
      </c>
    </row>
    <row r="3493" ht="13.5" hidden="1" spans="1:5">
      <c r="A3493" s="2" t="str">
        <f>"刘佳巧"</f>
        <v>刘佳巧</v>
      </c>
      <c r="B3493" s="2" t="str">
        <f>"B20230401221"</f>
        <v>B20230401221</v>
      </c>
      <c r="C3493" s="2" t="str">
        <f t="shared" ref="C3493:C3496" si="864">"男"</f>
        <v>男</v>
      </c>
      <c r="D3493" s="2" t="str">
        <f t="shared" si="856"/>
        <v>7</v>
      </c>
      <c r="E3493" s="2" t="str">
        <f>"电子信息与电气工程学院"</f>
        <v>电子信息与电气工程学院</v>
      </c>
    </row>
    <row r="3494" ht="13.5" hidden="1" spans="1:5">
      <c r="A3494" s="2" t="str">
        <f>"吴武略"</f>
        <v>吴武略</v>
      </c>
      <c r="B3494" s="2" t="str">
        <f>"B20230101220"</f>
        <v>B20230101220</v>
      </c>
      <c r="C3494" s="2" t="str">
        <f t="shared" si="864"/>
        <v>男</v>
      </c>
      <c r="D3494" s="2" t="str">
        <f t="shared" si="856"/>
        <v>7</v>
      </c>
      <c r="E3494" s="2" t="str">
        <f>"土木工程学院"</f>
        <v>土木工程学院</v>
      </c>
    </row>
    <row r="3495" ht="13.5" hidden="1" spans="1:5">
      <c r="A3495" s="2" t="str">
        <f>"张心怡"</f>
        <v>张心怡</v>
      </c>
      <c r="B3495" s="2" t="str">
        <f>"B20230704304"</f>
        <v>B20230704304</v>
      </c>
      <c r="C3495" s="2" t="str">
        <f t="shared" si="863"/>
        <v>女</v>
      </c>
      <c r="D3495" s="2" t="str">
        <f t="shared" si="856"/>
        <v>7</v>
      </c>
      <c r="E3495" s="2" t="str">
        <f>"马栏山新媒体学院"</f>
        <v>马栏山新媒体学院</v>
      </c>
    </row>
    <row r="3496" ht="13.5" hidden="1" spans="1:5">
      <c r="A3496" s="2" t="str">
        <f>"朱治玮"</f>
        <v>朱治玮</v>
      </c>
      <c r="B3496" s="2" t="str">
        <f>"B20230202214"</f>
        <v>B20230202214</v>
      </c>
      <c r="C3496" s="2" t="str">
        <f t="shared" si="864"/>
        <v>男</v>
      </c>
      <c r="D3496" s="2" t="str">
        <f t="shared" si="856"/>
        <v>7</v>
      </c>
      <c r="E3496" s="2" t="str">
        <f>"机电工程学院"</f>
        <v>机电工程学院</v>
      </c>
    </row>
    <row r="3497" ht="13.5" hidden="1" spans="1:5">
      <c r="A3497" s="2" t="str">
        <f>"陈静仪"</f>
        <v>陈静仪</v>
      </c>
      <c r="B3497" s="2" t="str">
        <f>"B20200901128"</f>
        <v>B20200901128</v>
      </c>
      <c r="C3497" s="2" t="str">
        <f t="shared" si="863"/>
        <v>女</v>
      </c>
      <c r="D3497" s="2" t="str">
        <f t="shared" si="856"/>
        <v>7</v>
      </c>
      <c r="E3497" s="2" t="str">
        <f t="shared" ref="E3497:E3503" si="865">"经济与管理学院"</f>
        <v>经济与管理学院</v>
      </c>
    </row>
    <row r="3498" ht="13.5" hidden="1" spans="1:5">
      <c r="A3498" s="2" t="str">
        <f>"熊德蓉"</f>
        <v>熊德蓉</v>
      </c>
      <c r="B3498" s="2" t="str">
        <f>"B20210902336"</f>
        <v>B20210902336</v>
      </c>
      <c r="C3498" s="2" t="str">
        <f t="shared" si="863"/>
        <v>女</v>
      </c>
      <c r="D3498" s="2" t="str">
        <f t="shared" si="856"/>
        <v>7</v>
      </c>
      <c r="E3498" s="2" t="str">
        <f t="shared" si="865"/>
        <v>经济与管理学院</v>
      </c>
    </row>
    <row r="3499" ht="13.5" hidden="1" spans="1:5">
      <c r="A3499" s="2" t="str">
        <f>"吴艾杨"</f>
        <v>吴艾杨</v>
      </c>
      <c r="B3499" s="2" t="str">
        <f>"B20230201319"</f>
        <v>B20230201319</v>
      </c>
      <c r="C3499" s="2" t="str">
        <f t="shared" ref="C3499:C3504" si="866">"男"</f>
        <v>男</v>
      </c>
      <c r="D3499" s="2" t="str">
        <f t="shared" si="856"/>
        <v>7</v>
      </c>
      <c r="E3499" s="2" t="str">
        <f>"机电工程学院"</f>
        <v>机电工程学院</v>
      </c>
    </row>
    <row r="3500" ht="13.5" hidden="1" spans="1:5">
      <c r="A3500" s="2" t="str">
        <f>"陈子钰"</f>
        <v>陈子钰</v>
      </c>
      <c r="B3500" s="2" t="str">
        <f>"B20231101205"</f>
        <v>B20231101205</v>
      </c>
      <c r="C3500" s="2" t="str">
        <f t="shared" ref="C3500:C3503" si="867">"女"</f>
        <v>女</v>
      </c>
      <c r="D3500" s="2" t="str">
        <f t="shared" si="856"/>
        <v>7</v>
      </c>
      <c r="E3500" s="2" t="str">
        <f>"音乐学院"</f>
        <v>音乐学院</v>
      </c>
    </row>
    <row r="3501" ht="13.5" hidden="1" spans="1:5">
      <c r="A3501" s="2" t="str">
        <f>"李湘"</f>
        <v>李湘</v>
      </c>
      <c r="B3501" s="2" t="str">
        <f>"B20230903133"</f>
        <v>B20230903133</v>
      </c>
      <c r="C3501" s="2" t="str">
        <f t="shared" si="867"/>
        <v>女</v>
      </c>
      <c r="D3501" s="2" t="str">
        <f t="shared" si="856"/>
        <v>7</v>
      </c>
      <c r="E3501" s="2" t="str">
        <f t="shared" si="865"/>
        <v>经济与管理学院</v>
      </c>
    </row>
    <row r="3502" ht="13.5" hidden="1" spans="1:5">
      <c r="A3502" s="2" t="str">
        <f>"唐晨"</f>
        <v>唐晨</v>
      </c>
      <c r="B3502" s="2" t="str">
        <f>"B20210902414"</f>
        <v>B20210902414</v>
      </c>
      <c r="C3502" s="2" t="str">
        <f t="shared" si="866"/>
        <v>男</v>
      </c>
      <c r="D3502" s="2" t="str">
        <f t="shared" si="856"/>
        <v>7</v>
      </c>
      <c r="E3502" s="2" t="str">
        <f t="shared" si="865"/>
        <v>经济与管理学院</v>
      </c>
    </row>
    <row r="3503" ht="13.5" hidden="1" spans="1:5">
      <c r="A3503" s="2" t="str">
        <f>"何依玲"</f>
        <v>何依玲</v>
      </c>
      <c r="B3503" s="2" t="str">
        <f>"B20210903142"</f>
        <v>B20210903142</v>
      </c>
      <c r="C3503" s="2" t="str">
        <f t="shared" si="867"/>
        <v>女</v>
      </c>
      <c r="D3503" s="2" t="str">
        <f t="shared" si="856"/>
        <v>7</v>
      </c>
      <c r="E3503" s="2" t="str">
        <f t="shared" si="865"/>
        <v>经济与管理学院</v>
      </c>
    </row>
    <row r="3504" ht="13.5" hidden="1" spans="1:5">
      <c r="A3504" s="2" t="str">
        <f>"李稳红"</f>
        <v>李稳红</v>
      </c>
      <c r="B3504" s="2" t="str">
        <f>"B20230402306"</f>
        <v>B20230402306</v>
      </c>
      <c r="C3504" s="2" t="str">
        <f t="shared" si="866"/>
        <v>男</v>
      </c>
      <c r="D3504" s="2" t="str">
        <f t="shared" si="856"/>
        <v>7</v>
      </c>
      <c r="E3504" s="2" t="str">
        <f>"电子信息与电气工程学院"</f>
        <v>电子信息与电气工程学院</v>
      </c>
    </row>
    <row r="3505" ht="13.5" hidden="1" spans="1:5">
      <c r="A3505" s="2" t="str">
        <f>"王心凌"</f>
        <v>王心凌</v>
      </c>
      <c r="B3505" s="2" t="str">
        <f>"B20230701423"</f>
        <v>B20230701423</v>
      </c>
      <c r="C3505" s="2" t="str">
        <f t="shared" ref="C3505:C3515" si="868">"女"</f>
        <v>女</v>
      </c>
      <c r="D3505" s="2" t="str">
        <f t="shared" si="856"/>
        <v>7</v>
      </c>
      <c r="E3505" s="2" t="str">
        <f>"马栏山新媒体学院"</f>
        <v>马栏山新媒体学院</v>
      </c>
    </row>
    <row r="3506" ht="13.5" hidden="1" spans="1:5">
      <c r="A3506" s="2" t="str">
        <f>"徐静蕾"</f>
        <v>徐静蕾</v>
      </c>
      <c r="B3506" s="2" t="str">
        <f>"B20231002324"</f>
        <v>B20231002324</v>
      </c>
      <c r="C3506" s="2" t="str">
        <f t="shared" si="868"/>
        <v>女</v>
      </c>
      <c r="D3506" s="2" t="str">
        <f t="shared" si="856"/>
        <v>7</v>
      </c>
      <c r="E3506" s="2" t="str">
        <f>"艺术设计学院"</f>
        <v>艺术设计学院</v>
      </c>
    </row>
    <row r="3507" ht="13.5" hidden="1" spans="1:5">
      <c r="A3507" s="2" t="str">
        <f>"臧博文"</f>
        <v>臧博文</v>
      </c>
      <c r="B3507" s="2" t="str">
        <f>"B20230202324"</f>
        <v>B20230202324</v>
      </c>
      <c r="C3507" s="2" t="str">
        <f>"男"</f>
        <v>男</v>
      </c>
      <c r="D3507" s="2" t="str">
        <f t="shared" si="856"/>
        <v>7</v>
      </c>
      <c r="E3507" s="2" t="str">
        <f>"机电工程学院"</f>
        <v>机电工程学院</v>
      </c>
    </row>
    <row r="3508" ht="13.5" hidden="1" spans="1:5">
      <c r="A3508" s="2" t="str">
        <f>"张晋恺"</f>
        <v>张晋恺</v>
      </c>
      <c r="B3508" s="2" t="str">
        <f>"B20220204123"</f>
        <v>B20220204123</v>
      </c>
      <c r="C3508" s="2" t="str">
        <f>"男"</f>
        <v>男</v>
      </c>
      <c r="D3508" s="2" t="str">
        <f t="shared" si="856"/>
        <v>7</v>
      </c>
      <c r="E3508" s="2" t="str">
        <f>"机电工程学院"</f>
        <v>机电工程学院</v>
      </c>
    </row>
    <row r="3509" ht="13.5" hidden="1" spans="1:5">
      <c r="A3509" s="2" t="str">
        <f>"谭文怡"</f>
        <v>谭文怡</v>
      </c>
      <c r="B3509" s="2" t="str">
        <f>"B20231401102"</f>
        <v>B20231401102</v>
      </c>
      <c r="C3509" s="2" t="str">
        <f t="shared" si="868"/>
        <v>女</v>
      </c>
      <c r="D3509" s="2" t="str">
        <f t="shared" si="856"/>
        <v>7</v>
      </c>
      <c r="E3509" s="2" t="str">
        <f>"马克思主义学院"</f>
        <v>马克思主义学院</v>
      </c>
    </row>
    <row r="3510" ht="13.5" hidden="1" spans="1:5">
      <c r="A3510" s="2" t="str">
        <f>"严晗玉"</f>
        <v>严晗玉</v>
      </c>
      <c r="B3510" s="2" t="str">
        <f>"B20220803224"</f>
        <v>B20220803224</v>
      </c>
      <c r="C3510" s="2" t="str">
        <f t="shared" si="868"/>
        <v>女</v>
      </c>
      <c r="D3510" s="2" t="str">
        <f t="shared" si="856"/>
        <v>7</v>
      </c>
      <c r="E3510" s="2" t="str">
        <f>"外国语学院"</f>
        <v>外国语学院</v>
      </c>
    </row>
    <row r="3511" ht="13.5" hidden="1" spans="1:5">
      <c r="A3511" s="2" t="str">
        <f>"肖思祎"</f>
        <v>肖思祎</v>
      </c>
      <c r="B3511" s="2" t="str">
        <f>"B20230704310"</f>
        <v>B20230704310</v>
      </c>
      <c r="C3511" s="2" t="str">
        <f t="shared" si="868"/>
        <v>女</v>
      </c>
      <c r="D3511" s="2" t="str">
        <f t="shared" si="856"/>
        <v>7</v>
      </c>
      <c r="E3511" s="2" t="str">
        <f>"马栏山新媒体学院"</f>
        <v>马栏山新媒体学院</v>
      </c>
    </row>
    <row r="3512" ht="13.5" hidden="1" spans="1:5">
      <c r="A3512" s="2" t="str">
        <f>"朱嫣琴"</f>
        <v>朱嫣琴</v>
      </c>
      <c r="B3512" s="2" t="str">
        <f>"B20230402232"</f>
        <v>B20230402232</v>
      </c>
      <c r="C3512" s="2" t="str">
        <f t="shared" si="868"/>
        <v>女</v>
      </c>
      <c r="D3512" s="2" t="str">
        <f t="shared" si="856"/>
        <v>7</v>
      </c>
      <c r="E3512" s="2" t="str">
        <f t="shared" ref="E3512:E3516" si="869">"电子信息与电气工程学院"</f>
        <v>电子信息与电气工程学院</v>
      </c>
    </row>
    <row r="3513" ht="13.5" hidden="1" spans="1:5">
      <c r="A3513" s="2" t="str">
        <f>"周茜"</f>
        <v>周茜</v>
      </c>
      <c r="B3513" s="2" t="str">
        <f>"B20230702219"</f>
        <v>B20230702219</v>
      </c>
      <c r="C3513" s="2" t="str">
        <f t="shared" si="868"/>
        <v>女</v>
      </c>
      <c r="D3513" s="2" t="str">
        <f t="shared" si="856"/>
        <v>7</v>
      </c>
      <c r="E3513" s="2" t="str">
        <f>"马栏山新媒体学院"</f>
        <v>马栏山新媒体学院</v>
      </c>
    </row>
    <row r="3514" ht="13.5" hidden="1" spans="1:5">
      <c r="A3514" s="2" t="str">
        <f>"方飘扬"</f>
        <v>方飘扬</v>
      </c>
      <c r="B3514" s="2" t="str">
        <f>"B20210404117"</f>
        <v>B20210404117</v>
      </c>
      <c r="C3514" s="2" t="str">
        <f t="shared" si="868"/>
        <v>女</v>
      </c>
      <c r="D3514" s="2" t="str">
        <f t="shared" si="856"/>
        <v>7</v>
      </c>
      <c r="E3514" s="2" t="str">
        <f t="shared" si="869"/>
        <v>电子信息与电气工程学院</v>
      </c>
    </row>
    <row r="3515" ht="13.5" hidden="1" spans="1:5">
      <c r="A3515" s="2" t="str">
        <f>"马梓涵"</f>
        <v>马梓涵</v>
      </c>
      <c r="B3515" s="2" t="str">
        <f>"B20220902132"</f>
        <v>B20220902132</v>
      </c>
      <c r="C3515" s="2" t="str">
        <f t="shared" si="868"/>
        <v>女</v>
      </c>
      <c r="D3515" s="2" t="str">
        <f t="shared" si="856"/>
        <v>7</v>
      </c>
      <c r="E3515" s="2" t="str">
        <f>"经济与管理学院"</f>
        <v>经济与管理学院</v>
      </c>
    </row>
    <row r="3516" ht="13.5" hidden="1" spans="1:5">
      <c r="A3516" s="2" t="str">
        <f>"熊锦昊"</f>
        <v>熊锦昊</v>
      </c>
      <c r="B3516" s="2" t="str">
        <f>"B20220404205"</f>
        <v>B20220404205</v>
      </c>
      <c r="C3516" s="2" t="str">
        <f t="shared" ref="C3516:C3518" si="870">"男"</f>
        <v>男</v>
      </c>
      <c r="D3516" s="2" t="str">
        <f t="shared" si="856"/>
        <v>7</v>
      </c>
      <c r="E3516" s="2" t="str">
        <f t="shared" si="869"/>
        <v>电子信息与电气工程学院</v>
      </c>
    </row>
    <row r="3517" ht="13.5" hidden="1" spans="1:5">
      <c r="A3517" s="2" t="str">
        <f>"李子奥"</f>
        <v>李子奥</v>
      </c>
      <c r="B3517" s="2" t="str">
        <f>"B20230204127"</f>
        <v>B20230204127</v>
      </c>
      <c r="C3517" s="2" t="str">
        <f t="shared" si="870"/>
        <v>男</v>
      </c>
      <c r="D3517" s="2" t="str">
        <f t="shared" si="856"/>
        <v>7</v>
      </c>
      <c r="E3517" s="2" t="str">
        <f>"机电工程学院"</f>
        <v>机电工程学院</v>
      </c>
    </row>
    <row r="3518" ht="13.5" hidden="1" spans="1:5">
      <c r="A3518" s="2" t="str">
        <f>"范俊"</f>
        <v>范俊</v>
      </c>
      <c r="B3518" s="2" t="str">
        <f>"B20200102107"</f>
        <v>B20200102107</v>
      </c>
      <c r="C3518" s="2" t="str">
        <f t="shared" si="870"/>
        <v>男</v>
      </c>
      <c r="D3518" s="2" t="str">
        <f t="shared" si="856"/>
        <v>7</v>
      </c>
      <c r="E3518" s="2" t="str">
        <f>"土木工程学院"</f>
        <v>土木工程学院</v>
      </c>
    </row>
    <row r="3519" ht="13.5" hidden="1" spans="1:5">
      <c r="A3519" s="2" t="str">
        <f>"周钰瑶"</f>
        <v>周钰瑶</v>
      </c>
      <c r="B3519" s="2" t="str">
        <f>"B20211101113"</f>
        <v>B20211101113</v>
      </c>
      <c r="C3519" s="2" t="str">
        <f t="shared" ref="C3519:C3522" si="871">"女"</f>
        <v>女</v>
      </c>
      <c r="D3519" s="2" t="str">
        <f t="shared" si="856"/>
        <v>7</v>
      </c>
      <c r="E3519" s="2" t="str">
        <f>"音乐学院"</f>
        <v>音乐学院</v>
      </c>
    </row>
    <row r="3520" ht="13.5" hidden="1" spans="1:5">
      <c r="A3520" s="2" t="str">
        <f>"曾新雅"</f>
        <v>曾新雅</v>
      </c>
      <c r="B3520" s="2" t="str">
        <f>"B20210904308"</f>
        <v>B20210904308</v>
      </c>
      <c r="C3520" s="2" t="str">
        <f t="shared" si="871"/>
        <v>女</v>
      </c>
      <c r="D3520" s="2" t="str">
        <f t="shared" si="856"/>
        <v>7</v>
      </c>
      <c r="E3520" s="2" t="str">
        <f t="shared" ref="E3520:E3526" si="872">"经济与管理学院"</f>
        <v>经济与管理学院</v>
      </c>
    </row>
    <row r="3521" ht="13.5" hidden="1" spans="1:5">
      <c r="A3521" s="2" t="str">
        <f>"周嘉怡"</f>
        <v>周嘉怡</v>
      </c>
      <c r="B3521" s="2" t="str">
        <f>"B20230404231"</f>
        <v>B20230404231</v>
      </c>
      <c r="C3521" s="2" t="str">
        <f t="shared" si="871"/>
        <v>女</v>
      </c>
      <c r="D3521" s="2" t="str">
        <f t="shared" si="856"/>
        <v>7</v>
      </c>
      <c r="E3521" s="2" t="str">
        <f>"电子信息与电气工程学院"</f>
        <v>电子信息与电气工程学院</v>
      </c>
    </row>
    <row r="3522" ht="13.5" hidden="1" spans="1:5">
      <c r="A3522" s="2" t="str">
        <f>"邓益超"</f>
        <v>邓益超</v>
      </c>
      <c r="B3522" s="2" t="str">
        <f>"B20220401306"</f>
        <v>B20220401306</v>
      </c>
      <c r="C3522" s="2" t="str">
        <f t="shared" si="871"/>
        <v>女</v>
      </c>
      <c r="D3522" s="2" t="str">
        <f t="shared" si="856"/>
        <v>7</v>
      </c>
      <c r="E3522" s="2" t="str">
        <f>"电子信息与电气工程学院"</f>
        <v>电子信息与电气工程学院</v>
      </c>
    </row>
    <row r="3523" ht="13.5" hidden="1" spans="1:5">
      <c r="A3523" s="2" t="str">
        <f>"肖启烨"</f>
        <v>肖启烨</v>
      </c>
      <c r="B3523" s="2" t="str">
        <f>"B20230601518"</f>
        <v>B20230601518</v>
      </c>
      <c r="C3523" s="2" t="str">
        <f>"男"</f>
        <v>男</v>
      </c>
      <c r="D3523" s="2" t="str">
        <f t="shared" si="856"/>
        <v>7</v>
      </c>
      <c r="E3523" s="2" t="str">
        <f>"法学院"</f>
        <v>法学院</v>
      </c>
    </row>
    <row r="3524" ht="13.5" hidden="1" spans="1:5">
      <c r="A3524" s="2" t="str">
        <f>"林缨"</f>
        <v>林缨</v>
      </c>
      <c r="B3524" s="2" t="str">
        <f>"B20230903105"</f>
        <v>B20230903105</v>
      </c>
      <c r="C3524" s="2" t="str">
        <f t="shared" ref="C3524:C3526" si="873">"女"</f>
        <v>女</v>
      </c>
      <c r="D3524" s="2" t="str">
        <f t="shared" si="856"/>
        <v>7</v>
      </c>
      <c r="E3524" s="2" t="str">
        <f t="shared" si="872"/>
        <v>经济与管理学院</v>
      </c>
    </row>
    <row r="3525" ht="13.5" hidden="1" spans="1:5">
      <c r="A3525" s="2" t="str">
        <f>"伏蓓蓓"</f>
        <v>伏蓓蓓</v>
      </c>
      <c r="B3525" s="2" t="str">
        <f>"B20220904217"</f>
        <v>B20220904217</v>
      </c>
      <c r="C3525" s="2" t="str">
        <f t="shared" si="873"/>
        <v>女</v>
      </c>
      <c r="D3525" s="2" t="str">
        <f t="shared" si="856"/>
        <v>7</v>
      </c>
      <c r="E3525" s="2" t="str">
        <f t="shared" si="872"/>
        <v>经济与管理学院</v>
      </c>
    </row>
    <row r="3526" ht="13.5" hidden="1" spans="1:5">
      <c r="A3526" s="2" t="str">
        <f>"徐微"</f>
        <v>徐微</v>
      </c>
      <c r="B3526" s="2" t="str">
        <f>"B20220904226"</f>
        <v>B20220904226</v>
      </c>
      <c r="C3526" s="2" t="str">
        <f t="shared" si="873"/>
        <v>女</v>
      </c>
      <c r="D3526" s="2" t="str">
        <f t="shared" si="856"/>
        <v>7</v>
      </c>
      <c r="E3526" s="2" t="str">
        <f t="shared" si="872"/>
        <v>经济与管理学院</v>
      </c>
    </row>
    <row r="3527" ht="13.5" hidden="1" spans="1:5">
      <c r="A3527" s="2" t="str">
        <f>"胡意恒"</f>
        <v>胡意恒</v>
      </c>
      <c r="B3527" s="2" t="str">
        <f>"B20230401130"</f>
        <v>B20230401130</v>
      </c>
      <c r="C3527" s="2" t="str">
        <f>"男"</f>
        <v>男</v>
      </c>
      <c r="D3527" s="2" t="str">
        <f t="shared" si="856"/>
        <v>7</v>
      </c>
      <c r="E3527" s="2" t="str">
        <f>"电子信息与电气工程学院"</f>
        <v>电子信息与电气工程学院</v>
      </c>
    </row>
    <row r="3528" ht="13.5" hidden="1" spans="1:5">
      <c r="A3528" s="2" t="str">
        <f>"陆美先"</f>
        <v>陆美先</v>
      </c>
      <c r="B3528" s="2" t="str">
        <f>"B20221003221"</f>
        <v>B20221003221</v>
      </c>
      <c r="C3528" s="2" t="str">
        <f t="shared" ref="C3528:C3534" si="874">"女"</f>
        <v>女</v>
      </c>
      <c r="D3528" s="2" t="str">
        <f t="shared" si="856"/>
        <v>7</v>
      </c>
      <c r="E3528" s="2" t="str">
        <f>"艺术设计学院"</f>
        <v>艺术设计学院</v>
      </c>
    </row>
    <row r="3529" ht="13.5" hidden="1" spans="1:5">
      <c r="A3529" s="2" t="str">
        <f>"刘家驹"</f>
        <v>刘家驹</v>
      </c>
      <c r="B3529" s="2" t="str">
        <f>"B20230906229"</f>
        <v>B20230906229</v>
      </c>
      <c r="C3529" s="2" t="str">
        <f>"男"</f>
        <v>男</v>
      </c>
      <c r="D3529" s="2" t="str">
        <f t="shared" si="856"/>
        <v>7</v>
      </c>
      <c r="E3529" s="2" t="str">
        <f>"经济与管理学院"</f>
        <v>经济与管理学院</v>
      </c>
    </row>
    <row r="3530" ht="13.5" hidden="1" spans="1:5">
      <c r="A3530" s="2" t="str">
        <f>"王诗媚"</f>
        <v>王诗媚</v>
      </c>
      <c r="B3530" s="2" t="str">
        <f>"B20230704324"</f>
        <v>B20230704324</v>
      </c>
      <c r="C3530" s="2" t="str">
        <f t="shared" si="874"/>
        <v>女</v>
      </c>
      <c r="D3530" s="2" t="str">
        <f t="shared" si="856"/>
        <v>7</v>
      </c>
      <c r="E3530" s="2" t="str">
        <f t="shared" ref="E3530:E3532" si="875">"马栏山新媒体学院"</f>
        <v>马栏山新媒体学院</v>
      </c>
    </row>
    <row r="3531" ht="13.5" hidden="1" spans="1:5">
      <c r="A3531" s="2" t="str">
        <f>"胡畅"</f>
        <v>胡畅</v>
      </c>
      <c r="B3531" s="2" t="str">
        <f>"B20200702229"</f>
        <v>B20200702229</v>
      </c>
      <c r="C3531" s="2" t="str">
        <f t="shared" si="874"/>
        <v>女</v>
      </c>
      <c r="D3531" s="2" t="str">
        <f t="shared" si="856"/>
        <v>7</v>
      </c>
      <c r="E3531" s="2" t="str">
        <f t="shared" si="875"/>
        <v>马栏山新媒体学院</v>
      </c>
    </row>
    <row r="3532" ht="13.5" hidden="1" spans="1:5">
      <c r="A3532" s="2" t="str">
        <f>"傅文洁"</f>
        <v>傅文洁</v>
      </c>
      <c r="B3532" s="2" t="str">
        <f>"B20220702424"</f>
        <v>B20220702424</v>
      </c>
      <c r="C3532" s="2" t="str">
        <f t="shared" si="874"/>
        <v>女</v>
      </c>
      <c r="D3532" s="2" t="str">
        <f t="shared" si="856"/>
        <v>7</v>
      </c>
      <c r="E3532" s="2" t="str">
        <f t="shared" si="875"/>
        <v>马栏山新媒体学院</v>
      </c>
    </row>
    <row r="3533" ht="13.5" hidden="1" spans="1:5">
      <c r="A3533" s="2" t="str">
        <f>"谭美兰"</f>
        <v>谭美兰</v>
      </c>
      <c r="B3533" s="2" t="str">
        <f>"B20230901230"</f>
        <v>B20230901230</v>
      </c>
      <c r="C3533" s="2" t="str">
        <f t="shared" si="874"/>
        <v>女</v>
      </c>
      <c r="D3533" s="2" t="str">
        <f t="shared" si="856"/>
        <v>7</v>
      </c>
      <c r="E3533" s="2" t="str">
        <f t="shared" ref="E3533:E3536" si="876">"经济与管理学院"</f>
        <v>经济与管理学院</v>
      </c>
    </row>
    <row r="3534" customHeight="1" spans="1:5">
      <c r="A3534" s="6" t="str">
        <f>"粟迎"</f>
        <v>粟迎</v>
      </c>
      <c r="B3534" s="6" t="str">
        <f>"B20210304414"</f>
        <v>B20210304414</v>
      </c>
      <c r="C3534" s="6" t="str">
        <f t="shared" si="874"/>
        <v>女</v>
      </c>
      <c r="D3534" s="7" t="str">
        <f>"6"</f>
        <v>6</v>
      </c>
      <c r="E3534" s="6" t="str">
        <f>"计算机科学与工程学院"</f>
        <v>计算机科学与工程学院</v>
      </c>
    </row>
    <row r="3535" ht="13.5" hidden="1" spans="1:5">
      <c r="A3535" s="2" t="str">
        <f>"胡蕊"</f>
        <v>胡蕊</v>
      </c>
      <c r="B3535" s="2" t="str">
        <f>"B20200901215"</f>
        <v>B20200901215</v>
      </c>
      <c r="C3535" s="2" t="str">
        <f t="shared" ref="C3535:C3538" si="877">"女"</f>
        <v>女</v>
      </c>
      <c r="D3535" s="2" t="str">
        <f t="shared" ref="D3535:D3598" si="878">"7"</f>
        <v>7</v>
      </c>
      <c r="E3535" s="2" t="str">
        <f t="shared" si="876"/>
        <v>经济与管理学院</v>
      </c>
    </row>
    <row r="3536" ht="13.5" hidden="1" spans="1:5">
      <c r="A3536" s="2" t="str">
        <f>"马淑婷"</f>
        <v>马淑婷</v>
      </c>
      <c r="B3536" s="2" t="str">
        <f>"B20220905233"</f>
        <v>B20220905233</v>
      </c>
      <c r="C3536" s="2" t="str">
        <f t="shared" si="877"/>
        <v>女</v>
      </c>
      <c r="D3536" s="2" t="str">
        <f t="shared" si="878"/>
        <v>7</v>
      </c>
      <c r="E3536" s="2" t="str">
        <f t="shared" si="876"/>
        <v>经济与管理学院</v>
      </c>
    </row>
    <row r="3537" ht="13.5" hidden="1" spans="1:5">
      <c r="A3537" s="2" t="str">
        <f>"邬婧娴"</f>
        <v>邬婧娴</v>
      </c>
      <c r="B3537" s="2" t="str">
        <f>"B20230202228"</f>
        <v>B20230202228</v>
      </c>
      <c r="C3537" s="2" t="str">
        <f t="shared" si="877"/>
        <v>女</v>
      </c>
      <c r="D3537" s="2" t="str">
        <f t="shared" si="878"/>
        <v>7</v>
      </c>
      <c r="E3537" s="2" t="str">
        <f>"机电工程学院"</f>
        <v>机电工程学院</v>
      </c>
    </row>
    <row r="3538" ht="13.5" hidden="1" spans="1:5">
      <c r="A3538" s="2" t="str">
        <f>"黄莎"</f>
        <v>黄莎</v>
      </c>
      <c r="B3538" s="2" t="str">
        <f>"B20210902201"</f>
        <v>B20210902201</v>
      </c>
      <c r="C3538" s="2" t="str">
        <f t="shared" si="877"/>
        <v>女</v>
      </c>
      <c r="D3538" s="2" t="str">
        <f t="shared" si="878"/>
        <v>7</v>
      </c>
      <c r="E3538" s="2" t="str">
        <f>"经济与管理学院"</f>
        <v>经济与管理学院</v>
      </c>
    </row>
    <row r="3539" ht="13.5" hidden="1" spans="1:5">
      <c r="A3539" s="2" t="str">
        <f>"刘逸锴"</f>
        <v>刘逸锴</v>
      </c>
      <c r="B3539" s="2" t="str">
        <f>"B20200601314"</f>
        <v>B20200601314</v>
      </c>
      <c r="C3539" s="2" t="str">
        <f t="shared" ref="C3539:C3541" si="879">"男"</f>
        <v>男</v>
      </c>
      <c r="D3539" s="2" t="str">
        <f t="shared" si="878"/>
        <v>7</v>
      </c>
      <c r="E3539" s="2" t="str">
        <f>"法学院"</f>
        <v>法学院</v>
      </c>
    </row>
    <row r="3540" customHeight="1" spans="1:5">
      <c r="A3540" s="6" t="str">
        <f>"刘凯"</f>
        <v>刘凯</v>
      </c>
      <c r="B3540" s="6" t="str">
        <f>"B20210304416"</f>
        <v>B20210304416</v>
      </c>
      <c r="C3540" s="6" t="str">
        <f t="shared" si="879"/>
        <v>男</v>
      </c>
      <c r="D3540" s="7" t="str">
        <f t="shared" si="878"/>
        <v>7</v>
      </c>
      <c r="E3540" s="6" t="str">
        <f>"计算机科学与工程学院"</f>
        <v>计算机科学与工程学院</v>
      </c>
    </row>
    <row r="3541" ht="13.5" hidden="1" spans="1:5">
      <c r="A3541" s="2" t="str">
        <f>"王东豪"</f>
        <v>王东豪</v>
      </c>
      <c r="B3541" s="2" t="str">
        <f>"B20230501232"</f>
        <v>B20230501232</v>
      </c>
      <c r="C3541" s="2" t="str">
        <f t="shared" si="879"/>
        <v>男</v>
      </c>
      <c r="D3541" s="2" t="str">
        <f t="shared" si="878"/>
        <v>7</v>
      </c>
      <c r="E3541" s="2" t="str">
        <f>"生物与化学工程学院"</f>
        <v>生物与化学工程学院</v>
      </c>
    </row>
    <row r="3542" ht="13.5" hidden="1" spans="1:5">
      <c r="A3542" s="2" t="str">
        <f>"杜诗琪"</f>
        <v>杜诗琪</v>
      </c>
      <c r="B3542" s="2" t="str">
        <f>"B20230504322"</f>
        <v>B20230504322</v>
      </c>
      <c r="C3542" s="2" t="str">
        <f t="shared" ref="C3542:C3549" si="880">"女"</f>
        <v>女</v>
      </c>
      <c r="D3542" s="2" t="str">
        <f t="shared" si="878"/>
        <v>7</v>
      </c>
      <c r="E3542" s="2" t="str">
        <f>"生物与化学工程学院"</f>
        <v>生物与化学工程学院</v>
      </c>
    </row>
    <row r="3543" ht="13.5" hidden="1" spans="1:5">
      <c r="A3543" s="2" t="str">
        <f>"杨俊毅"</f>
        <v>杨俊毅</v>
      </c>
      <c r="B3543" s="2" t="str">
        <f>"B20200504133"</f>
        <v>B20200504133</v>
      </c>
      <c r="C3543" s="2" t="str">
        <f>"男"</f>
        <v>男</v>
      </c>
      <c r="D3543" s="2" t="str">
        <f t="shared" si="878"/>
        <v>7</v>
      </c>
      <c r="E3543" s="2" t="str">
        <f>"生物与环境工程学院"</f>
        <v>生物与环境工程学院</v>
      </c>
    </row>
    <row r="3544" ht="13.5" hidden="1" spans="1:5">
      <c r="A3544" s="2" t="str">
        <f>"蒋子轩"</f>
        <v>蒋子轩</v>
      </c>
      <c r="B3544" s="2" t="str">
        <f>"B20220103210"</f>
        <v>B20220103210</v>
      </c>
      <c r="C3544" s="2" t="str">
        <f>"男"</f>
        <v>男</v>
      </c>
      <c r="D3544" s="2" t="str">
        <f t="shared" si="878"/>
        <v>7</v>
      </c>
      <c r="E3544" s="2" t="str">
        <f>"土木工程学院"</f>
        <v>土木工程学院</v>
      </c>
    </row>
    <row r="3545" ht="13.5" hidden="1" spans="1:5">
      <c r="A3545" s="2" t="str">
        <f>"张杨秦"</f>
        <v>张杨秦</v>
      </c>
      <c r="B3545" s="2" t="str">
        <f>"B20230803220"</f>
        <v>B20230803220</v>
      </c>
      <c r="C3545" s="2" t="str">
        <f t="shared" si="880"/>
        <v>女</v>
      </c>
      <c r="D3545" s="2" t="str">
        <f t="shared" si="878"/>
        <v>7</v>
      </c>
      <c r="E3545" s="2" t="str">
        <f>"外国语学院"</f>
        <v>外国语学院</v>
      </c>
    </row>
    <row r="3546" ht="13.5" hidden="1" spans="1:5">
      <c r="A3546" s="2" t="str">
        <f>"屈亚男"</f>
        <v>屈亚男</v>
      </c>
      <c r="B3546" s="2" t="str">
        <f>"B20200902122"</f>
        <v>B20200902122</v>
      </c>
      <c r="C3546" s="2" t="str">
        <f t="shared" si="880"/>
        <v>女</v>
      </c>
      <c r="D3546" s="2" t="str">
        <f t="shared" si="878"/>
        <v>7</v>
      </c>
      <c r="E3546" s="2" t="str">
        <f>"经济与管理学院"</f>
        <v>经济与管理学院</v>
      </c>
    </row>
    <row r="3547" ht="13.5" hidden="1" spans="1:5">
      <c r="A3547" s="2" t="str">
        <f>"刘颖璇"</f>
        <v>刘颖璇</v>
      </c>
      <c r="B3547" s="2" t="str">
        <f>"B20230701102"</f>
        <v>B20230701102</v>
      </c>
      <c r="C3547" s="2" t="str">
        <f t="shared" si="880"/>
        <v>女</v>
      </c>
      <c r="D3547" s="2" t="str">
        <f t="shared" si="878"/>
        <v>7</v>
      </c>
      <c r="E3547" s="2" t="str">
        <f>"马栏山新媒体学院"</f>
        <v>马栏山新媒体学院</v>
      </c>
    </row>
    <row r="3548" ht="13.5" hidden="1" spans="1:5">
      <c r="A3548" s="2" t="str">
        <f>"邓华青"</f>
        <v>邓华青</v>
      </c>
      <c r="B3548" s="2" t="str">
        <f>"B20210104102"</f>
        <v>B20210104102</v>
      </c>
      <c r="C3548" s="2" t="str">
        <f t="shared" si="880"/>
        <v>女</v>
      </c>
      <c r="D3548" s="2" t="str">
        <f t="shared" si="878"/>
        <v>7</v>
      </c>
      <c r="E3548" s="2" t="str">
        <f>"土木工程学院"</f>
        <v>土木工程学院</v>
      </c>
    </row>
    <row r="3549" ht="13.5" hidden="1" spans="1:5">
      <c r="A3549" s="2" t="str">
        <f>"陈晓倩"</f>
        <v>陈晓倩</v>
      </c>
      <c r="B3549" s="2" t="str">
        <f>"B20201004103"</f>
        <v>B20201004103</v>
      </c>
      <c r="C3549" s="2" t="str">
        <f t="shared" si="880"/>
        <v>女</v>
      </c>
      <c r="D3549" s="2" t="str">
        <f t="shared" si="878"/>
        <v>7</v>
      </c>
      <c r="E3549" s="2" t="str">
        <f>"艺术设计学院"</f>
        <v>艺术设计学院</v>
      </c>
    </row>
    <row r="3550" ht="13.5" hidden="1" spans="1:5">
      <c r="A3550" s="2" t="str">
        <f>"王子旭"</f>
        <v>王子旭</v>
      </c>
      <c r="B3550" s="2" t="str">
        <f>"B20230402125"</f>
        <v>B20230402125</v>
      </c>
      <c r="C3550" s="2" t="str">
        <f t="shared" ref="C3550:C3558" si="881">"男"</f>
        <v>男</v>
      </c>
      <c r="D3550" s="2" t="str">
        <f t="shared" si="878"/>
        <v>7</v>
      </c>
      <c r="E3550" s="2" t="str">
        <f>"电子信息与电气工程学院"</f>
        <v>电子信息与电气工程学院</v>
      </c>
    </row>
    <row r="3551" ht="13.5" hidden="1" spans="1:5">
      <c r="A3551" s="2" t="str">
        <f>"雷萌"</f>
        <v>雷萌</v>
      </c>
      <c r="B3551" s="2" t="str">
        <f>"B20220501214"</f>
        <v>B20220501214</v>
      </c>
      <c r="C3551" s="2" t="str">
        <f>"女"</f>
        <v>女</v>
      </c>
      <c r="D3551" s="2" t="str">
        <f t="shared" si="878"/>
        <v>7</v>
      </c>
      <c r="E3551" s="2" t="str">
        <f>"生物与化学工程学院"</f>
        <v>生物与化学工程学院</v>
      </c>
    </row>
    <row r="3552" ht="13.5" hidden="1" spans="1:5">
      <c r="A3552" s="2" t="str">
        <f>"童娆"</f>
        <v>童娆</v>
      </c>
      <c r="B3552" s="2" t="str">
        <f>"B20230904333"</f>
        <v>B20230904333</v>
      </c>
      <c r="C3552" s="2" t="str">
        <f>"女"</f>
        <v>女</v>
      </c>
      <c r="D3552" s="2" t="str">
        <f t="shared" si="878"/>
        <v>7</v>
      </c>
      <c r="E3552" s="2" t="str">
        <f>"经济与管理学院"</f>
        <v>经济与管理学院</v>
      </c>
    </row>
    <row r="3553" ht="13.5" hidden="1" spans="1:5">
      <c r="A3553" s="2" t="str">
        <f>"龙凯"</f>
        <v>龙凯</v>
      </c>
      <c r="B3553" s="2" t="str">
        <f>"B20231302106"</f>
        <v>B20231302106</v>
      </c>
      <c r="C3553" s="2" t="str">
        <f t="shared" si="881"/>
        <v>男</v>
      </c>
      <c r="D3553" s="2" t="str">
        <f t="shared" si="878"/>
        <v>7</v>
      </c>
      <c r="E3553" s="2" t="str">
        <f>"材料与环境工程学院"</f>
        <v>材料与环境工程学院</v>
      </c>
    </row>
    <row r="3554" ht="13.5" hidden="1" spans="1:5">
      <c r="A3554" s="2" t="str">
        <f>"周龙洋"</f>
        <v>周龙洋</v>
      </c>
      <c r="B3554" s="2" t="str">
        <f>"B20210503131"</f>
        <v>B20210503131</v>
      </c>
      <c r="C3554" s="2" t="str">
        <f t="shared" si="881"/>
        <v>男</v>
      </c>
      <c r="D3554" s="2" t="str">
        <f t="shared" si="878"/>
        <v>7</v>
      </c>
      <c r="E3554" s="2" t="str">
        <f>"材料与环境工程学院"</f>
        <v>材料与环境工程学院</v>
      </c>
    </row>
    <row r="3555" ht="13.5" hidden="1" spans="1:5">
      <c r="A3555" s="2" t="str">
        <f>"杨成武"</f>
        <v>杨成武</v>
      </c>
      <c r="B3555" s="2" t="str">
        <f>"B20200505232"</f>
        <v>B20200505232</v>
      </c>
      <c r="C3555" s="2" t="str">
        <f t="shared" si="881"/>
        <v>男</v>
      </c>
      <c r="D3555" s="2" t="str">
        <f t="shared" si="878"/>
        <v>7</v>
      </c>
      <c r="E3555" s="2" t="str">
        <f>"生物与环境工程学院"</f>
        <v>生物与环境工程学院</v>
      </c>
    </row>
    <row r="3556" customHeight="1" spans="1:5">
      <c r="A3556" s="6" t="str">
        <f>"王俊"</f>
        <v>王俊</v>
      </c>
      <c r="B3556" s="6" t="str">
        <f>"B20210304417"</f>
        <v>B20210304417</v>
      </c>
      <c r="C3556" s="6" t="str">
        <f t="shared" si="881"/>
        <v>男</v>
      </c>
      <c r="D3556" s="7" t="str">
        <f>"6"</f>
        <v>6</v>
      </c>
      <c r="E3556" s="6" t="str">
        <f>"计算机科学与工程学院"</f>
        <v>计算机科学与工程学院</v>
      </c>
    </row>
    <row r="3557" customHeight="1" spans="1:5">
      <c r="A3557" s="6" t="str">
        <f>"郑佳敏"</f>
        <v>郑佳敏</v>
      </c>
      <c r="B3557" s="6" t="str">
        <f>"B20210304418"</f>
        <v>B20210304418</v>
      </c>
      <c r="C3557" s="6" t="str">
        <f>"女"</f>
        <v>女</v>
      </c>
      <c r="D3557" s="7" t="str">
        <f>"6"</f>
        <v>6</v>
      </c>
      <c r="E3557" s="6" t="str">
        <f>"计算机科学与工程学院"</f>
        <v>计算机科学与工程学院</v>
      </c>
    </row>
    <row r="3558" customHeight="1" spans="1:5">
      <c r="A3558" s="6" t="str">
        <f>"曾德倩"</f>
        <v>曾德倩</v>
      </c>
      <c r="B3558" s="6" t="str">
        <f>"B20210304423"</f>
        <v>B20210304423</v>
      </c>
      <c r="C3558" s="6" t="str">
        <f>"女"</f>
        <v>女</v>
      </c>
      <c r="D3558" s="7" t="str">
        <f>"4"</f>
        <v>4</v>
      </c>
      <c r="E3558" s="6" t="str">
        <f>"计算机科学与工程学院"</f>
        <v>计算机科学与工程学院</v>
      </c>
    </row>
    <row r="3559" ht="13.5" hidden="1" spans="1:5">
      <c r="A3559" s="2" t="str">
        <f>"赵静怡"</f>
        <v>赵静怡</v>
      </c>
      <c r="B3559" s="2" t="str">
        <f>"B20230701331"</f>
        <v>B20230701331</v>
      </c>
      <c r="C3559" s="2" t="str">
        <f t="shared" ref="C3559:C3562" si="882">"女"</f>
        <v>女</v>
      </c>
      <c r="D3559" s="2" t="str">
        <f t="shared" si="878"/>
        <v>7</v>
      </c>
      <c r="E3559" s="2" t="str">
        <f>"马栏山新媒体学院"</f>
        <v>马栏山新媒体学院</v>
      </c>
    </row>
    <row r="3560" customHeight="1" spans="1:5">
      <c r="A3560" s="6" t="str">
        <f>"邝奕峰"</f>
        <v>邝奕峰</v>
      </c>
      <c r="B3560" s="6" t="str">
        <f>"B20210304424"</f>
        <v>B20210304424</v>
      </c>
      <c r="C3560" s="6" t="str">
        <f>"男"</f>
        <v>男</v>
      </c>
      <c r="D3560" s="7" t="str">
        <f>"3"</f>
        <v>3</v>
      </c>
      <c r="E3560" s="6" t="str">
        <f>"计算机科学与工程学院"</f>
        <v>计算机科学与工程学院</v>
      </c>
    </row>
    <row r="3561" ht="13.5" hidden="1" spans="1:5">
      <c r="A3561" s="2" t="str">
        <f>"任书影"</f>
        <v>任书影</v>
      </c>
      <c r="B3561" s="2" t="str">
        <f>"B20231301238"</f>
        <v>B20231301238</v>
      </c>
      <c r="C3561" s="2" t="str">
        <f t="shared" si="882"/>
        <v>女</v>
      </c>
      <c r="D3561" s="2" t="str">
        <f t="shared" si="878"/>
        <v>7</v>
      </c>
      <c r="E3561" s="2" t="str">
        <f>"材料与环境工程学院"</f>
        <v>材料与环境工程学院</v>
      </c>
    </row>
    <row r="3562" ht="13.5" hidden="1" spans="1:5">
      <c r="A3562" s="2" t="str">
        <f>"李当"</f>
        <v>李当</v>
      </c>
      <c r="B3562" s="2" t="str">
        <f>"B20210504131"</f>
        <v>B20210504131</v>
      </c>
      <c r="C3562" s="2" t="str">
        <f t="shared" si="882"/>
        <v>女</v>
      </c>
      <c r="D3562" s="2" t="str">
        <f t="shared" si="878"/>
        <v>7</v>
      </c>
      <c r="E3562" s="2" t="str">
        <f>"生物与化学工程学院"</f>
        <v>生物与化学工程学院</v>
      </c>
    </row>
    <row r="3563" ht="13.5" hidden="1" spans="1:5">
      <c r="A3563" s="2" t="str">
        <f>"龚帮柱"</f>
        <v>龚帮柱</v>
      </c>
      <c r="B3563" s="2" t="str">
        <f>"B20230504127"</f>
        <v>B20230504127</v>
      </c>
      <c r="C3563" s="2" t="str">
        <f t="shared" ref="C3560:C3564" si="883">"男"</f>
        <v>男</v>
      </c>
      <c r="D3563" s="2" t="str">
        <f t="shared" si="878"/>
        <v>7</v>
      </c>
      <c r="E3563" s="2" t="str">
        <f>"生物与化学工程学院"</f>
        <v>生物与化学工程学院</v>
      </c>
    </row>
    <row r="3564" ht="13.5" hidden="1" spans="1:5">
      <c r="A3564" s="2" t="str">
        <f>"唐维"</f>
        <v>唐维</v>
      </c>
      <c r="B3564" s="2" t="str">
        <f>"B20230101124"</f>
        <v>B20230101124</v>
      </c>
      <c r="C3564" s="2" t="str">
        <f t="shared" si="883"/>
        <v>男</v>
      </c>
      <c r="D3564" s="2" t="str">
        <f t="shared" si="878"/>
        <v>7</v>
      </c>
      <c r="E3564" s="2" t="str">
        <f>"土木工程学院"</f>
        <v>土木工程学院</v>
      </c>
    </row>
    <row r="3565" ht="13.5" hidden="1" spans="1:5">
      <c r="A3565" s="2" t="str">
        <f>"宁琪"</f>
        <v>宁琪</v>
      </c>
      <c r="B3565" s="2" t="str">
        <f>"B20230901228"</f>
        <v>B20230901228</v>
      </c>
      <c r="C3565" s="2" t="str">
        <f t="shared" ref="C3565:C3571" si="884">"女"</f>
        <v>女</v>
      </c>
      <c r="D3565" s="2" t="str">
        <f t="shared" si="878"/>
        <v>7</v>
      </c>
      <c r="E3565" s="2" t="str">
        <f>"经济与管理学院"</f>
        <v>经济与管理学院</v>
      </c>
    </row>
    <row r="3566" ht="13.5" hidden="1" spans="1:5">
      <c r="A3566" s="2" t="str">
        <f>"林子翔"</f>
        <v>林子翔</v>
      </c>
      <c r="B3566" s="2" t="str">
        <f>"B20230701231"</f>
        <v>B20230701231</v>
      </c>
      <c r="C3566" s="2" t="str">
        <f t="shared" ref="C3566:C3568" si="885">"男"</f>
        <v>男</v>
      </c>
      <c r="D3566" s="2" t="str">
        <f t="shared" si="878"/>
        <v>7</v>
      </c>
      <c r="E3566" s="2" t="str">
        <f>"马栏山新媒体学院"</f>
        <v>马栏山新媒体学院</v>
      </c>
    </row>
    <row r="3567" ht="13.5" hidden="1" spans="1:5">
      <c r="A3567" s="2" t="str">
        <f>"龙艾鑫"</f>
        <v>龙艾鑫</v>
      </c>
      <c r="B3567" s="2" t="str">
        <f>"B20210204114"</f>
        <v>B20210204114</v>
      </c>
      <c r="C3567" s="2" t="str">
        <f t="shared" si="885"/>
        <v>男</v>
      </c>
      <c r="D3567" s="2" t="str">
        <f t="shared" si="878"/>
        <v>7</v>
      </c>
      <c r="E3567" s="2" t="str">
        <f>"机电工程学院"</f>
        <v>机电工程学院</v>
      </c>
    </row>
    <row r="3568" ht="13.5" hidden="1" spans="1:5">
      <c r="A3568" s="2" t="str">
        <f>"贺鹏"</f>
        <v>贺鹏</v>
      </c>
      <c r="B3568" s="2" t="str">
        <f>"B20210202320"</f>
        <v>B20210202320</v>
      </c>
      <c r="C3568" s="2" t="str">
        <f t="shared" si="885"/>
        <v>男</v>
      </c>
      <c r="D3568" s="2" t="str">
        <f t="shared" si="878"/>
        <v>7</v>
      </c>
      <c r="E3568" s="2" t="str">
        <f>"机电工程学院"</f>
        <v>机电工程学院</v>
      </c>
    </row>
    <row r="3569" ht="13.5" hidden="1" spans="1:5">
      <c r="A3569" s="2" t="str">
        <f>"刘玢妤"</f>
        <v>刘玢妤</v>
      </c>
      <c r="B3569" s="2" t="str">
        <f>"B20220504424"</f>
        <v>B20220504424</v>
      </c>
      <c r="C3569" s="2" t="str">
        <f t="shared" si="884"/>
        <v>女</v>
      </c>
      <c r="D3569" s="2" t="str">
        <f t="shared" si="878"/>
        <v>7</v>
      </c>
      <c r="E3569" s="2" t="str">
        <f t="shared" ref="E3569:E3573" si="886">"生物与化学工程学院"</f>
        <v>生物与化学工程学院</v>
      </c>
    </row>
    <row r="3570" ht="13.5" hidden="1" spans="1:5">
      <c r="A3570" s="2" t="str">
        <f>"罗璇"</f>
        <v>罗璇</v>
      </c>
      <c r="B3570" s="2" t="str">
        <f>"B20230601416"</f>
        <v>B20230601416</v>
      </c>
      <c r="C3570" s="2" t="str">
        <f t="shared" si="884"/>
        <v>女</v>
      </c>
      <c r="D3570" s="2" t="str">
        <f t="shared" si="878"/>
        <v>7</v>
      </c>
      <c r="E3570" s="2" t="str">
        <f>"法学院"</f>
        <v>法学院</v>
      </c>
    </row>
    <row r="3571" ht="13.5" hidden="1" spans="1:5">
      <c r="A3571" s="2" t="str">
        <f>"刘家慧"</f>
        <v>刘家慧</v>
      </c>
      <c r="B3571" s="2" t="str">
        <f>"B20220802208"</f>
        <v>B20220802208</v>
      </c>
      <c r="C3571" s="2" t="str">
        <f t="shared" si="884"/>
        <v>女</v>
      </c>
      <c r="D3571" s="2" t="str">
        <f t="shared" si="878"/>
        <v>7</v>
      </c>
      <c r="E3571" s="2" t="str">
        <f>"外国语学院"</f>
        <v>外国语学院</v>
      </c>
    </row>
    <row r="3572" ht="13.5" hidden="1" spans="1:5">
      <c r="A3572" s="2" t="str">
        <f>"文金鹏"</f>
        <v>文金鹏</v>
      </c>
      <c r="B3572" s="2" t="str">
        <f>"B20210504129"</f>
        <v>B20210504129</v>
      </c>
      <c r="C3572" s="2" t="str">
        <f t="shared" ref="C3572:C3574" si="887">"男"</f>
        <v>男</v>
      </c>
      <c r="D3572" s="2" t="str">
        <f t="shared" si="878"/>
        <v>7</v>
      </c>
      <c r="E3572" s="2" t="str">
        <f t="shared" si="886"/>
        <v>生物与化学工程学院</v>
      </c>
    </row>
    <row r="3573" ht="13.5" hidden="1" spans="1:5">
      <c r="A3573" s="2" t="str">
        <f>"廖振宇"</f>
        <v>廖振宇</v>
      </c>
      <c r="B3573" s="2" t="str">
        <f>"B20210501104"</f>
        <v>B20210501104</v>
      </c>
      <c r="C3573" s="2" t="str">
        <f t="shared" si="887"/>
        <v>男</v>
      </c>
      <c r="D3573" s="2" t="str">
        <f t="shared" si="878"/>
        <v>7</v>
      </c>
      <c r="E3573" s="2" t="str">
        <f t="shared" si="886"/>
        <v>生物与化学工程学院</v>
      </c>
    </row>
    <row r="3574" customHeight="1" spans="1:5">
      <c r="A3574" s="6" t="str">
        <f>"黄敏芝"</f>
        <v>黄敏芝</v>
      </c>
      <c r="B3574" s="6" t="str">
        <f>"B20210304425"</f>
        <v>B20210304425</v>
      </c>
      <c r="C3574" s="6" t="str">
        <f t="shared" si="887"/>
        <v>男</v>
      </c>
      <c r="D3574" s="7" t="str">
        <f>"3"</f>
        <v>3</v>
      </c>
      <c r="E3574" s="6" t="str">
        <f>"计算机科学与工程学院"</f>
        <v>计算机科学与工程学院</v>
      </c>
    </row>
    <row r="3575" ht="13.5" hidden="1" spans="1:5">
      <c r="A3575" s="2" t="str">
        <f>"高瑶"</f>
        <v>高瑶</v>
      </c>
      <c r="B3575" s="2" t="str">
        <f>"B20200902117"</f>
        <v>B20200902117</v>
      </c>
      <c r="C3575" s="2" t="str">
        <f t="shared" ref="C3575:C3582" si="888">"女"</f>
        <v>女</v>
      </c>
      <c r="D3575" s="2" t="str">
        <f t="shared" si="878"/>
        <v>7</v>
      </c>
      <c r="E3575" s="2" t="str">
        <f>"经济与管理学院"</f>
        <v>经济与管理学院</v>
      </c>
    </row>
    <row r="3576" ht="13.5" hidden="1" spans="1:5">
      <c r="A3576" s="2" t="str">
        <f>"易宇轩"</f>
        <v>易宇轩</v>
      </c>
      <c r="B3576" s="2" t="str">
        <f>"B20200404207"</f>
        <v>B20200404207</v>
      </c>
      <c r="C3576" s="2" t="str">
        <f t="shared" ref="C3576:C3579" si="889">"男"</f>
        <v>男</v>
      </c>
      <c r="D3576" s="2" t="str">
        <f t="shared" si="878"/>
        <v>7</v>
      </c>
      <c r="E3576" s="2" t="str">
        <f>"电子信息与电气工程学院"</f>
        <v>电子信息与电气工程学院</v>
      </c>
    </row>
    <row r="3577" ht="13.5" hidden="1" spans="1:5">
      <c r="A3577" s="2" t="str">
        <f>"刘娜"</f>
        <v>刘娜</v>
      </c>
      <c r="B3577" s="2" t="str">
        <f>"B20200504124"</f>
        <v>B20200504124</v>
      </c>
      <c r="C3577" s="2" t="str">
        <f t="shared" si="888"/>
        <v>女</v>
      </c>
      <c r="D3577" s="2" t="str">
        <f t="shared" si="878"/>
        <v>7</v>
      </c>
      <c r="E3577" s="2" t="str">
        <f>"生物与环境工程学院"</f>
        <v>生物与环境工程学院</v>
      </c>
    </row>
    <row r="3578" customHeight="1" spans="1:5">
      <c r="A3578" s="6" t="str">
        <f>"王昱钦"</f>
        <v>王昱钦</v>
      </c>
      <c r="B3578" s="6" t="str">
        <f>"B20210304426"</f>
        <v>B20210304426</v>
      </c>
      <c r="C3578" s="6" t="str">
        <f>"男"</f>
        <v>男</v>
      </c>
      <c r="D3578" s="7" t="str">
        <f>"3"</f>
        <v>3</v>
      </c>
      <c r="E3578" s="6" t="str">
        <f>"计算机科学与工程学院"</f>
        <v>计算机科学与工程学院</v>
      </c>
    </row>
    <row r="3579" ht="13.5" hidden="1" spans="1:5">
      <c r="A3579" s="2" t="str">
        <f>"田凯"</f>
        <v>田凯</v>
      </c>
      <c r="B3579" s="2" t="str">
        <f>"B20220202425"</f>
        <v>B20220202425</v>
      </c>
      <c r="C3579" s="2" t="str">
        <f t="shared" si="889"/>
        <v>男</v>
      </c>
      <c r="D3579" s="2" t="str">
        <f t="shared" si="878"/>
        <v>7</v>
      </c>
      <c r="E3579" s="2" t="str">
        <f>"机电工程学院"</f>
        <v>机电工程学院</v>
      </c>
    </row>
    <row r="3580" ht="13.5" hidden="1" spans="1:5">
      <c r="A3580" s="2" t="str">
        <f>"胡玲"</f>
        <v>胡玲</v>
      </c>
      <c r="B3580" s="2" t="str">
        <f>"B20210102141"</f>
        <v>B20210102141</v>
      </c>
      <c r="C3580" s="2" t="str">
        <f t="shared" si="888"/>
        <v>女</v>
      </c>
      <c r="D3580" s="2" t="str">
        <f t="shared" si="878"/>
        <v>7</v>
      </c>
      <c r="E3580" s="2" t="str">
        <f>"土木工程学院"</f>
        <v>土木工程学院</v>
      </c>
    </row>
    <row r="3581" ht="13.5" hidden="1" spans="1:5">
      <c r="A3581" s="2" t="str">
        <f>"李惠彤"</f>
        <v>李惠彤</v>
      </c>
      <c r="B3581" s="2" t="str">
        <f>"B20221111108"</f>
        <v>B20221111108</v>
      </c>
      <c r="C3581" s="2" t="str">
        <f t="shared" si="888"/>
        <v>女</v>
      </c>
      <c r="D3581" s="2" t="str">
        <f t="shared" si="878"/>
        <v>7</v>
      </c>
      <c r="E3581" s="2" t="str">
        <f>"音乐学院"</f>
        <v>音乐学院</v>
      </c>
    </row>
    <row r="3582" ht="13.5" hidden="1" spans="1:5">
      <c r="A3582" s="2" t="str">
        <f>"李锦"</f>
        <v>李锦</v>
      </c>
      <c r="B3582" s="2" t="str">
        <f>"B20220704123"</f>
        <v>B20220704123</v>
      </c>
      <c r="C3582" s="2" t="str">
        <f t="shared" si="888"/>
        <v>女</v>
      </c>
      <c r="D3582" s="2" t="str">
        <f t="shared" si="878"/>
        <v>7</v>
      </c>
      <c r="E3582" s="2" t="str">
        <f>"马栏山新媒体学院"</f>
        <v>马栏山新媒体学院</v>
      </c>
    </row>
    <row r="3583" customHeight="1" spans="1:5">
      <c r="A3583" s="6" t="str">
        <f>"杨敬凯"</f>
        <v>杨敬凯</v>
      </c>
      <c r="B3583" s="6" t="str">
        <f>"B20210304427"</f>
        <v>B20210304427</v>
      </c>
      <c r="C3583" s="6" t="str">
        <f>"男"</f>
        <v>男</v>
      </c>
      <c r="D3583" s="7" t="str">
        <f>"3"</f>
        <v>3</v>
      </c>
      <c r="E3583" s="6" t="str">
        <f>"计算机科学与工程学院"</f>
        <v>计算机科学与工程学院</v>
      </c>
    </row>
    <row r="3584" customHeight="1" spans="1:5">
      <c r="A3584" s="6" t="str">
        <f>"郭铠逵"</f>
        <v>郭铠逵</v>
      </c>
      <c r="B3584" s="6" t="str">
        <f>"B20210304429"</f>
        <v>B20210304429</v>
      </c>
      <c r="C3584" s="6" t="str">
        <f>"男"</f>
        <v>男</v>
      </c>
      <c r="D3584" s="7" t="str">
        <f>"7"</f>
        <v>7</v>
      </c>
      <c r="E3584" s="6" t="str">
        <f>"计算机科学与工程学院"</f>
        <v>计算机科学与工程学院</v>
      </c>
    </row>
    <row r="3585" ht="13.5" hidden="1" spans="1:5">
      <c r="A3585" s="2" t="str">
        <f>"刘璐"</f>
        <v>刘璐</v>
      </c>
      <c r="B3585" s="2" t="str">
        <f>"B20200502225"</f>
        <v>B20200502225</v>
      </c>
      <c r="C3585" s="2" t="str">
        <f t="shared" ref="C3585:C3589" si="890">"女"</f>
        <v>女</v>
      </c>
      <c r="D3585" s="2" t="str">
        <f t="shared" si="878"/>
        <v>7</v>
      </c>
      <c r="E3585" s="2" t="str">
        <f>"生物与环境工程学院"</f>
        <v>生物与环境工程学院</v>
      </c>
    </row>
    <row r="3586" customHeight="1" spans="1:5">
      <c r="A3586" s="6" t="str">
        <f>"邓彦宇"</f>
        <v>邓彦宇</v>
      </c>
      <c r="B3586" s="6" t="str">
        <f>"B20210304430"</f>
        <v>B20210304430</v>
      </c>
      <c r="C3586" s="6" t="str">
        <f>"男"</f>
        <v>男</v>
      </c>
      <c r="D3586" s="7" t="str">
        <f>"6"</f>
        <v>6</v>
      </c>
      <c r="E3586" s="6" t="str">
        <f>"计算机科学与工程学院"</f>
        <v>计算机科学与工程学院</v>
      </c>
    </row>
    <row r="3587" ht="13.5" hidden="1" spans="1:5">
      <c r="A3587" s="2" t="str">
        <f>"傅芯怡"</f>
        <v>傅芯怡</v>
      </c>
      <c r="B3587" s="2" t="str">
        <f>"B20220906230"</f>
        <v>B20220906230</v>
      </c>
      <c r="C3587" s="2" t="str">
        <f t="shared" si="890"/>
        <v>女</v>
      </c>
      <c r="D3587" s="2" t="str">
        <f t="shared" si="878"/>
        <v>7</v>
      </c>
      <c r="E3587" s="2" t="str">
        <f>"经济与管理学院"</f>
        <v>经济与管理学院</v>
      </c>
    </row>
    <row r="3588" ht="13.5" hidden="1" spans="1:5">
      <c r="A3588" s="2" t="str">
        <f>"尹烨"</f>
        <v>尹烨</v>
      </c>
      <c r="B3588" s="2" t="str">
        <f>"B20230401319"</f>
        <v>B20230401319</v>
      </c>
      <c r="C3588" s="2" t="str">
        <f t="shared" ref="C3588:C3594" si="891">"男"</f>
        <v>男</v>
      </c>
      <c r="D3588" s="2" t="str">
        <f t="shared" si="878"/>
        <v>7</v>
      </c>
      <c r="E3588" s="2" t="str">
        <f>"电子信息与电气工程学院"</f>
        <v>电子信息与电气工程学院</v>
      </c>
    </row>
    <row r="3589" ht="13.5" hidden="1" spans="1:5">
      <c r="A3589" s="2" t="str">
        <f>"秦丽"</f>
        <v>秦丽</v>
      </c>
      <c r="B3589" s="2" t="str">
        <f>"B20231401126"</f>
        <v>B20231401126</v>
      </c>
      <c r="C3589" s="2" t="str">
        <f t="shared" si="890"/>
        <v>女</v>
      </c>
      <c r="D3589" s="2" t="str">
        <f t="shared" si="878"/>
        <v>7</v>
      </c>
      <c r="E3589" s="2" t="str">
        <f>"马克思主义学院"</f>
        <v>马克思主义学院</v>
      </c>
    </row>
    <row r="3590" ht="13.5" hidden="1" spans="1:5">
      <c r="A3590" s="2" t="str">
        <f>"毕宏远"</f>
        <v>毕宏远</v>
      </c>
      <c r="B3590" s="2" t="str">
        <f>"B20220702401"</f>
        <v>B20220702401</v>
      </c>
      <c r="C3590" s="2" t="str">
        <f t="shared" si="891"/>
        <v>男</v>
      </c>
      <c r="D3590" s="2" t="str">
        <f t="shared" si="878"/>
        <v>7</v>
      </c>
      <c r="E3590" s="2" t="str">
        <f>"马栏山新媒体学院"</f>
        <v>马栏山新媒体学院</v>
      </c>
    </row>
    <row r="3591" ht="13.5" hidden="1" spans="1:5">
      <c r="A3591" s="2" t="str">
        <f>"丁子涵"</f>
        <v>丁子涵</v>
      </c>
      <c r="B3591" s="2" t="str">
        <f>"B20220504220"</f>
        <v>B20220504220</v>
      </c>
      <c r="C3591" s="2" t="str">
        <f t="shared" si="891"/>
        <v>男</v>
      </c>
      <c r="D3591" s="2" t="str">
        <f t="shared" si="878"/>
        <v>7</v>
      </c>
      <c r="E3591" s="2" t="str">
        <f>"生物与化学工程学院"</f>
        <v>生物与化学工程学院</v>
      </c>
    </row>
    <row r="3592" ht="13.5" hidden="1" spans="1:5">
      <c r="A3592" s="2" t="str">
        <f>"莫逸涛"</f>
        <v>莫逸涛</v>
      </c>
      <c r="B3592" s="2" t="str">
        <f>"B20230704202"</f>
        <v>B20230704202</v>
      </c>
      <c r="C3592" s="2" t="str">
        <f t="shared" si="891"/>
        <v>男</v>
      </c>
      <c r="D3592" s="2" t="str">
        <f t="shared" si="878"/>
        <v>7</v>
      </c>
      <c r="E3592" s="2" t="str">
        <f>"马栏山新媒体学院"</f>
        <v>马栏山新媒体学院</v>
      </c>
    </row>
    <row r="3593" ht="13.5" hidden="1" spans="1:5">
      <c r="A3593" s="2" t="str">
        <f>"付俊杰"</f>
        <v>付俊杰</v>
      </c>
      <c r="B3593" s="2" t="str">
        <f>"B20230402233"</f>
        <v>B20230402233</v>
      </c>
      <c r="C3593" s="2" t="str">
        <f t="shared" si="891"/>
        <v>男</v>
      </c>
      <c r="D3593" s="2" t="str">
        <f t="shared" si="878"/>
        <v>7</v>
      </c>
      <c r="E3593" s="2" t="str">
        <f>"电子信息与电气工程学院"</f>
        <v>电子信息与电气工程学院</v>
      </c>
    </row>
    <row r="3594" ht="13.5" hidden="1" spans="1:5">
      <c r="A3594" s="2" t="str">
        <f>"候孝杰"</f>
        <v>候孝杰</v>
      </c>
      <c r="B3594" s="2" t="str">
        <f>"B20200903133"</f>
        <v>B20200903133</v>
      </c>
      <c r="C3594" s="2" t="str">
        <f t="shared" si="891"/>
        <v>男</v>
      </c>
      <c r="D3594" s="2" t="str">
        <f t="shared" si="878"/>
        <v>7</v>
      </c>
      <c r="E3594" s="2" t="str">
        <f>"经济与管理学院"</f>
        <v>经济与管理学院</v>
      </c>
    </row>
    <row r="3595" ht="13.5" hidden="1" spans="1:5">
      <c r="A3595" s="2" t="str">
        <f>"彭安怡"</f>
        <v>彭安怡</v>
      </c>
      <c r="B3595" s="2" t="str">
        <f>"B20230906130"</f>
        <v>B20230906130</v>
      </c>
      <c r="C3595" s="2" t="str">
        <f t="shared" ref="C3595:C3597" si="892">"女"</f>
        <v>女</v>
      </c>
      <c r="D3595" s="2" t="str">
        <f t="shared" si="878"/>
        <v>7</v>
      </c>
      <c r="E3595" s="2" t="str">
        <f>"经济与管理学院"</f>
        <v>经济与管理学院</v>
      </c>
    </row>
    <row r="3596" customHeight="1" spans="1:5">
      <c r="A3596" s="6" t="str">
        <f>"刘晓慧"</f>
        <v>刘晓慧</v>
      </c>
      <c r="B3596" s="6" t="str">
        <f>"B20210304432"</f>
        <v>B20210304432</v>
      </c>
      <c r="C3596" s="6" t="str">
        <f t="shared" si="892"/>
        <v>女</v>
      </c>
      <c r="D3596" s="7" t="str">
        <f>"1"</f>
        <v>1</v>
      </c>
      <c r="E3596" s="6" t="str">
        <f>"计算机科学与工程学院"</f>
        <v>计算机科学与工程学院</v>
      </c>
    </row>
    <row r="3597" ht="13.5" hidden="1" spans="1:5">
      <c r="A3597" s="2" t="str">
        <f>"李颖"</f>
        <v>李颖</v>
      </c>
      <c r="B3597" s="2" t="str">
        <f>"B20210503213"</f>
        <v>B20210503213</v>
      </c>
      <c r="C3597" s="2" t="str">
        <f t="shared" si="892"/>
        <v>女</v>
      </c>
      <c r="D3597" s="2" t="str">
        <f t="shared" si="878"/>
        <v>7</v>
      </c>
      <c r="E3597" s="2" t="str">
        <f>"材料与环境工程学院"</f>
        <v>材料与环境工程学院</v>
      </c>
    </row>
    <row r="3598" customHeight="1" spans="1:5">
      <c r="A3598" s="6" t="str">
        <f>"宾铭清"</f>
        <v>宾铭清</v>
      </c>
      <c r="B3598" s="6" t="str">
        <f>"B20210305102"</f>
        <v>B20210305102</v>
      </c>
      <c r="C3598" s="6" t="str">
        <f>"男"</f>
        <v>男</v>
      </c>
      <c r="D3598" s="7" t="str">
        <f>"8"</f>
        <v>8</v>
      </c>
      <c r="E3598" s="6" t="str">
        <f>"计算机科学与工程学院"</f>
        <v>计算机科学与工程学院</v>
      </c>
    </row>
    <row r="3599" ht="13.5" hidden="1" spans="1:5">
      <c r="A3599" s="2" t="str">
        <f>"周俊希"</f>
        <v>周俊希</v>
      </c>
      <c r="B3599" s="2" t="str">
        <f>"B20200704115"</f>
        <v>B20200704115</v>
      </c>
      <c r="C3599" s="2" t="str">
        <f t="shared" ref="C3598:C3604" si="893">"男"</f>
        <v>男</v>
      </c>
      <c r="D3599" s="2" t="str">
        <f t="shared" ref="D3599:D3662" si="894">"7"</f>
        <v>7</v>
      </c>
      <c r="E3599" s="2" t="str">
        <f>"马栏山新媒体学院"</f>
        <v>马栏山新媒体学院</v>
      </c>
    </row>
    <row r="3600" customHeight="1" spans="1:5">
      <c r="A3600" s="6" t="str">
        <f>"谢婷"</f>
        <v>谢婷</v>
      </c>
      <c r="B3600" s="6" t="str">
        <f>"B20210305103"</f>
        <v>B20210305103</v>
      </c>
      <c r="C3600" s="6" t="str">
        <f>"女"</f>
        <v>女</v>
      </c>
      <c r="D3600" s="7" t="str">
        <f>"6"</f>
        <v>6</v>
      </c>
      <c r="E3600" s="6" t="str">
        <f>"计算机科学与工程学院"</f>
        <v>计算机科学与工程学院</v>
      </c>
    </row>
    <row r="3601" customHeight="1" spans="1:5">
      <c r="A3601" s="6" t="str">
        <f>"易志鹏"</f>
        <v>易志鹏</v>
      </c>
      <c r="B3601" s="6" t="str">
        <f>"B20210305108"</f>
        <v>B20210305108</v>
      </c>
      <c r="C3601" s="6" t="str">
        <f>"男"</f>
        <v>男</v>
      </c>
      <c r="D3601" s="7" t="str">
        <f>"4"</f>
        <v>4</v>
      </c>
      <c r="E3601" s="6" t="str">
        <f>"计算机科学与工程学院"</f>
        <v>计算机科学与工程学院</v>
      </c>
    </row>
    <row r="3602" ht="13.5" hidden="1" spans="1:5">
      <c r="A3602" s="2" t="str">
        <f>"宋研津"</f>
        <v>宋研津</v>
      </c>
      <c r="B3602" s="2" t="str">
        <f>"B20230403125"</f>
        <v>B20230403125</v>
      </c>
      <c r="C3602" s="2" t="str">
        <f t="shared" si="893"/>
        <v>男</v>
      </c>
      <c r="D3602" s="2" t="str">
        <f t="shared" si="894"/>
        <v>7</v>
      </c>
      <c r="E3602" s="2" t="str">
        <f>"电子信息与电气工程学院"</f>
        <v>电子信息与电气工程学院</v>
      </c>
    </row>
    <row r="3603" ht="13.5" hidden="1" spans="1:5">
      <c r="A3603" s="2" t="str">
        <f>"石俊凡"</f>
        <v>石俊凡</v>
      </c>
      <c r="B3603" s="2" t="str">
        <f>"B20231101107"</f>
        <v>B20231101107</v>
      </c>
      <c r="C3603" s="2" t="str">
        <f t="shared" si="893"/>
        <v>男</v>
      </c>
      <c r="D3603" s="2" t="str">
        <f t="shared" si="894"/>
        <v>7</v>
      </c>
      <c r="E3603" s="2" t="str">
        <f>"音乐学院"</f>
        <v>音乐学院</v>
      </c>
    </row>
    <row r="3604" customHeight="1" spans="1:5">
      <c r="A3604" s="6" t="str">
        <f>"朱涵嫣"</f>
        <v>朱涵嫣</v>
      </c>
      <c r="B3604" s="6" t="str">
        <f>"B20210305111"</f>
        <v>B20210305111</v>
      </c>
      <c r="C3604" s="6" t="str">
        <f>"女"</f>
        <v>女</v>
      </c>
      <c r="D3604" s="7" t="str">
        <f>"6"</f>
        <v>6</v>
      </c>
      <c r="E3604" s="6" t="str">
        <f>"计算机科学与工程学院"</f>
        <v>计算机科学与工程学院</v>
      </c>
    </row>
    <row r="3605" ht="13.5" hidden="1" spans="1:5">
      <c r="A3605" s="2" t="str">
        <f>"彭芷菱"</f>
        <v>彭芷菱</v>
      </c>
      <c r="B3605" s="2" t="str">
        <f>"B20211101115"</f>
        <v>B20211101115</v>
      </c>
      <c r="C3605" s="2" t="str">
        <f>"女"</f>
        <v>女</v>
      </c>
      <c r="D3605" s="2" t="str">
        <f t="shared" si="894"/>
        <v>7</v>
      </c>
      <c r="E3605" s="2" t="str">
        <f>"音乐学院"</f>
        <v>音乐学院</v>
      </c>
    </row>
    <row r="3606" ht="13.5" hidden="1" spans="1:5">
      <c r="A3606" s="2" t="str">
        <f>"李琳"</f>
        <v>李琳</v>
      </c>
      <c r="B3606" s="2" t="str">
        <f>"B20200104110"</f>
        <v>B20200104110</v>
      </c>
      <c r="C3606" s="2" t="str">
        <f>"女"</f>
        <v>女</v>
      </c>
      <c r="D3606" s="2" t="str">
        <f t="shared" si="894"/>
        <v>7</v>
      </c>
      <c r="E3606" s="2" t="str">
        <f t="shared" ref="E3606:E3611" si="895">"土木工程学院"</f>
        <v>土木工程学院</v>
      </c>
    </row>
    <row r="3607" ht="13.5" hidden="1" spans="1:5">
      <c r="A3607" s="2" t="str">
        <f>"胡磊"</f>
        <v>胡磊</v>
      </c>
      <c r="B3607" s="2" t="str">
        <f>"B20200101131"</f>
        <v>B20200101131</v>
      </c>
      <c r="C3607" s="2" t="str">
        <f t="shared" ref="C3607:C3610" si="896">"男"</f>
        <v>男</v>
      </c>
      <c r="D3607" s="2" t="str">
        <f t="shared" si="894"/>
        <v>7</v>
      </c>
      <c r="E3607" s="2" t="str">
        <f t="shared" si="895"/>
        <v>土木工程学院</v>
      </c>
    </row>
    <row r="3608" ht="13.5" hidden="1" spans="1:5">
      <c r="A3608" s="2" t="str">
        <f>"彭志文"</f>
        <v>彭志文</v>
      </c>
      <c r="B3608" s="2" t="str">
        <f>"B20231302209"</f>
        <v>B20231302209</v>
      </c>
      <c r="C3608" s="2" t="str">
        <f t="shared" si="896"/>
        <v>男</v>
      </c>
      <c r="D3608" s="2" t="str">
        <f t="shared" si="894"/>
        <v>7</v>
      </c>
      <c r="E3608" s="2" t="str">
        <f>"材料与环境工程学院"</f>
        <v>材料与环境工程学院</v>
      </c>
    </row>
    <row r="3609" ht="13.5" hidden="1" spans="1:5">
      <c r="A3609" s="2" t="str">
        <f>"严靖逸"</f>
        <v>严靖逸</v>
      </c>
      <c r="B3609" s="2" t="str">
        <f>"B20230703214"</f>
        <v>B20230703214</v>
      </c>
      <c r="C3609" s="2" t="str">
        <f t="shared" si="896"/>
        <v>男</v>
      </c>
      <c r="D3609" s="2" t="str">
        <f t="shared" si="894"/>
        <v>7</v>
      </c>
      <c r="E3609" s="2" t="str">
        <f>"马栏山新媒体学院"</f>
        <v>马栏山新媒体学院</v>
      </c>
    </row>
    <row r="3610" ht="13.5" hidden="1" spans="1:5">
      <c r="A3610" s="2" t="str">
        <f>"尚夏宇皓"</f>
        <v>尚夏宇皓</v>
      </c>
      <c r="B3610" s="2" t="str">
        <f>"B20230703210"</f>
        <v>B20230703210</v>
      </c>
      <c r="C3610" s="2" t="str">
        <f t="shared" si="896"/>
        <v>男</v>
      </c>
      <c r="D3610" s="2" t="str">
        <f t="shared" si="894"/>
        <v>7</v>
      </c>
      <c r="E3610" s="2" t="str">
        <f>"马栏山新媒体学院"</f>
        <v>马栏山新媒体学院</v>
      </c>
    </row>
    <row r="3611" ht="13.5" hidden="1" spans="1:5">
      <c r="A3611" s="2" t="str">
        <f>"唐璐"</f>
        <v>唐璐</v>
      </c>
      <c r="B3611" s="2" t="str">
        <f>"B20220104229"</f>
        <v>B20220104229</v>
      </c>
      <c r="C3611" s="2" t="str">
        <f t="shared" ref="C3611:C3614" si="897">"女"</f>
        <v>女</v>
      </c>
      <c r="D3611" s="2" t="str">
        <f t="shared" si="894"/>
        <v>7</v>
      </c>
      <c r="E3611" s="2" t="str">
        <f t="shared" si="895"/>
        <v>土木工程学院</v>
      </c>
    </row>
    <row r="3612" ht="13.5" hidden="1" spans="1:5">
      <c r="A3612" s="2" t="str">
        <f>"金城瑜"</f>
        <v>金城瑜</v>
      </c>
      <c r="B3612" s="2" t="str">
        <f>"B20231001413"</f>
        <v>B20231001413</v>
      </c>
      <c r="C3612" s="2" t="str">
        <f t="shared" ref="C3612:C3618" si="898">"男"</f>
        <v>男</v>
      </c>
      <c r="D3612" s="2" t="str">
        <f t="shared" si="894"/>
        <v>7</v>
      </c>
      <c r="E3612" s="2" t="str">
        <f>"艺术设计学院"</f>
        <v>艺术设计学院</v>
      </c>
    </row>
    <row r="3613" ht="13.5" hidden="1" spans="1:5">
      <c r="A3613" s="2" t="str">
        <f>"苏美琪"</f>
        <v>苏美琪</v>
      </c>
      <c r="B3613" s="2" t="str">
        <f>"B20210906115"</f>
        <v>B20210906115</v>
      </c>
      <c r="C3613" s="2" t="str">
        <f t="shared" si="897"/>
        <v>女</v>
      </c>
      <c r="D3613" s="2" t="str">
        <f t="shared" si="894"/>
        <v>7</v>
      </c>
      <c r="E3613" s="2" t="str">
        <f t="shared" ref="E3613:E3616" si="899">"经济与管理学院"</f>
        <v>经济与管理学院</v>
      </c>
    </row>
    <row r="3614" ht="13.5" hidden="1" spans="1:5">
      <c r="A3614" s="2" t="str">
        <f>"罗燕霞"</f>
        <v>罗燕霞</v>
      </c>
      <c r="B3614" s="2" t="str">
        <f>"B20230902231"</f>
        <v>B20230902231</v>
      </c>
      <c r="C3614" s="2" t="str">
        <f t="shared" si="897"/>
        <v>女</v>
      </c>
      <c r="D3614" s="2" t="str">
        <f t="shared" si="894"/>
        <v>7</v>
      </c>
      <c r="E3614" s="2" t="str">
        <f t="shared" si="899"/>
        <v>经济与管理学院</v>
      </c>
    </row>
    <row r="3615" ht="13.5" hidden="1" spans="1:5">
      <c r="A3615" s="2" t="str">
        <f>"刘斌"</f>
        <v>刘斌</v>
      </c>
      <c r="B3615" s="2" t="str">
        <f>"B20200504120"</f>
        <v>B20200504120</v>
      </c>
      <c r="C3615" s="2" t="str">
        <f t="shared" si="898"/>
        <v>男</v>
      </c>
      <c r="D3615" s="2" t="str">
        <f t="shared" si="894"/>
        <v>7</v>
      </c>
      <c r="E3615" s="2" t="str">
        <f>"生物与环境工程学院"</f>
        <v>生物与环境工程学院</v>
      </c>
    </row>
    <row r="3616" ht="13.5" hidden="1" spans="1:5">
      <c r="A3616" s="2" t="str">
        <f>"席康旭"</f>
        <v>席康旭</v>
      </c>
      <c r="B3616" s="2" t="str">
        <f>"B20210905131"</f>
        <v>B20210905131</v>
      </c>
      <c r="C3616" s="2" t="str">
        <f t="shared" si="898"/>
        <v>男</v>
      </c>
      <c r="D3616" s="2" t="str">
        <f t="shared" si="894"/>
        <v>7</v>
      </c>
      <c r="E3616" s="2" t="str">
        <f t="shared" si="899"/>
        <v>经济与管理学院</v>
      </c>
    </row>
    <row r="3617" ht="13.5" hidden="1" spans="1:5">
      <c r="A3617" s="2" t="str">
        <f>"成强"</f>
        <v>成强</v>
      </c>
      <c r="B3617" s="2" t="str">
        <f>"B20220202322"</f>
        <v>B20220202322</v>
      </c>
      <c r="C3617" s="2" t="str">
        <f t="shared" si="898"/>
        <v>男</v>
      </c>
      <c r="D3617" s="2" t="str">
        <f t="shared" si="894"/>
        <v>7</v>
      </c>
      <c r="E3617" s="2" t="str">
        <f>"机电工程学院"</f>
        <v>机电工程学院</v>
      </c>
    </row>
    <row r="3618" ht="13.5" hidden="1" spans="1:5">
      <c r="A3618" s="2" t="str">
        <f>"成双林"</f>
        <v>成双林</v>
      </c>
      <c r="B3618" s="2" t="str">
        <f>"B20230403201"</f>
        <v>B20230403201</v>
      </c>
      <c r="C3618" s="2" t="str">
        <f t="shared" si="898"/>
        <v>男</v>
      </c>
      <c r="D3618" s="2" t="str">
        <f t="shared" si="894"/>
        <v>7</v>
      </c>
      <c r="E3618" s="2" t="str">
        <f>"电子信息与电气工程学院"</f>
        <v>电子信息与电气工程学院</v>
      </c>
    </row>
    <row r="3619" ht="13.5" hidden="1" spans="1:5">
      <c r="A3619" s="2" t="str">
        <f>"万媛嫄"</f>
        <v>万媛嫄</v>
      </c>
      <c r="B3619" s="2" t="str">
        <f>"B20230704410"</f>
        <v>B20230704410</v>
      </c>
      <c r="C3619" s="2" t="str">
        <f>"女"</f>
        <v>女</v>
      </c>
      <c r="D3619" s="2" t="str">
        <f t="shared" si="894"/>
        <v>7</v>
      </c>
      <c r="E3619" s="2" t="str">
        <f>"马栏山新媒体学院"</f>
        <v>马栏山新媒体学院</v>
      </c>
    </row>
    <row r="3620" ht="13.5" hidden="1" spans="1:5">
      <c r="A3620" s="2" t="str">
        <f>"王俊"</f>
        <v>王俊</v>
      </c>
      <c r="B3620" s="2" t="str">
        <f>"B20230903206"</f>
        <v>B20230903206</v>
      </c>
      <c r="C3620" s="2" t="str">
        <f t="shared" ref="C3620:C3624" si="900">"男"</f>
        <v>男</v>
      </c>
      <c r="D3620" s="2" t="str">
        <f t="shared" si="894"/>
        <v>7</v>
      </c>
      <c r="E3620" s="2" t="str">
        <f t="shared" ref="E3620:E3623" si="901">"经济与管理学院"</f>
        <v>经济与管理学院</v>
      </c>
    </row>
    <row r="3621" ht="13.5" hidden="1" spans="1:5">
      <c r="A3621" s="2" t="str">
        <f>"于智"</f>
        <v>于智</v>
      </c>
      <c r="B3621" s="2" t="str">
        <f>"B20220904221"</f>
        <v>B20220904221</v>
      </c>
      <c r="C3621" s="2" t="str">
        <f t="shared" si="900"/>
        <v>男</v>
      </c>
      <c r="D3621" s="2" t="str">
        <f t="shared" si="894"/>
        <v>7</v>
      </c>
      <c r="E3621" s="2" t="str">
        <f t="shared" si="901"/>
        <v>经济与管理学院</v>
      </c>
    </row>
    <row r="3622" ht="13.5" hidden="1" spans="1:5">
      <c r="A3622" s="2" t="str">
        <f>"胡晨轩"</f>
        <v>胡晨轩</v>
      </c>
      <c r="B3622" s="2" t="str">
        <f>"B20230101525"</f>
        <v>B20230101525</v>
      </c>
      <c r="C3622" s="2" t="str">
        <f t="shared" si="900"/>
        <v>男</v>
      </c>
      <c r="D3622" s="2" t="str">
        <f t="shared" si="894"/>
        <v>7</v>
      </c>
      <c r="E3622" s="2" t="str">
        <f>"土木工程学院"</f>
        <v>土木工程学院</v>
      </c>
    </row>
    <row r="3623" ht="13.5" hidden="1" spans="1:5">
      <c r="A3623" s="2" t="str">
        <f>"沈杰"</f>
        <v>沈杰</v>
      </c>
      <c r="B3623" s="2" t="str">
        <f>"B20230904121"</f>
        <v>B20230904121</v>
      </c>
      <c r="C3623" s="2" t="str">
        <f t="shared" si="900"/>
        <v>男</v>
      </c>
      <c r="D3623" s="2" t="str">
        <f t="shared" si="894"/>
        <v>7</v>
      </c>
      <c r="E3623" s="2" t="str">
        <f t="shared" si="901"/>
        <v>经济与管理学院</v>
      </c>
    </row>
    <row r="3624" ht="13.5" hidden="1" spans="1:5">
      <c r="A3624" s="2" t="str">
        <f>"李健雄"</f>
        <v>李健雄</v>
      </c>
      <c r="B3624" s="2" t="str">
        <f>"B20220404113"</f>
        <v>B20220404113</v>
      </c>
      <c r="C3624" s="2" t="str">
        <f t="shared" si="900"/>
        <v>男</v>
      </c>
      <c r="D3624" s="2" t="str">
        <f t="shared" si="894"/>
        <v>7</v>
      </c>
      <c r="E3624" s="2" t="str">
        <f>"电子信息与电气工程学院"</f>
        <v>电子信息与电气工程学院</v>
      </c>
    </row>
    <row r="3625" ht="13.5" hidden="1" spans="1:5">
      <c r="A3625" s="2" t="str">
        <f>"张情"</f>
        <v>张情</v>
      </c>
      <c r="B3625" s="2" t="str">
        <f>"B20220802227"</f>
        <v>B20220802227</v>
      </c>
      <c r="C3625" s="2" t="str">
        <f t="shared" ref="C3625:C3630" si="902">"女"</f>
        <v>女</v>
      </c>
      <c r="D3625" s="2" t="str">
        <f t="shared" si="894"/>
        <v>7</v>
      </c>
      <c r="E3625" s="2" t="str">
        <f>"外国语学院"</f>
        <v>外国语学院</v>
      </c>
    </row>
    <row r="3626" ht="13.5" hidden="1" spans="1:5">
      <c r="A3626" s="2" t="str">
        <f>"唐佳艳"</f>
        <v>唐佳艳</v>
      </c>
      <c r="B3626" s="2" t="str">
        <f>"B20230402302"</f>
        <v>B20230402302</v>
      </c>
      <c r="C3626" s="2" t="str">
        <f t="shared" si="902"/>
        <v>女</v>
      </c>
      <c r="D3626" s="2" t="str">
        <f t="shared" si="894"/>
        <v>7</v>
      </c>
      <c r="E3626" s="2" t="str">
        <f>"电子信息与电气工程学院"</f>
        <v>电子信息与电气工程学院</v>
      </c>
    </row>
    <row r="3627" ht="13.5" hidden="1" spans="1:5">
      <c r="A3627" s="2" t="str">
        <f>"成琳"</f>
        <v>成琳</v>
      </c>
      <c r="B3627" s="2" t="str">
        <f>"B20211002412"</f>
        <v>B20211002412</v>
      </c>
      <c r="C3627" s="2" t="str">
        <f t="shared" si="902"/>
        <v>女</v>
      </c>
      <c r="D3627" s="2" t="str">
        <f t="shared" si="894"/>
        <v>7</v>
      </c>
      <c r="E3627" s="2" t="str">
        <f>"艺术设计学院"</f>
        <v>艺术设计学院</v>
      </c>
    </row>
    <row r="3628" ht="13.5" hidden="1" spans="1:5">
      <c r="A3628" s="2" t="str">
        <f>"胡佳慧"</f>
        <v>胡佳慧</v>
      </c>
      <c r="B3628" s="2" t="str">
        <f>"B20220902315"</f>
        <v>B20220902315</v>
      </c>
      <c r="C3628" s="2" t="str">
        <f t="shared" si="902"/>
        <v>女</v>
      </c>
      <c r="D3628" s="2" t="str">
        <f t="shared" si="894"/>
        <v>7</v>
      </c>
      <c r="E3628" s="2" t="str">
        <f>"经济与管理学院"</f>
        <v>经济与管理学院</v>
      </c>
    </row>
    <row r="3629" ht="13.5" hidden="1" spans="1:5">
      <c r="A3629" s="2" t="str">
        <f>"李湘"</f>
        <v>李湘</v>
      </c>
      <c r="B3629" s="2" t="str">
        <f>"B20220702411"</f>
        <v>B20220702411</v>
      </c>
      <c r="C3629" s="2" t="str">
        <f t="shared" si="902"/>
        <v>女</v>
      </c>
      <c r="D3629" s="2" t="str">
        <f t="shared" si="894"/>
        <v>7</v>
      </c>
      <c r="E3629" s="2" t="str">
        <f>"马栏山新媒体学院"</f>
        <v>马栏山新媒体学院</v>
      </c>
    </row>
    <row r="3630" ht="13.5" hidden="1" spans="1:5">
      <c r="A3630" s="2" t="str">
        <f>"余洋"</f>
        <v>余洋</v>
      </c>
      <c r="B3630" s="2" t="str">
        <f>"B20230401101"</f>
        <v>B20230401101</v>
      </c>
      <c r="C3630" s="2" t="str">
        <f t="shared" si="902"/>
        <v>女</v>
      </c>
      <c r="D3630" s="2" t="str">
        <f t="shared" si="894"/>
        <v>7</v>
      </c>
      <c r="E3630" s="2" t="str">
        <f>"电子信息与电气工程学院"</f>
        <v>电子信息与电气工程学院</v>
      </c>
    </row>
    <row r="3631" ht="13.5" hidden="1" spans="1:5">
      <c r="A3631" s="2" t="str">
        <f>"唐彦博"</f>
        <v>唐彦博</v>
      </c>
      <c r="B3631" s="2" t="str">
        <f>"B20230504330"</f>
        <v>B20230504330</v>
      </c>
      <c r="C3631" s="2" t="str">
        <f t="shared" ref="C3631:C3636" si="903">"男"</f>
        <v>男</v>
      </c>
      <c r="D3631" s="2" t="str">
        <f t="shared" si="894"/>
        <v>7</v>
      </c>
      <c r="E3631" s="2" t="str">
        <f>"生物与化学工程学院"</f>
        <v>生物与化学工程学院</v>
      </c>
    </row>
    <row r="3632" customHeight="1" spans="1:5">
      <c r="A3632" s="6" t="str">
        <f>"郭小敏"</f>
        <v>郭小敏</v>
      </c>
      <c r="B3632" s="6" t="str">
        <f>"B20210305112"</f>
        <v>B20210305112</v>
      </c>
      <c r="C3632" s="6" t="str">
        <f>"女"</f>
        <v>女</v>
      </c>
      <c r="D3632" s="7" t="str">
        <f>"6"</f>
        <v>6</v>
      </c>
      <c r="E3632" s="6" t="str">
        <f>"计算机科学与工程学院"</f>
        <v>计算机科学与工程学院</v>
      </c>
    </row>
    <row r="3633" ht="13.5" hidden="1" spans="1:5">
      <c r="A3633" s="2" t="str">
        <f>"吴宛谦"</f>
        <v>吴宛谦</v>
      </c>
      <c r="B3633" s="2" t="str">
        <f>"B20220704322"</f>
        <v>B20220704322</v>
      </c>
      <c r="C3633" s="2" t="str">
        <f t="shared" ref="C3633:C3637" si="904">"女"</f>
        <v>女</v>
      </c>
      <c r="D3633" s="2" t="str">
        <f t="shared" si="894"/>
        <v>7</v>
      </c>
      <c r="E3633" s="2" t="str">
        <f>"马栏山新媒体学院"</f>
        <v>马栏山新媒体学院</v>
      </c>
    </row>
    <row r="3634" ht="13.5" hidden="1" spans="1:5">
      <c r="A3634" s="2" t="str">
        <f>"陈逸"</f>
        <v>陈逸</v>
      </c>
      <c r="B3634" s="2" t="str">
        <f>"B20220102228"</f>
        <v>B20220102228</v>
      </c>
      <c r="C3634" s="2" t="str">
        <f t="shared" si="903"/>
        <v>男</v>
      </c>
      <c r="D3634" s="2" t="str">
        <f t="shared" si="894"/>
        <v>7</v>
      </c>
      <c r="E3634" s="2" t="str">
        <f>"土木工程学院"</f>
        <v>土木工程学院</v>
      </c>
    </row>
    <row r="3635" ht="13.5" hidden="1" spans="1:5">
      <c r="A3635" s="2" t="str">
        <f>"刘子欣"</f>
        <v>刘子欣</v>
      </c>
      <c r="B3635" s="2" t="str">
        <f>"B20230205103"</f>
        <v>B20230205103</v>
      </c>
      <c r="C3635" s="2" t="str">
        <f t="shared" si="903"/>
        <v>男</v>
      </c>
      <c r="D3635" s="2" t="str">
        <f t="shared" si="894"/>
        <v>7</v>
      </c>
      <c r="E3635" s="2" t="str">
        <f>"机电工程学院"</f>
        <v>机电工程学院</v>
      </c>
    </row>
    <row r="3636" customHeight="1" spans="1:5">
      <c r="A3636" s="6" t="str">
        <f>"郑昊"</f>
        <v>郑昊</v>
      </c>
      <c r="B3636" s="6" t="str">
        <f>"B20210305113"</f>
        <v>B20210305113</v>
      </c>
      <c r="C3636" s="6" t="str">
        <f t="shared" si="903"/>
        <v>男</v>
      </c>
      <c r="D3636" s="7" t="str">
        <f>"3"</f>
        <v>3</v>
      </c>
      <c r="E3636" s="6" t="str">
        <f>"计算机科学与工程学院"</f>
        <v>计算机科学与工程学院</v>
      </c>
    </row>
    <row r="3637" ht="13.5" hidden="1" spans="1:5">
      <c r="A3637" s="2" t="str">
        <f>"向燕霞"</f>
        <v>向燕霞</v>
      </c>
      <c r="B3637" s="2" t="str">
        <f>"B20230702310"</f>
        <v>B20230702310</v>
      </c>
      <c r="C3637" s="2" t="str">
        <f t="shared" si="904"/>
        <v>女</v>
      </c>
      <c r="D3637" s="2" t="str">
        <f t="shared" si="894"/>
        <v>7</v>
      </c>
      <c r="E3637" s="2" t="str">
        <f>"马栏山新媒体学院"</f>
        <v>马栏山新媒体学院</v>
      </c>
    </row>
    <row r="3638" customHeight="1" spans="1:5">
      <c r="A3638" s="6" t="str">
        <f>"顾文欣"</f>
        <v>顾文欣</v>
      </c>
      <c r="B3638" s="6" t="str">
        <f>"B20210305115"</f>
        <v>B20210305115</v>
      </c>
      <c r="C3638" s="6" t="str">
        <f>"男"</f>
        <v>男</v>
      </c>
      <c r="D3638" s="7" t="str">
        <f>"4"</f>
        <v>4</v>
      </c>
      <c r="E3638" s="6" t="str">
        <f>"计算机科学与工程学院"</f>
        <v>计算机科学与工程学院</v>
      </c>
    </row>
    <row r="3639" ht="13.5" hidden="1" spans="1:5">
      <c r="A3639" s="2" t="str">
        <f>"邱芸曦"</f>
        <v>邱芸曦</v>
      </c>
      <c r="B3639" s="2" t="str">
        <f>"B20230803118"</f>
        <v>B20230803118</v>
      </c>
      <c r="C3639" s="2" t="str">
        <f>"女"</f>
        <v>女</v>
      </c>
      <c r="D3639" s="2" t="str">
        <f t="shared" si="894"/>
        <v>7</v>
      </c>
      <c r="E3639" s="2" t="str">
        <f>"外国语学院"</f>
        <v>外国语学院</v>
      </c>
    </row>
    <row r="3640" ht="13.5" hidden="1" spans="1:5">
      <c r="A3640" s="2" t="str">
        <f>"黎相如"</f>
        <v>黎相如</v>
      </c>
      <c r="B3640" s="2" t="str">
        <f>"B20220101607"</f>
        <v>B20220101607</v>
      </c>
      <c r="C3640" s="2" t="str">
        <f t="shared" ref="C3638:C3645" si="905">"男"</f>
        <v>男</v>
      </c>
      <c r="D3640" s="2" t="str">
        <f t="shared" si="894"/>
        <v>7</v>
      </c>
      <c r="E3640" s="2" t="str">
        <f>"土木工程学院"</f>
        <v>土木工程学院</v>
      </c>
    </row>
    <row r="3641" ht="13.5" hidden="1" spans="1:5">
      <c r="A3641" s="2" t="str">
        <f>"刘子晴"</f>
        <v>刘子晴</v>
      </c>
      <c r="B3641" s="2" t="str">
        <f>"B20230803116"</f>
        <v>B20230803116</v>
      </c>
      <c r="C3641" s="2" t="str">
        <f>"女"</f>
        <v>女</v>
      </c>
      <c r="D3641" s="2" t="str">
        <f t="shared" si="894"/>
        <v>7</v>
      </c>
      <c r="E3641" s="2" t="str">
        <f>"外国语学院"</f>
        <v>外国语学院</v>
      </c>
    </row>
    <row r="3642" ht="13.5" hidden="1" spans="1:5">
      <c r="A3642" s="2" t="str">
        <f>"罗理源"</f>
        <v>罗理源</v>
      </c>
      <c r="B3642" s="2" t="str">
        <f>"B20200901333"</f>
        <v>B20200901333</v>
      </c>
      <c r="C3642" s="2" t="str">
        <f t="shared" si="905"/>
        <v>男</v>
      </c>
      <c r="D3642" s="2" t="str">
        <f t="shared" si="894"/>
        <v>7</v>
      </c>
      <c r="E3642" s="2" t="str">
        <f>"经济与管理学院"</f>
        <v>经济与管理学院</v>
      </c>
    </row>
    <row r="3643" ht="13.5" hidden="1" spans="1:5">
      <c r="A3643" s="2" t="str">
        <f>"梁家诚"</f>
        <v>梁家诚</v>
      </c>
      <c r="B3643" s="2" t="str">
        <f>"B20201003118"</f>
        <v>B20201003118</v>
      </c>
      <c r="C3643" s="2" t="str">
        <f t="shared" si="905"/>
        <v>男</v>
      </c>
      <c r="D3643" s="2" t="str">
        <f t="shared" si="894"/>
        <v>7</v>
      </c>
      <c r="E3643" s="2" t="str">
        <f>"艺术设计学院"</f>
        <v>艺术设计学院</v>
      </c>
    </row>
    <row r="3644" ht="13.5" hidden="1" spans="1:5">
      <c r="A3644" s="2" t="str">
        <f>"廖健辉"</f>
        <v>廖健辉</v>
      </c>
      <c r="B3644" s="2" t="str">
        <f>"B20200402210"</f>
        <v>B20200402210</v>
      </c>
      <c r="C3644" s="2" t="str">
        <f t="shared" si="905"/>
        <v>男</v>
      </c>
      <c r="D3644" s="2" t="str">
        <f t="shared" si="894"/>
        <v>7</v>
      </c>
      <c r="E3644" s="2" t="str">
        <f>"电子信息与电气工程学院"</f>
        <v>电子信息与电气工程学院</v>
      </c>
    </row>
    <row r="3645" customHeight="1" spans="1:5">
      <c r="A3645" s="6" t="str">
        <f>"陈子轩"</f>
        <v>陈子轩</v>
      </c>
      <c r="B3645" s="6" t="str">
        <f>"B20210305121"</f>
        <v>B20210305121</v>
      </c>
      <c r="C3645" s="6" t="str">
        <f t="shared" si="905"/>
        <v>男</v>
      </c>
      <c r="D3645" s="7" t="str">
        <f>"9"</f>
        <v>9</v>
      </c>
      <c r="E3645" s="6" t="str">
        <f>"计算机科学与工程学院"</f>
        <v>计算机科学与工程学院</v>
      </c>
    </row>
    <row r="3646" ht="13.5" hidden="1" spans="1:5">
      <c r="A3646" s="2" t="str">
        <f>"陈柏璇"</f>
        <v>陈柏璇</v>
      </c>
      <c r="B3646" s="2" t="str">
        <f>"B20211003123"</f>
        <v>B20211003123</v>
      </c>
      <c r="C3646" s="2" t="str">
        <f t="shared" ref="C3646:C3649" si="906">"女"</f>
        <v>女</v>
      </c>
      <c r="D3646" s="2" t="str">
        <f t="shared" si="894"/>
        <v>7</v>
      </c>
      <c r="E3646" s="2" t="str">
        <f>"艺术设计学院"</f>
        <v>艺术设计学院</v>
      </c>
    </row>
    <row r="3647" ht="13.5" hidden="1" spans="1:5">
      <c r="A3647" s="2" t="str">
        <f>"廖雯婧"</f>
        <v>廖雯婧</v>
      </c>
      <c r="B3647" s="2" t="str">
        <f>"B20210104221"</f>
        <v>B20210104221</v>
      </c>
      <c r="C3647" s="2" t="str">
        <f t="shared" si="906"/>
        <v>女</v>
      </c>
      <c r="D3647" s="2" t="str">
        <f t="shared" si="894"/>
        <v>7</v>
      </c>
      <c r="E3647" s="2" t="str">
        <f>"土木工程学院"</f>
        <v>土木工程学院</v>
      </c>
    </row>
    <row r="3648" ht="13.5" hidden="1" spans="1:5">
      <c r="A3648" s="2" t="str">
        <f>"谢玉菡"</f>
        <v>谢玉菡</v>
      </c>
      <c r="B3648" s="2" t="str">
        <f>"B20210902124"</f>
        <v>B20210902124</v>
      </c>
      <c r="C3648" s="2" t="str">
        <f t="shared" si="906"/>
        <v>女</v>
      </c>
      <c r="D3648" s="2" t="str">
        <f t="shared" si="894"/>
        <v>7</v>
      </c>
      <c r="E3648" s="2" t="str">
        <f>"经济与管理学院"</f>
        <v>经济与管理学院</v>
      </c>
    </row>
    <row r="3649" ht="13.5" hidden="1" spans="1:5">
      <c r="A3649" s="2" t="str">
        <f>"陈淑梅"</f>
        <v>陈淑梅</v>
      </c>
      <c r="B3649" s="2" t="str">
        <f>"B20200704417"</f>
        <v>B20200704417</v>
      </c>
      <c r="C3649" s="2" t="str">
        <f t="shared" si="906"/>
        <v>女</v>
      </c>
      <c r="D3649" s="2" t="str">
        <f t="shared" si="894"/>
        <v>7</v>
      </c>
      <c r="E3649" s="2" t="str">
        <f>"马栏山新媒体学院"</f>
        <v>马栏山新媒体学院</v>
      </c>
    </row>
    <row r="3650" ht="13.5" hidden="1" spans="1:5">
      <c r="A3650" s="2" t="str">
        <f>"程金旺"</f>
        <v>程金旺</v>
      </c>
      <c r="B3650" s="2" t="str">
        <f>"B20211101227"</f>
        <v>B20211101227</v>
      </c>
      <c r="C3650" s="2" t="str">
        <f>"男"</f>
        <v>男</v>
      </c>
      <c r="D3650" s="2" t="str">
        <f t="shared" si="894"/>
        <v>7</v>
      </c>
      <c r="E3650" s="2" t="str">
        <f>"音乐学院"</f>
        <v>音乐学院</v>
      </c>
    </row>
    <row r="3651" ht="13.5" hidden="1" spans="1:5">
      <c r="A3651" s="2" t="str">
        <f>"何依玲"</f>
        <v>何依玲</v>
      </c>
      <c r="B3651" s="2" t="str">
        <f>"B20210801505"</f>
        <v>B20210801505</v>
      </c>
      <c r="C3651" s="2" t="str">
        <f t="shared" ref="C3651:C3653" si="907">"女"</f>
        <v>女</v>
      </c>
      <c r="D3651" s="2" t="str">
        <f t="shared" si="894"/>
        <v>7</v>
      </c>
      <c r="E3651" s="2" t="str">
        <f>"外国语学院"</f>
        <v>外国语学院</v>
      </c>
    </row>
    <row r="3652" ht="13.5" hidden="1" spans="1:5">
      <c r="A3652" s="2" t="str">
        <f>"王偲橦"</f>
        <v>王偲橦</v>
      </c>
      <c r="B3652" s="2" t="str">
        <f>"B20220801313"</f>
        <v>B20220801313</v>
      </c>
      <c r="C3652" s="2" t="str">
        <f t="shared" si="907"/>
        <v>女</v>
      </c>
      <c r="D3652" s="2" t="str">
        <f t="shared" si="894"/>
        <v>7</v>
      </c>
      <c r="E3652" s="2" t="str">
        <f>"外国语学院"</f>
        <v>外国语学院</v>
      </c>
    </row>
    <row r="3653" ht="13.5" hidden="1" spans="1:5">
      <c r="A3653" s="2" t="str">
        <f>"黎安琪"</f>
        <v>黎安琪</v>
      </c>
      <c r="B3653" s="2" t="str">
        <f>"B20201002224"</f>
        <v>B20201002224</v>
      </c>
      <c r="C3653" s="2" t="str">
        <f t="shared" si="907"/>
        <v>女</v>
      </c>
      <c r="D3653" s="2" t="str">
        <f t="shared" si="894"/>
        <v>7</v>
      </c>
      <c r="E3653" s="2" t="str">
        <f>"艺术设计学院"</f>
        <v>艺术设计学院</v>
      </c>
    </row>
    <row r="3654" ht="13.5" hidden="1" spans="1:5">
      <c r="A3654" s="2" t="str">
        <f>"尹家武"</f>
        <v>尹家武</v>
      </c>
      <c r="B3654" s="2" t="str">
        <f>"B20220504305"</f>
        <v>B20220504305</v>
      </c>
      <c r="C3654" s="2" t="str">
        <f>"男"</f>
        <v>男</v>
      </c>
      <c r="D3654" s="2" t="str">
        <f t="shared" si="894"/>
        <v>7</v>
      </c>
      <c r="E3654" s="2" t="str">
        <f>"生物与化学工程学院"</f>
        <v>生物与化学工程学院</v>
      </c>
    </row>
    <row r="3655" customHeight="1" spans="1:5">
      <c r="A3655" s="6" t="str">
        <f>"肖瑶"</f>
        <v>肖瑶</v>
      </c>
      <c r="B3655" s="6" t="str">
        <f>"B20210305123"</f>
        <v>B20210305123</v>
      </c>
      <c r="C3655" s="6" t="str">
        <f>"女"</f>
        <v>女</v>
      </c>
      <c r="D3655" s="7" t="str">
        <f>"6"</f>
        <v>6</v>
      </c>
      <c r="E3655" s="6" t="str">
        <f>"计算机科学与工程学院"</f>
        <v>计算机科学与工程学院</v>
      </c>
    </row>
    <row r="3656" ht="13.5" hidden="1" spans="1:5">
      <c r="A3656" s="2" t="str">
        <f>"周瑶"</f>
        <v>周瑶</v>
      </c>
      <c r="B3656" s="2" t="str">
        <f>"B20210905245"</f>
        <v>B20210905245</v>
      </c>
      <c r="C3656" s="2" t="str">
        <f>"女"</f>
        <v>女</v>
      </c>
      <c r="D3656" s="2" t="str">
        <f t="shared" si="894"/>
        <v>7</v>
      </c>
      <c r="E3656" s="2" t="str">
        <f>"经济与管理学院"</f>
        <v>经济与管理学院</v>
      </c>
    </row>
    <row r="3657" ht="13.5" hidden="1" spans="1:5">
      <c r="A3657" s="2" t="str">
        <f>"郑凡"</f>
        <v>郑凡</v>
      </c>
      <c r="B3657" s="2" t="str">
        <f>"B20200202227"</f>
        <v>B20200202227</v>
      </c>
      <c r="C3657" s="2" t="str">
        <f t="shared" ref="C3657:C3659" si="908">"男"</f>
        <v>男</v>
      </c>
      <c r="D3657" s="2" t="str">
        <f t="shared" si="894"/>
        <v>7</v>
      </c>
      <c r="E3657" s="2" t="str">
        <f t="shared" ref="E3657:E3661" si="909">"机电工程学院"</f>
        <v>机电工程学院</v>
      </c>
    </row>
    <row r="3658" ht="13.5" hidden="1" spans="1:5">
      <c r="A3658" s="2" t="str">
        <f>"尹恒"</f>
        <v>尹恒</v>
      </c>
      <c r="B3658" s="2" t="str">
        <f>"B20220101404"</f>
        <v>B20220101404</v>
      </c>
      <c r="C3658" s="2" t="str">
        <f t="shared" si="908"/>
        <v>男</v>
      </c>
      <c r="D3658" s="2" t="str">
        <f t="shared" si="894"/>
        <v>7</v>
      </c>
      <c r="E3658" s="2" t="str">
        <f>"土木工程学院"</f>
        <v>土木工程学院</v>
      </c>
    </row>
    <row r="3659" ht="13.5" hidden="1" spans="1:5">
      <c r="A3659" s="2" t="str">
        <f>"彭超鹏"</f>
        <v>彭超鹏</v>
      </c>
      <c r="B3659" s="2" t="str">
        <f>"B20200202215"</f>
        <v>B20200202215</v>
      </c>
      <c r="C3659" s="2" t="str">
        <f t="shared" si="908"/>
        <v>男</v>
      </c>
      <c r="D3659" s="2" t="str">
        <f t="shared" si="894"/>
        <v>7</v>
      </c>
      <c r="E3659" s="2" t="str">
        <f t="shared" si="909"/>
        <v>机电工程学院</v>
      </c>
    </row>
    <row r="3660" ht="13.5" hidden="1" spans="1:5">
      <c r="A3660" s="2" t="str">
        <f>"郭芯言"</f>
        <v>郭芯言</v>
      </c>
      <c r="B3660" s="2" t="str">
        <f>"B20220904127"</f>
        <v>B20220904127</v>
      </c>
      <c r="C3660" s="2" t="str">
        <f>"女"</f>
        <v>女</v>
      </c>
      <c r="D3660" s="2" t="str">
        <f t="shared" si="894"/>
        <v>7</v>
      </c>
      <c r="E3660" s="2" t="str">
        <f>"经济与管理学院"</f>
        <v>经济与管理学院</v>
      </c>
    </row>
    <row r="3661" ht="13.5" hidden="1" spans="1:5">
      <c r="A3661" s="2" t="str">
        <f>"谌宇文"</f>
        <v>谌宇文</v>
      </c>
      <c r="B3661" s="2" t="str">
        <f>"B20230202307"</f>
        <v>B20230202307</v>
      </c>
      <c r="C3661" s="2" t="str">
        <f t="shared" ref="C3661:C3666" si="910">"男"</f>
        <v>男</v>
      </c>
      <c r="D3661" s="2" t="str">
        <f t="shared" si="894"/>
        <v>7</v>
      </c>
      <c r="E3661" s="2" t="str">
        <f t="shared" si="909"/>
        <v>机电工程学院</v>
      </c>
    </row>
    <row r="3662" ht="13.5" hidden="1" spans="1:5">
      <c r="A3662" s="2" t="str">
        <f>"李蓝天"</f>
        <v>李蓝天</v>
      </c>
      <c r="B3662" s="2" t="str">
        <f>"B20231002105"</f>
        <v>B20231002105</v>
      </c>
      <c r="C3662" s="2" t="str">
        <f t="shared" si="910"/>
        <v>男</v>
      </c>
      <c r="D3662" s="2" t="str">
        <f t="shared" si="894"/>
        <v>7</v>
      </c>
      <c r="E3662" s="2" t="str">
        <f>"艺术设计学院"</f>
        <v>艺术设计学院</v>
      </c>
    </row>
    <row r="3663" ht="13.5" hidden="1" spans="1:5">
      <c r="A3663" s="2" t="str">
        <f>"王小柔"</f>
        <v>王小柔</v>
      </c>
      <c r="B3663" s="2" t="str">
        <f>"B20230601321"</f>
        <v>B20230601321</v>
      </c>
      <c r="C3663" s="2" t="str">
        <f>"女"</f>
        <v>女</v>
      </c>
      <c r="D3663" s="2" t="str">
        <f t="shared" ref="D3663:D3726" si="911">"7"</f>
        <v>7</v>
      </c>
      <c r="E3663" s="2" t="str">
        <f>"法学院"</f>
        <v>法学院</v>
      </c>
    </row>
    <row r="3664" ht="13.5" hidden="1" spans="1:5">
      <c r="A3664" s="2" t="str">
        <f>"金冠志"</f>
        <v>金冠志</v>
      </c>
      <c r="B3664" s="2" t="str">
        <f>"B20200504233"</f>
        <v>B20200504233</v>
      </c>
      <c r="C3664" s="2" t="str">
        <f t="shared" si="910"/>
        <v>男</v>
      </c>
      <c r="D3664" s="2" t="str">
        <f t="shared" si="911"/>
        <v>7</v>
      </c>
      <c r="E3664" s="2" t="str">
        <f>"生物与环境工程学院"</f>
        <v>生物与环境工程学院</v>
      </c>
    </row>
    <row r="3665" ht="13.5" hidden="1" spans="1:5">
      <c r="A3665" s="2" t="str">
        <f>"颜兴鑫"</f>
        <v>颜兴鑫</v>
      </c>
      <c r="B3665" s="2" t="str">
        <f>"B20200202122"</f>
        <v>B20200202122</v>
      </c>
      <c r="C3665" s="2" t="str">
        <f t="shared" si="910"/>
        <v>男</v>
      </c>
      <c r="D3665" s="2" t="str">
        <f t="shared" si="911"/>
        <v>7</v>
      </c>
      <c r="E3665" s="2" t="str">
        <f>"电子信息与电气工程学院"</f>
        <v>电子信息与电气工程学院</v>
      </c>
    </row>
    <row r="3666" customHeight="1" spans="1:5">
      <c r="A3666" s="6" t="str">
        <f>"温兴兴"</f>
        <v>温兴兴</v>
      </c>
      <c r="B3666" s="6" t="str">
        <f>"B20210305129"</f>
        <v>B20210305129</v>
      </c>
      <c r="C3666" s="6" t="str">
        <f t="shared" si="910"/>
        <v>男</v>
      </c>
      <c r="D3666" s="7" t="str">
        <f>"1"</f>
        <v>1</v>
      </c>
      <c r="E3666" s="6" t="str">
        <f>"计算机科学与工程学院"</f>
        <v>计算机科学与工程学院</v>
      </c>
    </row>
    <row r="3667" ht="13.5" hidden="1" spans="1:5">
      <c r="A3667" s="2" t="str">
        <f>"戴现"</f>
        <v>戴现</v>
      </c>
      <c r="B3667" s="2" t="str">
        <f>"B20230202226"</f>
        <v>B20230202226</v>
      </c>
      <c r="C3667" s="2" t="str">
        <f t="shared" ref="C3667:C3673" si="912">"男"</f>
        <v>男</v>
      </c>
      <c r="D3667" s="2" t="str">
        <f t="shared" si="911"/>
        <v>7</v>
      </c>
      <c r="E3667" s="2" t="str">
        <f>"机电工程学院"</f>
        <v>机电工程学院</v>
      </c>
    </row>
    <row r="3668" ht="13.5" hidden="1" spans="1:5">
      <c r="A3668" s="2" t="str">
        <f>"邓源广"</f>
        <v>邓源广</v>
      </c>
      <c r="B3668" s="2" t="str">
        <f>"B20210901209"</f>
        <v>B20210901209</v>
      </c>
      <c r="C3668" s="2" t="str">
        <f t="shared" si="912"/>
        <v>男</v>
      </c>
      <c r="D3668" s="2" t="str">
        <f t="shared" si="911"/>
        <v>7</v>
      </c>
      <c r="E3668" s="2" t="str">
        <f>"经济与管理学院"</f>
        <v>经济与管理学院</v>
      </c>
    </row>
    <row r="3669" ht="13.5" hidden="1" spans="1:5">
      <c r="A3669" s="2" t="str">
        <f>"周杏岑"</f>
        <v>周杏岑</v>
      </c>
      <c r="B3669" s="2" t="str">
        <f>"B20231401201"</f>
        <v>B20231401201</v>
      </c>
      <c r="C3669" s="2" t="str">
        <f t="shared" ref="C3666:C3671" si="913">"女"</f>
        <v>女</v>
      </c>
      <c r="D3669" s="2" t="str">
        <f t="shared" si="911"/>
        <v>7</v>
      </c>
      <c r="E3669" s="2" t="str">
        <f>"马克思主义学院"</f>
        <v>马克思主义学院</v>
      </c>
    </row>
    <row r="3670" ht="13.5" hidden="1" spans="1:5">
      <c r="A3670" s="2" t="str">
        <f>"石婕"</f>
        <v>石婕</v>
      </c>
      <c r="B3670" s="2" t="str">
        <f>"B20230801407"</f>
        <v>B20230801407</v>
      </c>
      <c r="C3670" s="2" t="str">
        <f t="shared" si="913"/>
        <v>女</v>
      </c>
      <c r="D3670" s="2" t="str">
        <f t="shared" si="911"/>
        <v>7</v>
      </c>
      <c r="E3670" s="2" t="str">
        <f>"外国语学院"</f>
        <v>外国语学院</v>
      </c>
    </row>
    <row r="3671" ht="13.5" hidden="1" spans="1:5">
      <c r="A3671" s="2" t="str">
        <f>"王雅婷"</f>
        <v>王雅婷</v>
      </c>
      <c r="B3671" s="2" t="str">
        <f>"B20230904207"</f>
        <v>B20230904207</v>
      </c>
      <c r="C3671" s="2" t="str">
        <f t="shared" si="913"/>
        <v>女</v>
      </c>
      <c r="D3671" s="2" t="str">
        <f t="shared" si="911"/>
        <v>7</v>
      </c>
      <c r="E3671" s="2" t="str">
        <f>"经济与管理学院"</f>
        <v>经济与管理学院</v>
      </c>
    </row>
    <row r="3672" ht="13.5" hidden="1" spans="1:5">
      <c r="A3672" s="2" t="str">
        <f>"陈政"</f>
        <v>陈政</v>
      </c>
      <c r="B3672" s="2" t="str">
        <f>"B20220401231"</f>
        <v>B20220401231</v>
      </c>
      <c r="C3672" s="2" t="str">
        <f t="shared" si="912"/>
        <v>男</v>
      </c>
      <c r="D3672" s="2" t="str">
        <f t="shared" si="911"/>
        <v>7</v>
      </c>
      <c r="E3672" s="2" t="str">
        <f>"电子信息与电气工程学院"</f>
        <v>电子信息与电气工程学院</v>
      </c>
    </row>
    <row r="3673" ht="13.5" hidden="1" spans="1:5">
      <c r="A3673" s="2" t="str">
        <f>"李昌辉"</f>
        <v>李昌辉</v>
      </c>
      <c r="B3673" s="2" t="str">
        <f>"B20221101129"</f>
        <v>B20221101129</v>
      </c>
      <c r="C3673" s="2" t="str">
        <f t="shared" si="912"/>
        <v>男</v>
      </c>
      <c r="D3673" s="2" t="str">
        <f t="shared" si="911"/>
        <v>7</v>
      </c>
      <c r="E3673" s="2" t="str">
        <f>"音乐学院"</f>
        <v>音乐学院</v>
      </c>
    </row>
    <row r="3674" ht="13.5" hidden="1" spans="1:5">
      <c r="A3674" s="2" t="str">
        <f>"邱真珺"</f>
        <v>邱真珺</v>
      </c>
      <c r="B3674" s="2" t="str">
        <f>"B20230801406"</f>
        <v>B20230801406</v>
      </c>
      <c r="C3674" s="2" t="str">
        <f t="shared" ref="C3674:C3678" si="914">"女"</f>
        <v>女</v>
      </c>
      <c r="D3674" s="2" t="str">
        <f t="shared" si="911"/>
        <v>7</v>
      </c>
      <c r="E3674" s="2" t="str">
        <f>"外国语学院"</f>
        <v>外国语学院</v>
      </c>
    </row>
    <row r="3675" ht="13.5" hidden="1" spans="1:5">
      <c r="A3675" s="2" t="str">
        <f>"夏添"</f>
        <v>夏添</v>
      </c>
      <c r="B3675" s="2" t="str">
        <f>"B20230202331"</f>
        <v>B20230202331</v>
      </c>
      <c r="C3675" s="2" t="str">
        <f t="shared" ref="C3675:C3683" si="915">"男"</f>
        <v>男</v>
      </c>
      <c r="D3675" s="2" t="str">
        <f t="shared" si="911"/>
        <v>7</v>
      </c>
      <c r="E3675" s="2" t="str">
        <f>"机电工程学院"</f>
        <v>机电工程学院</v>
      </c>
    </row>
    <row r="3676" ht="13.5" hidden="1" spans="1:5">
      <c r="A3676" s="2" t="str">
        <f>"张晓玉"</f>
        <v>张晓玉</v>
      </c>
      <c r="B3676" s="2" t="str">
        <f>"B20210901216"</f>
        <v>B20210901216</v>
      </c>
      <c r="C3676" s="2" t="str">
        <f t="shared" si="914"/>
        <v>女</v>
      </c>
      <c r="D3676" s="2" t="str">
        <f t="shared" si="911"/>
        <v>7</v>
      </c>
      <c r="E3676" s="2" t="str">
        <f>"经济与管理学院"</f>
        <v>经济与管理学院</v>
      </c>
    </row>
    <row r="3677" ht="13.5" hidden="1" spans="1:5">
      <c r="A3677" s="2" t="str">
        <f>"颜浩"</f>
        <v>颜浩</v>
      </c>
      <c r="B3677" s="2" t="str">
        <f>"B20221101103"</f>
        <v>B20221101103</v>
      </c>
      <c r="C3677" s="2" t="str">
        <f t="shared" si="915"/>
        <v>男</v>
      </c>
      <c r="D3677" s="2" t="str">
        <f t="shared" si="911"/>
        <v>7</v>
      </c>
      <c r="E3677" s="2" t="str">
        <f>"音乐学院"</f>
        <v>音乐学院</v>
      </c>
    </row>
    <row r="3678" ht="13.5" hidden="1" spans="1:5">
      <c r="A3678" s="2" t="str">
        <f>"张运"</f>
        <v>张运</v>
      </c>
      <c r="B3678" s="2" t="str">
        <f>"B20220803228"</f>
        <v>B20220803228</v>
      </c>
      <c r="C3678" s="2" t="str">
        <f t="shared" si="914"/>
        <v>女</v>
      </c>
      <c r="D3678" s="2" t="str">
        <f t="shared" si="911"/>
        <v>7</v>
      </c>
      <c r="E3678" s="2" t="str">
        <f>"外国语学院"</f>
        <v>外国语学院</v>
      </c>
    </row>
    <row r="3679" ht="13.5" hidden="1" spans="1:5">
      <c r="A3679" s="2" t="str">
        <f>"廖桂峰"</f>
        <v>廖桂峰</v>
      </c>
      <c r="B3679" s="2" t="str">
        <f>"B20200601202"</f>
        <v>B20200601202</v>
      </c>
      <c r="C3679" s="2" t="str">
        <f t="shared" si="915"/>
        <v>男</v>
      </c>
      <c r="D3679" s="2" t="str">
        <f t="shared" si="911"/>
        <v>7</v>
      </c>
      <c r="E3679" s="2" t="str">
        <f>"法学院"</f>
        <v>法学院</v>
      </c>
    </row>
    <row r="3680" ht="13.5" hidden="1" spans="1:5">
      <c r="A3680" s="2" t="str">
        <f>"骆佳明"</f>
        <v>骆佳明</v>
      </c>
      <c r="B3680" s="2" t="str">
        <f>"B20220202216"</f>
        <v>B20220202216</v>
      </c>
      <c r="C3680" s="2" t="str">
        <f t="shared" si="915"/>
        <v>男</v>
      </c>
      <c r="D3680" s="2" t="str">
        <f t="shared" si="911"/>
        <v>7</v>
      </c>
      <c r="E3680" s="2" t="str">
        <f>"机电工程学院"</f>
        <v>机电工程学院</v>
      </c>
    </row>
    <row r="3681" ht="13.5" hidden="1" spans="1:5">
      <c r="A3681" s="2" t="str">
        <f>"王煜琨"</f>
        <v>王煜琨</v>
      </c>
      <c r="B3681" s="2" t="str">
        <f>"B20210905231"</f>
        <v>B20210905231</v>
      </c>
      <c r="C3681" s="2" t="str">
        <f t="shared" si="915"/>
        <v>男</v>
      </c>
      <c r="D3681" s="2" t="str">
        <f t="shared" si="911"/>
        <v>7</v>
      </c>
      <c r="E3681" s="2" t="str">
        <f>"经济与管理学院"</f>
        <v>经济与管理学院</v>
      </c>
    </row>
    <row r="3682" ht="13.5" hidden="1" spans="1:5">
      <c r="A3682" s="2" t="str">
        <f>"崔文乐"</f>
        <v>崔文乐</v>
      </c>
      <c r="B3682" s="2" t="str">
        <f>"B20230201134"</f>
        <v>B20230201134</v>
      </c>
      <c r="C3682" s="2" t="str">
        <f t="shared" si="915"/>
        <v>男</v>
      </c>
      <c r="D3682" s="2" t="str">
        <f t="shared" si="911"/>
        <v>7</v>
      </c>
      <c r="E3682" s="2" t="str">
        <f>"机电工程学院"</f>
        <v>机电工程学院</v>
      </c>
    </row>
    <row r="3683" ht="13.5" hidden="1" spans="1:5">
      <c r="A3683" s="2" t="str">
        <f>"肖浩然"</f>
        <v>肖浩然</v>
      </c>
      <c r="B3683" s="2" t="str">
        <f>"B20220504307"</f>
        <v>B20220504307</v>
      </c>
      <c r="C3683" s="2" t="str">
        <f t="shared" si="915"/>
        <v>男</v>
      </c>
      <c r="D3683" s="2" t="str">
        <f t="shared" si="911"/>
        <v>7</v>
      </c>
      <c r="E3683" s="2" t="str">
        <f>"生物与化学工程学院"</f>
        <v>生物与化学工程学院</v>
      </c>
    </row>
    <row r="3684" ht="13.5" hidden="1" spans="1:5">
      <c r="A3684" s="2" t="str">
        <f>"武柳春子"</f>
        <v>武柳春子</v>
      </c>
      <c r="B3684" s="2" t="str">
        <f>"B20221002205"</f>
        <v>B20221002205</v>
      </c>
      <c r="C3684" s="2" t="str">
        <f t="shared" ref="C3684:C3688" si="916">"女"</f>
        <v>女</v>
      </c>
      <c r="D3684" s="2" t="str">
        <f t="shared" si="911"/>
        <v>7</v>
      </c>
      <c r="E3684" s="2" t="str">
        <f>"艺术设计学院"</f>
        <v>艺术设计学院</v>
      </c>
    </row>
    <row r="3685" ht="13.5" hidden="1" spans="1:5">
      <c r="A3685" s="2" t="str">
        <f>"陈嘉豪"</f>
        <v>陈嘉豪</v>
      </c>
      <c r="B3685" s="2" t="str">
        <f>"B20200102211"</f>
        <v>B20200102211</v>
      </c>
      <c r="C3685" s="2" t="str">
        <f t="shared" ref="C3685:C3690" si="917">"男"</f>
        <v>男</v>
      </c>
      <c r="D3685" s="2" t="str">
        <f t="shared" si="911"/>
        <v>7</v>
      </c>
      <c r="E3685" s="2" t="str">
        <f>"土木工程学院"</f>
        <v>土木工程学院</v>
      </c>
    </row>
    <row r="3686" ht="13.5" hidden="1" spans="1:5">
      <c r="A3686" s="2" t="str">
        <f>"胡惠铭"</f>
        <v>胡惠铭</v>
      </c>
      <c r="B3686" s="2" t="str">
        <f>"B20210202232"</f>
        <v>B20210202232</v>
      </c>
      <c r="C3686" s="2" t="str">
        <f t="shared" si="917"/>
        <v>男</v>
      </c>
      <c r="D3686" s="2" t="str">
        <f t="shared" si="911"/>
        <v>7</v>
      </c>
      <c r="E3686" s="2" t="str">
        <f>"机电工程学院"</f>
        <v>机电工程学院</v>
      </c>
    </row>
    <row r="3687" ht="13.5" hidden="1" spans="1:5">
      <c r="A3687" s="2" t="str">
        <f>"李文倩"</f>
        <v>李文倩</v>
      </c>
      <c r="B3687" s="2" t="str">
        <f>"B20221101306"</f>
        <v>B20221101306</v>
      </c>
      <c r="C3687" s="2" t="str">
        <f t="shared" si="916"/>
        <v>女</v>
      </c>
      <c r="D3687" s="2" t="str">
        <f t="shared" si="911"/>
        <v>7</v>
      </c>
      <c r="E3687" s="2" t="str">
        <f>"音乐学院"</f>
        <v>音乐学院</v>
      </c>
    </row>
    <row r="3688" customHeight="1" spans="1:5">
      <c r="A3688" s="6" t="str">
        <f>"李威"</f>
        <v>李威</v>
      </c>
      <c r="B3688" s="6" t="str">
        <f>"B20210305131"</f>
        <v>B20210305131</v>
      </c>
      <c r="C3688" s="6" t="str">
        <f>"男"</f>
        <v>男</v>
      </c>
      <c r="D3688" s="7" t="str">
        <f>"6"</f>
        <v>6</v>
      </c>
      <c r="E3688" s="6" t="str">
        <f>"计算机科学与工程学院"</f>
        <v>计算机科学与工程学院</v>
      </c>
    </row>
    <row r="3689" ht="13.5" hidden="1" spans="1:5">
      <c r="A3689" s="2" t="str">
        <f>"方梓帆"</f>
        <v>方梓帆</v>
      </c>
      <c r="B3689" s="2" t="str">
        <f>"B20220405101"</f>
        <v>B20220405101</v>
      </c>
      <c r="C3689" s="2" t="str">
        <f t="shared" si="917"/>
        <v>男</v>
      </c>
      <c r="D3689" s="2" t="str">
        <f t="shared" si="911"/>
        <v>7</v>
      </c>
      <c r="E3689" s="2" t="str">
        <f>"电子信息与电气工程学院"</f>
        <v>电子信息与电气工程学院</v>
      </c>
    </row>
    <row r="3690" ht="13.5" hidden="1" spans="1:5">
      <c r="A3690" s="2" t="str">
        <f>"谭鑫恺"</f>
        <v>谭鑫恺</v>
      </c>
      <c r="B3690" s="2" t="str">
        <f>"B20230701324"</f>
        <v>B20230701324</v>
      </c>
      <c r="C3690" s="2" t="str">
        <f t="shared" si="917"/>
        <v>男</v>
      </c>
      <c r="D3690" s="2" t="str">
        <f t="shared" si="911"/>
        <v>7</v>
      </c>
      <c r="E3690" s="2" t="str">
        <f>"马栏山新媒体学院"</f>
        <v>马栏山新媒体学院</v>
      </c>
    </row>
    <row r="3691" ht="13.5" hidden="1" spans="1:5">
      <c r="A3691" s="2" t="str">
        <f>"周赛雅"</f>
        <v>周赛雅</v>
      </c>
      <c r="B3691" s="2" t="str">
        <f>"B20230103126"</f>
        <v>B20230103126</v>
      </c>
      <c r="C3691" s="2" t="str">
        <f t="shared" ref="C3691:C3695" si="918">"女"</f>
        <v>女</v>
      </c>
      <c r="D3691" s="2" t="str">
        <f t="shared" si="911"/>
        <v>7</v>
      </c>
      <c r="E3691" s="2" t="str">
        <f>"土木工程学院"</f>
        <v>土木工程学院</v>
      </c>
    </row>
    <row r="3692" ht="13.5" hidden="1" spans="1:5">
      <c r="A3692" s="2" t="str">
        <f>"陈佩君"</f>
        <v>陈佩君</v>
      </c>
      <c r="B3692" s="2" t="str">
        <f>"B20220801324"</f>
        <v>B20220801324</v>
      </c>
      <c r="C3692" s="2" t="str">
        <f t="shared" si="918"/>
        <v>女</v>
      </c>
      <c r="D3692" s="2" t="str">
        <f t="shared" si="911"/>
        <v>7</v>
      </c>
      <c r="E3692" s="2" t="str">
        <f>"外国语学院"</f>
        <v>外国语学院</v>
      </c>
    </row>
    <row r="3693" ht="13.5" hidden="1" spans="1:5">
      <c r="A3693" s="2" t="str">
        <f>"陈睿达"</f>
        <v>陈睿达</v>
      </c>
      <c r="B3693" s="2" t="str">
        <f>"B20230401405"</f>
        <v>B20230401405</v>
      </c>
      <c r="C3693" s="2" t="str">
        <f t="shared" ref="C3693:C3696" si="919">"男"</f>
        <v>男</v>
      </c>
      <c r="D3693" s="2" t="str">
        <f t="shared" si="911"/>
        <v>7</v>
      </c>
      <c r="E3693" s="2" t="str">
        <f>"电子信息与电气工程学院"</f>
        <v>电子信息与电气工程学院</v>
      </c>
    </row>
    <row r="3694" ht="13.5" hidden="1" spans="1:5">
      <c r="A3694" s="2" t="str">
        <f>"汪靖轩"</f>
        <v>汪靖轩</v>
      </c>
      <c r="B3694" s="2" t="str">
        <f>"B20221302209"</f>
        <v>B20221302209</v>
      </c>
      <c r="C3694" s="2" t="str">
        <f t="shared" si="919"/>
        <v>男</v>
      </c>
      <c r="D3694" s="2" t="str">
        <f t="shared" si="911"/>
        <v>7</v>
      </c>
      <c r="E3694" s="2" t="str">
        <f>"材料与环境工程学院"</f>
        <v>材料与环境工程学院</v>
      </c>
    </row>
    <row r="3695" ht="13.5" hidden="1" spans="1:5">
      <c r="A3695" s="2" t="str">
        <f>"郭寒冰"</f>
        <v>郭寒冰</v>
      </c>
      <c r="B3695" s="2" t="str">
        <f>"B20220901232"</f>
        <v>B20220901232</v>
      </c>
      <c r="C3695" s="2" t="str">
        <f t="shared" si="918"/>
        <v>女</v>
      </c>
      <c r="D3695" s="2" t="str">
        <f t="shared" si="911"/>
        <v>7</v>
      </c>
      <c r="E3695" s="2" t="str">
        <f>"经济与管理学院"</f>
        <v>经济与管理学院</v>
      </c>
    </row>
    <row r="3696" ht="13.5" hidden="1" spans="1:5">
      <c r="A3696" s="2" t="str">
        <f>"朱炳豪"</f>
        <v>朱炳豪</v>
      </c>
      <c r="B3696" s="2" t="str">
        <f>"B20230403105"</f>
        <v>B20230403105</v>
      </c>
      <c r="C3696" s="2" t="str">
        <f t="shared" si="919"/>
        <v>男</v>
      </c>
      <c r="D3696" s="2" t="str">
        <f t="shared" si="911"/>
        <v>7</v>
      </c>
      <c r="E3696" s="2" t="str">
        <f>"电子信息与电气工程学院"</f>
        <v>电子信息与电气工程学院</v>
      </c>
    </row>
    <row r="3697" ht="13.5" hidden="1" spans="1:5">
      <c r="A3697" s="2" t="str">
        <f>"柯菁"</f>
        <v>柯菁</v>
      </c>
      <c r="B3697" s="2" t="str">
        <f>"B20230601220"</f>
        <v>B20230601220</v>
      </c>
      <c r="C3697" s="2" t="str">
        <f t="shared" ref="C3697:C3703" si="920">"女"</f>
        <v>女</v>
      </c>
      <c r="D3697" s="2" t="str">
        <f t="shared" si="911"/>
        <v>7</v>
      </c>
      <c r="E3697" s="2" t="str">
        <f>"法学院"</f>
        <v>法学院</v>
      </c>
    </row>
    <row r="3698" ht="13.5" hidden="1" spans="1:5">
      <c r="A3698" s="2" t="str">
        <f>"李林峰"</f>
        <v>李林峰</v>
      </c>
      <c r="B3698" s="2" t="str">
        <f>"B20230701216"</f>
        <v>B20230701216</v>
      </c>
      <c r="C3698" s="2" t="str">
        <f>"男"</f>
        <v>男</v>
      </c>
      <c r="D3698" s="2" t="str">
        <f t="shared" si="911"/>
        <v>7</v>
      </c>
      <c r="E3698" s="2" t="str">
        <f>"马栏山新媒体学院"</f>
        <v>马栏山新媒体学院</v>
      </c>
    </row>
    <row r="3699" ht="13.5" hidden="1" spans="1:5">
      <c r="A3699" s="2" t="str">
        <f>"吴佳雨"</f>
        <v>吴佳雨</v>
      </c>
      <c r="B3699" s="2" t="str">
        <f>"B20210103204"</f>
        <v>B20210103204</v>
      </c>
      <c r="C3699" s="2" t="str">
        <f t="shared" si="920"/>
        <v>女</v>
      </c>
      <c r="D3699" s="2" t="str">
        <f t="shared" si="911"/>
        <v>7</v>
      </c>
      <c r="E3699" s="2" t="str">
        <f>"土木工程学院"</f>
        <v>土木工程学院</v>
      </c>
    </row>
    <row r="3700" ht="13.5" hidden="1" spans="1:5">
      <c r="A3700" s="2" t="str">
        <f>"胡安陵"</f>
        <v>胡安陵</v>
      </c>
      <c r="B3700" s="2" t="str">
        <f>"B20230802110"</f>
        <v>B20230802110</v>
      </c>
      <c r="C3700" s="2" t="str">
        <f t="shared" si="920"/>
        <v>女</v>
      </c>
      <c r="D3700" s="2" t="str">
        <f t="shared" si="911"/>
        <v>7</v>
      </c>
      <c r="E3700" s="2" t="str">
        <f>"外国语学院"</f>
        <v>外国语学院</v>
      </c>
    </row>
    <row r="3701" ht="13.5" hidden="1" spans="1:5">
      <c r="A3701" s="2" t="str">
        <f>"戴沙"</f>
        <v>戴沙</v>
      </c>
      <c r="B3701" s="2" t="str">
        <f>"B20220701216"</f>
        <v>B20220701216</v>
      </c>
      <c r="C3701" s="2" t="str">
        <f t="shared" si="920"/>
        <v>女</v>
      </c>
      <c r="D3701" s="2" t="str">
        <f t="shared" si="911"/>
        <v>7</v>
      </c>
      <c r="E3701" s="2" t="str">
        <f>"马栏山新媒体学院"</f>
        <v>马栏山新媒体学院</v>
      </c>
    </row>
    <row r="3702" ht="13.5" hidden="1" spans="1:5">
      <c r="A3702" s="2" t="str">
        <f>"赵雨洁"</f>
        <v>赵雨洁</v>
      </c>
      <c r="B3702" s="2" t="str">
        <f>"B20230803212"</f>
        <v>B20230803212</v>
      </c>
      <c r="C3702" s="2" t="str">
        <f t="shared" si="920"/>
        <v>女</v>
      </c>
      <c r="D3702" s="2" t="str">
        <f t="shared" si="911"/>
        <v>7</v>
      </c>
      <c r="E3702" s="2" t="str">
        <f>"外国语学院"</f>
        <v>外国语学院</v>
      </c>
    </row>
    <row r="3703" ht="13.5" hidden="1" spans="1:5">
      <c r="A3703" s="2" t="str">
        <f>"郑娟"</f>
        <v>郑娟</v>
      </c>
      <c r="B3703" s="2" t="str">
        <f>"B20230902306"</f>
        <v>B20230902306</v>
      </c>
      <c r="C3703" s="2" t="str">
        <f t="shared" si="920"/>
        <v>女</v>
      </c>
      <c r="D3703" s="2" t="str">
        <f t="shared" si="911"/>
        <v>7</v>
      </c>
      <c r="E3703" s="2" t="str">
        <f>"经济与管理学院"</f>
        <v>经济与管理学院</v>
      </c>
    </row>
    <row r="3704" ht="13.5" hidden="1" spans="1:5">
      <c r="A3704" s="2" t="str">
        <f>"鄢广智"</f>
        <v>鄢广智</v>
      </c>
      <c r="B3704" s="2" t="str">
        <f>"B20230102124"</f>
        <v>B20230102124</v>
      </c>
      <c r="C3704" s="2" t="str">
        <f>"男"</f>
        <v>男</v>
      </c>
      <c r="D3704" s="2" t="str">
        <f t="shared" si="911"/>
        <v>7</v>
      </c>
      <c r="E3704" s="2" t="str">
        <f>"土木工程学院"</f>
        <v>土木工程学院</v>
      </c>
    </row>
    <row r="3705" ht="13.5" hidden="1" spans="1:5">
      <c r="A3705" s="2" t="str">
        <f>"李灵彦"</f>
        <v>李灵彦</v>
      </c>
      <c r="B3705" s="2" t="str">
        <f>"B20230202213"</f>
        <v>B20230202213</v>
      </c>
      <c r="C3705" s="2" t="str">
        <f t="shared" ref="C3705:C3709" si="921">"女"</f>
        <v>女</v>
      </c>
      <c r="D3705" s="2" t="str">
        <f t="shared" si="911"/>
        <v>7</v>
      </c>
      <c r="E3705" s="2" t="str">
        <f>"机电工程学院"</f>
        <v>机电工程学院</v>
      </c>
    </row>
    <row r="3706" ht="13.5" hidden="1" spans="1:5">
      <c r="A3706" s="2" t="str">
        <f>"贺喜英"</f>
        <v>贺喜英</v>
      </c>
      <c r="B3706" s="2" t="str">
        <f>"B20230501215"</f>
        <v>B20230501215</v>
      </c>
      <c r="C3706" s="2" t="str">
        <f t="shared" si="921"/>
        <v>女</v>
      </c>
      <c r="D3706" s="2" t="str">
        <f t="shared" si="911"/>
        <v>7</v>
      </c>
      <c r="E3706" s="2" t="str">
        <f>"生物与化学工程学院"</f>
        <v>生物与化学工程学院</v>
      </c>
    </row>
    <row r="3707" ht="13.5" hidden="1" spans="1:5">
      <c r="A3707" s="2" t="str">
        <f>"金宇杰"</f>
        <v>金宇杰</v>
      </c>
      <c r="B3707" s="2" t="str">
        <f>"B20220403118"</f>
        <v>B20220403118</v>
      </c>
      <c r="C3707" s="2" t="str">
        <f>"男"</f>
        <v>男</v>
      </c>
      <c r="D3707" s="2" t="str">
        <f t="shared" si="911"/>
        <v>7</v>
      </c>
      <c r="E3707" s="2" t="str">
        <f>"电子信息与电气工程学院"</f>
        <v>电子信息与电气工程学院</v>
      </c>
    </row>
    <row r="3708" ht="13.5" hidden="1" spans="1:5">
      <c r="A3708" s="2" t="str">
        <f>"莫谦谦"</f>
        <v>莫谦谦</v>
      </c>
      <c r="B3708" s="2" t="str">
        <f>"B20220101603"</f>
        <v>B20220101603</v>
      </c>
      <c r="C3708" s="2" t="str">
        <f t="shared" si="921"/>
        <v>女</v>
      </c>
      <c r="D3708" s="2" t="str">
        <f t="shared" si="911"/>
        <v>7</v>
      </c>
      <c r="E3708" s="2" t="str">
        <f>"土木工程学院"</f>
        <v>土木工程学院</v>
      </c>
    </row>
    <row r="3709" ht="13.5" hidden="1" spans="1:5">
      <c r="A3709" s="2" t="str">
        <f>"陈婷婷"</f>
        <v>陈婷婷</v>
      </c>
      <c r="B3709" s="2" t="str">
        <f>"B20230906119"</f>
        <v>B20230906119</v>
      </c>
      <c r="C3709" s="2" t="str">
        <f t="shared" si="921"/>
        <v>女</v>
      </c>
      <c r="D3709" s="2" t="str">
        <f t="shared" si="911"/>
        <v>7</v>
      </c>
      <c r="E3709" s="2" t="str">
        <f>"经济与管理学院"</f>
        <v>经济与管理学院</v>
      </c>
    </row>
    <row r="3710" ht="13.5" hidden="1" spans="1:5">
      <c r="A3710" s="2" t="str">
        <f>"谢俊杰"</f>
        <v>谢俊杰</v>
      </c>
      <c r="B3710" s="2" t="str">
        <f>"B20230401327"</f>
        <v>B20230401327</v>
      </c>
      <c r="C3710" s="2" t="str">
        <f>"男"</f>
        <v>男</v>
      </c>
      <c r="D3710" s="2" t="str">
        <f t="shared" si="911"/>
        <v>7</v>
      </c>
      <c r="E3710" s="2" t="str">
        <f>"电子信息与电气工程学院"</f>
        <v>电子信息与电气工程学院</v>
      </c>
    </row>
    <row r="3711" ht="13.5" hidden="1" spans="1:5">
      <c r="A3711" s="2" t="str">
        <f>"唐方徽"</f>
        <v>唐方徽</v>
      </c>
      <c r="B3711" s="2" t="str">
        <f>"B20230903127"</f>
        <v>B20230903127</v>
      </c>
      <c r="C3711" s="2" t="str">
        <f t="shared" ref="C3711:C3716" si="922">"女"</f>
        <v>女</v>
      </c>
      <c r="D3711" s="2" t="str">
        <f t="shared" si="911"/>
        <v>7</v>
      </c>
      <c r="E3711" s="2" t="str">
        <f>"经济与管理学院"</f>
        <v>经济与管理学院</v>
      </c>
    </row>
    <row r="3712" customHeight="1" spans="1:5">
      <c r="A3712" s="6" t="str">
        <f>"宁志涛"</f>
        <v>宁志涛</v>
      </c>
      <c r="B3712" s="6" t="str">
        <f>"B20210305132"</f>
        <v>B20210305132</v>
      </c>
      <c r="C3712" s="6" t="str">
        <f>"男"</f>
        <v>男</v>
      </c>
      <c r="D3712" s="7" t="str">
        <f>"6"</f>
        <v>6</v>
      </c>
      <c r="E3712" s="6" t="str">
        <f>"计算机科学与工程学院"</f>
        <v>计算机科学与工程学院</v>
      </c>
    </row>
    <row r="3713" customHeight="1" spans="1:5">
      <c r="A3713" s="6" t="str">
        <f>"陈祺"</f>
        <v>陈祺</v>
      </c>
      <c r="B3713" s="6" t="str">
        <f>"B20210305133"</f>
        <v>B20210305133</v>
      </c>
      <c r="C3713" s="6" t="str">
        <f>"男"</f>
        <v>男</v>
      </c>
      <c r="D3713" s="7" t="str">
        <f>"5"</f>
        <v>5</v>
      </c>
      <c r="E3713" s="6" t="str">
        <f>"计算机科学与工程学院"</f>
        <v>计算机科学与工程学院</v>
      </c>
    </row>
    <row r="3714" ht="13.5" hidden="1" spans="1:5">
      <c r="A3714" s="2" t="str">
        <f>"邓沛"</f>
        <v>邓沛</v>
      </c>
      <c r="B3714" s="2" t="str">
        <f>"B20230402324"</f>
        <v>B20230402324</v>
      </c>
      <c r="C3714" s="2" t="str">
        <f>"男"</f>
        <v>男</v>
      </c>
      <c r="D3714" s="2" t="str">
        <f t="shared" si="911"/>
        <v>7</v>
      </c>
      <c r="E3714" s="2" t="str">
        <f>"电子信息与电气工程学院"</f>
        <v>电子信息与电气工程学院</v>
      </c>
    </row>
    <row r="3715" ht="13.5" hidden="1" spans="1:5">
      <c r="A3715" s="2" t="str">
        <f>"柏玉梅"</f>
        <v>柏玉梅</v>
      </c>
      <c r="B3715" s="2" t="str">
        <f>"B20230204232"</f>
        <v>B20230204232</v>
      </c>
      <c r="C3715" s="2" t="str">
        <f t="shared" si="922"/>
        <v>女</v>
      </c>
      <c r="D3715" s="2" t="str">
        <f t="shared" si="911"/>
        <v>7</v>
      </c>
      <c r="E3715" s="2" t="str">
        <f t="shared" ref="E3715:E3718" si="923">"机电工程学院"</f>
        <v>机电工程学院</v>
      </c>
    </row>
    <row r="3716" ht="13.5" hidden="1" spans="1:5">
      <c r="A3716" s="2" t="str">
        <f>"尤进圆"</f>
        <v>尤进圆</v>
      </c>
      <c r="B3716" s="2" t="str">
        <f>"B20230204234"</f>
        <v>B20230204234</v>
      </c>
      <c r="C3716" s="2" t="str">
        <f t="shared" si="922"/>
        <v>女</v>
      </c>
      <c r="D3716" s="2" t="str">
        <f t="shared" si="911"/>
        <v>7</v>
      </c>
      <c r="E3716" s="2" t="str">
        <f t="shared" si="923"/>
        <v>机电工程学院</v>
      </c>
    </row>
    <row r="3717" ht="13.5" hidden="1" spans="1:5">
      <c r="A3717" s="2" t="str">
        <f>"简景村"</f>
        <v>简景村</v>
      </c>
      <c r="B3717" s="2" t="str">
        <f>"B20210901148"</f>
        <v>B20210901148</v>
      </c>
      <c r="C3717" s="2" t="str">
        <f>"男"</f>
        <v>男</v>
      </c>
      <c r="D3717" s="2" t="str">
        <f t="shared" si="911"/>
        <v>7</v>
      </c>
      <c r="E3717" s="2" t="str">
        <f t="shared" ref="E3717:E3721" si="924">"经济与管理学院"</f>
        <v>经济与管理学院</v>
      </c>
    </row>
    <row r="3718" ht="13.5" hidden="1" spans="1:5">
      <c r="A3718" s="2" t="str">
        <f>"唐振"</f>
        <v>唐振</v>
      </c>
      <c r="B3718" s="2" t="str">
        <f>"B20200201430"</f>
        <v>B20200201430</v>
      </c>
      <c r="C3718" s="2" t="str">
        <f>"男"</f>
        <v>男</v>
      </c>
      <c r="D3718" s="2" t="str">
        <f t="shared" si="911"/>
        <v>7</v>
      </c>
      <c r="E3718" s="2" t="str">
        <f t="shared" si="923"/>
        <v>机电工程学院</v>
      </c>
    </row>
    <row r="3719" ht="13.5" hidden="1" spans="1:5">
      <c r="A3719" s="2" t="str">
        <f>"邓眉佳"</f>
        <v>邓眉佳</v>
      </c>
      <c r="B3719" s="2" t="str">
        <f>"B20220801307"</f>
        <v>B20220801307</v>
      </c>
      <c r="C3719" s="2" t="str">
        <f t="shared" ref="C3719:C3722" si="925">"女"</f>
        <v>女</v>
      </c>
      <c r="D3719" s="2" t="str">
        <f t="shared" si="911"/>
        <v>7</v>
      </c>
      <c r="E3719" s="2" t="str">
        <f>"外国语学院"</f>
        <v>外国语学院</v>
      </c>
    </row>
    <row r="3720" ht="13.5" hidden="1" spans="1:5">
      <c r="A3720" s="2" t="str">
        <f>"张影"</f>
        <v>张影</v>
      </c>
      <c r="B3720" s="2" t="str">
        <f>"B20210904118"</f>
        <v>B20210904118</v>
      </c>
      <c r="C3720" s="2" t="str">
        <f t="shared" si="925"/>
        <v>女</v>
      </c>
      <c r="D3720" s="2" t="str">
        <f t="shared" si="911"/>
        <v>7</v>
      </c>
      <c r="E3720" s="2" t="str">
        <f t="shared" si="924"/>
        <v>经济与管理学院</v>
      </c>
    </row>
    <row r="3721" ht="13.5" hidden="1" spans="1:5">
      <c r="A3721" s="2" t="str">
        <f>"陈倩"</f>
        <v>陈倩</v>
      </c>
      <c r="B3721" s="2" t="str">
        <f>"B20200904125"</f>
        <v>B20200904125</v>
      </c>
      <c r="C3721" s="2" t="str">
        <f t="shared" si="925"/>
        <v>女</v>
      </c>
      <c r="D3721" s="2" t="str">
        <f t="shared" si="911"/>
        <v>7</v>
      </c>
      <c r="E3721" s="2" t="str">
        <f t="shared" si="924"/>
        <v>经济与管理学院</v>
      </c>
    </row>
    <row r="3722" ht="13.5" hidden="1" spans="1:5">
      <c r="A3722" s="2" t="str">
        <f>"褚鑫源"</f>
        <v>褚鑫源</v>
      </c>
      <c r="B3722" s="2" t="str">
        <f>"B20221301230"</f>
        <v>B20221301230</v>
      </c>
      <c r="C3722" s="2" t="str">
        <f t="shared" si="925"/>
        <v>女</v>
      </c>
      <c r="D3722" s="2" t="str">
        <f t="shared" si="911"/>
        <v>7</v>
      </c>
      <c r="E3722" s="2" t="str">
        <f>"材料与环境工程学院"</f>
        <v>材料与环境工程学院</v>
      </c>
    </row>
    <row r="3723" ht="13.5" hidden="1" spans="1:5">
      <c r="A3723" s="2" t="str">
        <f>"李兴平"</f>
        <v>李兴平</v>
      </c>
      <c r="B3723" s="2" t="str">
        <f>"B20230504223"</f>
        <v>B20230504223</v>
      </c>
      <c r="C3723" s="2" t="str">
        <f t="shared" ref="C3723:C3726" si="926">"男"</f>
        <v>男</v>
      </c>
      <c r="D3723" s="2" t="str">
        <f t="shared" si="911"/>
        <v>7</v>
      </c>
      <c r="E3723" s="2" t="str">
        <f>"生物与化学工程学院"</f>
        <v>生物与化学工程学院</v>
      </c>
    </row>
    <row r="3724" ht="13.5" hidden="1" spans="1:5">
      <c r="A3724" s="2" t="str">
        <f>"娄子杰"</f>
        <v>娄子杰</v>
      </c>
      <c r="B3724" s="2" t="str">
        <f>"B20230402310"</f>
        <v>B20230402310</v>
      </c>
      <c r="C3724" s="2" t="str">
        <f t="shared" si="926"/>
        <v>男</v>
      </c>
      <c r="D3724" s="2" t="str">
        <f t="shared" si="911"/>
        <v>7</v>
      </c>
      <c r="E3724" s="2" t="str">
        <f t="shared" ref="E3724:E3728" si="927">"电子信息与电气工程学院"</f>
        <v>电子信息与电气工程学院</v>
      </c>
    </row>
    <row r="3725" ht="13.5" hidden="1" spans="1:5">
      <c r="A3725" s="2" t="str">
        <f>"武静怡"</f>
        <v>武静怡</v>
      </c>
      <c r="B3725" s="2" t="str">
        <f>"B20230402335"</f>
        <v>B20230402335</v>
      </c>
      <c r="C3725" s="2" t="str">
        <f t="shared" ref="C3725:C3729" si="928">"女"</f>
        <v>女</v>
      </c>
      <c r="D3725" s="2" t="str">
        <f t="shared" si="911"/>
        <v>7</v>
      </c>
      <c r="E3725" s="2" t="str">
        <f t="shared" si="927"/>
        <v>电子信息与电气工程学院</v>
      </c>
    </row>
    <row r="3726" ht="13.5" hidden="1" spans="1:5">
      <c r="A3726" s="2" t="str">
        <f>"王巍"</f>
        <v>王巍</v>
      </c>
      <c r="B3726" s="2" t="str">
        <f>"B20230501118"</f>
        <v>B20230501118</v>
      </c>
      <c r="C3726" s="2" t="str">
        <f t="shared" si="926"/>
        <v>男</v>
      </c>
      <c r="D3726" s="2" t="str">
        <f t="shared" si="911"/>
        <v>7</v>
      </c>
      <c r="E3726" s="2" t="str">
        <f>"生物与化学工程学院"</f>
        <v>生物与化学工程学院</v>
      </c>
    </row>
    <row r="3727" ht="13.5" hidden="1" spans="1:5">
      <c r="A3727" s="2" t="str">
        <f>"曹柔曼"</f>
        <v>曹柔曼</v>
      </c>
      <c r="B3727" s="2" t="str">
        <f>"B20220904317"</f>
        <v>B20220904317</v>
      </c>
      <c r="C3727" s="2" t="str">
        <f t="shared" si="928"/>
        <v>女</v>
      </c>
      <c r="D3727" s="2" t="str">
        <f t="shared" ref="D3727:D3790" si="929">"7"</f>
        <v>7</v>
      </c>
      <c r="E3727" s="2" t="str">
        <f>"经济与管理学院"</f>
        <v>经济与管理学院</v>
      </c>
    </row>
    <row r="3728" ht="13.5" hidden="1" spans="1:5">
      <c r="A3728" s="2" t="str">
        <f>"刘易飞"</f>
        <v>刘易飞</v>
      </c>
      <c r="B3728" s="2" t="str">
        <f>"B20230404118"</f>
        <v>B20230404118</v>
      </c>
      <c r="C3728" s="2" t="str">
        <f t="shared" ref="C3728:C3731" si="930">"男"</f>
        <v>男</v>
      </c>
      <c r="D3728" s="2" t="str">
        <f t="shared" si="929"/>
        <v>7</v>
      </c>
      <c r="E3728" s="2" t="str">
        <f t="shared" si="927"/>
        <v>电子信息与电气工程学院</v>
      </c>
    </row>
    <row r="3729" ht="13.5" hidden="1" spans="1:5">
      <c r="A3729" s="2" t="str">
        <f>"李毓瑶"</f>
        <v>李毓瑶</v>
      </c>
      <c r="B3729" s="2" t="str">
        <f>"B20230901219"</f>
        <v>B20230901219</v>
      </c>
      <c r="C3729" s="2" t="str">
        <f t="shared" si="928"/>
        <v>女</v>
      </c>
      <c r="D3729" s="2" t="str">
        <f t="shared" si="929"/>
        <v>7</v>
      </c>
      <c r="E3729" s="2" t="str">
        <f>"经济与管理学院"</f>
        <v>经济与管理学院</v>
      </c>
    </row>
    <row r="3730" ht="13.5" hidden="1" spans="1:5">
      <c r="A3730" s="2" t="str">
        <f>"朱星其"</f>
        <v>朱星其</v>
      </c>
      <c r="B3730" s="2" t="str">
        <f>"B20200201421"</f>
        <v>B20200201421</v>
      </c>
      <c r="C3730" s="2" t="str">
        <f t="shared" si="930"/>
        <v>男</v>
      </c>
      <c r="D3730" s="2" t="str">
        <f t="shared" si="929"/>
        <v>7</v>
      </c>
      <c r="E3730" s="2" t="str">
        <f>"机电工程学院"</f>
        <v>机电工程学院</v>
      </c>
    </row>
    <row r="3731" ht="13.5" hidden="1" spans="1:5">
      <c r="A3731" s="2" t="str">
        <f>"谢敏"</f>
        <v>谢敏</v>
      </c>
      <c r="B3731" s="2" t="str">
        <f>"B20221301131"</f>
        <v>B20221301131</v>
      </c>
      <c r="C3731" s="2" t="str">
        <f t="shared" si="930"/>
        <v>男</v>
      </c>
      <c r="D3731" s="2" t="str">
        <f t="shared" si="929"/>
        <v>7</v>
      </c>
      <c r="E3731" s="2" t="str">
        <f>"材料与环境工程学院"</f>
        <v>材料与环境工程学院</v>
      </c>
    </row>
    <row r="3732" ht="13.5" hidden="1" spans="1:5">
      <c r="A3732" s="2" t="str">
        <f>"王钰洁"</f>
        <v>王钰洁</v>
      </c>
      <c r="B3732" s="2" t="str">
        <f>"B20230701112"</f>
        <v>B20230701112</v>
      </c>
      <c r="C3732" s="2" t="str">
        <f t="shared" ref="C3732:C3735" si="931">"女"</f>
        <v>女</v>
      </c>
      <c r="D3732" s="2" t="str">
        <f t="shared" si="929"/>
        <v>7</v>
      </c>
      <c r="E3732" s="2" t="str">
        <f>"马栏山新媒体学院"</f>
        <v>马栏山新媒体学院</v>
      </c>
    </row>
    <row r="3733" ht="13.5" hidden="1" spans="1:5">
      <c r="A3733" s="2" t="str">
        <f>"黄思乐"</f>
        <v>黄思乐</v>
      </c>
      <c r="B3733" s="2" t="str">
        <f>"B20230403304"</f>
        <v>B20230403304</v>
      </c>
      <c r="C3733" s="2" t="str">
        <f t="shared" si="931"/>
        <v>女</v>
      </c>
      <c r="D3733" s="2" t="str">
        <f t="shared" si="929"/>
        <v>7</v>
      </c>
      <c r="E3733" s="2" t="str">
        <f>"电子信息与电气工程学院"</f>
        <v>电子信息与电气工程学院</v>
      </c>
    </row>
    <row r="3734" ht="13.5" hidden="1" spans="1:5">
      <c r="A3734" s="2" t="str">
        <f>"朱慧"</f>
        <v>朱慧</v>
      </c>
      <c r="B3734" s="2" t="str">
        <f>"B20220801402"</f>
        <v>B20220801402</v>
      </c>
      <c r="C3734" s="2" t="str">
        <f t="shared" si="931"/>
        <v>女</v>
      </c>
      <c r="D3734" s="2" t="str">
        <f t="shared" si="929"/>
        <v>7</v>
      </c>
      <c r="E3734" s="2" t="str">
        <f>"外国语学院"</f>
        <v>外国语学院</v>
      </c>
    </row>
    <row r="3735" customHeight="1" spans="1:5">
      <c r="A3735" s="6" t="str">
        <f>"袁航"</f>
        <v>袁航</v>
      </c>
      <c r="B3735" s="6" t="str">
        <f>"B20210305134"</f>
        <v>B20210305134</v>
      </c>
      <c r="C3735" s="6" t="str">
        <f t="shared" si="931"/>
        <v>女</v>
      </c>
      <c r="D3735" s="7" t="str">
        <f>"6"</f>
        <v>6</v>
      </c>
      <c r="E3735" s="6" t="str">
        <f>"计算机科学与工程学院"</f>
        <v>计算机科学与工程学院</v>
      </c>
    </row>
    <row r="3736" ht="13.5" hidden="1" spans="1:5">
      <c r="A3736" s="2" t="str">
        <f>"肖春燕"</f>
        <v>肖春燕</v>
      </c>
      <c r="B3736" s="2" t="str">
        <f>"B20230701401"</f>
        <v>B20230701401</v>
      </c>
      <c r="C3736" s="2" t="str">
        <f t="shared" ref="C3736:C3739" si="932">"女"</f>
        <v>女</v>
      </c>
      <c r="D3736" s="2" t="str">
        <f t="shared" si="929"/>
        <v>7</v>
      </c>
      <c r="E3736" s="2" t="str">
        <f>"马栏山新媒体学院"</f>
        <v>马栏山新媒体学院</v>
      </c>
    </row>
    <row r="3737" ht="13.5" hidden="1" spans="1:5">
      <c r="A3737" s="2" t="str">
        <f>"邓晴乐"</f>
        <v>邓晴乐</v>
      </c>
      <c r="B3737" s="2" t="str">
        <f>"B20230504103"</f>
        <v>B20230504103</v>
      </c>
      <c r="C3737" s="2" t="str">
        <f>"男"</f>
        <v>男</v>
      </c>
      <c r="D3737" s="2" t="str">
        <f t="shared" si="929"/>
        <v>7</v>
      </c>
      <c r="E3737" s="2" t="str">
        <f>"生物与化学工程学院"</f>
        <v>生物与化学工程学院</v>
      </c>
    </row>
    <row r="3738" ht="13.5" hidden="1" spans="1:5">
      <c r="A3738" s="2" t="str">
        <f>"叶雅芸"</f>
        <v>叶雅芸</v>
      </c>
      <c r="B3738" s="2" t="str">
        <f>"B20231004224"</f>
        <v>B20231004224</v>
      </c>
      <c r="C3738" s="2" t="str">
        <f t="shared" si="932"/>
        <v>女</v>
      </c>
      <c r="D3738" s="2" t="str">
        <f t="shared" si="929"/>
        <v>7</v>
      </c>
      <c r="E3738" s="2" t="str">
        <f>"艺术设计学院"</f>
        <v>艺术设计学院</v>
      </c>
    </row>
    <row r="3739" ht="13.5" hidden="1" spans="1:5">
      <c r="A3739" s="2" t="str">
        <f>"吴梓韵"</f>
        <v>吴梓韵</v>
      </c>
      <c r="B3739" s="2" t="str">
        <f>"B20230504323"</f>
        <v>B20230504323</v>
      </c>
      <c r="C3739" s="2" t="str">
        <f t="shared" si="932"/>
        <v>女</v>
      </c>
      <c r="D3739" s="2" t="str">
        <f t="shared" si="929"/>
        <v>7</v>
      </c>
      <c r="E3739" s="2" t="str">
        <f>"生物与化学工程学院"</f>
        <v>生物与化学工程学院</v>
      </c>
    </row>
    <row r="3740" customHeight="1" spans="1:5">
      <c r="A3740" s="6" t="str">
        <f>"王俊"</f>
        <v>王俊</v>
      </c>
      <c r="B3740" s="6" t="str">
        <f>"B20210305135"</f>
        <v>B20210305135</v>
      </c>
      <c r="C3740" s="6" t="str">
        <f>"男"</f>
        <v>男</v>
      </c>
      <c r="D3740" s="7" t="str">
        <f t="shared" si="929"/>
        <v>7</v>
      </c>
      <c r="E3740" s="6" t="str">
        <f>"计算机科学与工程学院"</f>
        <v>计算机科学与工程学院</v>
      </c>
    </row>
    <row r="3741" ht="13.5" hidden="1" spans="1:5">
      <c r="A3741" s="2" t="str">
        <f>"杨清"</f>
        <v>杨清</v>
      </c>
      <c r="B3741" s="2" t="str">
        <f>"B20200704325"</f>
        <v>B20200704325</v>
      </c>
      <c r="C3741" s="2" t="str">
        <f t="shared" ref="C3741:C3745" si="933">"女"</f>
        <v>女</v>
      </c>
      <c r="D3741" s="2" t="str">
        <f t="shared" si="929"/>
        <v>7</v>
      </c>
      <c r="E3741" s="2" t="str">
        <f t="shared" ref="E3741:E3743" si="934">"马栏山新媒体学院"</f>
        <v>马栏山新媒体学院</v>
      </c>
    </row>
    <row r="3742" ht="13.5" hidden="1" spans="1:5">
      <c r="A3742" s="2" t="str">
        <f>"李俊余"</f>
        <v>李俊余</v>
      </c>
      <c r="B3742" s="2" t="str">
        <f>"B20200704405"</f>
        <v>B20200704405</v>
      </c>
      <c r="C3742" s="2" t="str">
        <f t="shared" ref="C3742:C3750" si="935">"男"</f>
        <v>男</v>
      </c>
      <c r="D3742" s="2" t="str">
        <f t="shared" si="929"/>
        <v>7</v>
      </c>
      <c r="E3742" s="2" t="str">
        <f t="shared" si="934"/>
        <v>马栏山新媒体学院</v>
      </c>
    </row>
    <row r="3743" ht="13.5" hidden="1" spans="1:5">
      <c r="A3743" s="2" t="str">
        <f>"李阳"</f>
        <v>李阳</v>
      </c>
      <c r="B3743" s="2" t="str">
        <f>"B20200704124"</f>
        <v>B20200704124</v>
      </c>
      <c r="C3743" s="2" t="str">
        <f t="shared" si="933"/>
        <v>女</v>
      </c>
      <c r="D3743" s="2" t="str">
        <f t="shared" si="929"/>
        <v>7</v>
      </c>
      <c r="E3743" s="2" t="str">
        <f t="shared" si="934"/>
        <v>马栏山新媒体学院</v>
      </c>
    </row>
    <row r="3744" ht="13.5" hidden="1" spans="1:5">
      <c r="A3744" s="2" t="str">
        <f>"刘奕辰"</f>
        <v>刘奕辰</v>
      </c>
      <c r="B3744" s="2" t="str">
        <f>"B20201001105"</f>
        <v>B20201001105</v>
      </c>
      <c r="C3744" s="2" t="str">
        <f t="shared" si="933"/>
        <v>女</v>
      </c>
      <c r="D3744" s="2" t="str">
        <f t="shared" si="929"/>
        <v>7</v>
      </c>
      <c r="E3744" s="2" t="str">
        <f t="shared" ref="E3744:E3748" si="936">"艺术设计学院"</f>
        <v>艺术设计学院</v>
      </c>
    </row>
    <row r="3745" ht="13.5" hidden="1" spans="1:5">
      <c r="A3745" s="2" t="str">
        <f>"鲁琬青"</f>
        <v>鲁琬青</v>
      </c>
      <c r="B3745" s="2" t="str">
        <f>"B20211004113"</f>
        <v>B20211004113</v>
      </c>
      <c r="C3745" s="2" t="str">
        <f t="shared" si="933"/>
        <v>女</v>
      </c>
      <c r="D3745" s="2" t="str">
        <f t="shared" si="929"/>
        <v>7</v>
      </c>
      <c r="E3745" s="2" t="str">
        <f t="shared" si="936"/>
        <v>艺术设计学院</v>
      </c>
    </row>
    <row r="3746" ht="13.5" hidden="1" spans="1:5">
      <c r="A3746" s="2" t="str">
        <f>"刘耀"</f>
        <v>刘耀</v>
      </c>
      <c r="B3746" s="2" t="str">
        <f>"B20200101628"</f>
        <v>B20200101628</v>
      </c>
      <c r="C3746" s="2" t="str">
        <f t="shared" si="935"/>
        <v>男</v>
      </c>
      <c r="D3746" s="2" t="str">
        <f t="shared" si="929"/>
        <v>7</v>
      </c>
      <c r="E3746" s="2" t="str">
        <f>"土木工程学院"</f>
        <v>土木工程学院</v>
      </c>
    </row>
    <row r="3747" ht="13.5" hidden="1" spans="1:5">
      <c r="A3747" s="2" t="str">
        <f>"王文凯"</f>
        <v>王文凯</v>
      </c>
      <c r="B3747" s="2" t="str">
        <f>"B20200703401"</f>
        <v>B20200703401</v>
      </c>
      <c r="C3747" s="2" t="str">
        <f t="shared" si="935"/>
        <v>男</v>
      </c>
      <c r="D3747" s="2" t="str">
        <f t="shared" si="929"/>
        <v>7</v>
      </c>
      <c r="E3747" s="2" t="str">
        <f>"马栏山新媒体学院"</f>
        <v>马栏山新媒体学院</v>
      </c>
    </row>
    <row r="3748" ht="13.5" hidden="1" spans="1:5">
      <c r="A3748" s="2" t="str">
        <f>"刘高维"</f>
        <v>刘高维</v>
      </c>
      <c r="B3748" s="2" t="str">
        <f>"B20211002216"</f>
        <v>B20211002216</v>
      </c>
      <c r="C3748" s="2" t="str">
        <f t="shared" si="935"/>
        <v>男</v>
      </c>
      <c r="D3748" s="2" t="str">
        <f t="shared" si="929"/>
        <v>7</v>
      </c>
      <c r="E3748" s="2" t="str">
        <f t="shared" si="936"/>
        <v>艺术设计学院</v>
      </c>
    </row>
    <row r="3749" ht="13.5" hidden="1" spans="1:5">
      <c r="A3749" s="2" t="str">
        <f>"雷棣为"</f>
        <v>雷棣为</v>
      </c>
      <c r="B3749" s="2" t="str">
        <f>"B20230904130"</f>
        <v>B20230904130</v>
      </c>
      <c r="C3749" s="2" t="str">
        <f t="shared" si="935"/>
        <v>男</v>
      </c>
      <c r="D3749" s="2" t="str">
        <f t="shared" si="929"/>
        <v>7</v>
      </c>
      <c r="E3749" s="2" t="str">
        <f>"经济与管理学院"</f>
        <v>经济与管理学院</v>
      </c>
    </row>
    <row r="3750" ht="13.5" hidden="1" spans="1:5">
      <c r="A3750" s="2" t="str">
        <f>"郑俊杰"</f>
        <v>郑俊杰</v>
      </c>
      <c r="B3750" s="2" t="str">
        <f>"B20210202421"</f>
        <v>B20210202421</v>
      </c>
      <c r="C3750" s="2" t="str">
        <f t="shared" si="935"/>
        <v>男</v>
      </c>
      <c r="D3750" s="2" t="str">
        <f t="shared" si="929"/>
        <v>7</v>
      </c>
      <c r="E3750" s="2" t="str">
        <f>"机电工程学院"</f>
        <v>机电工程学院</v>
      </c>
    </row>
    <row r="3751" ht="13.5" hidden="1" spans="1:5">
      <c r="A3751" s="2" t="str">
        <f>"杜凤云"</f>
        <v>杜凤云</v>
      </c>
      <c r="B3751" s="2" t="str">
        <f>"B20220702232"</f>
        <v>B20220702232</v>
      </c>
      <c r="C3751" s="2" t="str">
        <f t="shared" ref="C3751:C3755" si="937">"女"</f>
        <v>女</v>
      </c>
      <c r="D3751" s="2" t="str">
        <f t="shared" si="929"/>
        <v>7</v>
      </c>
      <c r="E3751" s="2" t="str">
        <f>"马栏山新媒体学院"</f>
        <v>马栏山新媒体学院</v>
      </c>
    </row>
    <row r="3752" ht="13.5" hidden="1" spans="1:5">
      <c r="A3752" s="2" t="str">
        <f>"谭子悠"</f>
        <v>谭子悠</v>
      </c>
      <c r="B3752" s="2" t="str">
        <f>"B20210104106"</f>
        <v>B20210104106</v>
      </c>
      <c r="C3752" s="2" t="str">
        <f t="shared" si="937"/>
        <v>女</v>
      </c>
      <c r="D3752" s="2" t="str">
        <f t="shared" si="929"/>
        <v>7</v>
      </c>
      <c r="E3752" s="2" t="str">
        <f>"土木工程学院"</f>
        <v>土木工程学院</v>
      </c>
    </row>
    <row r="3753" ht="13.5" hidden="1" spans="1:5">
      <c r="A3753" s="2" t="str">
        <f>"彭路"</f>
        <v>彭路</v>
      </c>
      <c r="B3753" s="2" t="str">
        <f>"B20200802114"</f>
        <v>B20200802114</v>
      </c>
      <c r="C3753" s="2" t="str">
        <f t="shared" si="937"/>
        <v>女</v>
      </c>
      <c r="D3753" s="2" t="str">
        <f t="shared" si="929"/>
        <v>7</v>
      </c>
      <c r="E3753" s="2" t="str">
        <f>"外国语学院"</f>
        <v>外国语学院</v>
      </c>
    </row>
    <row r="3754" ht="13.5" hidden="1" spans="1:5">
      <c r="A3754" s="2" t="str">
        <f>"张羽静"</f>
        <v>张羽静</v>
      </c>
      <c r="B3754" s="2" t="str">
        <f>"B20220501114"</f>
        <v>B20220501114</v>
      </c>
      <c r="C3754" s="2" t="str">
        <f t="shared" si="937"/>
        <v>女</v>
      </c>
      <c r="D3754" s="2" t="str">
        <f t="shared" si="929"/>
        <v>7</v>
      </c>
      <c r="E3754" s="2" t="str">
        <f>"生物与化学工程学院"</f>
        <v>生物与化学工程学院</v>
      </c>
    </row>
    <row r="3755" customHeight="1" spans="1:5">
      <c r="A3755" s="6" t="str">
        <f>"程媛"</f>
        <v>程媛</v>
      </c>
      <c r="B3755" s="6" t="str">
        <f>"B20210305136"</f>
        <v>B20210305136</v>
      </c>
      <c r="C3755" s="6" t="str">
        <f t="shared" si="937"/>
        <v>女</v>
      </c>
      <c r="D3755" s="7" t="str">
        <f>"11"</f>
        <v>11</v>
      </c>
      <c r="E3755" s="6" t="str">
        <f>"计算机科学与工程学院"</f>
        <v>计算机科学与工程学院</v>
      </c>
    </row>
    <row r="3756" ht="13.5" hidden="1" spans="1:5">
      <c r="A3756" s="2" t="str">
        <f>"李靓"</f>
        <v>李靓</v>
      </c>
      <c r="B3756" s="2" t="str">
        <f>"B20220501234"</f>
        <v>B20220501234</v>
      </c>
      <c r="C3756" s="2" t="str">
        <f t="shared" ref="C3756:C3761" si="938">"女"</f>
        <v>女</v>
      </c>
      <c r="D3756" s="2" t="str">
        <f t="shared" si="929"/>
        <v>7</v>
      </c>
      <c r="E3756" s="2" t="str">
        <f>"生物与化学工程学院"</f>
        <v>生物与化学工程学院</v>
      </c>
    </row>
    <row r="3757" ht="13.5" hidden="1" spans="1:5">
      <c r="A3757" s="2" t="str">
        <f>"彭灿"</f>
        <v>彭灿</v>
      </c>
      <c r="B3757" s="2" t="str">
        <f>"B20230403132"</f>
        <v>B20230403132</v>
      </c>
      <c r="C3757" s="2" t="str">
        <f>"男"</f>
        <v>男</v>
      </c>
      <c r="D3757" s="2" t="str">
        <f t="shared" si="929"/>
        <v>7</v>
      </c>
      <c r="E3757" s="2" t="str">
        <f t="shared" ref="E3757:E3761" si="939">"电子信息与电气工程学院"</f>
        <v>电子信息与电气工程学院</v>
      </c>
    </row>
    <row r="3758" ht="13.5" hidden="1" spans="1:5">
      <c r="A3758" s="2" t="str">
        <f>"张子怡"</f>
        <v>张子怡</v>
      </c>
      <c r="B3758" s="2" t="str">
        <f>"B20230402207"</f>
        <v>B20230402207</v>
      </c>
      <c r="C3758" s="2" t="str">
        <f t="shared" si="938"/>
        <v>女</v>
      </c>
      <c r="D3758" s="2" t="str">
        <f t="shared" si="929"/>
        <v>7</v>
      </c>
      <c r="E3758" s="2" t="str">
        <f t="shared" si="939"/>
        <v>电子信息与电气工程学院</v>
      </c>
    </row>
    <row r="3759" ht="13.5" hidden="1" spans="1:5">
      <c r="A3759" s="2" t="str">
        <f>"曾琴"</f>
        <v>曾琴</v>
      </c>
      <c r="B3759" s="2" t="str">
        <f>"B20210801122"</f>
        <v>B20210801122</v>
      </c>
      <c r="C3759" s="2" t="str">
        <f t="shared" si="938"/>
        <v>女</v>
      </c>
      <c r="D3759" s="2" t="str">
        <f t="shared" si="929"/>
        <v>7</v>
      </c>
      <c r="E3759" s="2" t="str">
        <f>"外国语学院"</f>
        <v>外国语学院</v>
      </c>
    </row>
    <row r="3760" ht="13.5" hidden="1" spans="1:5">
      <c r="A3760" s="2" t="str">
        <f>"肖佳懿"</f>
        <v>肖佳懿</v>
      </c>
      <c r="B3760" s="2" t="str">
        <f>"B20230902321"</f>
        <v>B20230902321</v>
      </c>
      <c r="C3760" s="2" t="str">
        <f t="shared" si="938"/>
        <v>女</v>
      </c>
      <c r="D3760" s="2" t="str">
        <f t="shared" si="929"/>
        <v>7</v>
      </c>
      <c r="E3760" s="2" t="str">
        <f t="shared" ref="E3760:E3764" si="940">"经济与管理学院"</f>
        <v>经济与管理学院</v>
      </c>
    </row>
    <row r="3761" ht="13.5" hidden="1" spans="1:5">
      <c r="A3761" s="2" t="str">
        <f>"曾璐"</f>
        <v>曾璐</v>
      </c>
      <c r="B3761" s="2" t="str">
        <f>"B20210403210"</f>
        <v>B20210403210</v>
      </c>
      <c r="C3761" s="2" t="str">
        <f t="shared" si="938"/>
        <v>女</v>
      </c>
      <c r="D3761" s="2" t="str">
        <f t="shared" si="929"/>
        <v>7</v>
      </c>
      <c r="E3761" s="2" t="str">
        <f t="shared" si="939"/>
        <v>电子信息与电气工程学院</v>
      </c>
    </row>
    <row r="3762" ht="13.5" hidden="1" spans="1:5">
      <c r="A3762" s="2" t="str">
        <f>"张胜超"</f>
        <v>张胜超</v>
      </c>
      <c r="B3762" s="2" t="str">
        <f>"B20220905237"</f>
        <v>B20220905237</v>
      </c>
      <c r="C3762" s="2" t="str">
        <f t="shared" ref="C3762:C3768" si="941">"男"</f>
        <v>男</v>
      </c>
      <c r="D3762" s="2" t="str">
        <f t="shared" si="929"/>
        <v>7</v>
      </c>
      <c r="E3762" s="2" t="str">
        <f t="shared" si="940"/>
        <v>经济与管理学院</v>
      </c>
    </row>
    <row r="3763" ht="13.5" hidden="1" spans="1:5">
      <c r="A3763" s="2" t="str">
        <f>"付渊博"</f>
        <v>付渊博</v>
      </c>
      <c r="B3763" s="2" t="str">
        <f>"B20200901322"</f>
        <v>B20200901322</v>
      </c>
      <c r="C3763" s="2" t="str">
        <f t="shared" si="941"/>
        <v>男</v>
      </c>
      <c r="D3763" s="2" t="str">
        <f t="shared" si="929"/>
        <v>7</v>
      </c>
      <c r="E3763" s="2" t="str">
        <f t="shared" si="940"/>
        <v>经济与管理学院</v>
      </c>
    </row>
    <row r="3764" ht="13.5" hidden="1" spans="1:5">
      <c r="A3764" s="2" t="str">
        <f>"孔思琪"</f>
        <v>孔思琪</v>
      </c>
      <c r="B3764" s="2" t="str">
        <f>"B20220904313"</f>
        <v>B20220904313</v>
      </c>
      <c r="C3764" s="2" t="str">
        <f t="shared" ref="C3764:C3769" si="942">"女"</f>
        <v>女</v>
      </c>
      <c r="D3764" s="2" t="str">
        <f t="shared" si="929"/>
        <v>7</v>
      </c>
      <c r="E3764" s="2" t="str">
        <f t="shared" si="940"/>
        <v>经济与管理学院</v>
      </c>
    </row>
    <row r="3765" ht="13.5" hidden="1" spans="1:5">
      <c r="A3765" s="2" t="str">
        <f>"唐琦"</f>
        <v>唐琦</v>
      </c>
      <c r="B3765" s="2" t="str">
        <f>"B20220802113"</f>
        <v>B20220802113</v>
      </c>
      <c r="C3765" s="2" t="str">
        <f t="shared" si="942"/>
        <v>女</v>
      </c>
      <c r="D3765" s="2" t="str">
        <f t="shared" si="929"/>
        <v>7</v>
      </c>
      <c r="E3765" s="2" t="str">
        <f>"外国语学院"</f>
        <v>外国语学院</v>
      </c>
    </row>
    <row r="3766" ht="13.5" hidden="1" spans="1:5">
      <c r="A3766" s="2" t="str">
        <f>"何鹏伟"</f>
        <v>何鹏伟</v>
      </c>
      <c r="B3766" s="2" t="str">
        <f>"B20220404108"</f>
        <v>B20220404108</v>
      </c>
      <c r="C3766" s="2" t="str">
        <f t="shared" si="941"/>
        <v>男</v>
      </c>
      <c r="D3766" s="2" t="str">
        <f t="shared" si="929"/>
        <v>7</v>
      </c>
      <c r="E3766" s="2" t="str">
        <f>"电子信息与电气工程学院"</f>
        <v>电子信息与电气工程学院</v>
      </c>
    </row>
    <row r="3767" ht="13.5" hidden="1" spans="1:5">
      <c r="A3767" s="2" t="str">
        <f>"胡同语"</f>
        <v>胡同语</v>
      </c>
      <c r="B3767" s="2" t="str">
        <f>"B20210903143"</f>
        <v>B20210903143</v>
      </c>
      <c r="C3767" s="2" t="str">
        <f t="shared" si="941"/>
        <v>男</v>
      </c>
      <c r="D3767" s="2" t="str">
        <f t="shared" si="929"/>
        <v>7</v>
      </c>
      <c r="E3767" s="2" t="str">
        <f>"经济与管理学院"</f>
        <v>经济与管理学院</v>
      </c>
    </row>
    <row r="3768" ht="13.5" hidden="1" spans="1:5">
      <c r="A3768" s="2" t="str">
        <f>"向涛"</f>
        <v>向涛</v>
      </c>
      <c r="B3768" s="2" t="str">
        <f>"B20220903210"</f>
        <v>B20220903210</v>
      </c>
      <c r="C3768" s="2" t="str">
        <f t="shared" si="941"/>
        <v>男</v>
      </c>
      <c r="D3768" s="2" t="str">
        <f t="shared" si="929"/>
        <v>7</v>
      </c>
      <c r="E3768" s="2" t="str">
        <f>"经济与管理学院"</f>
        <v>经济与管理学院</v>
      </c>
    </row>
    <row r="3769" ht="13.5" hidden="1" spans="1:5">
      <c r="A3769" s="2" t="str">
        <f>"高子衿"</f>
        <v>高子衿</v>
      </c>
      <c r="B3769" s="2" t="str">
        <f>"B20201002422"</f>
        <v>B20201002422</v>
      </c>
      <c r="C3769" s="2" t="str">
        <f t="shared" si="942"/>
        <v>女</v>
      </c>
      <c r="D3769" s="2" t="str">
        <f t="shared" si="929"/>
        <v>7</v>
      </c>
      <c r="E3769" s="2" t="str">
        <f>"艺术设计学院"</f>
        <v>艺术设计学院</v>
      </c>
    </row>
    <row r="3770" customHeight="1" spans="1:5">
      <c r="A3770" s="6" t="str">
        <f>"谢宇劼"</f>
        <v>谢宇劼</v>
      </c>
      <c r="B3770" s="6" t="str">
        <f>"B20210305207"</f>
        <v>B20210305207</v>
      </c>
      <c r="C3770" s="6" t="str">
        <f>"男"</f>
        <v>男</v>
      </c>
      <c r="D3770" s="7" t="str">
        <f>"1"</f>
        <v>1</v>
      </c>
      <c r="E3770" s="6" t="str">
        <f>"计算机科学与工程学院"</f>
        <v>计算机科学与工程学院</v>
      </c>
    </row>
    <row r="3771" ht="13.5" hidden="1" spans="1:5">
      <c r="A3771" s="2" t="str">
        <f>"袁仕义"</f>
        <v>袁仕义</v>
      </c>
      <c r="B3771" s="2" t="str">
        <f>"B20220204423"</f>
        <v>B20220204423</v>
      </c>
      <c r="C3771" s="2" t="str">
        <f t="shared" ref="C3770:C3773" si="943">"男"</f>
        <v>男</v>
      </c>
      <c r="D3771" s="2" t="str">
        <f t="shared" si="929"/>
        <v>7</v>
      </c>
      <c r="E3771" s="2" t="str">
        <f>"机电工程学院"</f>
        <v>机电工程学院</v>
      </c>
    </row>
    <row r="3772" ht="13.5" hidden="1" spans="1:5">
      <c r="A3772" s="2" t="str">
        <f>"熊金鑫"</f>
        <v>熊金鑫</v>
      </c>
      <c r="B3772" s="2" t="str">
        <f>"B20211101106"</f>
        <v>B20211101106</v>
      </c>
      <c r="C3772" s="2" t="str">
        <f t="shared" si="943"/>
        <v>男</v>
      </c>
      <c r="D3772" s="2" t="str">
        <f t="shared" si="929"/>
        <v>7</v>
      </c>
      <c r="E3772" s="2" t="str">
        <f>"音乐学院"</f>
        <v>音乐学院</v>
      </c>
    </row>
    <row r="3773" customHeight="1" spans="1:5">
      <c r="A3773" s="6" t="str">
        <f>"陈鹏伟"</f>
        <v>陈鹏伟</v>
      </c>
      <c r="B3773" s="6" t="str">
        <f>"B20210305209"</f>
        <v>B20210305209</v>
      </c>
      <c r="C3773" s="6" t="str">
        <f t="shared" si="943"/>
        <v>男</v>
      </c>
      <c r="D3773" s="7" t="str">
        <f>"10"</f>
        <v>10</v>
      </c>
      <c r="E3773" s="6" t="str">
        <f>"计算机科学与工程学院"</f>
        <v>计算机科学与工程学院</v>
      </c>
    </row>
    <row r="3774" ht="13.5" hidden="1" spans="1:5">
      <c r="A3774" s="2" t="str">
        <f>"熊佳伟"</f>
        <v>熊佳伟</v>
      </c>
      <c r="B3774" s="2" t="str">
        <f>"B20230102128"</f>
        <v>B20230102128</v>
      </c>
      <c r="C3774" s="2" t="str">
        <f t="shared" ref="C3774:C3776" si="944">"男"</f>
        <v>男</v>
      </c>
      <c r="D3774" s="2" t="str">
        <f t="shared" si="929"/>
        <v>7</v>
      </c>
      <c r="E3774" s="2" t="str">
        <f t="shared" ref="E3774:E3778" si="945">"土木工程学院"</f>
        <v>土木工程学院</v>
      </c>
    </row>
    <row r="3775" ht="13.5" hidden="1" spans="1:5">
      <c r="A3775" s="2" t="str">
        <f>"周启迪"</f>
        <v>周启迪</v>
      </c>
      <c r="B3775" s="2" t="str">
        <f>"B20210101611"</f>
        <v>B20210101611</v>
      </c>
      <c r="C3775" s="2" t="str">
        <f t="shared" si="944"/>
        <v>男</v>
      </c>
      <c r="D3775" s="2" t="str">
        <f t="shared" si="929"/>
        <v>7</v>
      </c>
      <c r="E3775" s="2" t="str">
        <f t="shared" si="945"/>
        <v>土木工程学院</v>
      </c>
    </row>
    <row r="3776" ht="13.5" hidden="1" spans="1:5">
      <c r="A3776" s="2" t="str">
        <f>"张润"</f>
        <v>张润</v>
      </c>
      <c r="B3776" s="2" t="str">
        <f>"B20201101310"</f>
        <v>B20201101310</v>
      </c>
      <c r="C3776" s="2" t="str">
        <f t="shared" si="944"/>
        <v>男</v>
      </c>
      <c r="D3776" s="2" t="str">
        <f t="shared" si="929"/>
        <v>7</v>
      </c>
      <c r="E3776" s="2" t="str">
        <f>"音乐学院"</f>
        <v>音乐学院</v>
      </c>
    </row>
    <row r="3777" ht="13.5" hidden="1" spans="1:5">
      <c r="A3777" s="2" t="str">
        <f>"谭结弟"</f>
        <v>谭结弟</v>
      </c>
      <c r="B3777" s="2" t="str">
        <f>"B20210902433"</f>
        <v>B20210902433</v>
      </c>
      <c r="C3777" s="2" t="str">
        <f t="shared" ref="C3777:C3780" si="946">"女"</f>
        <v>女</v>
      </c>
      <c r="D3777" s="2" t="str">
        <f t="shared" si="929"/>
        <v>7</v>
      </c>
      <c r="E3777" s="2" t="str">
        <f>"经济与管理学院"</f>
        <v>经济与管理学院</v>
      </c>
    </row>
    <row r="3778" ht="13.5" hidden="1" spans="1:5">
      <c r="A3778" s="2" t="str">
        <f>"刘俊杰"</f>
        <v>刘俊杰</v>
      </c>
      <c r="B3778" s="2" t="str">
        <f>"B20230101325"</f>
        <v>B20230101325</v>
      </c>
      <c r="C3778" s="2" t="str">
        <f>"男"</f>
        <v>男</v>
      </c>
      <c r="D3778" s="2" t="str">
        <f t="shared" si="929"/>
        <v>7</v>
      </c>
      <c r="E3778" s="2" t="str">
        <f t="shared" si="945"/>
        <v>土木工程学院</v>
      </c>
    </row>
    <row r="3779" ht="13.5" hidden="1" spans="1:5">
      <c r="A3779" s="2" t="str">
        <f>"苗雨露"</f>
        <v>苗雨露</v>
      </c>
      <c r="B3779" s="2" t="str">
        <f>"B20211001301"</f>
        <v>B20211001301</v>
      </c>
      <c r="C3779" s="2" t="str">
        <f t="shared" si="946"/>
        <v>女</v>
      </c>
      <c r="D3779" s="2" t="str">
        <f t="shared" si="929"/>
        <v>7</v>
      </c>
      <c r="E3779" s="2" t="str">
        <f>"艺术设计学院"</f>
        <v>艺术设计学院</v>
      </c>
    </row>
    <row r="3780" ht="13.5" hidden="1" spans="1:5">
      <c r="A3780" s="2" t="str">
        <f>"阳文婷"</f>
        <v>阳文婷</v>
      </c>
      <c r="B3780" s="2" t="str">
        <f>"B20210904240"</f>
        <v>B20210904240</v>
      </c>
      <c r="C3780" s="2" t="str">
        <f t="shared" si="946"/>
        <v>女</v>
      </c>
      <c r="D3780" s="2" t="str">
        <f t="shared" si="929"/>
        <v>7</v>
      </c>
      <c r="E3780" s="2" t="str">
        <f>"经济与管理学院"</f>
        <v>经济与管理学院</v>
      </c>
    </row>
    <row r="3781" ht="13.5" hidden="1" spans="1:5">
      <c r="A3781" s="2" t="str">
        <f>"刘衡"</f>
        <v>刘衡</v>
      </c>
      <c r="B3781" s="2" t="str">
        <f>"B20230205204"</f>
        <v>B20230205204</v>
      </c>
      <c r="C3781" s="2" t="str">
        <f t="shared" ref="C3781:C3785" si="947">"男"</f>
        <v>男</v>
      </c>
      <c r="D3781" s="2" t="str">
        <f t="shared" si="929"/>
        <v>7</v>
      </c>
      <c r="E3781" s="2" t="str">
        <f t="shared" ref="E3781:E3787" si="948">"机电工程学院"</f>
        <v>机电工程学院</v>
      </c>
    </row>
    <row r="3782" ht="13.5" hidden="1" spans="1:5">
      <c r="A3782" s="2" t="str">
        <f>"周昕"</f>
        <v>周昕</v>
      </c>
      <c r="B3782" s="2" t="str">
        <f>"B20230703322"</f>
        <v>B20230703322</v>
      </c>
      <c r="C3782" s="2" t="str">
        <f t="shared" ref="C3782:C3788" si="949">"女"</f>
        <v>女</v>
      </c>
      <c r="D3782" s="2" t="str">
        <f t="shared" si="929"/>
        <v>7</v>
      </c>
      <c r="E3782" s="2" t="str">
        <f>"马栏山新媒体学院"</f>
        <v>马栏山新媒体学院</v>
      </c>
    </row>
    <row r="3783" ht="13.5" hidden="1" spans="1:5">
      <c r="A3783" s="2" t="str">
        <f>"吕悦"</f>
        <v>吕悦</v>
      </c>
      <c r="B3783" s="2" t="str">
        <f>"B20221001113"</f>
        <v>B20221001113</v>
      </c>
      <c r="C3783" s="2" t="str">
        <f t="shared" si="949"/>
        <v>女</v>
      </c>
      <c r="D3783" s="2" t="str">
        <f t="shared" si="929"/>
        <v>7</v>
      </c>
      <c r="E3783" s="2" t="str">
        <f>"艺术设计学院"</f>
        <v>艺术设计学院</v>
      </c>
    </row>
    <row r="3784" ht="13.5" hidden="1" spans="1:5">
      <c r="A3784" s="2" t="str">
        <f>"张志诚"</f>
        <v>张志诚</v>
      </c>
      <c r="B3784" s="2" t="str">
        <f>"B20220204233"</f>
        <v>B20220204233</v>
      </c>
      <c r="C3784" s="2" t="str">
        <f t="shared" si="947"/>
        <v>男</v>
      </c>
      <c r="D3784" s="2" t="str">
        <f t="shared" si="929"/>
        <v>7</v>
      </c>
      <c r="E3784" s="2" t="str">
        <f t="shared" si="948"/>
        <v>机电工程学院</v>
      </c>
    </row>
    <row r="3785" ht="13.5" hidden="1" spans="1:5">
      <c r="A3785" s="2" t="str">
        <f>"蒋乐"</f>
        <v>蒋乐</v>
      </c>
      <c r="B3785" s="2" t="str">
        <f>"B20230802212"</f>
        <v>B20230802212</v>
      </c>
      <c r="C3785" s="2" t="str">
        <f t="shared" si="947"/>
        <v>男</v>
      </c>
      <c r="D3785" s="2" t="str">
        <f t="shared" si="929"/>
        <v>7</v>
      </c>
      <c r="E3785" s="2" t="str">
        <f>"外国语学院"</f>
        <v>外国语学院</v>
      </c>
    </row>
    <row r="3786" ht="13.5" hidden="1" spans="1:5">
      <c r="A3786" s="2" t="str">
        <f>"狄姝含"</f>
        <v>狄姝含</v>
      </c>
      <c r="B3786" s="2" t="str">
        <f>"B20230202430"</f>
        <v>B20230202430</v>
      </c>
      <c r="C3786" s="2" t="str">
        <f t="shared" si="949"/>
        <v>女</v>
      </c>
      <c r="D3786" s="2" t="str">
        <f t="shared" si="929"/>
        <v>7</v>
      </c>
      <c r="E3786" s="2" t="str">
        <f t="shared" si="948"/>
        <v>机电工程学院</v>
      </c>
    </row>
    <row r="3787" ht="13.5" hidden="1" spans="1:5">
      <c r="A3787" s="2" t="str">
        <f>"刘旋"</f>
        <v>刘旋</v>
      </c>
      <c r="B3787" s="2" t="str">
        <f>"B20220202209"</f>
        <v>B20220202209</v>
      </c>
      <c r="C3787" s="2" t="str">
        <f t="shared" si="949"/>
        <v>女</v>
      </c>
      <c r="D3787" s="2" t="str">
        <f t="shared" si="929"/>
        <v>7</v>
      </c>
      <c r="E3787" s="2" t="str">
        <f t="shared" si="948"/>
        <v>机电工程学院</v>
      </c>
    </row>
    <row r="3788" ht="13.5" hidden="1" spans="1:5">
      <c r="A3788" s="2" t="str">
        <f>"卢思颖"</f>
        <v>卢思颖</v>
      </c>
      <c r="B3788" s="2" t="str">
        <f>"B20210401302"</f>
        <v>B20210401302</v>
      </c>
      <c r="C3788" s="2" t="str">
        <f t="shared" si="949"/>
        <v>女</v>
      </c>
      <c r="D3788" s="2" t="str">
        <f t="shared" si="929"/>
        <v>7</v>
      </c>
      <c r="E3788" s="2" t="str">
        <f>"电子信息与电气工程学院"</f>
        <v>电子信息与电气工程学院</v>
      </c>
    </row>
    <row r="3789" ht="13.5" hidden="1" spans="1:5">
      <c r="A3789" s="2" t="str">
        <f>"夏诗睿"</f>
        <v>夏诗睿</v>
      </c>
      <c r="B3789" s="2" t="str">
        <f>"B20200101305"</f>
        <v>B20200101305</v>
      </c>
      <c r="C3789" s="2" t="str">
        <f t="shared" ref="C3789:C3794" si="950">"男"</f>
        <v>男</v>
      </c>
      <c r="D3789" s="2" t="str">
        <f t="shared" si="929"/>
        <v>7</v>
      </c>
      <c r="E3789" s="2" t="str">
        <f>"土木工程学院"</f>
        <v>土木工程学院</v>
      </c>
    </row>
    <row r="3790" ht="13.5" hidden="1" spans="1:5">
      <c r="A3790" s="2" t="str">
        <f>"何俊"</f>
        <v>何俊</v>
      </c>
      <c r="B3790" s="2" t="str">
        <f>"B20230101327"</f>
        <v>B20230101327</v>
      </c>
      <c r="C3790" s="2" t="str">
        <f t="shared" si="950"/>
        <v>男</v>
      </c>
      <c r="D3790" s="2" t="str">
        <f t="shared" si="929"/>
        <v>7</v>
      </c>
      <c r="E3790" s="2" t="str">
        <f>"土木工程学院"</f>
        <v>土木工程学院</v>
      </c>
    </row>
    <row r="3791" ht="13.5" hidden="1" spans="1:5">
      <c r="A3791" s="2" t="str">
        <f>"周思宇"</f>
        <v>周思宇</v>
      </c>
      <c r="B3791" s="2" t="str">
        <f>"B20220202203"</f>
        <v>B20220202203</v>
      </c>
      <c r="C3791" s="2" t="str">
        <f t="shared" ref="C3791:C3797" si="951">"女"</f>
        <v>女</v>
      </c>
      <c r="D3791" s="2" t="str">
        <f t="shared" ref="D3791:D3854" si="952">"7"</f>
        <v>7</v>
      </c>
      <c r="E3791" s="2" t="str">
        <f>"机电工程学院"</f>
        <v>机电工程学院</v>
      </c>
    </row>
    <row r="3792" ht="13.5" hidden="1" spans="1:5">
      <c r="A3792" s="2" t="str">
        <f>"袁林清"</f>
        <v>袁林清</v>
      </c>
      <c r="B3792" s="2" t="str">
        <f>"B20220905135"</f>
        <v>B20220905135</v>
      </c>
      <c r="C3792" s="2" t="str">
        <f t="shared" si="950"/>
        <v>男</v>
      </c>
      <c r="D3792" s="2" t="str">
        <f t="shared" si="952"/>
        <v>7</v>
      </c>
      <c r="E3792" s="2" t="str">
        <f t="shared" ref="E3792:E3797" si="953">"经济与管理学院"</f>
        <v>经济与管理学院</v>
      </c>
    </row>
    <row r="3793" ht="13.5" hidden="1" spans="1:5">
      <c r="A3793" s="2" t="str">
        <f>"何杰峰"</f>
        <v>何杰峰</v>
      </c>
      <c r="B3793" s="2" t="str">
        <f>"B20210701104"</f>
        <v>B20210701104</v>
      </c>
      <c r="C3793" s="2" t="str">
        <f t="shared" si="950"/>
        <v>男</v>
      </c>
      <c r="D3793" s="2" t="str">
        <f t="shared" si="952"/>
        <v>7</v>
      </c>
      <c r="E3793" s="2" t="str">
        <f>"马栏山新媒体学院"</f>
        <v>马栏山新媒体学院</v>
      </c>
    </row>
    <row r="3794" ht="13.5" hidden="1" spans="1:5">
      <c r="A3794" s="2" t="str">
        <f>"方炜烨"</f>
        <v>方炜烨</v>
      </c>
      <c r="B3794" s="2" t="str">
        <f>"B20230403324"</f>
        <v>B20230403324</v>
      </c>
      <c r="C3794" s="2" t="str">
        <f t="shared" si="950"/>
        <v>男</v>
      </c>
      <c r="D3794" s="2" t="str">
        <f t="shared" si="952"/>
        <v>7</v>
      </c>
      <c r="E3794" s="2" t="str">
        <f>"电子信息与电气工程学院"</f>
        <v>电子信息与电气工程学院</v>
      </c>
    </row>
    <row r="3795" ht="13.5" hidden="1" spans="1:5">
      <c r="A3795" s="2" t="str">
        <f>"梁媛婷"</f>
        <v>梁媛婷</v>
      </c>
      <c r="B3795" s="2" t="str">
        <f>"B20230904122"</f>
        <v>B20230904122</v>
      </c>
      <c r="C3795" s="2" t="str">
        <f t="shared" si="951"/>
        <v>女</v>
      </c>
      <c r="D3795" s="2" t="str">
        <f t="shared" si="952"/>
        <v>7</v>
      </c>
      <c r="E3795" s="2" t="str">
        <f t="shared" si="953"/>
        <v>经济与管理学院</v>
      </c>
    </row>
    <row r="3796" ht="13.5" hidden="1" spans="1:5">
      <c r="A3796" s="2" t="str">
        <f>"刘璨"</f>
        <v>刘璨</v>
      </c>
      <c r="B3796" s="2" t="str">
        <f>"B20230802134"</f>
        <v>B20230802134</v>
      </c>
      <c r="C3796" s="2" t="str">
        <f t="shared" si="951"/>
        <v>女</v>
      </c>
      <c r="D3796" s="2" t="str">
        <f t="shared" si="952"/>
        <v>7</v>
      </c>
      <c r="E3796" s="2" t="str">
        <f>"外国语学院"</f>
        <v>外国语学院</v>
      </c>
    </row>
    <row r="3797" ht="13.5" hidden="1" spans="1:5">
      <c r="A3797" s="2" t="str">
        <f>"柴艳"</f>
        <v>柴艳</v>
      </c>
      <c r="B3797" s="2" t="str">
        <f>"B20210902118"</f>
        <v>B20210902118</v>
      </c>
      <c r="C3797" s="2" t="str">
        <f t="shared" si="951"/>
        <v>女</v>
      </c>
      <c r="D3797" s="2" t="str">
        <f t="shared" si="952"/>
        <v>7</v>
      </c>
      <c r="E3797" s="2" t="str">
        <f t="shared" si="953"/>
        <v>经济与管理学院</v>
      </c>
    </row>
    <row r="3798" ht="13.5" hidden="1" spans="1:5">
      <c r="A3798" s="2" t="str">
        <f>"肖纯锴"</f>
        <v>肖纯锴</v>
      </c>
      <c r="B3798" s="2" t="str">
        <f>"B20210201426"</f>
        <v>B20210201426</v>
      </c>
      <c r="C3798" s="2" t="str">
        <f t="shared" ref="C3798:C3800" si="954">"男"</f>
        <v>男</v>
      </c>
      <c r="D3798" s="2" t="str">
        <f t="shared" si="952"/>
        <v>7</v>
      </c>
      <c r="E3798" s="2" t="str">
        <f>"机电工程学院"</f>
        <v>机电工程学院</v>
      </c>
    </row>
    <row r="3799" ht="13.5" hidden="1" spans="1:5">
      <c r="A3799" s="2" t="str">
        <f>"胡帅"</f>
        <v>胡帅</v>
      </c>
      <c r="B3799" s="2" t="str">
        <f>"B20220202211"</f>
        <v>B20220202211</v>
      </c>
      <c r="C3799" s="2" t="str">
        <f t="shared" si="954"/>
        <v>男</v>
      </c>
      <c r="D3799" s="2" t="str">
        <f t="shared" si="952"/>
        <v>7</v>
      </c>
      <c r="E3799" s="2" t="str">
        <f>"机电工程学院"</f>
        <v>机电工程学院</v>
      </c>
    </row>
    <row r="3800" ht="13.5" hidden="1" spans="1:5">
      <c r="A3800" s="2" t="str">
        <f>"谭亮"</f>
        <v>谭亮</v>
      </c>
      <c r="B3800" s="2" t="str">
        <f>"B20220903225"</f>
        <v>B20220903225</v>
      </c>
      <c r="C3800" s="2" t="str">
        <f t="shared" si="954"/>
        <v>男</v>
      </c>
      <c r="D3800" s="2" t="str">
        <f t="shared" si="952"/>
        <v>7</v>
      </c>
      <c r="E3800" s="2" t="str">
        <f t="shared" ref="E3800:E3803" si="955">"经济与管理学院"</f>
        <v>经济与管理学院</v>
      </c>
    </row>
    <row r="3801" ht="13.5" hidden="1" spans="1:5">
      <c r="A3801" s="2" t="str">
        <f>"彭晓燕"</f>
        <v>彭晓燕</v>
      </c>
      <c r="B3801" s="2" t="str">
        <f>"B20210904135"</f>
        <v>B20210904135</v>
      </c>
      <c r="C3801" s="2" t="str">
        <f t="shared" ref="C3801:C3804" si="956">"女"</f>
        <v>女</v>
      </c>
      <c r="D3801" s="2" t="str">
        <f t="shared" si="952"/>
        <v>7</v>
      </c>
      <c r="E3801" s="2" t="str">
        <f t="shared" si="955"/>
        <v>经济与管理学院</v>
      </c>
    </row>
    <row r="3802" ht="13.5" hidden="1" spans="1:5">
      <c r="A3802" s="2" t="str">
        <f>"高祥清"</f>
        <v>高祥清</v>
      </c>
      <c r="B3802" s="2" t="str">
        <f>"B20210401417"</f>
        <v>B20210401417</v>
      </c>
      <c r="C3802" s="2" t="str">
        <f t="shared" ref="C3802:C3807" si="957">"男"</f>
        <v>男</v>
      </c>
      <c r="D3802" s="2" t="str">
        <f t="shared" si="952"/>
        <v>7</v>
      </c>
      <c r="E3802" s="2" t="str">
        <f>"电子信息与电气工程学院"</f>
        <v>电子信息与电气工程学院</v>
      </c>
    </row>
    <row r="3803" ht="13.5" hidden="1" spans="1:5">
      <c r="A3803" s="2" t="str">
        <f>"周祺"</f>
        <v>周祺</v>
      </c>
      <c r="B3803" s="2" t="str">
        <f>"B20230905211"</f>
        <v>B20230905211</v>
      </c>
      <c r="C3803" s="2" t="str">
        <f t="shared" si="956"/>
        <v>女</v>
      </c>
      <c r="D3803" s="2" t="str">
        <f t="shared" si="952"/>
        <v>7</v>
      </c>
      <c r="E3803" s="2" t="str">
        <f t="shared" si="955"/>
        <v>经济与管理学院</v>
      </c>
    </row>
    <row r="3804" ht="13.5" hidden="1" spans="1:5">
      <c r="A3804" s="2" t="str">
        <f>"蒋玉林"</f>
        <v>蒋玉林</v>
      </c>
      <c r="B3804" s="2" t="str">
        <f>"B20230704308"</f>
        <v>B20230704308</v>
      </c>
      <c r="C3804" s="2" t="str">
        <f t="shared" si="956"/>
        <v>女</v>
      </c>
      <c r="D3804" s="2" t="str">
        <f t="shared" si="952"/>
        <v>7</v>
      </c>
      <c r="E3804" s="2" t="str">
        <f>"马栏山新媒体学院"</f>
        <v>马栏山新媒体学院</v>
      </c>
    </row>
    <row r="3805" ht="13.5" hidden="1" spans="1:5">
      <c r="A3805" s="2" t="str">
        <f>"吴岩昊"</f>
        <v>吴岩昊</v>
      </c>
      <c r="B3805" s="2" t="str">
        <f>"B20230202131"</f>
        <v>B20230202131</v>
      </c>
      <c r="C3805" s="2" t="str">
        <f t="shared" si="957"/>
        <v>男</v>
      </c>
      <c r="D3805" s="2" t="str">
        <f t="shared" si="952"/>
        <v>7</v>
      </c>
      <c r="E3805" s="2" t="str">
        <f>"机电工程学院"</f>
        <v>机电工程学院</v>
      </c>
    </row>
    <row r="3806" customHeight="1" spans="1:5">
      <c r="A3806" s="6" t="str">
        <f>"李胜"</f>
        <v>李胜</v>
      </c>
      <c r="B3806" s="6" t="str">
        <f>"B20210305213"</f>
        <v>B20210305213</v>
      </c>
      <c r="C3806" s="6" t="str">
        <f t="shared" si="957"/>
        <v>男</v>
      </c>
      <c r="D3806" s="7" t="str">
        <f>"5"</f>
        <v>5</v>
      </c>
      <c r="E3806" s="6" t="str">
        <f>"计算机科学与工程学院"</f>
        <v>计算机科学与工程学院</v>
      </c>
    </row>
    <row r="3807" ht="13.5" hidden="1" spans="1:5">
      <c r="A3807" s="2" t="str">
        <f>"宁子涵"</f>
        <v>宁子涵</v>
      </c>
      <c r="B3807" s="2" t="str">
        <f>"B20230401116"</f>
        <v>B20230401116</v>
      </c>
      <c r="C3807" s="2" t="str">
        <f t="shared" si="957"/>
        <v>男</v>
      </c>
      <c r="D3807" s="2" t="str">
        <f t="shared" si="952"/>
        <v>7</v>
      </c>
      <c r="E3807" s="2" t="str">
        <f>"电子信息与电气工程学院"</f>
        <v>电子信息与电气工程学院</v>
      </c>
    </row>
    <row r="3808" customHeight="1" spans="1:5">
      <c r="A3808" s="6" t="str">
        <f>"王爽"</f>
        <v>王爽</v>
      </c>
      <c r="B3808" s="6" t="str">
        <f>"B20210305215"</f>
        <v>B20210305215</v>
      </c>
      <c r="C3808" s="6" t="str">
        <f>"女"</f>
        <v>女</v>
      </c>
      <c r="D3808" s="7" t="str">
        <f>"1"</f>
        <v>1</v>
      </c>
      <c r="E3808" s="6" t="str">
        <f>"计算机科学与工程学院"</f>
        <v>计算机科学与工程学院</v>
      </c>
    </row>
    <row r="3809" ht="13.5" hidden="1" spans="1:5">
      <c r="A3809" s="2" t="str">
        <f>"肖宇"</f>
        <v>肖宇</v>
      </c>
      <c r="B3809" s="2" t="str">
        <f>"B20220904334"</f>
        <v>B20220904334</v>
      </c>
      <c r="C3809" s="2" t="str">
        <f>"男"</f>
        <v>男</v>
      </c>
      <c r="D3809" s="2" t="str">
        <f t="shared" si="952"/>
        <v>7</v>
      </c>
      <c r="E3809" s="2" t="str">
        <f>"经济与管理学院"</f>
        <v>经济与管理学院</v>
      </c>
    </row>
    <row r="3810" ht="13.5" hidden="1" spans="1:5">
      <c r="A3810" s="2" t="str">
        <f>"肖卓桐"</f>
        <v>肖卓桐</v>
      </c>
      <c r="B3810" s="2" t="str">
        <f>"B20200704213"</f>
        <v>B20200704213</v>
      </c>
      <c r="C3810" s="2" t="str">
        <f t="shared" ref="C3808:C3813" si="958">"女"</f>
        <v>女</v>
      </c>
      <c r="D3810" s="2" t="str">
        <f t="shared" si="952"/>
        <v>7</v>
      </c>
      <c r="E3810" s="2" t="str">
        <f>"马栏山新媒体学院"</f>
        <v>马栏山新媒体学院</v>
      </c>
    </row>
    <row r="3811" ht="13.5" hidden="1" spans="1:5">
      <c r="A3811" s="2" t="str">
        <f>"伍沛"</f>
        <v>伍沛</v>
      </c>
      <c r="B3811" s="2" t="str">
        <f>"B20230901122"</f>
        <v>B20230901122</v>
      </c>
      <c r="C3811" s="2" t="str">
        <f t="shared" si="958"/>
        <v>女</v>
      </c>
      <c r="D3811" s="2" t="str">
        <f t="shared" si="952"/>
        <v>7</v>
      </c>
      <c r="E3811" s="2" t="str">
        <f>"经济与管理学院"</f>
        <v>经济与管理学院</v>
      </c>
    </row>
    <row r="3812" ht="13.5" hidden="1" spans="1:5">
      <c r="A3812" s="2" t="str">
        <f>"张嘉欣"</f>
        <v>张嘉欣</v>
      </c>
      <c r="B3812" s="2" t="str">
        <f>"B20230702311"</f>
        <v>B20230702311</v>
      </c>
      <c r="C3812" s="2" t="str">
        <f t="shared" si="958"/>
        <v>女</v>
      </c>
      <c r="D3812" s="2" t="str">
        <f t="shared" si="952"/>
        <v>7</v>
      </c>
      <c r="E3812" s="2" t="str">
        <f>"马栏山新媒体学院"</f>
        <v>马栏山新媒体学院</v>
      </c>
    </row>
    <row r="3813" ht="13.5" hidden="1" spans="1:5">
      <c r="A3813" s="2" t="str">
        <f>"谭艳虹"</f>
        <v>谭艳虹</v>
      </c>
      <c r="B3813" s="2" t="str">
        <f>"B20230601405"</f>
        <v>B20230601405</v>
      </c>
      <c r="C3813" s="2" t="str">
        <f t="shared" si="958"/>
        <v>女</v>
      </c>
      <c r="D3813" s="2" t="str">
        <f t="shared" si="952"/>
        <v>7</v>
      </c>
      <c r="E3813" s="2" t="str">
        <f>"法学院"</f>
        <v>法学院</v>
      </c>
    </row>
    <row r="3814" ht="13.5" hidden="1" spans="1:5">
      <c r="A3814" s="2" t="str">
        <f>"伍志远"</f>
        <v>伍志远</v>
      </c>
      <c r="B3814" s="2" t="str">
        <f>"B20210201412"</f>
        <v>B20210201412</v>
      </c>
      <c r="C3814" s="2" t="str">
        <f t="shared" ref="C3814:C3819" si="959">"男"</f>
        <v>男</v>
      </c>
      <c r="D3814" s="2" t="str">
        <f t="shared" si="952"/>
        <v>7</v>
      </c>
      <c r="E3814" s="2" t="str">
        <f>"机电工程学院"</f>
        <v>机电工程学院</v>
      </c>
    </row>
    <row r="3815" ht="13.5" hidden="1" spans="1:5">
      <c r="A3815" s="2" t="str">
        <f>"钟芳"</f>
        <v>钟芳</v>
      </c>
      <c r="B3815" s="2" t="str">
        <f>"B20200801326"</f>
        <v>B20200801326</v>
      </c>
      <c r="C3815" s="2" t="str">
        <f t="shared" ref="C3815:C3821" si="960">"女"</f>
        <v>女</v>
      </c>
      <c r="D3815" s="2" t="str">
        <f t="shared" si="952"/>
        <v>7</v>
      </c>
      <c r="E3815" s="2" t="str">
        <f>"外国语学院"</f>
        <v>外国语学院</v>
      </c>
    </row>
    <row r="3816" ht="13.5" hidden="1" spans="1:5">
      <c r="A3816" s="2" t="str">
        <f>"赵宇航"</f>
        <v>赵宇航</v>
      </c>
      <c r="B3816" s="2" t="str">
        <f>"B20220601329"</f>
        <v>B20220601329</v>
      </c>
      <c r="C3816" s="2" t="str">
        <f t="shared" si="959"/>
        <v>男</v>
      </c>
      <c r="D3816" s="2" t="str">
        <f t="shared" si="952"/>
        <v>7</v>
      </c>
      <c r="E3816" s="2" t="str">
        <f>"法学院"</f>
        <v>法学院</v>
      </c>
    </row>
    <row r="3817" ht="13.5" hidden="1" spans="1:5">
      <c r="A3817" s="2" t="str">
        <f>"唐思雨"</f>
        <v>唐思雨</v>
      </c>
      <c r="B3817" s="2" t="str">
        <f>"B20230702205"</f>
        <v>B20230702205</v>
      </c>
      <c r="C3817" s="2" t="str">
        <f t="shared" si="960"/>
        <v>女</v>
      </c>
      <c r="D3817" s="2" t="str">
        <f t="shared" si="952"/>
        <v>7</v>
      </c>
      <c r="E3817" s="2" t="str">
        <f>"马栏山新媒体学院"</f>
        <v>马栏山新媒体学院</v>
      </c>
    </row>
    <row r="3818" ht="13.5" hidden="1" spans="1:5">
      <c r="A3818" s="2" t="str">
        <f>"龚再坤"</f>
        <v>龚再坤</v>
      </c>
      <c r="B3818" s="2" t="str">
        <f>"B20230103106"</f>
        <v>B20230103106</v>
      </c>
      <c r="C3818" s="2" t="str">
        <f t="shared" si="959"/>
        <v>男</v>
      </c>
      <c r="D3818" s="2" t="str">
        <f t="shared" si="952"/>
        <v>7</v>
      </c>
      <c r="E3818" s="2" t="str">
        <f>"土木工程学院"</f>
        <v>土木工程学院</v>
      </c>
    </row>
    <row r="3819" ht="13.5" hidden="1" spans="1:5">
      <c r="A3819" s="2" t="str">
        <f>"涂镇楚"</f>
        <v>涂镇楚</v>
      </c>
      <c r="B3819" s="2" t="str">
        <f>"B20210404206"</f>
        <v>B20210404206</v>
      </c>
      <c r="C3819" s="2" t="str">
        <f t="shared" si="959"/>
        <v>男</v>
      </c>
      <c r="D3819" s="2" t="str">
        <f t="shared" si="952"/>
        <v>7</v>
      </c>
      <c r="E3819" s="2" t="str">
        <f>"电子信息与电气工程学院"</f>
        <v>电子信息与电气工程学院</v>
      </c>
    </row>
    <row r="3820" ht="13.5" hidden="1" spans="1:5">
      <c r="A3820" s="2" t="str">
        <f>"朱芷萱"</f>
        <v>朱芷萱</v>
      </c>
      <c r="B3820" s="2" t="str">
        <f>"B20200801415"</f>
        <v>B20200801415</v>
      </c>
      <c r="C3820" s="2" t="str">
        <f t="shared" si="960"/>
        <v>女</v>
      </c>
      <c r="D3820" s="2" t="str">
        <f t="shared" si="952"/>
        <v>7</v>
      </c>
      <c r="E3820" s="2" t="str">
        <f>"外国语学院"</f>
        <v>外国语学院</v>
      </c>
    </row>
    <row r="3821" ht="13.5" hidden="1" spans="1:5">
      <c r="A3821" s="2" t="str">
        <f>"文康馨"</f>
        <v>文康馨</v>
      </c>
      <c r="B3821" s="2" t="str">
        <f>"B20201101106"</f>
        <v>B20201101106</v>
      </c>
      <c r="C3821" s="2" t="str">
        <f t="shared" si="960"/>
        <v>女</v>
      </c>
      <c r="D3821" s="2" t="str">
        <f t="shared" si="952"/>
        <v>7</v>
      </c>
      <c r="E3821" s="2" t="str">
        <f>"音乐学院"</f>
        <v>音乐学院</v>
      </c>
    </row>
    <row r="3822" ht="13.5" hidden="1" spans="1:5">
      <c r="A3822" s="2" t="str">
        <f>"杨彪"</f>
        <v>杨彪</v>
      </c>
      <c r="B3822" s="2" t="str">
        <f>"B20210204221"</f>
        <v>B20210204221</v>
      </c>
      <c r="C3822" s="2" t="str">
        <f t="shared" ref="C3822:C3826" si="961">"男"</f>
        <v>男</v>
      </c>
      <c r="D3822" s="2" t="str">
        <f t="shared" si="952"/>
        <v>7</v>
      </c>
      <c r="E3822" s="2" t="str">
        <f>"机电工程学院"</f>
        <v>机电工程学院</v>
      </c>
    </row>
    <row r="3823" ht="13.5" hidden="1" spans="1:5">
      <c r="A3823" s="2" t="str">
        <f>"欧阳潇"</f>
        <v>欧阳潇</v>
      </c>
      <c r="B3823" s="2" t="str">
        <f>"B20200402103"</f>
        <v>B20200402103</v>
      </c>
      <c r="C3823" s="2" t="str">
        <f t="shared" si="961"/>
        <v>男</v>
      </c>
      <c r="D3823" s="2" t="str">
        <f t="shared" si="952"/>
        <v>7</v>
      </c>
      <c r="E3823" s="2" t="str">
        <f>"电子信息与电气工程学院"</f>
        <v>电子信息与电气工程学院</v>
      </c>
    </row>
    <row r="3824" ht="13.5" hidden="1" spans="1:5">
      <c r="A3824" s="2" t="str">
        <f>"王庆林"</f>
        <v>王庆林</v>
      </c>
      <c r="B3824" s="2" t="str">
        <f>"B20230102109"</f>
        <v>B20230102109</v>
      </c>
      <c r="C3824" s="2" t="str">
        <f t="shared" si="961"/>
        <v>男</v>
      </c>
      <c r="D3824" s="2" t="str">
        <f t="shared" si="952"/>
        <v>7</v>
      </c>
      <c r="E3824" s="2" t="str">
        <f t="shared" ref="E3824:E3826" si="962">"土木工程学院"</f>
        <v>土木工程学院</v>
      </c>
    </row>
    <row r="3825" ht="13.5" hidden="1" spans="1:5">
      <c r="A3825" s="2" t="str">
        <f>"钟文杰"</f>
        <v>钟文杰</v>
      </c>
      <c r="B3825" s="2" t="str">
        <f>"B20210104212"</f>
        <v>B20210104212</v>
      </c>
      <c r="C3825" s="2" t="str">
        <f t="shared" si="961"/>
        <v>男</v>
      </c>
      <c r="D3825" s="2" t="str">
        <f t="shared" si="952"/>
        <v>7</v>
      </c>
      <c r="E3825" s="2" t="str">
        <f t="shared" si="962"/>
        <v>土木工程学院</v>
      </c>
    </row>
    <row r="3826" ht="13.5" hidden="1" spans="1:5">
      <c r="A3826" s="2" t="str">
        <f>"王子锐"</f>
        <v>王子锐</v>
      </c>
      <c r="B3826" s="2" t="str">
        <f>"B20220104230"</f>
        <v>B20220104230</v>
      </c>
      <c r="C3826" s="2" t="str">
        <f t="shared" si="961"/>
        <v>男</v>
      </c>
      <c r="D3826" s="2" t="str">
        <f t="shared" si="952"/>
        <v>7</v>
      </c>
      <c r="E3826" s="2" t="str">
        <f t="shared" si="962"/>
        <v>土木工程学院</v>
      </c>
    </row>
    <row r="3827" ht="13.5" hidden="1" spans="1:5">
      <c r="A3827" s="2" t="str">
        <f>"蔡美玲"</f>
        <v>蔡美玲</v>
      </c>
      <c r="B3827" s="2" t="str">
        <f>"B20220701406"</f>
        <v>B20220701406</v>
      </c>
      <c r="C3827" s="2" t="str">
        <f t="shared" ref="C3827:C3831" si="963">"女"</f>
        <v>女</v>
      </c>
      <c r="D3827" s="2" t="str">
        <f t="shared" si="952"/>
        <v>7</v>
      </c>
      <c r="E3827" s="2" t="str">
        <f>"马栏山新媒体学院"</f>
        <v>马栏山新媒体学院</v>
      </c>
    </row>
    <row r="3828" ht="13.5" hidden="1" spans="1:5">
      <c r="A3828" s="2" t="str">
        <f>"李东雪"</f>
        <v>李东雪</v>
      </c>
      <c r="B3828" s="2" t="str">
        <f>"B20231401120"</f>
        <v>B20231401120</v>
      </c>
      <c r="C3828" s="2" t="str">
        <f t="shared" si="963"/>
        <v>女</v>
      </c>
      <c r="D3828" s="2" t="str">
        <f t="shared" si="952"/>
        <v>7</v>
      </c>
      <c r="E3828" s="2" t="str">
        <f>"马克思主义学院"</f>
        <v>马克思主义学院</v>
      </c>
    </row>
    <row r="3829" ht="13.5" hidden="1" spans="1:5">
      <c r="A3829" s="2" t="str">
        <f>"李依瑾"</f>
        <v>李依瑾</v>
      </c>
      <c r="B3829" s="2" t="str">
        <f>"B20231002308"</f>
        <v>B20231002308</v>
      </c>
      <c r="C3829" s="2" t="str">
        <f t="shared" si="963"/>
        <v>女</v>
      </c>
      <c r="D3829" s="2" t="str">
        <f t="shared" si="952"/>
        <v>7</v>
      </c>
      <c r="E3829" s="2" t="str">
        <f>"艺术设计学院"</f>
        <v>艺术设计学院</v>
      </c>
    </row>
    <row r="3830" ht="13.5" hidden="1" spans="1:5">
      <c r="A3830" s="2" t="str">
        <f>"张奕琪"</f>
        <v>张奕琪</v>
      </c>
      <c r="B3830" s="2" t="str">
        <f>"B20201001116"</f>
        <v>B20201001116</v>
      </c>
      <c r="C3830" s="2" t="str">
        <f t="shared" si="963"/>
        <v>女</v>
      </c>
      <c r="D3830" s="2" t="str">
        <f t="shared" si="952"/>
        <v>7</v>
      </c>
      <c r="E3830" s="2" t="str">
        <f>"艺术设计学院"</f>
        <v>艺术设计学院</v>
      </c>
    </row>
    <row r="3831" ht="13.5" hidden="1" spans="1:5">
      <c r="A3831" s="2" t="str">
        <f>"简宇芩"</f>
        <v>简宇芩</v>
      </c>
      <c r="B3831" s="2" t="str">
        <f>"B20210904111"</f>
        <v>B20210904111</v>
      </c>
      <c r="C3831" s="2" t="str">
        <f t="shared" si="963"/>
        <v>女</v>
      </c>
      <c r="D3831" s="2" t="str">
        <f t="shared" si="952"/>
        <v>7</v>
      </c>
      <c r="E3831" s="2" t="str">
        <f>"经济与管理学院"</f>
        <v>经济与管理学院</v>
      </c>
    </row>
    <row r="3832" ht="13.5" hidden="1" spans="1:5">
      <c r="A3832" s="2" t="str">
        <f>"刘凯文"</f>
        <v>刘凯文</v>
      </c>
      <c r="B3832" s="2" t="str">
        <f>"B20200401123"</f>
        <v>B20200401123</v>
      </c>
      <c r="C3832" s="2" t="str">
        <f t="shared" ref="C3832:C3834" si="964">"男"</f>
        <v>男</v>
      </c>
      <c r="D3832" s="2" t="str">
        <f t="shared" si="952"/>
        <v>7</v>
      </c>
      <c r="E3832" s="2" t="str">
        <f>"电子信息与电气工程学院"</f>
        <v>电子信息与电气工程学院</v>
      </c>
    </row>
    <row r="3833" ht="13.5" hidden="1" spans="1:5">
      <c r="A3833" s="2" t="str">
        <f>"盛乐文"</f>
        <v>盛乐文</v>
      </c>
      <c r="B3833" s="2" t="str">
        <f>"B20220101405"</f>
        <v>B20220101405</v>
      </c>
      <c r="C3833" s="2" t="str">
        <f t="shared" si="964"/>
        <v>男</v>
      </c>
      <c r="D3833" s="2" t="str">
        <f t="shared" si="952"/>
        <v>7</v>
      </c>
      <c r="E3833" s="2" t="str">
        <f t="shared" ref="E3833:E3838" si="965">"土木工程学院"</f>
        <v>土木工程学院</v>
      </c>
    </row>
    <row r="3834" ht="13.5" hidden="1" spans="1:5">
      <c r="A3834" s="2" t="str">
        <f>"胡东"</f>
        <v>胡东</v>
      </c>
      <c r="B3834" s="2" t="str">
        <f>"B20210101207"</f>
        <v>B20210101207</v>
      </c>
      <c r="C3834" s="2" t="str">
        <f t="shared" si="964"/>
        <v>男</v>
      </c>
      <c r="D3834" s="2" t="str">
        <f t="shared" si="952"/>
        <v>7</v>
      </c>
      <c r="E3834" s="2" t="str">
        <f t="shared" si="965"/>
        <v>土木工程学院</v>
      </c>
    </row>
    <row r="3835" customHeight="1" spans="1:5">
      <c r="A3835" s="6" t="str">
        <f>"向钰朝"</f>
        <v>向钰朝</v>
      </c>
      <c r="B3835" s="6" t="str">
        <f>"B20210305218"</f>
        <v>B20210305218</v>
      </c>
      <c r="C3835" s="6" t="str">
        <f>"女"</f>
        <v>女</v>
      </c>
      <c r="D3835" s="7" t="str">
        <f>"2"</f>
        <v>2</v>
      </c>
      <c r="E3835" s="6" t="str">
        <f>"计算机科学与工程学院"</f>
        <v>计算机科学与工程学院</v>
      </c>
    </row>
    <row r="3836" ht="13.5" hidden="1" spans="1:5">
      <c r="A3836" s="2" t="str">
        <f>"陈湘琪"</f>
        <v>陈湘琪</v>
      </c>
      <c r="B3836" s="2" t="str">
        <f>"B20220901115"</f>
        <v>B20220901115</v>
      </c>
      <c r="C3836" s="2" t="str">
        <f t="shared" ref="C3835:C3837" si="966">"女"</f>
        <v>女</v>
      </c>
      <c r="D3836" s="2" t="str">
        <f t="shared" si="952"/>
        <v>7</v>
      </c>
      <c r="E3836" s="2" t="str">
        <f>"经济与管理学院"</f>
        <v>经济与管理学院</v>
      </c>
    </row>
    <row r="3837" ht="13.5" hidden="1" spans="1:5">
      <c r="A3837" s="2" t="str">
        <f>"敬芊芊"</f>
        <v>敬芊芊</v>
      </c>
      <c r="B3837" s="2" t="str">
        <f>"B20220903228"</f>
        <v>B20220903228</v>
      </c>
      <c r="C3837" s="2" t="str">
        <f t="shared" si="966"/>
        <v>女</v>
      </c>
      <c r="D3837" s="2" t="str">
        <f t="shared" si="952"/>
        <v>7</v>
      </c>
      <c r="E3837" s="2" t="str">
        <f>"经济与管理学院"</f>
        <v>经济与管理学院</v>
      </c>
    </row>
    <row r="3838" ht="13.5" hidden="1" spans="1:5">
      <c r="A3838" s="2" t="str">
        <f>"庞凇元"</f>
        <v>庞凇元</v>
      </c>
      <c r="B3838" s="2" t="str">
        <f>"B20230101625"</f>
        <v>B20230101625</v>
      </c>
      <c r="C3838" s="2" t="str">
        <f t="shared" ref="C3838:C3840" si="967">"男"</f>
        <v>男</v>
      </c>
      <c r="D3838" s="2" t="str">
        <f t="shared" si="952"/>
        <v>7</v>
      </c>
      <c r="E3838" s="2" t="str">
        <f t="shared" si="965"/>
        <v>土木工程学院</v>
      </c>
    </row>
    <row r="3839" ht="13.5" hidden="1" spans="1:5">
      <c r="A3839" s="2" t="str">
        <f>"丁杰"</f>
        <v>丁杰</v>
      </c>
      <c r="B3839" s="2" t="str">
        <f>"B20210401118"</f>
        <v>B20210401118</v>
      </c>
      <c r="C3839" s="2" t="str">
        <f t="shared" si="967"/>
        <v>男</v>
      </c>
      <c r="D3839" s="2" t="str">
        <f t="shared" si="952"/>
        <v>7</v>
      </c>
      <c r="E3839" s="2" t="str">
        <f>"电子信息与电气工程学院"</f>
        <v>电子信息与电气工程学院</v>
      </c>
    </row>
    <row r="3840" ht="13.5" hidden="1" spans="1:5">
      <c r="A3840" s="2" t="str">
        <f>"徐道文"</f>
        <v>徐道文</v>
      </c>
      <c r="B3840" s="2" t="str">
        <f>"B20230201202"</f>
        <v>B20230201202</v>
      </c>
      <c r="C3840" s="2" t="str">
        <f t="shared" si="967"/>
        <v>男</v>
      </c>
      <c r="D3840" s="2" t="str">
        <f t="shared" si="952"/>
        <v>7</v>
      </c>
      <c r="E3840" s="2" t="str">
        <f>"机电工程学院"</f>
        <v>机电工程学院</v>
      </c>
    </row>
    <row r="3841" ht="13.5" hidden="1" spans="1:5">
      <c r="A3841" s="2" t="str">
        <f>"董欣尔"</f>
        <v>董欣尔</v>
      </c>
      <c r="B3841" s="2" t="str">
        <f>"B20230703320"</f>
        <v>B20230703320</v>
      </c>
      <c r="C3841" s="2" t="str">
        <f>"女"</f>
        <v>女</v>
      </c>
      <c r="D3841" s="2" t="str">
        <f t="shared" si="952"/>
        <v>7</v>
      </c>
      <c r="E3841" s="2" t="str">
        <f>"马栏山新媒体学院"</f>
        <v>马栏山新媒体学院</v>
      </c>
    </row>
    <row r="3842" ht="13.5" hidden="1" spans="1:5">
      <c r="A3842" s="2" t="str">
        <f>"龙伟"</f>
        <v>龙伟</v>
      </c>
      <c r="B3842" s="2" t="str">
        <f>"B20200906102"</f>
        <v>B20200906102</v>
      </c>
      <c r="C3842" s="2" t="str">
        <f t="shared" ref="C3842:C3848" si="968">"男"</f>
        <v>男</v>
      </c>
      <c r="D3842" s="2" t="str">
        <f t="shared" si="952"/>
        <v>7</v>
      </c>
      <c r="E3842" s="2" t="str">
        <f>"经济与管理学院"</f>
        <v>经济与管理学院</v>
      </c>
    </row>
    <row r="3843" ht="13.5" hidden="1" spans="1:5">
      <c r="A3843" s="2" t="str">
        <f>"隆贤瑞"</f>
        <v>隆贤瑞</v>
      </c>
      <c r="B3843" s="2" t="str">
        <f>"B20200402233"</f>
        <v>B20200402233</v>
      </c>
      <c r="C3843" s="2" t="str">
        <f t="shared" si="968"/>
        <v>男</v>
      </c>
      <c r="D3843" s="2" t="str">
        <f t="shared" si="952"/>
        <v>7</v>
      </c>
      <c r="E3843" s="2" t="str">
        <f t="shared" ref="E3843:E3848" si="969">"电子信息与电气工程学院"</f>
        <v>电子信息与电气工程学院</v>
      </c>
    </row>
    <row r="3844" customHeight="1" spans="1:5">
      <c r="A3844" s="6" t="str">
        <f>"赵璇"</f>
        <v>赵璇</v>
      </c>
      <c r="B3844" s="6" t="str">
        <f>"B20210305224"</f>
        <v>B20210305224</v>
      </c>
      <c r="C3844" s="6" t="str">
        <f>"女"</f>
        <v>女</v>
      </c>
      <c r="D3844" s="7" t="str">
        <f>"2"</f>
        <v>2</v>
      </c>
      <c r="E3844" s="6" t="str">
        <f>"计算机科学与工程学院"</f>
        <v>计算机科学与工程学院</v>
      </c>
    </row>
    <row r="3845" ht="13.5" hidden="1" spans="1:5">
      <c r="A3845" s="2" t="str">
        <f>"廖敦归"</f>
        <v>廖敦归</v>
      </c>
      <c r="B3845" s="2" t="str">
        <f>"B20200101203"</f>
        <v>B20200101203</v>
      </c>
      <c r="C3845" s="2" t="str">
        <f t="shared" si="968"/>
        <v>男</v>
      </c>
      <c r="D3845" s="2" t="str">
        <f t="shared" si="952"/>
        <v>7</v>
      </c>
      <c r="E3845" s="2" t="str">
        <f>"土木工程学院"</f>
        <v>土木工程学院</v>
      </c>
    </row>
    <row r="3846" ht="13.5" hidden="1" spans="1:5">
      <c r="A3846" s="2" t="str">
        <f>"胡彬"</f>
        <v>胡彬</v>
      </c>
      <c r="B3846" s="2" t="str">
        <f>"B20200101604"</f>
        <v>B20200101604</v>
      </c>
      <c r="C3846" s="2" t="str">
        <f t="shared" si="968"/>
        <v>男</v>
      </c>
      <c r="D3846" s="2" t="str">
        <f t="shared" si="952"/>
        <v>7</v>
      </c>
      <c r="E3846" s="2" t="str">
        <f>"土木工程学院"</f>
        <v>土木工程学院</v>
      </c>
    </row>
    <row r="3847" ht="13.5" hidden="1" spans="1:5">
      <c r="A3847" s="2" t="str">
        <f>"曾磊"</f>
        <v>曾磊</v>
      </c>
      <c r="B3847" s="2" t="str">
        <f>"B20220401326"</f>
        <v>B20220401326</v>
      </c>
      <c r="C3847" s="2" t="str">
        <f t="shared" si="968"/>
        <v>男</v>
      </c>
      <c r="D3847" s="2" t="str">
        <f t="shared" si="952"/>
        <v>7</v>
      </c>
      <c r="E3847" s="2" t="str">
        <f t="shared" si="969"/>
        <v>电子信息与电气工程学院</v>
      </c>
    </row>
    <row r="3848" ht="13.5" hidden="1" spans="1:5">
      <c r="A3848" s="2" t="str">
        <f>"贺顺章"</f>
        <v>贺顺章</v>
      </c>
      <c r="B3848" s="2" t="str">
        <f>"B20230402334"</f>
        <v>B20230402334</v>
      </c>
      <c r="C3848" s="2" t="str">
        <f t="shared" si="968"/>
        <v>男</v>
      </c>
      <c r="D3848" s="2" t="str">
        <f t="shared" si="952"/>
        <v>7</v>
      </c>
      <c r="E3848" s="2" t="str">
        <f t="shared" si="969"/>
        <v>电子信息与电气工程学院</v>
      </c>
    </row>
    <row r="3849" ht="13.5" hidden="1" spans="1:5">
      <c r="A3849" s="2" t="str">
        <f>"刘羽茜"</f>
        <v>刘羽茜</v>
      </c>
      <c r="B3849" s="2" t="str">
        <f>"B20230702117"</f>
        <v>B20230702117</v>
      </c>
      <c r="C3849" s="2" t="str">
        <f>"女"</f>
        <v>女</v>
      </c>
      <c r="D3849" s="2" t="str">
        <f t="shared" si="952"/>
        <v>7</v>
      </c>
      <c r="E3849" s="2" t="str">
        <f t="shared" ref="E3849:E3854" si="970">"马栏山新媒体学院"</f>
        <v>马栏山新媒体学院</v>
      </c>
    </row>
    <row r="3850" ht="13.5" hidden="1" spans="1:5">
      <c r="A3850" s="2" t="str">
        <f>"潘川"</f>
        <v>潘川</v>
      </c>
      <c r="B3850" s="2" t="str">
        <f>"B20200202213"</f>
        <v>B20200202213</v>
      </c>
      <c r="C3850" s="2" t="str">
        <f t="shared" ref="C3850:C3852" si="971">"男"</f>
        <v>男</v>
      </c>
      <c r="D3850" s="2" t="str">
        <f t="shared" si="952"/>
        <v>7</v>
      </c>
      <c r="E3850" s="2" t="str">
        <f>"机电工程学院"</f>
        <v>机电工程学院</v>
      </c>
    </row>
    <row r="3851" ht="13.5" hidden="1" spans="1:5">
      <c r="A3851" s="2" t="str">
        <f>"胡琦林"</f>
        <v>胡琦林</v>
      </c>
      <c r="B3851" s="2" t="str">
        <f>"B20221003107"</f>
        <v>B20221003107</v>
      </c>
      <c r="C3851" s="2" t="str">
        <f t="shared" si="971"/>
        <v>男</v>
      </c>
      <c r="D3851" s="2" t="str">
        <f t="shared" si="952"/>
        <v>7</v>
      </c>
      <c r="E3851" s="2" t="str">
        <f>"艺术设计学院"</f>
        <v>艺术设计学院</v>
      </c>
    </row>
    <row r="3852" ht="13.5" hidden="1" spans="1:5">
      <c r="A3852" s="2" t="str">
        <f>"谭智辉"</f>
        <v>谭智辉</v>
      </c>
      <c r="B3852" s="2" t="str">
        <f>"B20220101229"</f>
        <v>B20220101229</v>
      </c>
      <c r="C3852" s="2" t="str">
        <f t="shared" si="971"/>
        <v>男</v>
      </c>
      <c r="D3852" s="2" t="str">
        <f t="shared" si="952"/>
        <v>7</v>
      </c>
      <c r="E3852" s="2" t="str">
        <f>"土木工程学院"</f>
        <v>土木工程学院</v>
      </c>
    </row>
    <row r="3853" ht="13.5" hidden="1" spans="1:5">
      <c r="A3853" s="2" t="str">
        <f>"黄嘉霖"</f>
        <v>黄嘉霖</v>
      </c>
      <c r="B3853" s="2" t="str">
        <f>"B20210703219"</f>
        <v>B20210703219</v>
      </c>
      <c r="C3853" s="2" t="str">
        <f t="shared" ref="C3853:C3858" si="972">"女"</f>
        <v>女</v>
      </c>
      <c r="D3853" s="2" t="str">
        <f t="shared" si="952"/>
        <v>7</v>
      </c>
      <c r="E3853" s="2" t="str">
        <f t="shared" si="970"/>
        <v>马栏山新媒体学院</v>
      </c>
    </row>
    <row r="3854" ht="13.5" hidden="1" spans="1:5">
      <c r="A3854" s="2" t="str">
        <f>"蔡伟豪"</f>
        <v>蔡伟豪</v>
      </c>
      <c r="B3854" s="2" t="str">
        <f>"B20220701208"</f>
        <v>B20220701208</v>
      </c>
      <c r="C3854" s="2" t="str">
        <f t="shared" ref="C3854:C3857" si="973">"男"</f>
        <v>男</v>
      </c>
      <c r="D3854" s="2" t="str">
        <f t="shared" si="952"/>
        <v>7</v>
      </c>
      <c r="E3854" s="2" t="str">
        <f t="shared" si="970"/>
        <v>马栏山新媒体学院</v>
      </c>
    </row>
    <row r="3855" ht="13.5" hidden="1" spans="1:5">
      <c r="A3855" s="2" t="str">
        <f>"武文学"</f>
        <v>武文学</v>
      </c>
      <c r="B3855" s="2" t="str">
        <f>"B20210102105"</f>
        <v>B20210102105</v>
      </c>
      <c r="C3855" s="2" t="str">
        <f t="shared" si="973"/>
        <v>男</v>
      </c>
      <c r="D3855" s="2" t="str">
        <f t="shared" ref="D3855:D3918" si="974">"7"</f>
        <v>7</v>
      </c>
      <c r="E3855" s="2" t="str">
        <f>"土木工程学院"</f>
        <v>土木工程学院</v>
      </c>
    </row>
    <row r="3856" ht="13.5" hidden="1" spans="1:5">
      <c r="A3856" s="2" t="str">
        <f>"李逸萱"</f>
        <v>李逸萱</v>
      </c>
      <c r="B3856" s="2" t="str">
        <f>"B20210801426"</f>
        <v>B20210801426</v>
      </c>
      <c r="C3856" s="2" t="str">
        <f t="shared" si="972"/>
        <v>女</v>
      </c>
      <c r="D3856" s="2" t="str">
        <f t="shared" si="974"/>
        <v>7</v>
      </c>
      <c r="E3856" s="2" t="str">
        <f>"外国语学院"</f>
        <v>外国语学院</v>
      </c>
    </row>
    <row r="3857" customHeight="1" spans="1:5">
      <c r="A3857" s="6" t="str">
        <f>"左黎晖"</f>
        <v>左黎晖</v>
      </c>
      <c r="B3857" s="6" t="str">
        <f>"B20210305228"</f>
        <v>B20210305228</v>
      </c>
      <c r="C3857" s="6" t="str">
        <f t="shared" si="972"/>
        <v>女</v>
      </c>
      <c r="D3857" s="7" t="str">
        <f t="shared" si="974"/>
        <v>7</v>
      </c>
      <c r="E3857" s="6" t="str">
        <f>"计算机科学与工程学院"</f>
        <v>计算机科学与工程学院</v>
      </c>
    </row>
    <row r="3858" ht="13.5" hidden="1" spans="1:5">
      <c r="A3858" s="2" t="str">
        <f>"王子衿"</f>
        <v>王子衿</v>
      </c>
      <c r="B3858" s="2" t="str">
        <f>"B20210902432"</f>
        <v>B20210902432</v>
      </c>
      <c r="C3858" s="2" t="str">
        <f t="shared" si="972"/>
        <v>女</v>
      </c>
      <c r="D3858" s="2" t="str">
        <f t="shared" si="974"/>
        <v>7</v>
      </c>
      <c r="E3858" s="2" t="str">
        <f>"经济与管理学院"</f>
        <v>经济与管理学院</v>
      </c>
    </row>
    <row r="3859" ht="13.5" hidden="1" spans="1:5">
      <c r="A3859" s="2" t="str">
        <f>"吴昊"</f>
        <v>吴昊</v>
      </c>
      <c r="B3859" s="2" t="str">
        <f>"B20230104119"</f>
        <v>B20230104119</v>
      </c>
      <c r="C3859" s="2" t="str">
        <f>"男"</f>
        <v>男</v>
      </c>
      <c r="D3859" s="2" t="str">
        <f t="shared" si="974"/>
        <v>7</v>
      </c>
      <c r="E3859" s="2" t="str">
        <f>"土木工程学院"</f>
        <v>土木工程学院</v>
      </c>
    </row>
    <row r="3860" ht="13.5" hidden="1" spans="1:5">
      <c r="A3860" s="2" t="str">
        <f>"徐祉婧"</f>
        <v>徐祉婧</v>
      </c>
      <c r="B3860" s="2" t="str">
        <f>"B20210905204"</f>
        <v>B20210905204</v>
      </c>
      <c r="C3860" s="2" t="str">
        <f t="shared" ref="C3860:C3864" si="975">"女"</f>
        <v>女</v>
      </c>
      <c r="D3860" s="2" t="str">
        <f t="shared" si="974"/>
        <v>7</v>
      </c>
      <c r="E3860" s="2" t="str">
        <f>"经济与管理学院"</f>
        <v>经济与管理学院</v>
      </c>
    </row>
    <row r="3861" ht="13.5" hidden="1" spans="1:5">
      <c r="A3861" s="2" t="str">
        <f>"孙邵甲"</f>
        <v>孙邵甲</v>
      </c>
      <c r="B3861" s="2" t="str">
        <f>"B20230205201"</f>
        <v>B20230205201</v>
      </c>
      <c r="C3861" s="2" t="str">
        <f>"男"</f>
        <v>男</v>
      </c>
      <c r="D3861" s="2" t="str">
        <f t="shared" si="974"/>
        <v>7</v>
      </c>
      <c r="E3861" s="2" t="str">
        <f>"机电工程学院"</f>
        <v>机电工程学院</v>
      </c>
    </row>
    <row r="3862" ht="13.5" hidden="1" spans="1:5">
      <c r="A3862" s="2" t="str">
        <f>"陈瑞琪"</f>
        <v>陈瑞琪</v>
      </c>
      <c r="B3862" s="2" t="str">
        <f>"B20230704318"</f>
        <v>B20230704318</v>
      </c>
      <c r="C3862" s="2" t="str">
        <f t="shared" si="975"/>
        <v>女</v>
      </c>
      <c r="D3862" s="2" t="str">
        <f t="shared" si="974"/>
        <v>7</v>
      </c>
      <c r="E3862" s="2" t="str">
        <f>"马栏山新媒体学院"</f>
        <v>马栏山新媒体学院</v>
      </c>
    </row>
    <row r="3863" ht="13.5" hidden="1" spans="1:5">
      <c r="A3863" s="2" t="str">
        <f>"周文凤"</f>
        <v>周文凤</v>
      </c>
      <c r="B3863" s="2" t="str">
        <f>"B20231101219"</f>
        <v>B20231101219</v>
      </c>
      <c r="C3863" s="2" t="str">
        <f t="shared" si="975"/>
        <v>女</v>
      </c>
      <c r="D3863" s="2" t="str">
        <f t="shared" si="974"/>
        <v>7</v>
      </c>
      <c r="E3863" s="2" t="str">
        <f>"音乐学院"</f>
        <v>音乐学院</v>
      </c>
    </row>
    <row r="3864" customHeight="1" spans="1:5">
      <c r="A3864" s="6" t="str">
        <f>"骆王莹"</f>
        <v>骆王莹</v>
      </c>
      <c r="B3864" s="6" t="str">
        <f>"B20210305231"</f>
        <v>B20210305231</v>
      </c>
      <c r="C3864" s="6" t="str">
        <f t="shared" si="975"/>
        <v>女</v>
      </c>
      <c r="D3864" s="7" t="str">
        <f>"10"</f>
        <v>10</v>
      </c>
      <c r="E3864" s="6" t="str">
        <f>"计算机科学与工程学院"</f>
        <v>计算机科学与工程学院</v>
      </c>
    </row>
    <row r="3865" ht="13.5" hidden="1" spans="1:5">
      <c r="A3865" s="2" t="str">
        <f>"宋媛媛"</f>
        <v>宋媛媛</v>
      </c>
      <c r="B3865" s="2" t="str">
        <f>"B20200401321"</f>
        <v>B20200401321</v>
      </c>
      <c r="C3865" s="2" t="str">
        <f t="shared" ref="C3865:C3868" si="976">"女"</f>
        <v>女</v>
      </c>
      <c r="D3865" s="2" t="str">
        <f t="shared" si="974"/>
        <v>7</v>
      </c>
      <c r="E3865" s="2" t="str">
        <f t="shared" ref="E3865:E3870" si="977">"电子信息与电气工程学院"</f>
        <v>电子信息与电气工程学院</v>
      </c>
    </row>
    <row r="3866" ht="13.5" hidden="1" spans="1:5">
      <c r="A3866" s="2" t="str">
        <f>"黄雅琪"</f>
        <v>黄雅琪</v>
      </c>
      <c r="B3866" s="2" t="str">
        <f>"B20220402207"</f>
        <v>B20220402207</v>
      </c>
      <c r="C3866" s="2" t="str">
        <f t="shared" si="976"/>
        <v>女</v>
      </c>
      <c r="D3866" s="2" t="str">
        <f t="shared" si="974"/>
        <v>7</v>
      </c>
      <c r="E3866" s="2" t="str">
        <f t="shared" si="977"/>
        <v>电子信息与电气工程学院</v>
      </c>
    </row>
    <row r="3867" ht="13.5" hidden="1" spans="1:5">
      <c r="A3867" s="2" t="str">
        <f>"谭心雨"</f>
        <v>谭心雨</v>
      </c>
      <c r="B3867" s="2" t="str">
        <f>"B20210904212"</f>
        <v>B20210904212</v>
      </c>
      <c r="C3867" s="2" t="str">
        <f t="shared" si="976"/>
        <v>女</v>
      </c>
      <c r="D3867" s="2" t="str">
        <f t="shared" si="974"/>
        <v>7</v>
      </c>
      <c r="E3867" s="2" t="str">
        <f>"经济与管理学院"</f>
        <v>经济与管理学院</v>
      </c>
    </row>
    <row r="3868" ht="13.5" hidden="1" spans="1:5">
      <c r="A3868" s="2" t="str">
        <f>"朱予曦"</f>
        <v>朱予曦</v>
      </c>
      <c r="B3868" s="2" t="str">
        <f>"B20210906137"</f>
        <v>B20210906137</v>
      </c>
      <c r="C3868" s="2" t="str">
        <f t="shared" si="976"/>
        <v>女</v>
      </c>
      <c r="D3868" s="2" t="str">
        <f t="shared" si="974"/>
        <v>7</v>
      </c>
      <c r="E3868" s="2" t="str">
        <f>"经济与管理学院"</f>
        <v>经济与管理学院</v>
      </c>
    </row>
    <row r="3869" ht="13.5" hidden="1" spans="1:5">
      <c r="A3869" s="2" t="str">
        <f>"李帆"</f>
        <v>李帆</v>
      </c>
      <c r="B3869" s="2" t="str">
        <f>"B20220204234"</f>
        <v>B20220204234</v>
      </c>
      <c r="C3869" s="2" t="str">
        <f t="shared" ref="C3869:C3874" si="978">"男"</f>
        <v>男</v>
      </c>
      <c r="D3869" s="2" t="str">
        <f t="shared" si="974"/>
        <v>7</v>
      </c>
      <c r="E3869" s="2" t="str">
        <f>"机电工程学院"</f>
        <v>机电工程学院</v>
      </c>
    </row>
    <row r="3870" ht="13.5" hidden="1" spans="1:5">
      <c r="A3870" s="2" t="str">
        <f>"李婉"</f>
        <v>李婉</v>
      </c>
      <c r="B3870" s="2" t="str">
        <f>"B20230402308"</f>
        <v>B20230402308</v>
      </c>
      <c r="C3870" s="2" t="str">
        <f t="shared" ref="C3870:C3875" si="979">"女"</f>
        <v>女</v>
      </c>
      <c r="D3870" s="2" t="str">
        <f t="shared" si="974"/>
        <v>7</v>
      </c>
      <c r="E3870" s="2" t="str">
        <f t="shared" si="977"/>
        <v>电子信息与电气工程学院</v>
      </c>
    </row>
    <row r="3871" ht="13.5" hidden="1" spans="1:5">
      <c r="A3871" s="2" t="str">
        <f>"钟科楠"</f>
        <v>钟科楠</v>
      </c>
      <c r="B3871" s="2" t="str">
        <f>"B20220802230"</f>
        <v>B20220802230</v>
      </c>
      <c r="C3871" s="2" t="str">
        <f t="shared" si="978"/>
        <v>男</v>
      </c>
      <c r="D3871" s="2" t="str">
        <f t="shared" si="974"/>
        <v>7</v>
      </c>
      <c r="E3871" s="2" t="str">
        <f>"外国语学院"</f>
        <v>外国语学院</v>
      </c>
    </row>
    <row r="3872" ht="13.5" hidden="1" spans="1:5">
      <c r="A3872" s="2" t="str">
        <f>"石芷齐"</f>
        <v>石芷齐</v>
      </c>
      <c r="B3872" s="2" t="str">
        <f>"B20221002318"</f>
        <v>B20221002318</v>
      </c>
      <c r="C3872" s="2" t="str">
        <f t="shared" si="979"/>
        <v>女</v>
      </c>
      <c r="D3872" s="2" t="str">
        <f t="shared" si="974"/>
        <v>7</v>
      </c>
      <c r="E3872" s="2" t="str">
        <f>"艺术设计学院"</f>
        <v>艺术设计学院</v>
      </c>
    </row>
    <row r="3873" customHeight="1" spans="1:5">
      <c r="A3873" s="6" t="str">
        <f>"余慧"</f>
        <v>余慧</v>
      </c>
      <c r="B3873" s="6" t="str">
        <f>"B20210305232"</f>
        <v>B20210305232</v>
      </c>
      <c r="C3873" s="6" t="str">
        <f t="shared" si="979"/>
        <v>女</v>
      </c>
      <c r="D3873" s="7" t="str">
        <f>"6"</f>
        <v>6</v>
      </c>
      <c r="E3873" s="6" t="str">
        <f>"计算机科学与工程学院"</f>
        <v>计算机科学与工程学院</v>
      </c>
    </row>
    <row r="3874" ht="13.5" hidden="1" spans="1:5">
      <c r="A3874" s="2" t="str">
        <f>"虢自豪"</f>
        <v>虢自豪</v>
      </c>
      <c r="B3874" s="2" t="str">
        <f>"B20210906246"</f>
        <v>B20210906246</v>
      </c>
      <c r="C3874" s="2" t="str">
        <f t="shared" si="978"/>
        <v>男</v>
      </c>
      <c r="D3874" s="2" t="str">
        <f t="shared" si="974"/>
        <v>7</v>
      </c>
      <c r="E3874" s="2" t="str">
        <f t="shared" ref="E3874:E3878" si="980">"经济与管理学院"</f>
        <v>经济与管理学院</v>
      </c>
    </row>
    <row r="3875" ht="13.5" hidden="1" spans="1:5">
      <c r="A3875" s="2" t="str">
        <f>"王美美"</f>
        <v>王美美</v>
      </c>
      <c r="B3875" s="2" t="str">
        <f>"B20210902307"</f>
        <v>B20210902307</v>
      </c>
      <c r="C3875" s="2" t="str">
        <f t="shared" si="979"/>
        <v>女</v>
      </c>
      <c r="D3875" s="2" t="str">
        <f t="shared" si="974"/>
        <v>7</v>
      </c>
      <c r="E3875" s="2" t="str">
        <f t="shared" si="980"/>
        <v>经济与管理学院</v>
      </c>
    </row>
    <row r="3876" ht="13.5" hidden="1" spans="1:5">
      <c r="A3876" s="2" t="str">
        <f>"王世博"</f>
        <v>王世博</v>
      </c>
      <c r="B3876" s="2" t="str">
        <f>"B20200505116"</f>
        <v>B20200505116</v>
      </c>
      <c r="C3876" s="2" t="str">
        <f t="shared" ref="C3876:C3880" si="981">"男"</f>
        <v>男</v>
      </c>
      <c r="D3876" s="2" t="str">
        <f t="shared" si="974"/>
        <v>7</v>
      </c>
      <c r="E3876" s="2" t="str">
        <f>"生物与环境工程学院"</f>
        <v>生物与环境工程学院</v>
      </c>
    </row>
    <row r="3877" ht="13.5" hidden="1" spans="1:5">
      <c r="A3877" s="2" t="str">
        <f>"罗奕杰"</f>
        <v>罗奕杰</v>
      </c>
      <c r="B3877" s="2" t="str">
        <f>"B20210401314"</f>
        <v>B20210401314</v>
      </c>
      <c r="C3877" s="2" t="str">
        <f t="shared" si="981"/>
        <v>男</v>
      </c>
      <c r="D3877" s="2" t="str">
        <f t="shared" si="974"/>
        <v>7</v>
      </c>
      <c r="E3877" s="2" t="str">
        <f>"电子信息与电气工程学院"</f>
        <v>电子信息与电气工程学院</v>
      </c>
    </row>
    <row r="3878" ht="13.5" hidden="1" spans="1:5">
      <c r="A3878" s="2" t="str">
        <f>"石慧娴"</f>
        <v>石慧娴</v>
      </c>
      <c r="B3878" s="2" t="str">
        <f>"B20210901327"</f>
        <v>B20210901327</v>
      </c>
      <c r="C3878" s="2" t="str">
        <f t="shared" ref="C3878:C3882" si="982">"女"</f>
        <v>女</v>
      </c>
      <c r="D3878" s="2" t="str">
        <f t="shared" si="974"/>
        <v>7</v>
      </c>
      <c r="E3878" s="2" t="str">
        <f t="shared" si="980"/>
        <v>经济与管理学院</v>
      </c>
    </row>
    <row r="3879" ht="13.5" hidden="1" spans="1:5">
      <c r="A3879" s="2" t="str">
        <f>"李佳明"</f>
        <v>李佳明</v>
      </c>
      <c r="B3879" s="2" t="str">
        <f>"B20210402119"</f>
        <v>B20210402119</v>
      </c>
      <c r="C3879" s="2" t="str">
        <f t="shared" si="981"/>
        <v>男</v>
      </c>
      <c r="D3879" s="2" t="str">
        <f t="shared" si="974"/>
        <v>7</v>
      </c>
      <c r="E3879" s="2" t="str">
        <f>"电子信息与电气工程学院"</f>
        <v>电子信息与电气工程学院</v>
      </c>
    </row>
    <row r="3880" ht="13.5" hidden="1" spans="1:5">
      <c r="A3880" s="2" t="str">
        <f>"贺云鹏"</f>
        <v>贺云鹏</v>
      </c>
      <c r="B3880" s="2" t="str">
        <f>"B20220903120"</f>
        <v>B20220903120</v>
      </c>
      <c r="C3880" s="2" t="str">
        <f t="shared" si="981"/>
        <v>男</v>
      </c>
      <c r="D3880" s="2" t="str">
        <f t="shared" si="974"/>
        <v>7</v>
      </c>
      <c r="E3880" s="2" t="str">
        <f t="shared" ref="E3880:E3882" si="983">"经济与管理学院"</f>
        <v>经济与管理学院</v>
      </c>
    </row>
    <row r="3881" ht="13.5" hidden="1" spans="1:5">
      <c r="A3881" s="2" t="str">
        <f>"张佳丽"</f>
        <v>张佳丽</v>
      </c>
      <c r="B3881" s="2" t="str">
        <f>"B20210906206"</f>
        <v>B20210906206</v>
      </c>
      <c r="C3881" s="2" t="str">
        <f t="shared" si="982"/>
        <v>女</v>
      </c>
      <c r="D3881" s="2" t="str">
        <f t="shared" si="974"/>
        <v>7</v>
      </c>
      <c r="E3881" s="2" t="str">
        <f t="shared" si="983"/>
        <v>经济与管理学院</v>
      </c>
    </row>
    <row r="3882" ht="13.5" hidden="1" spans="1:5">
      <c r="A3882" s="2" t="str">
        <f>"叶盈莹"</f>
        <v>叶盈莹</v>
      </c>
      <c r="B3882" s="2" t="str">
        <f>"B20210902419"</f>
        <v>B20210902419</v>
      </c>
      <c r="C3882" s="2" t="str">
        <f t="shared" si="982"/>
        <v>女</v>
      </c>
      <c r="D3882" s="2" t="str">
        <f t="shared" si="974"/>
        <v>7</v>
      </c>
      <c r="E3882" s="2" t="str">
        <f t="shared" si="983"/>
        <v>经济与管理学院</v>
      </c>
    </row>
    <row r="3883" ht="13.5" hidden="1" spans="1:5">
      <c r="A3883" s="2" t="str">
        <f>"刘敦耀"</f>
        <v>刘敦耀</v>
      </c>
      <c r="B3883" s="2" t="str">
        <f>"B20230201427"</f>
        <v>B20230201427</v>
      </c>
      <c r="C3883" s="2" t="str">
        <f t="shared" ref="C3883:C3886" si="984">"男"</f>
        <v>男</v>
      </c>
      <c r="D3883" s="2" t="str">
        <f t="shared" si="974"/>
        <v>7</v>
      </c>
      <c r="E3883" s="2" t="str">
        <f>"机电工程学院"</f>
        <v>机电工程学院</v>
      </c>
    </row>
    <row r="3884" customHeight="1" spans="1:5">
      <c r="A3884" s="6" t="str">
        <f>"唐浩天"</f>
        <v>唐浩天</v>
      </c>
      <c r="B3884" s="6" t="str">
        <f>"B20210305233"</f>
        <v>B20210305233</v>
      </c>
      <c r="C3884" s="6" t="str">
        <f t="shared" si="984"/>
        <v>男</v>
      </c>
      <c r="D3884" s="7" t="str">
        <f t="shared" si="974"/>
        <v>7</v>
      </c>
      <c r="E3884" s="6" t="str">
        <f>"计算机科学与工程学院"</f>
        <v>计算机科学与工程学院</v>
      </c>
    </row>
    <row r="3885" ht="13.5" hidden="1" spans="1:5">
      <c r="A3885" s="2" t="str">
        <f>"高凯"</f>
        <v>高凯</v>
      </c>
      <c r="B3885" s="2" t="str">
        <f>"B20230402319"</f>
        <v>B20230402319</v>
      </c>
      <c r="C3885" s="2" t="str">
        <f t="shared" si="984"/>
        <v>男</v>
      </c>
      <c r="D3885" s="2" t="str">
        <f t="shared" si="974"/>
        <v>7</v>
      </c>
      <c r="E3885" s="2" t="str">
        <f t="shared" ref="E3885:E3890" si="985">"电子信息与电气工程学院"</f>
        <v>电子信息与电气工程学院</v>
      </c>
    </row>
    <row r="3886" ht="13.5" hidden="1" spans="1:5">
      <c r="A3886" s="2" t="str">
        <f>"王嘉诚"</f>
        <v>王嘉诚</v>
      </c>
      <c r="B3886" s="2" t="str">
        <f>"B20210203116"</f>
        <v>B20210203116</v>
      </c>
      <c r="C3886" s="2" t="str">
        <f t="shared" si="984"/>
        <v>男</v>
      </c>
      <c r="D3886" s="2" t="str">
        <f t="shared" si="974"/>
        <v>7</v>
      </c>
      <c r="E3886" s="2" t="str">
        <f>"机电工程学院"</f>
        <v>机电工程学院</v>
      </c>
    </row>
    <row r="3887" ht="13.5" hidden="1" spans="1:5">
      <c r="A3887" s="2" t="str">
        <f>"秦斯斯"</f>
        <v>秦斯斯</v>
      </c>
      <c r="B3887" s="2" t="str">
        <f>"B20210401216"</f>
        <v>B20210401216</v>
      </c>
      <c r="C3887" s="2" t="str">
        <f t="shared" ref="C3887:C3889" si="986">"女"</f>
        <v>女</v>
      </c>
      <c r="D3887" s="2" t="str">
        <f t="shared" si="974"/>
        <v>7</v>
      </c>
      <c r="E3887" s="2" t="str">
        <f t="shared" si="985"/>
        <v>电子信息与电气工程学院</v>
      </c>
    </row>
    <row r="3888" ht="13.5" hidden="1" spans="1:5">
      <c r="A3888" s="2" t="str">
        <f>"周诺西"</f>
        <v>周诺西</v>
      </c>
      <c r="B3888" s="2" t="str">
        <f>"B20230902206"</f>
        <v>B20230902206</v>
      </c>
      <c r="C3888" s="2" t="str">
        <f t="shared" si="986"/>
        <v>女</v>
      </c>
      <c r="D3888" s="2" t="str">
        <f t="shared" si="974"/>
        <v>7</v>
      </c>
      <c r="E3888" s="2" t="str">
        <f t="shared" ref="E3888:E3891" si="987">"经济与管理学院"</f>
        <v>经济与管理学院</v>
      </c>
    </row>
    <row r="3889" ht="13.5" hidden="1" spans="1:5">
      <c r="A3889" s="2" t="str">
        <f>"彭菲菲"</f>
        <v>彭菲菲</v>
      </c>
      <c r="B3889" s="2" t="str">
        <f>"B20210903225"</f>
        <v>B20210903225</v>
      </c>
      <c r="C3889" s="2" t="str">
        <f t="shared" si="986"/>
        <v>女</v>
      </c>
      <c r="D3889" s="2" t="str">
        <f t="shared" si="974"/>
        <v>7</v>
      </c>
      <c r="E3889" s="2" t="str">
        <f t="shared" si="987"/>
        <v>经济与管理学院</v>
      </c>
    </row>
    <row r="3890" ht="13.5" hidden="1" spans="1:5">
      <c r="A3890" s="2" t="str">
        <f>"赵钦宇"</f>
        <v>赵钦宇</v>
      </c>
      <c r="B3890" s="2" t="str">
        <f>"B20230401208"</f>
        <v>B20230401208</v>
      </c>
      <c r="C3890" s="2" t="str">
        <f t="shared" ref="C3890:C3895" si="988">"男"</f>
        <v>男</v>
      </c>
      <c r="D3890" s="2" t="str">
        <f t="shared" si="974"/>
        <v>7</v>
      </c>
      <c r="E3890" s="2" t="str">
        <f t="shared" si="985"/>
        <v>电子信息与电气工程学院</v>
      </c>
    </row>
    <row r="3891" ht="13.5" hidden="1" spans="1:5">
      <c r="A3891" s="2" t="str">
        <f>"杨澜"</f>
        <v>杨澜</v>
      </c>
      <c r="B3891" s="2" t="str">
        <f>"B20210906123"</f>
        <v>B20210906123</v>
      </c>
      <c r="C3891" s="2" t="str">
        <f t="shared" ref="C3891:C3894" si="989">"女"</f>
        <v>女</v>
      </c>
      <c r="D3891" s="2" t="str">
        <f t="shared" si="974"/>
        <v>7</v>
      </c>
      <c r="E3891" s="2" t="str">
        <f t="shared" si="987"/>
        <v>经济与管理学院</v>
      </c>
    </row>
    <row r="3892" ht="13.5" hidden="1" spans="1:5">
      <c r="A3892" s="2" t="str">
        <f>"汤奕佳"</f>
        <v>汤奕佳</v>
      </c>
      <c r="B3892" s="2" t="str">
        <f>"B20220803213"</f>
        <v>B20220803213</v>
      </c>
      <c r="C3892" s="2" t="str">
        <f t="shared" si="989"/>
        <v>女</v>
      </c>
      <c r="D3892" s="2" t="str">
        <f t="shared" si="974"/>
        <v>7</v>
      </c>
      <c r="E3892" s="2" t="str">
        <f>"外国语学院"</f>
        <v>外国语学院</v>
      </c>
    </row>
    <row r="3893" ht="13.5" hidden="1" spans="1:5">
      <c r="A3893" s="2" t="str">
        <f>"费宏翔"</f>
        <v>费宏翔</v>
      </c>
      <c r="B3893" s="2" t="str">
        <f>"B20230903230"</f>
        <v>B20230903230</v>
      </c>
      <c r="C3893" s="2" t="str">
        <f t="shared" si="988"/>
        <v>男</v>
      </c>
      <c r="D3893" s="2" t="str">
        <f t="shared" si="974"/>
        <v>7</v>
      </c>
      <c r="E3893" s="2" t="str">
        <f>"经济与管理学院"</f>
        <v>经济与管理学院</v>
      </c>
    </row>
    <row r="3894" ht="13.5" hidden="1" spans="1:5">
      <c r="A3894" s="2" t="str">
        <f>"何苗"</f>
        <v>何苗</v>
      </c>
      <c r="B3894" s="2" t="str">
        <f>"B20230904329"</f>
        <v>B20230904329</v>
      </c>
      <c r="C3894" s="2" t="str">
        <f t="shared" si="989"/>
        <v>女</v>
      </c>
      <c r="D3894" s="2" t="str">
        <f t="shared" si="974"/>
        <v>7</v>
      </c>
      <c r="E3894" s="2" t="str">
        <f>"经济与管理学院"</f>
        <v>经济与管理学院</v>
      </c>
    </row>
    <row r="3895" ht="13.5" hidden="1" spans="1:5">
      <c r="A3895" s="2" t="str">
        <f>"蔡博豪"</f>
        <v>蔡博豪</v>
      </c>
      <c r="B3895" s="2" t="str">
        <f>"B20220102225"</f>
        <v>B20220102225</v>
      </c>
      <c r="C3895" s="2" t="str">
        <f t="shared" si="988"/>
        <v>男</v>
      </c>
      <c r="D3895" s="2" t="str">
        <f t="shared" si="974"/>
        <v>7</v>
      </c>
      <c r="E3895" s="2" t="str">
        <f>"土木工程学院"</f>
        <v>土木工程学院</v>
      </c>
    </row>
    <row r="3896" ht="13.5" hidden="1" spans="1:5">
      <c r="A3896" s="2" t="str">
        <f>"彭婷"</f>
        <v>彭婷</v>
      </c>
      <c r="B3896" s="2" t="str">
        <f>"B20221004113"</f>
        <v>B20221004113</v>
      </c>
      <c r="C3896" s="2" t="str">
        <f t="shared" ref="C3896:C3899" si="990">"女"</f>
        <v>女</v>
      </c>
      <c r="D3896" s="2" t="str">
        <f t="shared" si="974"/>
        <v>7</v>
      </c>
      <c r="E3896" s="2" t="str">
        <f>"艺术设计学院"</f>
        <v>艺术设计学院</v>
      </c>
    </row>
    <row r="3897" ht="13.5" hidden="1" spans="1:5">
      <c r="A3897" s="2" t="str">
        <f>"顾雅菲"</f>
        <v>顾雅菲</v>
      </c>
      <c r="B3897" s="2" t="str">
        <f>"B20230103202"</f>
        <v>B20230103202</v>
      </c>
      <c r="C3897" s="2" t="str">
        <f t="shared" si="990"/>
        <v>女</v>
      </c>
      <c r="D3897" s="2" t="str">
        <f t="shared" si="974"/>
        <v>7</v>
      </c>
      <c r="E3897" s="2" t="str">
        <f>"土木工程学院"</f>
        <v>土木工程学院</v>
      </c>
    </row>
    <row r="3898" ht="13.5" hidden="1" spans="1:5">
      <c r="A3898" s="2" t="str">
        <f>"唐朝"</f>
        <v>唐朝</v>
      </c>
      <c r="B3898" s="2" t="str">
        <f>"B20230504110"</f>
        <v>B20230504110</v>
      </c>
      <c r="C3898" s="2" t="str">
        <f t="shared" ref="C3898:C3902" si="991">"男"</f>
        <v>男</v>
      </c>
      <c r="D3898" s="2" t="str">
        <f t="shared" si="974"/>
        <v>7</v>
      </c>
      <c r="E3898" s="2" t="str">
        <f>"生物与化学工程学院"</f>
        <v>生物与化学工程学院</v>
      </c>
    </row>
    <row r="3899" ht="13.5" hidden="1" spans="1:5">
      <c r="A3899" s="2" t="str">
        <f>"周凡卜"</f>
        <v>周凡卜</v>
      </c>
      <c r="B3899" s="2" t="str">
        <f>"B20211101308"</f>
        <v>B20211101308</v>
      </c>
      <c r="C3899" s="2" t="str">
        <f t="shared" si="990"/>
        <v>女</v>
      </c>
      <c r="D3899" s="2" t="str">
        <f t="shared" si="974"/>
        <v>7</v>
      </c>
      <c r="E3899" s="2" t="str">
        <f>"音乐学院"</f>
        <v>音乐学院</v>
      </c>
    </row>
    <row r="3900" ht="13.5" hidden="1" spans="1:5">
      <c r="A3900" s="2" t="str">
        <f>"闻天硕"</f>
        <v>闻天硕</v>
      </c>
      <c r="B3900" s="2" t="str">
        <f>"B20230703225"</f>
        <v>B20230703225</v>
      </c>
      <c r="C3900" s="2" t="str">
        <f t="shared" si="991"/>
        <v>男</v>
      </c>
      <c r="D3900" s="2" t="str">
        <f t="shared" si="974"/>
        <v>7</v>
      </c>
      <c r="E3900" s="2" t="str">
        <f>"马栏山新媒体学院"</f>
        <v>马栏山新媒体学院</v>
      </c>
    </row>
    <row r="3901" ht="13.5" hidden="1" spans="1:5">
      <c r="A3901" s="2" t="str">
        <f>"白傲"</f>
        <v>白傲</v>
      </c>
      <c r="B3901" s="2" t="str">
        <f>"B20230204133"</f>
        <v>B20230204133</v>
      </c>
      <c r="C3901" s="2" t="str">
        <f t="shared" si="991"/>
        <v>男</v>
      </c>
      <c r="D3901" s="2" t="str">
        <f t="shared" si="974"/>
        <v>7</v>
      </c>
      <c r="E3901" s="2" t="str">
        <f>"机电工程学院"</f>
        <v>机电工程学院</v>
      </c>
    </row>
    <row r="3902" ht="13.5" hidden="1" spans="1:5">
      <c r="A3902" s="2" t="str">
        <f>"李越"</f>
        <v>李越</v>
      </c>
      <c r="B3902" s="2" t="str">
        <f>"B20230404128"</f>
        <v>B20230404128</v>
      </c>
      <c r="C3902" s="2" t="str">
        <f t="shared" si="991"/>
        <v>男</v>
      </c>
      <c r="D3902" s="2" t="str">
        <f t="shared" si="974"/>
        <v>7</v>
      </c>
      <c r="E3902" s="2" t="str">
        <f>"电子信息与电气工程学院"</f>
        <v>电子信息与电气工程学院</v>
      </c>
    </row>
    <row r="3903" ht="13.5" hidden="1" spans="1:5">
      <c r="A3903" s="2" t="str">
        <f>"殷子钰"</f>
        <v>殷子钰</v>
      </c>
      <c r="B3903" s="2" t="str">
        <f>"B20210103110"</f>
        <v>B20210103110</v>
      </c>
      <c r="C3903" s="2" t="str">
        <f t="shared" ref="C3903:C3907" si="992">"女"</f>
        <v>女</v>
      </c>
      <c r="D3903" s="2" t="str">
        <f t="shared" si="974"/>
        <v>7</v>
      </c>
      <c r="E3903" s="2" t="str">
        <f>"土木工程学院"</f>
        <v>土木工程学院</v>
      </c>
    </row>
    <row r="3904" customHeight="1" spans="1:5">
      <c r="A3904" s="6" t="str">
        <f>"蒋云飞"</f>
        <v>蒋云飞</v>
      </c>
      <c r="B3904" s="6" t="str">
        <f>"B20210305234"</f>
        <v>B20210305234</v>
      </c>
      <c r="C3904" s="6" t="str">
        <f>"男"</f>
        <v>男</v>
      </c>
      <c r="D3904" s="7" t="str">
        <f>"5"</f>
        <v>5</v>
      </c>
      <c r="E3904" s="6" t="str">
        <f>"计算机科学与工程学院"</f>
        <v>计算机科学与工程学院</v>
      </c>
    </row>
    <row r="3905" ht="13.5" hidden="1" spans="1:5">
      <c r="A3905" s="2" t="str">
        <f>"王妮娜"</f>
        <v>王妮娜</v>
      </c>
      <c r="B3905" s="2" t="str">
        <f>"B20210901310"</f>
        <v>B20210901310</v>
      </c>
      <c r="C3905" s="2" t="str">
        <f t="shared" si="992"/>
        <v>女</v>
      </c>
      <c r="D3905" s="2" t="str">
        <f t="shared" si="974"/>
        <v>7</v>
      </c>
      <c r="E3905" s="2" t="str">
        <f>"经济与管理学院"</f>
        <v>经济与管理学院</v>
      </c>
    </row>
    <row r="3906" ht="13.5" hidden="1" spans="1:5">
      <c r="A3906" s="2" t="str">
        <f>"李晓倩"</f>
        <v>李晓倩</v>
      </c>
      <c r="B3906" s="2" t="str">
        <f>"B20230601214"</f>
        <v>B20230601214</v>
      </c>
      <c r="C3906" s="2" t="str">
        <f t="shared" si="992"/>
        <v>女</v>
      </c>
      <c r="D3906" s="2" t="str">
        <f t="shared" si="974"/>
        <v>7</v>
      </c>
      <c r="E3906" s="2" t="str">
        <f>"法学院"</f>
        <v>法学院</v>
      </c>
    </row>
    <row r="3907" ht="13.5" hidden="1" spans="1:5">
      <c r="A3907" s="2" t="str">
        <f>"牟原萩"</f>
        <v>牟原萩</v>
      </c>
      <c r="B3907" s="2" t="str">
        <f>"B20230601310"</f>
        <v>B20230601310</v>
      </c>
      <c r="C3907" s="2" t="str">
        <f t="shared" si="992"/>
        <v>女</v>
      </c>
      <c r="D3907" s="2" t="str">
        <f t="shared" si="974"/>
        <v>7</v>
      </c>
      <c r="E3907" s="2" t="str">
        <f>"法学院"</f>
        <v>法学院</v>
      </c>
    </row>
    <row r="3908" ht="13.5" hidden="1" spans="1:5">
      <c r="A3908" s="2" t="str">
        <f>"肖仁科"</f>
        <v>肖仁科</v>
      </c>
      <c r="B3908" s="2" t="str">
        <f>"B20230401322"</f>
        <v>B20230401322</v>
      </c>
      <c r="C3908" s="2" t="str">
        <f t="shared" ref="C3908:C3912" si="993">"男"</f>
        <v>男</v>
      </c>
      <c r="D3908" s="2" t="str">
        <f t="shared" si="974"/>
        <v>7</v>
      </c>
      <c r="E3908" s="2" t="str">
        <f>"电子信息与电气工程学院"</f>
        <v>电子信息与电气工程学院</v>
      </c>
    </row>
    <row r="3909" ht="13.5" hidden="1" spans="1:5">
      <c r="A3909" s="2" t="str">
        <f>"曹琳"</f>
        <v>曹琳</v>
      </c>
      <c r="B3909" s="2" t="str">
        <f>"B20220903109"</f>
        <v>B20220903109</v>
      </c>
      <c r="C3909" s="2" t="str">
        <f t="shared" ref="C3909:C3914" si="994">"女"</f>
        <v>女</v>
      </c>
      <c r="D3909" s="2" t="str">
        <f t="shared" si="974"/>
        <v>7</v>
      </c>
      <c r="E3909" s="2" t="str">
        <f>"经济与管理学院"</f>
        <v>经济与管理学院</v>
      </c>
    </row>
    <row r="3910" ht="13.5" hidden="1" spans="1:5">
      <c r="A3910" s="2" t="str">
        <f>"吕嘉龙"</f>
        <v>吕嘉龙</v>
      </c>
      <c r="B3910" s="2" t="str">
        <f>"B20230404107"</f>
        <v>B20230404107</v>
      </c>
      <c r="C3910" s="2" t="str">
        <f t="shared" si="993"/>
        <v>男</v>
      </c>
      <c r="D3910" s="2" t="str">
        <f t="shared" si="974"/>
        <v>7</v>
      </c>
      <c r="E3910" s="2" t="str">
        <f>"电子信息与电气工程学院"</f>
        <v>电子信息与电气工程学院</v>
      </c>
    </row>
    <row r="3911" ht="13.5" hidden="1" spans="1:5">
      <c r="A3911" s="2" t="str">
        <f>"王泽林"</f>
        <v>王泽林</v>
      </c>
      <c r="B3911" s="2" t="str">
        <f>"B20231302235"</f>
        <v>B20231302235</v>
      </c>
      <c r="C3911" s="2" t="str">
        <f t="shared" si="993"/>
        <v>男</v>
      </c>
      <c r="D3911" s="2" t="str">
        <f t="shared" si="974"/>
        <v>7</v>
      </c>
      <c r="E3911" s="2" t="str">
        <f>"材料与环境工程学院"</f>
        <v>材料与环境工程学院</v>
      </c>
    </row>
    <row r="3912" customHeight="1" spans="1:5">
      <c r="A3912" s="6" t="str">
        <f>"梁涵"</f>
        <v>梁涵</v>
      </c>
      <c r="B3912" s="6" t="str">
        <f>"B20210305237"</f>
        <v>B20210305237</v>
      </c>
      <c r="C3912" s="6" t="str">
        <f t="shared" si="993"/>
        <v>男</v>
      </c>
      <c r="D3912" s="7" t="str">
        <f>"8"</f>
        <v>8</v>
      </c>
      <c r="E3912" s="6" t="str">
        <f>"计算机科学与工程学院"</f>
        <v>计算机科学与工程学院</v>
      </c>
    </row>
    <row r="3913" ht="13.5" hidden="1" spans="1:5">
      <c r="A3913" s="2" t="str">
        <f>"银淑铃"</f>
        <v>银淑铃</v>
      </c>
      <c r="B3913" s="2" t="str">
        <f>"B20220801414"</f>
        <v>B20220801414</v>
      </c>
      <c r="C3913" s="2" t="str">
        <f t="shared" si="994"/>
        <v>女</v>
      </c>
      <c r="D3913" s="2" t="str">
        <f t="shared" si="974"/>
        <v>7</v>
      </c>
      <c r="E3913" s="2" t="str">
        <f>"外国语学院"</f>
        <v>外国语学院</v>
      </c>
    </row>
    <row r="3914" ht="13.5" hidden="1" spans="1:5">
      <c r="A3914" s="2" t="str">
        <f>"黄乐乐"</f>
        <v>黄乐乐</v>
      </c>
      <c r="B3914" s="2" t="str">
        <f>"B20211003119"</f>
        <v>B20211003119</v>
      </c>
      <c r="C3914" s="2" t="str">
        <f t="shared" si="994"/>
        <v>女</v>
      </c>
      <c r="D3914" s="2" t="str">
        <f t="shared" si="974"/>
        <v>7</v>
      </c>
      <c r="E3914" s="2" t="str">
        <f>"艺术设计学院"</f>
        <v>艺术设计学院</v>
      </c>
    </row>
    <row r="3915" customHeight="1" spans="1:5">
      <c r="A3915" s="6" t="str">
        <f>"严宾"</f>
        <v>严宾</v>
      </c>
      <c r="B3915" s="6" t="str">
        <f>"B20210306101"</f>
        <v>B20210306101</v>
      </c>
      <c r="C3915" s="6" t="str">
        <f>"男"</f>
        <v>男</v>
      </c>
      <c r="D3915" s="7" t="str">
        <f>"6"</f>
        <v>6</v>
      </c>
      <c r="E3915" s="6" t="str">
        <f>"计算机科学与工程学院"</f>
        <v>计算机科学与工程学院</v>
      </c>
    </row>
    <row r="3916" ht="13.5" hidden="1" spans="1:5">
      <c r="A3916" s="2" t="str">
        <f>"伍彦博"</f>
        <v>伍彦博</v>
      </c>
      <c r="B3916" s="2" t="str">
        <f>"B20230201120"</f>
        <v>B20230201120</v>
      </c>
      <c r="C3916" s="2" t="str">
        <f t="shared" ref="C3915:C3917" si="995">"男"</f>
        <v>男</v>
      </c>
      <c r="D3916" s="2" t="str">
        <f t="shared" si="974"/>
        <v>7</v>
      </c>
      <c r="E3916" s="2" t="str">
        <f>"机电工程学院"</f>
        <v>机电工程学院</v>
      </c>
    </row>
    <row r="3917" ht="13.5" hidden="1" spans="1:5">
      <c r="A3917" s="2" t="str">
        <f>"冷亮"</f>
        <v>冷亮</v>
      </c>
      <c r="B3917" s="2" t="str">
        <f>"B20200703205"</f>
        <v>B20200703205</v>
      </c>
      <c r="C3917" s="2" t="str">
        <f t="shared" si="995"/>
        <v>男</v>
      </c>
      <c r="D3917" s="2" t="str">
        <f t="shared" si="974"/>
        <v>7</v>
      </c>
      <c r="E3917" s="2" t="str">
        <f>"马栏山新媒体学院"</f>
        <v>马栏山新媒体学院</v>
      </c>
    </row>
    <row r="3918" ht="13.5" hidden="1" spans="1:5">
      <c r="A3918" s="2" t="str">
        <f>"彭兰琪"</f>
        <v>彭兰琪</v>
      </c>
      <c r="B3918" s="2" t="str">
        <f>"B20220701231"</f>
        <v>B20220701231</v>
      </c>
      <c r="C3918" s="2" t="str">
        <f t="shared" ref="C3918:C3923" si="996">"女"</f>
        <v>女</v>
      </c>
      <c r="D3918" s="2" t="str">
        <f t="shared" si="974"/>
        <v>7</v>
      </c>
      <c r="E3918" s="2" t="str">
        <f>"马栏山新媒体学院"</f>
        <v>马栏山新媒体学院</v>
      </c>
    </row>
    <row r="3919" ht="13.5" hidden="1" spans="1:5">
      <c r="A3919" s="2" t="str">
        <f>"杨善焙"</f>
        <v>杨善焙</v>
      </c>
      <c r="B3919" s="2" t="str">
        <f>"B20230504108"</f>
        <v>B20230504108</v>
      </c>
      <c r="C3919" s="2" t="str">
        <f t="shared" ref="C3919:C3925" si="997">"男"</f>
        <v>男</v>
      </c>
      <c r="D3919" s="2" t="str">
        <f t="shared" ref="D3919:D3982" si="998">"7"</f>
        <v>7</v>
      </c>
      <c r="E3919" s="2" t="str">
        <f>"生物与化学工程学院"</f>
        <v>生物与化学工程学院</v>
      </c>
    </row>
    <row r="3920" ht="13.5" hidden="1" spans="1:5">
      <c r="A3920" s="2" t="str">
        <f>"吴焕宇"</f>
        <v>吴焕宇</v>
      </c>
      <c r="B3920" s="2" t="str">
        <f>"B20230504225"</f>
        <v>B20230504225</v>
      </c>
      <c r="C3920" s="2" t="str">
        <f t="shared" si="997"/>
        <v>男</v>
      </c>
      <c r="D3920" s="2" t="str">
        <f t="shared" si="998"/>
        <v>7</v>
      </c>
      <c r="E3920" s="2" t="str">
        <f>"生物与化学工程学院"</f>
        <v>生物与化学工程学院</v>
      </c>
    </row>
    <row r="3921" ht="13.5" hidden="1" spans="1:5">
      <c r="A3921" s="2" t="str">
        <f>"陈芳雅"</f>
        <v>陈芳雅</v>
      </c>
      <c r="B3921" s="2" t="str">
        <f>"B20210203120"</f>
        <v>B20210203120</v>
      </c>
      <c r="C3921" s="2" t="str">
        <f t="shared" si="996"/>
        <v>女</v>
      </c>
      <c r="D3921" s="2" t="str">
        <f t="shared" si="998"/>
        <v>7</v>
      </c>
      <c r="E3921" s="2" t="str">
        <f>"机电工程学院"</f>
        <v>机电工程学院</v>
      </c>
    </row>
    <row r="3922" ht="13.5" hidden="1" spans="1:5">
      <c r="A3922" s="2" t="str">
        <f>"邬雅萱"</f>
        <v>邬雅萱</v>
      </c>
      <c r="B3922" s="2" t="str">
        <f>"B20200102124"</f>
        <v>B20200102124</v>
      </c>
      <c r="C3922" s="2" t="str">
        <f t="shared" si="996"/>
        <v>女</v>
      </c>
      <c r="D3922" s="2" t="str">
        <f t="shared" si="998"/>
        <v>7</v>
      </c>
      <c r="E3922" s="2" t="str">
        <f>"土木工程学院"</f>
        <v>土木工程学院</v>
      </c>
    </row>
    <row r="3923" customHeight="1" spans="1:5">
      <c r="A3923" s="6" t="str">
        <f>"李秀玲"</f>
        <v>李秀玲</v>
      </c>
      <c r="B3923" s="6" t="str">
        <f>"B20210306103"</f>
        <v>B20210306103</v>
      </c>
      <c r="C3923" s="6" t="str">
        <f t="shared" si="996"/>
        <v>女</v>
      </c>
      <c r="D3923" s="7" t="str">
        <f>"8"</f>
        <v>8</v>
      </c>
      <c r="E3923" s="6" t="str">
        <f>"计算机科学与工程学院"</f>
        <v>计算机科学与工程学院</v>
      </c>
    </row>
    <row r="3924" ht="13.5" hidden="1" spans="1:5">
      <c r="A3924" s="2" t="str">
        <f>"张峻铭"</f>
        <v>张峻铭</v>
      </c>
      <c r="B3924" s="2" t="str">
        <f>"B20210201305"</f>
        <v>B20210201305</v>
      </c>
      <c r="C3924" s="2" t="str">
        <f t="shared" si="997"/>
        <v>男</v>
      </c>
      <c r="D3924" s="2" t="str">
        <f t="shared" si="998"/>
        <v>7</v>
      </c>
      <c r="E3924" s="2" t="str">
        <f>"机电工程学院"</f>
        <v>机电工程学院</v>
      </c>
    </row>
    <row r="3925" customHeight="1" spans="1:5">
      <c r="A3925" s="6" t="str">
        <f>"王蓉"</f>
        <v>王蓉</v>
      </c>
      <c r="B3925" s="6" t="str">
        <f>"B20210306105"</f>
        <v>B20210306105</v>
      </c>
      <c r="C3925" s="6" t="str">
        <f>"女"</f>
        <v>女</v>
      </c>
      <c r="D3925" s="7" t="str">
        <f>"12"</f>
        <v>12</v>
      </c>
      <c r="E3925" s="6" t="str">
        <f>"计算机科学与工程学院"</f>
        <v>计算机科学与工程学院</v>
      </c>
    </row>
    <row r="3926" ht="13.5" hidden="1" spans="1:5">
      <c r="A3926" s="2" t="str">
        <f>"王盛杨"</f>
        <v>王盛杨</v>
      </c>
      <c r="B3926" s="2" t="str">
        <f>"B20220801220"</f>
        <v>B20220801220</v>
      </c>
      <c r="C3926" s="2" t="str">
        <f t="shared" ref="C3926:C3930" si="999">"女"</f>
        <v>女</v>
      </c>
      <c r="D3926" s="2" t="str">
        <f t="shared" si="998"/>
        <v>7</v>
      </c>
      <c r="E3926" s="2" t="str">
        <f>"外国语学院"</f>
        <v>外国语学院</v>
      </c>
    </row>
    <row r="3927" ht="13.5" hidden="1" spans="1:5">
      <c r="A3927" s="2" t="str">
        <f>"彭笑笑"</f>
        <v>彭笑笑</v>
      </c>
      <c r="B3927" s="2" t="str">
        <f>"B20210704317"</f>
        <v>B20210704317</v>
      </c>
      <c r="C3927" s="2" t="str">
        <f t="shared" si="999"/>
        <v>女</v>
      </c>
      <c r="D3927" s="2" t="str">
        <f t="shared" si="998"/>
        <v>7</v>
      </c>
      <c r="E3927" s="2" t="str">
        <f>"马栏山新媒体学院"</f>
        <v>马栏山新媒体学院</v>
      </c>
    </row>
    <row r="3928" ht="13.5" hidden="1" spans="1:5">
      <c r="A3928" s="2" t="str">
        <f>"刘文卓"</f>
        <v>刘文卓</v>
      </c>
      <c r="B3928" s="2" t="str">
        <f>"B20220403325"</f>
        <v>B20220403325</v>
      </c>
      <c r="C3928" s="2" t="str">
        <f t="shared" ref="C3928:C3932" si="1000">"男"</f>
        <v>男</v>
      </c>
      <c r="D3928" s="2" t="str">
        <f t="shared" si="998"/>
        <v>7</v>
      </c>
      <c r="E3928" s="2" t="str">
        <f>"电子信息与电气工程学院"</f>
        <v>电子信息与电气工程学院</v>
      </c>
    </row>
    <row r="3929" ht="13.5" hidden="1" spans="1:5">
      <c r="A3929" s="2" t="str">
        <f>"符甜甜"</f>
        <v>符甜甜</v>
      </c>
      <c r="B3929" s="2" t="str">
        <f>"B20200801408"</f>
        <v>B20200801408</v>
      </c>
      <c r="C3929" s="2" t="str">
        <f t="shared" si="999"/>
        <v>女</v>
      </c>
      <c r="D3929" s="2" t="str">
        <f t="shared" si="998"/>
        <v>7</v>
      </c>
      <c r="E3929" s="2" t="str">
        <f>"外国语学院"</f>
        <v>外国语学院</v>
      </c>
    </row>
    <row r="3930" ht="13.5" hidden="1" spans="1:5">
      <c r="A3930" s="2" t="str">
        <f>"王小丫"</f>
        <v>王小丫</v>
      </c>
      <c r="B3930" s="2" t="str">
        <f>"B20220905110"</f>
        <v>B20220905110</v>
      </c>
      <c r="C3930" s="2" t="str">
        <f t="shared" si="999"/>
        <v>女</v>
      </c>
      <c r="D3930" s="2" t="str">
        <f t="shared" si="998"/>
        <v>7</v>
      </c>
      <c r="E3930" s="2" t="str">
        <f>"经济与管理学院"</f>
        <v>经济与管理学院</v>
      </c>
    </row>
    <row r="3931" ht="13.5" hidden="1" spans="1:5">
      <c r="A3931" s="2" t="str">
        <f>"文奕天"</f>
        <v>文奕天</v>
      </c>
      <c r="B3931" s="2" t="str">
        <f>"B20230401125"</f>
        <v>B20230401125</v>
      </c>
      <c r="C3931" s="2" t="str">
        <f t="shared" si="1000"/>
        <v>男</v>
      </c>
      <c r="D3931" s="2" t="str">
        <f t="shared" si="998"/>
        <v>7</v>
      </c>
      <c r="E3931" s="2" t="str">
        <f>"电子信息与电气工程学院"</f>
        <v>电子信息与电气工程学院</v>
      </c>
    </row>
    <row r="3932" ht="13.5" hidden="1" spans="1:5">
      <c r="A3932" s="2" t="str">
        <f>"郑晨晨"</f>
        <v>郑晨晨</v>
      </c>
      <c r="B3932" s="2" t="str">
        <f>"B20210101224"</f>
        <v>B20210101224</v>
      </c>
      <c r="C3932" s="2" t="str">
        <f t="shared" si="1000"/>
        <v>男</v>
      </c>
      <c r="D3932" s="2" t="str">
        <f t="shared" si="998"/>
        <v>7</v>
      </c>
      <c r="E3932" s="2" t="str">
        <f>"土木工程学院"</f>
        <v>土木工程学院</v>
      </c>
    </row>
    <row r="3933" ht="13.5" hidden="1" spans="1:5">
      <c r="A3933" s="2" t="str">
        <f>"余宇贤"</f>
        <v>余宇贤</v>
      </c>
      <c r="B3933" s="2" t="str">
        <f>"B20230201334"</f>
        <v>B20230201334</v>
      </c>
      <c r="C3933" s="2" t="str">
        <f>"女"</f>
        <v>女</v>
      </c>
      <c r="D3933" s="2" t="str">
        <f t="shared" si="998"/>
        <v>7</v>
      </c>
      <c r="E3933" s="2" t="str">
        <f>"机电工程学院"</f>
        <v>机电工程学院</v>
      </c>
    </row>
    <row r="3934" ht="13.5" hidden="1" spans="1:5">
      <c r="A3934" s="2" t="str">
        <f>"李强"</f>
        <v>李强</v>
      </c>
      <c r="B3934" s="2" t="str">
        <f>"B20200201404"</f>
        <v>B20200201404</v>
      </c>
      <c r="C3934" s="2" t="str">
        <f t="shared" ref="C3934:C3938" si="1001">"男"</f>
        <v>男</v>
      </c>
      <c r="D3934" s="2" t="str">
        <f t="shared" si="998"/>
        <v>7</v>
      </c>
      <c r="E3934" s="2" t="str">
        <f>"机电工程学院"</f>
        <v>机电工程学院</v>
      </c>
    </row>
    <row r="3935" ht="13.5" hidden="1" spans="1:5">
      <c r="A3935" s="2" t="str">
        <f>"刘礼贤"</f>
        <v>刘礼贤</v>
      </c>
      <c r="B3935" s="2" t="str">
        <f>"B20231001409"</f>
        <v>B20231001409</v>
      </c>
      <c r="C3935" s="2" t="str">
        <f t="shared" si="1001"/>
        <v>男</v>
      </c>
      <c r="D3935" s="2" t="str">
        <f t="shared" si="998"/>
        <v>7</v>
      </c>
      <c r="E3935" s="2" t="str">
        <f>"艺术设计学院"</f>
        <v>艺术设计学院</v>
      </c>
    </row>
    <row r="3936" ht="13.5" hidden="1" spans="1:5">
      <c r="A3936" s="2" t="str">
        <f>"杨敏怡"</f>
        <v>杨敏怡</v>
      </c>
      <c r="B3936" s="2" t="str">
        <f>"B20220905221"</f>
        <v>B20220905221</v>
      </c>
      <c r="C3936" s="2" t="str">
        <f t="shared" ref="C3936:C3942" si="1002">"女"</f>
        <v>女</v>
      </c>
      <c r="D3936" s="2" t="str">
        <f t="shared" si="998"/>
        <v>7</v>
      </c>
      <c r="E3936" s="2" t="str">
        <f t="shared" ref="E3936:E3941" si="1003">"经济与管理学院"</f>
        <v>经济与管理学院</v>
      </c>
    </row>
    <row r="3937" ht="13.5" hidden="1" spans="1:5">
      <c r="A3937" s="2" t="str">
        <f>"唐是酉"</f>
        <v>唐是酉</v>
      </c>
      <c r="B3937" s="2" t="str">
        <f>"B20231002407"</f>
        <v>B20231002407</v>
      </c>
      <c r="C3937" s="2" t="str">
        <f t="shared" si="1001"/>
        <v>男</v>
      </c>
      <c r="D3937" s="2" t="str">
        <f t="shared" si="998"/>
        <v>7</v>
      </c>
      <c r="E3937" s="2" t="str">
        <f>"艺术设计学院"</f>
        <v>艺术设计学院</v>
      </c>
    </row>
    <row r="3938" ht="13.5" hidden="1" spans="1:5">
      <c r="A3938" s="2" t="str">
        <f>"边泽恒"</f>
        <v>边泽恒</v>
      </c>
      <c r="B3938" s="2" t="str">
        <f>"B20230801113"</f>
        <v>B20230801113</v>
      </c>
      <c r="C3938" s="2" t="str">
        <f t="shared" si="1001"/>
        <v>男</v>
      </c>
      <c r="D3938" s="2" t="str">
        <f t="shared" si="998"/>
        <v>7</v>
      </c>
      <c r="E3938" s="2" t="str">
        <f>"外国语学院"</f>
        <v>外国语学院</v>
      </c>
    </row>
    <row r="3939" ht="13.5" hidden="1" spans="1:5">
      <c r="A3939" s="2" t="str">
        <f>"胡琴"</f>
        <v>胡琴</v>
      </c>
      <c r="B3939" s="2" t="str">
        <f>"B20220801327"</f>
        <v>B20220801327</v>
      </c>
      <c r="C3939" s="2" t="str">
        <f t="shared" si="1002"/>
        <v>女</v>
      </c>
      <c r="D3939" s="2" t="str">
        <f t="shared" si="998"/>
        <v>7</v>
      </c>
      <c r="E3939" s="2" t="str">
        <f>"外国语学院"</f>
        <v>外国语学院</v>
      </c>
    </row>
    <row r="3940" ht="13.5" hidden="1" spans="1:5">
      <c r="A3940" s="2" t="str">
        <f>"徐思语"</f>
        <v>徐思语</v>
      </c>
      <c r="B3940" s="2" t="str">
        <f>"B20220906219"</f>
        <v>B20220906219</v>
      </c>
      <c r="C3940" s="2" t="str">
        <f t="shared" si="1002"/>
        <v>女</v>
      </c>
      <c r="D3940" s="2" t="str">
        <f t="shared" si="998"/>
        <v>7</v>
      </c>
      <c r="E3940" s="2" t="str">
        <f t="shared" si="1003"/>
        <v>经济与管理学院</v>
      </c>
    </row>
    <row r="3941" ht="13.5" hidden="1" spans="1:5">
      <c r="A3941" s="2" t="str">
        <f>"王芊"</f>
        <v>王芊</v>
      </c>
      <c r="B3941" s="2" t="str">
        <f>"B20210904326"</f>
        <v>B20210904326</v>
      </c>
      <c r="C3941" s="2" t="str">
        <f t="shared" si="1002"/>
        <v>女</v>
      </c>
      <c r="D3941" s="2" t="str">
        <f t="shared" si="998"/>
        <v>7</v>
      </c>
      <c r="E3941" s="2" t="str">
        <f t="shared" si="1003"/>
        <v>经济与管理学院</v>
      </c>
    </row>
    <row r="3942" ht="13.5" hidden="1" spans="1:5">
      <c r="A3942" s="2" t="str">
        <f>"谢紫涵"</f>
        <v>谢紫涵</v>
      </c>
      <c r="B3942" s="2" t="str">
        <f>"B20230504424"</f>
        <v>B20230504424</v>
      </c>
      <c r="C3942" s="2" t="str">
        <f t="shared" si="1002"/>
        <v>女</v>
      </c>
      <c r="D3942" s="2" t="str">
        <f t="shared" si="998"/>
        <v>7</v>
      </c>
      <c r="E3942" s="2" t="str">
        <f>"生物与化学工程学院"</f>
        <v>生物与化学工程学院</v>
      </c>
    </row>
    <row r="3943" ht="13.5" hidden="1" spans="1:5">
      <c r="A3943" s="2" t="str">
        <f>"朱绎晓"</f>
        <v>朱绎晓</v>
      </c>
      <c r="B3943" s="2" t="str">
        <f>"B20230202133"</f>
        <v>B20230202133</v>
      </c>
      <c r="C3943" s="2" t="str">
        <f t="shared" ref="C3943:C3946" si="1004">"男"</f>
        <v>男</v>
      </c>
      <c r="D3943" s="2" t="str">
        <f t="shared" si="998"/>
        <v>7</v>
      </c>
      <c r="E3943" s="2" t="str">
        <f>"机电工程学院"</f>
        <v>机电工程学院</v>
      </c>
    </row>
    <row r="3944" ht="13.5" hidden="1" spans="1:5">
      <c r="A3944" s="2" t="str">
        <f>"何敏"</f>
        <v>何敏</v>
      </c>
      <c r="B3944" s="2" t="str">
        <f>"B20230701428"</f>
        <v>B20230701428</v>
      </c>
      <c r="C3944" s="2" t="str">
        <f t="shared" ref="C3944:C3949" si="1005">"女"</f>
        <v>女</v>
      </c>
      <c r="D3944" s="2" t="str">
        <f t="shared" si="998"/>
        <v>7</v>
      </c>
      <c r="E3944" s="2" t="str">
        <f>"马栏山新媒体学院"</f>
        <v>马栏山新媒体学院</v>
      </c>
    </row>
    <row r="3945" ht="13.5" hidden="1" spans="1:5">
      <c r="A3945" s="2" t="str">
        <f>"王子旬"</f>
        <v>王子旬</v>
      </c>
      <c r="B3945" s="2" t="str">
        <f>"B20200401101"</f>
        <v>B20200401101</v>
      </c>
      <c r="C3945" s="2" t="str">
        <f t="shared" si="1004"/>
        <v>男</v>
      </c>
      <c r="D3945" s="2" t="str">
        <f t="shared" si="998"/>
        <v>7</v>
      </c>
      <c r="E3945" s="2" t="str">
        <f>"电子信息与电气工程学院"</f>
        <v>电子信息与电气工程学院</v>
      </c>
    </row>
    <row r="3946" customHeight="1" spans="1:5">
      <c r="A3946" s="6" t="str">
        <f>"罗振佳"</f>
        <v>罗振佳</v>
      </c>
      <c r="B3946" s="6" t="str">
        <f>"B20210306106"</f>
        <v>B20210306106</v>
      </c>
      <c r="C3946" s="6" t="str">
        <f t="shared" si="1004"/>
        <v>男</v>
      </c>
      <c r="D3946" s="7" t="str">
        <f>"6"</f>
        <v>6</v>
      </c>
      <c r="E3946" s="6" t="str">
        <f>"计算机科学与工程学院"</f>
        <v>计算机科学与工程学院</v>
      </c>
    </row>
    <row r="3947" ht="13.5" hidden="1" spans="1:5">
      <c r="A3947" s="2" t="str">
        <f>"唐露露"</f>
        <v>唐露露</v>
      </c>
      <c r="B3947" s="2" t="str">
        <f>"B20210904225"</f>
        <v>B20210904225</v>
      </c>
      <c r="C3947" s="2" t="str">
        <f t="shared" si="1005"/>
        <v>女</v>
      </c>
      <c r="D3947" s="2" t="str">
        <f t="shared" si="998"/>
        <v>7</v>
      </c>
      <c r="E3947" s="2" t="str">
        <f>"经济与管理学院"</f>
        <v>经济与管理学院</v>
      </c>
    </row>
    <row r="3948" ht="13.5" hidden="1" spans="1:5">
      <c r="A3948" s="2" t="str">
        <f>"鲍敏"</f>
        <v>鲍敏</v>
      </c>
      <c r="B3948" s="2" t="str">
        <f>"B20230601129"</f>
        <v>B20230601129</v>
      </c>
      <c r="C3948" s="2" t="str">
        <f t="shared" si="1005"/>
        <v>女</v>
      </c>
      <c r="D3948" s="2" t="str">
        <f t="shared" si="998"/>
        <v>7</v>
      </c>
      <c r="E3948" s="2" t="str">
        <f>"法学院"</f>
        <v>法学院</v>
      </c>
    </row>
    <row r="3949" ht="13.5" hidden="1" spans="1:5">
      <c r="A3949" s="2" t="str">
        <f>"樊紫微"</f>
        <v>樊紫微</v>
      </c>
      <c r="B3949" s="2" t="str">
        <f>"B20230701413"</f>
        <v>B20230701413</v>
      </c>
      <c r="C3949" s="2" t="str">
        <f t="shared" si="1005"/>
        <v>女</v>
      </c>
      <c r="D3949" s="2" t="str">
        <f t="shared" si="998"/>
        <v>7</v>
      </c>
      <c r="E3949" s="2" t="str">
        <f>"马栏山新媒体学院"</f>
        <v>马栏山新媒体学院</v>
      </c>
    </row>
    <row r="3950" ht="13.5" hidden="1" spans="1:5">
      <c r="A3950" s="2" t="str">
        <f>"梁青"</f>
        <v>梁青</v>
      </c>
      <c r="B3950" s="2" t="str">
        <f>"B20220504324"</f>
        <v>B20220504324</v>
      </c>
      <c r="C3950" s="2" t="str">
        <f t="shared" ref="C3950:C3955" si="1006">"男"</f>
        <v>男</v>
      </c>
      <c r="D3950" s="2" t="str">
        <f t="shared" si="998"/>
        <v>7</v>
      </c>
      <c r="E3950" s="2" t="str">
        <f>"生物与化学工程学院"</f>
        <v>生物与化学工程学院</v>
      </c>
    </row>
    <row r="3951" ht="13.5" hidden="1" spans="1:5">
      <c r="A3951" s="2" t="str">
        <f>"程宏明"</f>
        <v>程宏明</v>
      </c>
      <c r="B3951" s="2" t="str">
        <f>"B20200401204"</f>
        <v>B20200401204</v>
      </c>
      <c r="C3951" s="2" t="str">
        <f t="shared" si="1006"/>
        <v>男</v>
      </c>
      <c r="D3951" s="2" t="str">
        <f t="shared" si="998"/>
        <v>7</v>
      </c>
      <c r="E3951" s="2" t="str">
        <f>"电子信息与电气工程学院"</f>
        <v>电子信息与电气工程学院</v>
      </c>
    </row>
    <row r="3952" ht="13.5" hidden="1" spans="1:5">
      <c r="A3952" s="2" t="str">
        <f>"陈哲豪"</f>
        <v>陈哲豪</v>
      </c>
      <c r="B3952" s="2" t="str">
        <f>"B20210404201"</f>
        <v>B20210404201</v>
      </c>
      <c r="C3952" s="2" t="str">
        <f t="shared" si="1006"/>
        <v>男</v>
      </c>
      <c r="D3952" s="2" t="str">
        <f t="shared" si="998"/>
        <v>7</v>
      </c>
      <c r="E3952" s="2" t="str">
        <f>"电子信息与电气工程学院"</f>
        <v>电子信息与电气工程学院</v>
      </c>
    </row>
    <row r="3953" customHeight="1" spans="1:5">
      <c r="A3953" s="6" t="str">
        <f>"刘宇航"</f>
        <v>刘宇航</v>
      </c>
      <c r="B3953" s="6" t="str">
        <f>"B20210306107"</f>
        <v>B20210306107</v>
      </c>
      <c r="C3953" s="6" t="str">
        <f t="shared" si="1006"/>
        <v>男</v>
      </c>
      <c r="D3953" s="7" t="str">
        <f>"6"</f>
        <v>6</v>
      </c>
      <c r="E3953" s="6" t="str">
        <f>"计算机科学与工程学院"</f>
        <v>计算机科学与工程学院</v>
      </c>
    </row>
    <row r="3954" ht="13.5" hidden="1" spans="1:5">
      <c r="A3954" s="2" t="str">
        <f>"周宁杭"</f>
        <v>周宁杭</v>
      </c>
      <c r="B3954" s="2" t="str">
        <f>"B20230501234"</f>
        <v>B20230501234</v>
      </c>
      <c r="C3954" s="2" t="str">
        <f t="shared" si="1006"/>
        <v>男</v>
      </c>
      <c r="D3954" s="2" t="str">
        <f t="shared" si="998"/>
        <v>7</v>
      </c>
      <c r="E3954" s="2" t="str">
        <f>"生物与化学工程学院"</f>
        <v>生物与化学工程学院</v>
      </c>
    </row>
    <row r="3955" customHeight="1" spans="1:5">
      <c r="A3955" s="6" t="str">
        <f>"汪宁"</f>
        <v>汪宁</v>
      </c>
      <c r="B3955" s="6" t="str">
        <f>"B20210306108"</f>
        <v>B20210306108</v>
      </c>
      <c r="C3955" s="6" t="str">
        <f>"女"</f>
        <v>女</v>
      </c>
      <c r="D3955" s="7" t="str">
        <f>"5"</f>
        <v>5</v>
      </c>
      <c r="E3955" s="6" t="str">
        <f>"计算机科学与工程学院"</f>
        <v>计算机科学与工程学院</v>
      </c>
    </row>
    <row r="3956" ht="13.5" hidden="1" spans="1:5">
      <c r="A3956" s="2" t="str">
        <f>"晏裕评"</f>
        <v>晏裕评</v>
      </c>
      <c r="B3956" s="2" t="str">
        <f>"B20201101302"</f>
        <v>B20201101302</v>
      </c>
      <c r="C3956" s="2" t="str">
        <f t="shared" ref="C3956:C3959" si="1007">"女"</f>
        <v>女</v>
      </c>
      <c r="D3956" s="2" t="str">
        <f t="shared" si="998"/>
        <v>7</v>
      </c>
      <c r="E3956" s="2" t="str">
        <f t="shared" ref="E3956:E3958" si="1008">"音乐学院"</f>
        <v>音乐学院</v>
      </c>
    </row>
    <row r="3957" ht="13.5" hidden="1" spans="1:5">
      <c r="A3957" s="2" t="str">
        <f>"赵涵锐"</f>
        <v>赵涵锐</v>
      </c>
      <c r="B3957" s="2" t="str">
        <f>"B20221111122"</f>
        <v>B20221111122</v>
      </c>
      <c r="C3957" s="2" t="str">
        <f t="shared" si="1007"/>
        <v>女</v>
      </c>
      <c r="D3957" s="2" t="str">
        <f t="shared" si="998"/>
        <v>7</v>
      </c>
      <c r="E3957" s="2" t="str">
        <f t="shared" si="1008"/>
        <v>音乐学院</v>
      </c>
    </row>
    <row r="3958" ht="13.5" hidden="1" spans="1:5">
      <c r="A3958" s="2" t="str">
        <f>"徐宇航"</f>
        <v>徐宇航</v>
      </c>
      <c r="B3958" s="2" t="str">
        <f>"B20231101106"</f>
        <v>B20231101106</v>
      </c>
      <c r="C3958" s="2" t="str">
        <f t="shared" ref="C3958:C3961" si="1009">"男"</f>
        <v>男</v>
      </c>
      <c r="D3958" s="2" t="str">
        <f t="shared" si="998"/>
        <v>7</v>
      </c>
      <c r="E3958" s="2" t="str">
        <f t="shared" si="1008"/>
        <v>音乐学院</v>
      </c>
    </row>
    <row r="3959" ht="13.5" hidden="1" spans="1:5">
      <c r="A3959" s="2" t="str">
        <f>"黄咏嘉"</f>
        <v>黄咏嘉</v>
      </c>
      <c r="B3959" s="2" t="str">
        <f>"B20210903244"</f>
        <v>B20210903244</v>
      </c>
      <c r="C3959" s="2" t="str">
        <f t="shared" si="1007"/>
        <v>女</v>
      </c>
      <c r="D3959" s="2" t="str">
        <f t="shared" si="998"/>
        <v>7</v>
      </c>
      <c r="E3959" s="2" t="str">
        <f>"经济与管理学院"</f>
        <v>经济与管理学院</v>
      </c>
    </row>
    <row r="3960" ht="13.5" hidden="1" spans="1:5">
      <c r="A3960" s="2" t="str">
        <f>"屈杰"</f>
        <v>屈杰</v>
      </c>
      <c r="B3960" s="2" t="str">
        <f>"B20210101430"</f>
        <v>B20210101430</v>
      </c>
      <c r="C3960" s="2" t="str">
        <f t="shared" si="1009"/>
        <v>男</v>
      </c>
      <c r="D3960" s="2" t="str">
        <f t="shared" si="998"/>
        <v>7</v>
      </c>
      <c r="E3960" s="2" t="str">
        <f>"土木工程学院"</f>
        <v>土木工程学院</v>
      </c>
    </row>
    <row r="3961" ht="13.5" hidden="1" spans="1:5">
      <c r="A3961" s="2" t="str">
        <f>"邹开锋"</f>
        <v>邹开锋</v>
      </c>
      <c r="B3961" s="2" t="str">
        <f>"B20230202427"</f>
        <v>B20230202427</v>
      </c>
      <c r="C3961" s="2" t="str">
        <f t="shared" si="1009"/>
        <v>男</v>
      </c>
      <c r="D3961" s="2" t="str">
        <f t="shared" si="998"/>
        <v>7</v>
      </c>
      <c r="E3961" s="2" t="str">
        <f t="shared" ref="E3961:E3966" si="1010">"机电工程学院"</f>
        <v>机电工程学院</v>
      </c>
    </row>
    <row r="3962" ht="13.5" hidden="1" spans="1:5">
      <c r="A3962" s="2" t="str">
        <f>"梁颖妍"</f>
        <v>梁颖妍</v>
      </c>
      <c r="B3962" s="2" t="str">
        <f>"B20221003123"</f>
        <v>B20221003123</v>
      </c>
      <c r="C3962" s="2" t="str">
        <f t="shared" ref="C3962:C3969" si="1011">"女"</f>
        <v>女</v>
      </c>
      <c r="D3962" s="2" t="str">
        <f t="shared" si="998"/>
        <v>7</v>
      </c>
      <c r="E3962" s="2" t="str">
        <f>"艺术设计学院"</f>
        <v>艺术设计学院</v>
      </c>
    </row>
    <row r="3963" ht="13.5" hidden="1" spans="1:5">
      <c r="A3963" s="2" t="str">
        <f>"罗民峰"</f>
        <v>罗民峰</v>
      </c>
      <c r="B3963" s="2" t="str">
        <f>"B20200101114"</f>
        <v>B20200101114</v>
      </c>
      <c r="C3963" s="2" t="str">
        <f>"男"</f>
        <v>男</v>
      </c>
      <c r="D3963" s="2" t="str">
        <f t="shared" si="998"/>
        <v>7</v>
      </c>
      <c r="E3963" s="2" t="str">
        <f>"土木工程学院"</f>
        <v>土木工程学院</v>
      </c>
    </row>
    <row r="3964" ht="13.5" hidden="1" spans="1:5">
      <c r="A3964" s="2" t="str">
        <f>"陈湛"</f>
        <v>陈湛</v>
      </c>
      <c r="B3964" s="2" t="str">
        <f>"B20230204113"</f>
        <v>B20230204113</v>
      </c>
      <c r="C3964" s="2" t="str">
        <f>"男"</f>
        <v>男</v>
      </c>
      <c r="D3964" s="2" t="str">
        <f t="shared" si="998"/>
        <v>7</v>
      </c>
      <c r="E3964" s="2" t="str">
        <f t="shared" si="1010"/>
        <v>机电工程学院</v>
      </c>
    </row>
    <row r="3965" ht="13.5" hidden="1" spans="1:5">
      <c r="A3965" s="2" t="str">
        <f>"姜宇星"</f>
        <v>姜宇星</v>
      </c>
      <c r="B3965" s="2" t="str">
        <f>"B20231111127"</f>
        <v>B20231111127</v>
      </c>
      <c r="C3965" s="2" t="str">
        <f t="shared" si="1011"/>
        <v>女</v>
      </c>
      <c r="D3965" s="2" t="str">
        <f t="shared" si="998"/>
        <v>7</v>
      </c>
      <c r="E3965" s="2" t="str">
        <f>"音乐学院"</f>
        <v>音乐学院</v>
      </c>
    </row>
    <row r="3966" ht="13.5" hidden="1" spans="1:5">
      <c r="A3966" s="2" t="str">
        <f>"陈铭"</f>
        <v>陈铭</v>
      </c>
      <c r="B3966" s="2" t="str">
        <f>"B20220204126"</f>
        <v>B20220204126</v>
      </c>
      <c r="C3966" s="2" t="str">
        <f t="shared" si="1011"/>
        <v>女</v>
      </c>
      <c r="D3966" s="2" t="str">
        <f t="shared" si="998"/>
        <v>7</v>
      </c>
      <c r="E3966" s="2" t="str">
        <f t="shared" si="1010"/>
        <v>机电工程学院</v>
      </c>
    </row>
    <row r="3967" ht="13.5" hidden="1" spans="1:5">
      <c r="A3967" s="2" t="str">
        <f>"王娜娜"</f>
        <v>王娜娜</v>
      </c>
      <c r="B3967" s="2" t="str">
        <f>"B20201002314"</f>
        <v>B20201002314</v>
      </c>
      <c r="C3967" s="2" t="str">
        <f t="shared" si="1011"/>
        <v>女</v>
      </c>
      <c r="D3967" s="2" t="str">
        <f t="shared" si="998"/>
        <v>7</v>
      </c>
      <c r="E3967" s="2" t="str">
        <f>"艺术设计学院"</f>
        <v>艺术设计学院</v>
      </c>
    </row>
    <row r="3968" ht="13.5" hidden="1" spans="1:5">
      <c r="A3968" s="2" t="str">
        <f>"唐沁鑫"</f>
        <v>唐沁鑫</v>
      </c>
      <c r="B3968" s="2" t="str">
        <f>"B20220902110"</f>
        <v>B20220902110</v>
      </c>
      <c r="C3968" s="2" t="str">
        <f t="shared" si="1011"/>
        <v>女</v>
      </c>
      <c r="D3968" s="2" t="str">
        <f t="shared" si="998"/>
        <v>7</v>
      </c>
      <c r="E3968" s="2" t="str">
        <f>"经济与管理学院"</f>
        <v>经济与管理学院</v>
      </c>
    </row>
    <row r="3969" ht="13.5" hidden="1" spans="1:5">
      <c r="A3969" s="2" t="str">
        <f>"滕媛媛"</f>
        <v>滕媛媛</v>
      </c>
      <c r="B3969" s="2" t="str">
        <f>"B20220906237"</f>
        <v>B20220906237</v>
      </c>
      <c r="C3969" s="2" t="str">
        <f t="shared" si="1011"/>
        <v>女</v>
      </c>
      <c r="D3969" s="2" t="str">
        <f t="shared" si="998"/>
        <v>7</v>
      </c>
      <c r="E3969" s="2" t="str">
        <f>"经济与管理学院"</f>
        <v>经济与管理学院</v>
      </c>
    </row>
    <row r="3970" ht="13.5" hidden="1" spans="1:5">
      <c r="A3970" s="2" t="str">
        <f>"田利伟"</f>
        <v>田利伟</v>
      </c>
      <c r="B3970" s="2" t="str">
        <f>"B20230401318"</f>
        <v>B20230401318</v>
      </c>
      <c r="C3970" s="2" t="str">
        <f t="shared" ref="C3970:C3973" si="1012">"男"</f>
        <v>男</v>
      </c>
      <c r="D3970" s="2" t="str">
        <f t="shared" si="998"/>
        <v>7</v>
      </c>
      <c r="E3970" s="2" t="str">
        <f>"电子信息与电气工程学院"</f>
        <v>电子信息与电气工程学院</v>
      </c>
    </row>
    <row r="3971" ht="13.5" hidden="1" spans="1:5">
      <c r="A3971" s="2" t="str">
        <f>"张文权"</f>
        <v>张文权</v>
      </c>
      <c r="B3971" s="2" t="str">
        <f>"B20231301131"</f>
        <v>B20231301131</v>
      </c>
      <c r="C3971" s="2" t="str">
        <f t="shared" si="1012"/>
        <v>男</v>
      </c>
      <c r="D3971" s="2" t="str">
        <f t="shared" si="998"/>
        <v>7</v>
      </c>
      <c r="E3971" s="2" t="str">
        <f>"材料与环境工程学院"</f>
        <v>材料与环境工程学院</v>
      </c>
    </row>
    <row r="3972" ht="13.5" hidden="1" spans="1:5">
      <c r="A3972" s="2" t="str">
        <f>"廖雨欣"</f>
        <v>廖雨欣</v>
      </c>
      <c r="B3972" s="2" t="str">
        <f>"B20220104202"</f>
        <v>B20220104202</v>
      </c>
      <c r="C3972" s="2" t="str">
        <f t="shared" ref="C3972:C3976" si="1013">"女"</f>
        <v>女</v>
      </c>
      <c r="D3972" s="2" t="str">
        <f t="shared" si="998"/>
        <v>7</v>
      </c>
      <c r="E3972" s="2" t="str">
        <f>"土木工程学院"</f>
        <v>土木工程学院</v>
      </c>
    </row>
    <row r="3973" ht="13.5" hidden="1" spans="1:5">
      <c r="A3973" s="2" t="str">
        <f>"李凌霄"</f>
        <v>李凌霄</v>
      </c>
      <c r="B3973" s="2" t="str">
        <f>"B20210501234"</f>
        <v>B20210501234</v>
      </c>
      <c r="C3973" s="2" t="str">
        <f t="shared" si="1012"/>
        <v>男</v>
      </c>
      <c r="D3973" s="2" t="str">
        <f t="shared" si="998"/>
        <v>7</v>
      </c>
      <c r="E3973" s="2" t="str">
        <f>"生物与化学工程学院"</f>
        <v>生物与化学工程学院</v>
      </c>
    </row>
    <row r="3974" ht="13.5" hidden="1" spans="1:5">
      <c r="A3974" s="2" t="str">
        <f>"康琰琰"</f>
        <v>康琰琰</v>
      </c>
      <c r="B3974" s="2" t="str">
        <f>"B20230801429"</f>
        <v>B20230801429</v>
      </c>
      <c r="C3974" s="2" t="str">
        <f t="shared" si="1013"/>
        <v>女</v>
      </c>
      <c r="D3974" s="2" t="str">
        <f t="shared" si="998"/>
        <v>7</v>
      </c>
      <c r="E3974" s="2" t="str">
        <f>"外国语学院"</f>
        <v>外国语学院</v>
      </c>
    </row>
    <row r="3975" ht="13.5" hidden="1" spans="1:5">
      <c r="A3975" s="2" t="str">
        <f>"陈可涵"</f>
        <v>陈可涵</v>
      </c>
      <c r="B3975" s="2" t="str">
        <f>"B20220905116"</f>
        <v>B20220905116</v>
      </c>
      <c r="C3975" s="2" t="str">
        <f t="shared" si="1013"/>
        <v>女</v>
      </c>
      <c r="D3975" s="2" t="str">
        <f t="shared" si="998"/>
        <v>7</v>
      </c>
      <c r="E3975" s="2" t="str">
        <f t="shared" ref="E3975:E3979" si="1014">"经济与管理学院"</f>
        <v>经济与管理学院</v>
      </c>
    </row>
    <row r="3976" ht="13.5" hidden="1" spans="1:5">
      <c r="A3976" s="2" t="str">
        <f>"王卓琳"</f>
        <v>王卓琳</v>
      </c>
      <c r="B3976" s="2" t="str">
        <f>"B20230901319"</f>
        <v>B20230901319</v>
      </c>
      <c r="C3976" s="2" t="str">
        <f t="shared" si="1013"/>
        <v>女</v>
      </c>
      <c r="D3976" s="2" t="str">
        <f t="shared" si="998"/>
        <v>7</v>
      </c>
      <c r="E3976" s="2" t="str">
        <f t="shared" si="1014"/>
        <v>经济与管理学院</v>
      </c>
    </row>
    <row r="3977" ht="13.5" hidden="1" spans="1:5">
      <c r="A3977" s="2" t="str">
        <f>"朱世伟"</f>
        <v>朱世伟</v>
      </c>
      <c r="B3977" s="2" t="str">
        <f>"B20210401414"</f>
        <v>B20210401414</v>
      </c>
      <c r="C3977" s="2" t="str">
        <f>"男"</f>
        <v>男</v>
      </c>
      <c r="D3977" s="2" t="str">
        <f t="shared" si="998"/>
        <v>7</v>
      </c>
      <c r="E3977" s="2" t="str">
        <f>"电子信息与电气工程学院"</f>
        <v>电子信息与电气工程学院</v>
      </c>
    </row>
    <row r="3978" customHeight="1" spans="1:5">
      <c r="A3978" s="6" t="str">
        <f>"刘婉盈"</f>
        <v>刘婉盈</v>
      </c>
      <c r="B3978" s="6" t="str">
        <f>"B20210306109"</f>
        <v>B20210306109</v>
      </c>
      <c r="C3978" s="6" t="str">
        <f>"女"</f>
        <v>女</v>
      </c>
      <c r="D3978" s="7" t="str">
        <f>"12"</f>
        <v>12</v>
      </c>
      <c r="E3978" s="6" t="str">
        <f>"计算机科学与工程学院"</f>
        <v>计算机科学与工程学院</v>
      </c>
    </row>
    <row r="3979" ht="13.5" hidden="1" spans="1:5">
      <c r="A3979" s="2" t="str">
        <f>"闭潇潇"</f>
        <v>闭潇潇</v>
      </c>
      <c r="B3979" s="2" t="str">
        <f>"B20210901234"</f>
        <v>B20210901234</v>
      </c>
      <c r="C3979" s="2" t="str">
        <f>"女"</f>
        <v>女</v>
      </c>
      <c r="D3979" s="2" t="str">
        <f t="shared" si="998"/>
        <v>7</v>
      </c>
      <c r="E3979" s="2" t="str">
        <f t="shared" si="1014"/>
        <v>经济与管理学院</v>
      </c>
    </row>
    <row r="3980" customHeight="1" spans="1:5">
      <c r="A3980" s="6" t="str">
        <f>"王麟"</f>
        <v>王麟</v>
      </c>
      <c r="B3980" s="6" t="str">
        <f>"B20210306110"</f>
        <v>B20210306110</v>
      </c>
      <c r="C3980" s="6" t="str">
        <f>"男"</f>
        <v>男</v>
      </c>
      <c r="D3980" s="7" t="str">
        <f>"12"</f>
        <v>12</v>
      </c>
      <c r="E3980" s="6" t="str">
        <f>"计算机科学与工程学院"</f>
        <v>计算机科学与工程学院</v>
      </c>
    </row>
    <row r="3981" ht="13.5" hidden="1" spans="1:5">
      <c r="A3981" s="2" t="str">
        <f>"杨海"</f>
        <v>杨海</v>
      </c>
      <c r="B3981" s="2" t="str">
        <f>"B20220701130"</f>
        <v>B20220701130</v>
      </c>
      <c r="C3981" s="2" t="str">
        <f>"男"</f>
        <v>男</v>
      </c>
      <c r="D3981" s="2" t="str">
        <f t="shared" si="998"/>
        <v>7</v>
      </c>
      <c r="E3981" s="2" t="str">
        <f>"马栏山新媒体学院"</f>
        <v>马栏山新媒体学院</v>
      </c>
    </row>
    <row r="3982" customHeight="1" spans="1:5">
      <c r="A3982" s="6" t="str">
        <f>"王康梅"</f>
        <v>王康梅</v>
      </c>
      <c r="B3982" s="6" t="str">
        <f>"B20210306111"</f>
        <v>B20210306111</v>
      </c>
      <c r="C3982" s="6" t="str">
        <f>"女"</f>
        <v>女</v>
      </c>
      <c r="D3982" s="7" t="str">
        <f>"13"</f>
        <v>13</v>
      </c>
      <c r="E3982" s="6" t="str">
        <f>"计算机科学与工程学院"</f>
        <v>计算机科学与工程学院</v>
      </c>
    </row>
    <row r="3983" ht="13.5" hidden="1" spans="1:5">
      <c r="A3983" s="2" t="str">
        <f>"唐石"</f>
        <v>唐石</v>
      </c>
      <c r="B3983" s="2" t="str">
        <f>"B20230205317"</f>
        <v>B20230205317</v>
      </c>
      <c r="C3983" s="2" t="str">
        <f>"男"</f>
        <v>男</v>
      </c>
      <c r="D3983" s="2" t="str">
        <f t="shared" ref="D3983:D4046" si="1015">"7"</f>
        <v>7</v>
      </c>
      <c r="E3983" s="2" t="str">
        <f>"机电工程学院"</f>
        <v>机电工程学院</v>
      </c>
    </row>
    <row r="3984" customHeight="1" spans="1:5">
      <c r="A3984" s="6" t="str">
        <f>"谭婷玉"</f>
        <v>谭婷玉</v>
      </c>
      <c r="B3984" s="6" t="str">
        <f>"B20210306112"</f>
        <v>B20210306112</v>
      </c>
      <c r="C3984" s="6" t="str">
        <f>"女"</f>
        <v>女</v>
      </c>
      <c r="D3984" s="7" t="str">
        <f>"5"</f>
        <v>5</v>
      </c>
      <c r="E3984" s="6" t="str">
        <f>"计算机科学与工程学院"</f>
        <v>计算机科学与工程学院</v>
      </c>
    </row>
    <row r="3985" ht="13.5" hidden="1" spans="1:5">
      <c r="A3985" s="2" t="str">
        <f>"潘慧"</f>
        <v>潘慧</v>
      </c>
      <c r="B3985" s="2" t="str">
        <f>"B20230803108"</f>
        <v>B20230803108</v>
      </c>
      <c r="C3985" s="2" t="str">
        <f t="shared" ref="C3985:C3988" si="1016">"女"</f>
        <v>女</v>
      </c>
      <c r="D3985" s="2" t="str">
        <f t="shared" si="1015"/>
        <v>7</v>
      </c>
      <c r="E3985" s="2" t="str">
        <f>"外国语学院"</f>
        <v>外国语学院</v>
      </c>
    </row>
    <row r="3986" customHeight="1" spans="1:5">
      <c r="A3986" s="6" t="str">
        <f>"阳律"</f>
        <v>阳律</v>
      </c>
      <c r="B3986" s="6" t="str">
        <f>"B20210306113"</f>
        <v>B20210306113</v>
      </c>
      <c r="C3986" s="6" t="str">
        <f>"男"</f>
        <v>男</v>
      </c>
      <c r="D3986" s="7" t="str">
        <f>"10"</f>
        <v>10</v>
      </c>
      <c r="E3986" s="6" t="str">
        <f>"计算机科学与工程学院"</f>
        <v>计算机科学与工程学院</v>
      </c>
    </row>
    <row r="3987" ht="13.5" hidden="1" spans="1:5">
      <c r="A3987" s="2" t="str">
        <f>"周倩"</f>
        <v>周倩</v>
      </c>
      <c r="B3987" s="2" t="str">
        <f>"B20230905122"</f>
        <v>B20230905122</v>
      </c>
      <c r="C3987" s="2" t="str">
        <f t="shared" si="1016"/>
        <v>女</v>
      </c>
      <c r="D3987" s="2" t="str">
        <f t="shared" si="1015"/>
        <v>7</v>
      </c>
      <c r="E3987" s="2" t="str">
        <f t="shared" ref="E3987:E3991" si="1017">"经济与管理学院"</f>
        <v>经济与管理学院</v>
      </c>
    </row>
    <row r="3988" ht="13.5" hidden="1" spans="1:5">
      <c r="A3988" s="2" t="str">
        <f>"谢薇"</f>
        <v>谢薇</v>
      </c>
      <c r="B3988" s="2" t="str">
        <f>"B20230906110"</f>
        <v>B20230906110</v>
      </c>
      <c r="C3988" s="2" t="str">
        <f t="shared" si="1016"/>
        <v>女</v>
      </c>
      <c r="D3988" s="2" t="str">
        <f t="shared" si="1015"/>
        <v>7</v>
      </c>
      <c r="E3988" s="2" t="str">
        <f t="shared" si="1017"/>
        <v>经济与管理学院</v>
      </c>
    </row>
    <row r="3989" ht="13.5" hidden="1" spans="1:5">
      <c r="A3989" s="2" t="str">
        <f>"欧阳玉军"</f>
        <v>欧阳玉军</v>
      </c>
      <c r="B3989" s="2" t="str">
        <f>"B20230502221"</f>
        <v>B20230502221</v>
      </c>
      <c r="C3989" s="2" t="str">
        <f t="shared" ref="C3989:C3993" si="1018">"男"</f>
        <v>男</v>
      </c>
      <c r="D3989" s="2" t="str">
        <f t="shared" si="1015"/>
        <v>7</v>
      </c>
      <c r="E3989" s="2" t="str">
        <f>"生物与化学工程学院"</f>
        <v>生物与化学工程学院</v>
      </c>
    </row>
    <row r="3990" ht="13.5" hidden="1" spans="1:5">
      <c r="A3990" s="2" t="str">
        <f>"樊思琪"</f>
        <v>樊思琪</v>
      </c>
      <c r="B3990" s="2" t="str">
        <f>"B20200703411"</f>
        <v>B20200703411</v>
      </c>
      <c r="C3990" s="2" t="str">
        <f t="shared" ref="C3990:C3994" si="1019">"女"</f>
        <v>女</v>
      </c>
      <c r="D3990" s="2" t="str">
        <f t="shared" si="1015"/>
        <v>7</v>
      </c>
      <c r="E3990" s="2" t="str">
        <f>"马栏山新媒体学院"</f>
        <v>马栏山新媒体学院</v>
      </c>
    </row>
    <row r="3991" ht="13.5" hidden="1" spans="1:5">
      <c r="A3991" s="2" t="str">
        <f>"唐芳"</f>
        <v>唐芳</v>
      </c>
      <c r="B3991" s="2" t="str">
        <f>"B20200906122"</f>
        <v>B20200906122</v>
      </c>
      <c r="C3991" s="2" t="str">
        <f t="shared" si="1019"/>
        <v>女</v>
      </c>
      <c r="D3991" s="2" t="str">
        <f t="shared" si="1015"/>
        <v>7</v>
      </c>
      <c r="E3991" s="2" t="str">
        <f t="shared" si="1017"/>
        <v>经济与管理学院</v>
      </c>
    </row>
    <row r="3992" ht="13.5" hidden="1" spans="1:5">
      <c r="A3992" s="2" t="str">
        <f>"王子豪"</f>
        <v>王子豪</v>
      </c>
      <c r="B3992" s="2" t="str">
        <f>"B20220102211"</f>
        <v>B20220102211</v>
      </c>
      <c r="C3992" s="2" t="str">
        <f t="shared" si="1018"/>
        <v>男</v>
      </c>
      <c r="D3992" s="2" t="str">
        <f t="shared" si="1015"/>
        <v>7</v>
      </c>
      <c r="E3992" s="2" t="str">
        <f t="shared" ref="E3992:E3996" si="1020">"土木工程学院"</f>
        <v>土木工程学院</v>
      </c>
    </row>
    <row r="3993" ht="13.5" hidden="1" spans="1:5">
      <c r="A3993" s="2" t="str">
        <f>"廖福林"</f>
        <v>廖福林</v>
      </c>
      <c r="B3993" s="2" t="str">
        <f>"B20230101202"</f>
        <v>B20230101202</v>
      </c>
      <c r="C3993" s="2" t="str">
        <f t="shared" si="1018"/>
        <v>男</v>
      </c>
      <c r="D3993" s="2" t="str">
        <f t="shared" si="1015"/>
        <v>7</v>
      </c>
      <c r="E3993" s="2" t="str">
        <f t="shared" si="1020"/>
        <v>土木工程学院</v>
      </c>
    </row>
    <row r="3994" ht="13.5" hidden="1" spans="1:5">
      <c r="A3994" s="2" t="str">
        <f>"王阳艳"</f>
        <v>王阳艳</v>
      </c>
      <c r="B3994" s="2" t="str">
        <f>"B20220502110"</f>
        <v>B20220502110</v>
      </c>
      <c r="C3994" s="2" t="str">
        <f t="shared" si="1019"/>
        <v>女</v>
      </c>
      <c r="D3994" s="2" t="str">
        <f t="shared" si="1015"/>
        <v>7</v>
      </c>
      <c r="E3994" s="2" t="str">
        <f>"生物与化学工程学院"</f>
        <v>生物与化学工程学院</v>
      </c>
    </row>
    <row r="3995" ht="13.5" hidden="1" spans="1:5">
      <c r="A3995" s="2" t="str">
        <f>"李思锦"</f>
        <v>李思锦</v>
      </c>
      <c r="B3995" s="2" t="str">
        <f>"B20210401222"</f>
        <v>B20210401222</v>
      </c>
      <c r="C3995" s="2" t="str">
        <f t="shared" ref="C3995:C4000" si="1021">"男"</f>
        <v>男</v>
      </c>
      <c r="D3995" s="2" t="str">
        <f t="shared" si="1015"/>
        <v>7</v>
      </c>
      <c r="E3995" s="2" t="str">
        <f t="shared" ref="E3995:E3999" si="1022">"电子信息与电气工程学院"</f>
        <v>电子信息与电气工程学院</v>
      </c>
    </row>
    <row r="3996" ht="13.5" hidden="1" spans="1:5">
      <c r="A3996" s="2" t="str">
        <f>"郭嵩宇"</f>
        <v>郭嵩宇</v>
      </c>
      <c r="B3996" s="2" t="str">
        <f>"B20210102232"</f>
        <v>B20210102232</v>
      </c>
      <c r="C3996" s="2" t="str">
        <f t="shared" si="1021"/>
        <v>男</v>
      </c>
      <c r="D3996" s="2" t="str">
        <f t="shared" si="1015"/>
        <v>7</v>
      </c>
      <c r="E3996" s="2" t="str">
        <f t="shared" si="1020"/>
        <v>土木工程学院</v>
      </c>
    </row>
    <row r="3997" ht="13.5" hidden="1" spans="1:5">
      <c r="A3997" s="2" t="str">
        <f>"杨诗琪"</f>
        <v>杨诗琪</v>
      </c>
      <c r="B3997" s="2" t="str">
        <f>"B20220404128"</f>
        <v>B20220404128</v>
      </c>
      <c r="C3997" s="2" t="str">
        <f t="shared" ref="C3997:C4002" si="1023">"女"</f>
        <v>女</v>
      </c>
      <c r="D3997" s="2" t="str">
        <f t="shared" si="1015"/>
        <v>7</v>
      </c>
      <c r="E3997" s="2" t="str">
        <f t="shared" si="1022"/>
        <v>电子信息与电气工程学院</v>
      </c>
    </row>
    <row r="3998" ht="13.5" hidden="1" spans="1:5">
      <c r="A3998" s="2" t="str">
        <f>"宋洋奕"</f>
        <v>宋洋奕</v>
      </c>
      <c r="B3998" s="2" t="str">
        <f>"B20210102210"</f>
        <v>B20210102210</v>
      </c>
      <c r="C3998" s="2" t="str">
        <f t="shared" si="1021"/>
        <v>男</v>
      </c>
      <c r="D3998" s="2" t="str">
        <f t="shared" si="1015"/>
        <v>7</v>
      </c>
      <c r="E3998" s="2" t="str">
        <f>"土木工程学院"</f>
        <v>土木工程学院</v>
      </c>
    </row>
    <row r="3999" ht="13.5" hidden="1" spans="1:5">
      <c r="A3999" s="2" t="str">
        <f>"刘羽宬"</f>
        <v>刘羽宬</v>
      </c>
      <c r="B3999" s="2" t="str">
        <f>"B20220404211"</f>
        <v>B20220404211</v>
      </c>
      <c r="C3999" s="2" t="str">
        <f t="shared" si="1021"/>
        <v>男</v>
      </c>
      <c r="D3999" s="2" t="str">
        <f t="shared" si="1015"/>
        <v>7</v>
      </c>
      <c r="E3999" s="2" t="str">
        <f t="shared" si="1022"/>
        <v>电子信息与电气工程学院</v>
      </c>
    </row>
    <row r="4000" ht="13.5" hidden="1" spans="1:5">
      <c r="A4000" s="2" t="str">
        <f>"徐强"</f>
        <v>徐强</v>
      </c>
      <c r="B4000" s="2" t="str">
        <f>"B20200504128"</f>
        <v>B20200504128</v>
      </c>
      <c r="C4000" s="2" t="str">
        <f t="shared" si="1021"/>
        <v>男</v>
      </c>
      <c r="D4000" s="2" t="str">
        <f t="shared" si="1015"/>
        <v>7</v>
      </c>
      <c r="E4000" s="2" t="str">
        <f>"生物与环境工程学院"</f>
        <v>生物与环境工程学院</v>
      </c>
    </row>
    <row r="4001" ht="13.5" hidden="1" spans="1:5">
      <c r="A4001" s="2" t="str">
        <f>"吴丽楚"</f>
        <v>吴丽楚</v>
      </c>
      <c r="B4001" s="2" t="str">
        <f>"B20210701129"</f>
        <v>B20210701129</v>
      </c>
      <c r="C4001" s="2" t="str">
        <f t="shared" si="1023"/>
        <v>女</v>
      </c>
      <c r="D4001" s="2" t="str">
        <f t="shared" si="1015"/>
        <v>7</v>
      </c>
      <c r="E4001" s="2" t="str">
        <f>"马栏山新媒体学院"</f>
        <v>马栏山新媒体学院</v>
      </c>
    </row>
    <row r="4002" ht="13.5" hidden="1" spans="1:5">
      <c r="A4002" s="2" t="str">
        <f>"陈嫣妍"</f>
        <v>陈嫣妍</v>
      </c>
      <c r="B4002" s="2" t="str">
        <f>"B20210601410"</f>
        <v>B20210601410</v>
      </c>
      <c r="C4002" s="2" t="str">
        <f t="shared" si="1023"/>
        <v>女</v>
      </c>
      <c r="D4002" s="2" t="str">
        <f t="shared" si="1015"/>
        <v>7</v>
      </c>
      <c r="E4002" s="2" t="str">
        <f>"法学院"</f>
        <v>法学院</v>
      </c>
    </row>
    <row r="4003" ht="13.5" hidden="1" spans="1:5">
      <c r="A4003" s="2" t="str">
        <f>"黄奔"</f>
        <v>黄奔</v>
      </c>
      <c r="B4003" s="2" t="str">
        <f>"B20220101109"</f>
        <v>B20220101109</v>
      </c>
      <c r="C4003" s="2" t="str">
        <f t="shared" ref="C4003:C4006" si="1024">"男"</f>
        <v>男</v>
      </c>
      <c r="D4003" s="2" t="str">
        <f t="shared" si="1015"/>
        <v>7</v>
      </c>
      <c r="E4003" s="2" t="str">
        <f>"土木工程学院"</f>
        <v>土木工程学院</v>
      </c>
    </row>
    <row r="4004" ht="13.5" hidden="1" spans="1:5">
      <c r="A4004" s="2" t="str">
        <f>"朱昌翔"</f>
        <v>朱昌翔</v>
      </c>
      <c r="B4004" s="2" t="str">
        <f>"B20231001221"</f>
        <v>B20231001221</v>
      </c>
      <c r="C4004" s="2" t="str">
        <f t="shared" si="1024"/>
        <v>男</v>
      </c>
      <c r="D4004" s="2" t="str">
        <f t="shared" si="1015"/>
        <v>7</v>
      </c>
      <c r="E4004" s="2" t="str">
        <f>"艺术设计学院"</f>
        <v>艺术设计学院</v>
      </c>
    </row>
    <row r="4005" ht="13.5" hidden="1" spans="1:5">
      <c r="A4005" s="2" t="str">
        <f>"吴清宇"</f>
        <v>吴清宇</v>
      </c>
      <c r="B4005" s="2" t="str">
        <f>"B20230901106"</f>
        <v>B20230901106</v>
      </c>
      <c r="C4005" s="2" t="str">
        <f t="shared" si="1024"/>
        <v>男</v>
      </c>
      <c r="D4005" s="2" t="str">
        <f t="shared" si="1015"/>
        <v>7</v>
      </c>
      <c r="E4005" s="2" t="str">
        <f t="shared" ref="E4005:E4007" si="1025">"经济与管理学院"</f>
        <v>经济与管理学院</v>
      </c>
    </row>
    <row r="4006" ht="13.5" hidden="1" spans="1:5">
      <c r="A4006" s="2" t="str">
        <f>"陈帅"</f>
        <v>陈帅</v>
      </c>
      <c r="B4006" s="2" t="str">
        <f>"B20200903225"</f>
        <v>B20200903225</v>
      </c>
      <c r="C4006" s="2" t="str">
        <f t="shared" si="1024"/>
        <v>男</v>
      </c>
      <c r="D4006" s="2" t="str">
        <f t="shared" si="1015"/>
        <v>7</v>
      </c>
      <c r="E4006" s="2" t="str">
        <f t="shared" si="1025"/>
        <v>经济与管理学院</v>
      </c>
    </row>
    <row r="4007" ht="13.5" hidden="1" spans="1:5">
      <c r="A4007" s="2" t="str">
        <f>"舒子萱"</f>
        <v>舒子萱</v>
      </c>
      <c r="B4007" s="2" t="str">
        <f>"B20210901124"</f>
        <v>B20210901124</v>
      </c>
      <c r="C4007" s="2" t="str">
        <f t="shared" ref="C4007:C4009" si="1026">"女"</f>
        <v>女</v>
      </c>
      <c r="D4007" s="2" t="str">
        <f t="shared" si="1015"/>
        <v>7</v>
      </c>
      <c r="E4007" s="2" t="str">
        <f t="shared" si="1025"/>
        <v>经济与管理学院</v>
      </c>
    </row>
    <row r="4008" ht="13.5" hidden="1" spans="1:5">
      <c r="A4008" s="2" t="str">
        <f>"袁莹盈"</f>
        <v>袁莹盈</v>
      </c>
      <c r="B4008" s="2" t="str">
        <f>"B20231111212"</f>
        <v>B20231111212</v>
      </c>
      <c r="C4008" s="2" t="str">
        <f t="shared" si="1026"/>
        <v>女</v>
      </c>
      <c r="D4008" s="2" t="str">
        <f t="shared" si="1015"/>
        <v>7</v>
      </c>
      <c r="E4008" s="2" t="str">
        <f t="shared" ref="E4008:E4012" si="1027">"音乐学院"</f>
        <v>音乐学院</v>
      </c>
    </row>
    <row r="4009" ht="13.5" hidden="1" spans="1:5">
      <c r="A4009" s="2" t="str">
        <f>"张飒莎"</f>
        <v>张飒莎</v>
      </c>
      <c r="B4009" s="2" t="str">
        <f>"B20210801308"</f>
        <v>B20210801308</v>
      </c>
      <c r="C4009" s="2" t="str">
        <f t="shared" si="1026"/>
        <v>女</v>
      </c>
      <c r="D4009" s="2" t="str">
        <f t="shared" si="1015"/>
        <v>7</v>
      </c>
      <c r="E4009" s="2" t="str">
        <f>"外国语学院"</f>
        <v>外国语学院</v>
      </c>
    </row>
    <row r="4010" customHeight="1" spans="1:5">
      <c r="A4010" s="6" t="str">
        <f>"毛冲之"</f>
        <v>毛冲之</v>
      </c>
      <c r="B4010" s="6" t="str">
        <f>"B20210306114"</f>
        <v>B20210306114</v>
      </c>
      <c r="C4010" s="6" t="str">
        <f>"男"</f>
        <v>男</v>
      </c>
      <c r="D4010" s="7" t="str">
        <f>"11"</f>
        <v>11</v>
      </c>
      <c r="E4010" s="6" t="str">
        <f>"计算机科学与工程学院"</f>
        <v>计算机科学与工程学院</v>
      </c>
    </row>
    <row r="4011" ht="13.5" hidden="1" spans="1:5">
      <c r="A4011" s="2" t="str">
        <f>"米佳瑞"</f>
        <v>米佳瑞</v>
      </c>
      <c r="B4011" s="2" t="str">
        <f>"B20231111128"</f>
        <v>B20231111128</v>
      </c>
      <c r="C4011" s="2" t="str">
        <f t="shared" ref="C4010:C4015" si="1028">"男"</f>
        <v>男</v>
      </c>
      <c r="D4011" s="2" t="str">
        <f t="shared" si="1015"/>
        <v>7</v>
      </c>
      <c r="E4011" s="2" t="str">
        <f t="shared" si="1027"/>
        <v>音乐学院</v>
      </c>
    </row>
    <row r="4012" ht="13.5" hidden="1" spans="1:5">
      <c r="A4012" s="2" t="str">
        <f>"韩畅"</f>
        <v>韩畅</v>
      </c>
      <c r="B4012" s="2" t="str">
        <f>"B20221111126"</f>
        <v>B20221111126</v>
      </c>
      <c r="C4012" s="2" t="str">
        <f>"女"</f>
        <v>女</v>
      </c>
      <c r="D4012" s="2" t="str">
        <f t="shared" si="1015"/>
        <v>7</v>
      </c>
      <c r="E4012" s="2" t="str">
        <f t="shared" si="1027"/>
        <v>音乐学院</v>
      </c>
    </row>
    <row r="4013" ht="13.5" hidden="1" spans="1:5">
      <c r="A4013" s="2" t="str">
        <f>"陈景琨"</f>
        <v>陈景琨</v>
      </c>
      <c r="B4013" s="2" t="str">
        <f>"B20221003206"</f>
        <v>B20221003206</v>
      </c>
      <c r="C4013" s="2" t="str">
        <f t="shared" si="1028"/>
        <v>男</v>
      </c>
      <c r="D4013" s="2" t="str">
        <f t="shared" si="1015"/>
        <v>7</v>
      </c>
      <c r="E4013" s="2" t="str">
        <f>"艺术设计学院"</f>
        <v>艺术设计学院</v>
      </c>
    </row>
    <row r="4014" ht="13.5" hidden="1" spans="1:5">
      <c r="A4014" s="2" t="str">
        <f>"邬东轩"</f>
        <v>邬东轩</v>
      </c>
      <c r="B4014" s="2" t="str">
        <f>"B20220202232"</f>
        <v>B20220202232</v>
      </c>
      <c r="C4014" s="2" t="str">
        <f t="shared" si="1028"/>
        <v>男</v>
      </c>
      <c r="D4014" s="2" t="str">
        <f t="shared" si="1015"/>
        <v>7</v>
      </c>
      <c r="E4014" s="2" t="str">
        <f t="shared" ref="E4014:E4018" si="1029">"机电工程学院"</f>
        <v>机电工程学院</v>
      </c>
    </row>
    <row r="4015" ht="13.5" hidden="1" spans="1:5">
      <c r="A4015" s="2" t="str">
        <f>"唐昊明"</f>
        <v>唐昊明</v>
      </c>
      <c r="B4015" s="2" t="str">
        <f>"B20231302432"</f>
        <v>B20231302432</v>
      </c>
      <c r="C4015" s="2" t="str">
        <f t="shared" si="1028"/>
        <v>男</v>
      </c>
      <c r="D4015" s="2" t="str">
        <f t="shared" si="1015"/>
        <v>7</v>
      </c>
      <c r="E4015" s="2" t="str">
        <f>"材料与环境工程学院"</f>
        <v>材料与环境工程学院</v>
      </c>
    </row>
    <row r="4016" ht="13.5" hidden="1" spans="1:5">
      <c r="A4016" s="2" t="str">
        <f>"吴钟林雅"</f>
        <v>吴钟林雅</v>
      </c>
      <c r="B4016" s="2" t="str">
        <f>"B20230702319"</f>
        <v>B20230702319</v>
      </c>
      <c r="C4016" s="2" t="str">
        <f t="shared" ref="C4016:C4021" si="1030">"女"</f>
        <v>女</v>
      </c>
      <c r="D4016" s="2" t="str">
        <f t="shared" si="1015"/>
        <v>7</v>
      </c>
      <c r="E4016" s="2" t="str">
        <f>"马栏山新媒体学院"</f>
        <v>马栏山新媒体学院</v>
      </c>
    </row>
    <row r="4017" ht="13.5" hidden="1" spans="1:5">
      <c r="A4017" s="2" t="str">
        <f>"石宇祥"</f>
        <v>石宇祥</v>
      </c>
      <c r="B4017" s="2" t="str">
        <f>"B20220202413"</f>
        <v>B20220202413</v>
      </c>
      <c r="C4017" s="2" t="str">
        <f t="shared" ref="C4017:C4020" si="1031">"男"</f>
        <v>男</v>
      </c>
      <c r="D4017" s="2" t="str">
        <f t="shared" si="1015"/>
        <v>7</v>
      </c>
      <c r="E4017" s="2" t="str">
        <f t="shared" si="1029"/>
        <v>机电工程学院</v>
      </c>
    </row>
    <row r="4018" ht="13.5" hidden="1" spans="1:5">
      <c r="A4018" s="2" t="str">
        <f>"钱坤皓"</f>
        <v>钱坤皓</v>
      </c>
      <c r="B4018" s="2" t="str">
        <f>"B20230205325"</f>
        <v>B20230205325</v>
      </c>
      <c r="C4018" s="2" t="str">
        <f t="shared" si="1031"/>
        <v>男</v>
      </c>
      <c r="D4018" s="2" t="str">
        <f t="shared" si="1015"/>
        <v>7</v>
      </c>
      <c r="E4018" s="2" t="str">
        <f t="shared" si="1029"/>
        <v>机电工程学院</v>
      </c>
    </row>
    <row r="4019" ht="13.5" hidden="1" spans="1:5">
      <c r="A4019" s="2" t="str">
        <f>"李洋扬"</f>
        <v>李洋扬</v>
      </c>
      <c r="B4019" s="2" t="str">
        <f>"B20210801307"</f>
        <v>B20210801307</v>
      </c>
      <c r="C4019" s="2" t="str">
        <f t="shared" si="1030"/>
        <v>女</v>
      </c>
      <c r="D4019" s="2" t="str">
        <f t="shared" si="1015"/>
        <v>7</v>
      </c>
      <c r="E4019" s="2" t="str">
        <f>"外国语学院"</f>
        <v>外国语学院</v>
      </c>
    </row>
    <row r="4020" ht="13.5" hidden="1" spans="1:5">
      <c r="A4020" s="2" t="str">
        <f>"陈瑞"</f>
        <v>陈瑞</v>
      </c>
      <c r="B4020" s="2" t="str">
        <f>"B20230902319"</f>
        <v>B20230902319</v>
      </c>
      <c r="C4020" s="2" t="str">
        <f t="shared" si="1031"/>
        <v>男</v>
      </c>
      <c r="D4020" s="2" t="str">
        <f t="shared" si="1015"/>
        <v>7</v>
      </c>
      <c r="E4020" s="2" t="str">
        <f t="shared" ref="E4020:E4022" si="1032">"经济与管理学院"</f>
        <v>经济与管理学院</v>
      </c>
    </row>
    <row r="4021" ht="13.5" hidden="1" spans="1:5">
      <c r="A4021" s="2" t="str">
        <f>"陈宇宏"</f>
        <v>陈宇宏</v>
      </c>
      <c r="B4021" s="2" t="str">
        <f>"B20230903205"</f>
        <v>B20230903205</v>
      </c>
      <c r="C4021" s="2" t="str">
        <f t="shared" si="1030"/>
        <v>女</v>
      </c>
      <c r="D4021" s="2" t="str">
        <f t="shared" si="1015"/>
        <v>7</v>
      </c>
      <c r="E4021" s="2" t="str">
        <f t="shared" si="1032"/>
        <v>经济与管理学院</v>
      </c>
    </row>
    <row r="4022" ht="13.5" hidden="1" spans="1:5">
      <c r="A4022" s="2" t="str">
        <f>"周用"</f>
        <v>周用</v>
      </c>
      <c r="B4022" s="2" t="str">
        <f>"B20230904317"</f>
        <v>B20230904317</v>
      </c>
      <c r="C4022" s="2" t="str">
        <f>"男"</f>
        <v>男</v>
      </c>
      <c r="D4022" s="2" t="str">
        <f t="shared" si="1015"/>
        <v>7</v>
      </c>
      <c r="E4022" s="2" t="str">
        <f t="shared" si="1032"/>
        <v>经济与管理学院</v>
      </c>
    </row>
    <row r="4023" ht="13.5" hidden="1" spans="1:5">
      <c r="A4023" s="2" t="str">
        <f>"董祯妍"</f>
        <v>董祯妍</v>
      </c>
      <c r="B4023" s="2" t="str">
        <f>"B20221101119"</f>
        <v>B20221101119</v>
      </c>
      <c r="C4023" s="2" t="str">
        <f t="shared" ref="C4023:C4026" si="1033">"女"</f>
        <v>女</v>
      </c>
      <c r="D4023" s="2" t="str">
        <f t="shared" si="1015"/>
        <v>7</v>
      </c>
      <c r="E4023" s="2" t="str">
        <f>"音乐学院"</f>
        <v>音乐学院</v>
      </c>
    </row>
    <row r="4024" ht="13.5" hidden="1" spans="1:5">
      <c r="A4024" s="2" t="str">
        <f>"刘慧婷"</f>
        <v>刘慧婷</v>
      </c>
      <c r="B4024" s="2" t="str">
        <f>"B20231111228"</f>
        <v>B20231111228</v>
      </c>
      <c r="C4024" s="2" t="str">
        <f t="shared" si="1033"/>
        <v>女</v>
      </c>
      <c r="D4024" s="2" t="str">
        <f t="shared" si="1015"/>
        <v>7</v>
      </c>
      <c r="E4024" s="2" t="str">
        <f>"音乐学院"</f>
        <v>音乐学院</v>
      </c>
    </row>
    <row r="4025" ht="13.5" hidden="1" spans="1:5">
      <c r="A4025" s="2" t="str">
        <f>"卢雅轩"</f>
        <v>卢雅轩</v>
      </c>
      <c r="B4025" s="2" t="str">
        <f>"B20230902316"</f>
        <v>B20230902316</v>
      </c>
      <c r="C4025" s="2" t="str">
        <f t="shared" si="1033"/>
        <v>女</v>
      </c>
      <c r="D4025" s="2" t="str">
        <f t="shared" si="1015"/>
        <v>7</v>
      </c>
      <c r="E4025" s="2" t="str">
        <f>"经济与管理学院"</f>
        <v>经济与管理学院</v>
      </c>
    </row>
    <row r="4026" ht="13.5" hidden="1" spans="1:5">
      <c r="A4026" s="2" t="str">
        <f>"刘雅诗"</f>
        <v>刘雅诗</v>
      </c>
      <c r="B4026" s="2" t="str">
        <f>"B20220702218"</f>
        <v>B20220702218</v>
      </c>
      <c r="C4026" s="2" t="str">
        <f t="shared" si="1033"/>
        <v>女</v>
      </c>
      <c r="D4026" s="2" t="str">
        <f t="shared" si="1015"/>
        <v>7</v>
      </c>
      <c r="E4026" s="2" t="str">
        <f>"马栏山新媒体学院"</f>
        <v>马栏山新媒体学院</v>
      </c>
    </row>
    <row r="4027" ht="13.5" hidden="1" spans="1:5">
      <c r="A4027" s="2" t="str">
        <f>"谢家健"</f>
        <v>谢家健</v>
      </c>
      <c r="B4027" s="2" t="str">
        <f>"B20230205302"</f>
        <v>B20230205302</v>
      </c>
      <c r="C4027" s="2" t="str">
        <f t="shared" ref="C4027:C4029" si="1034">"男"</f>
        <v>男</v>
      </c>
      <c r="D4027" s="2" t="str">
        <f t="shared" si="1015"/>
        <v>7</v>
      </c>
      <c r="E4027" s="2" t="str">
        <f>"机电工程学院"</f>
        <v>机电工程学院</v>
      </c>
    </row>
    <row r="4028" ht="13.5" hidden="1" spans="1:5">
      <c r="A4028" s="2" t="str">
        <f>"刘韬"</f>
        <v>刘韬</v>
      </c>
      <c r="B4028" s="2" t="str">
        <f>"B20230103102"</f>
        <v>B20230103102</v>
      </c>
      <c r="C4028" s="2" t="str">
        <f t="shared" si="1034"/>
        <v>男</v>
      </c>
      <c r="D4028" s="2" t="str">
        <f t="shared" si="1015"/>
        <v>7</v>
      </c>
      <c r="E4028" s="2" t="str">
        <f>"土木工程学院"</f>
        <v>土木工程学院</v>
      </c>
    </row>
    <row r="4029" ht="13.5" hidden="1" spans="1:5">
      <c r="A4029" s="2" t="str">
        <f>"孟源"</f>
        <v>孟源</v>
      </c>
      <c r="B4029" s="2" t="str">
        <f>"B20200501101"</f>
        <v>B20200501101</v>
      </c>
      <c r="C4029" s="2" t="str">
        <f t="shared" si="1034"/>
        <v>男</v>
      </c>
      <c r="D4029" s="2" t="str">
        <f t="shared" si="1015"/>
        <v>7</v>
      </c>
      <c r="E4029" s="2" t="str">
        <f>"生物与环境工程学院"</f>
        <v>生物与环境工程学院</v>
      </c>
    </row>
    <row r="4030" ht="13.5" hidden="1" spans="1:5">
      <c r="A4030" s="2" t="str">
        <f>"潘钟怡"</f>
        <v>潘钟怡</v>
      </c>
      <c r="B4030" s="2" t="str">
        <f>"B20220801322"</f>
        <v>B20220801322</v>
      </c>
      <c r="C4030" s="2" t="str">
        <f>"女"</f>
        <v>女</v>
      </c>
      <c r="D4030" s="2" t="str">
        <f t="shared" si="1015"/>
        <v>7</v>
      </c>
      <c r="E4030" s="2" t="str">
        <f>"外国语学院"</f>
        <v>外国语学院</v>
      </c>
    </row>
    <row r="4031" ht="13.5" hidden="1" spans="1:5">
      <c r="A4031" s="2" t="str">
        <f>"倪文庆"</f>
        <v>倪文庆</v>
      </c>
      <c r="B4031" s="2" t="str">
        <f>"B20220405108"</f>
        <v>B20220405108</v>
      </c>
      <c r="C4031" s="2" t="str">
        <f t="shared" ref="C4031:C4037" si="1035">"男"</f>
        <v>男</v>
      </c>
      <c r="D4031" s="2" t="str">
        <f t="shared" si="1015"/>
        <v>7</v>
      </c>
      <c r="E4031" s="2" t="str">
        <f>"电子信息与电气工程学院"</f>
        <v>电子信息与电气工程学院</v>
      </c>
    </row>
    <row r="4032" ht="13.5" hidden="1" spans="1:5">
      <c r="A4032" s="2" t="str">
        <f>"张鑫赫"</f>
        <v>张鑫赫</v>
      </c>
      <c r="B4032" s="2" t="str">
        <f>"B20230904204"</f>
        <v>B20230904204</v>
      </c>
      <c r="C4032" s="2" t="str">
        <f t="shared" si="1035"/>
        <v>男</v>
      </c>
      <c r="D4032" s="2" t="str">
        <f t="shared" si="1015"/>
        <v>7</v>
      </c>
      <c r="E4032" s="2" t="str">
        <f>"经济与管理学院"</f>
        <v>经济与管理学院</v>
      </c>
    </row>
    <row r="4033" ht="13.5" hidden="1" spans="1:5">
      <c r="A4033" s="2" t="str">
        <f>"刘阳"</f>
        <v>刘阳</v>
      </c>
      <c r="B4033" s="2" t="str">
        <f>"B20220802206"</f>
        <v>B20220802206</v>
      </c>
      <c r="C4033" s="2" t="str">
        <f t="shared" si="1035"/>
        <v>男</v>
      </c>
      <c r="D4033" s="2" t="str">
        <f t="shared" si="1015"/>
        <v>7</v>
      </c>
      <c r="E4033" s="2" t="str">
        <f>"外国语学院"</f>
        <v>外国语学院</v>
      </c>
    </row>
    <row r="4034" ht="13.5" hidden="1" spans="1:5">
      <c r="A4034" s="2" t="str">
        <f>"李成武"</f>
        <v>李成武</v>
      </c>
      <c r="B4034" s="2" t="str">
        <f>"B20230204117"</f>
        <v>B20230204117</v>
      </c>
      <c r="C4034" s="2" t="str">
        <f t="shared" si="1035"/>
        <v>男</v>
      </c>
      <c r="D4034" s="2" t="str">
        <f t="shared" si="1015"/>
        <v>7</v>
      </c>
      <c r="E4034" s="2" t="str">
        <f>"机电工程学院"</f>
        <v>机电工程学院</v>
      </c>
    </row>
    <row r="4035" ht="13.5" hidden="1" spans="1:5">
      <c r="A4035" s="2" t="str">
        <f>"罗杰"</f>
        <v>罗杰</v>
      </c>
      <c r="B4035" s="2" t="str">
        <f>"B20220204408"</f>
        <v>B20220204408</v>
      </c>
      <c r="C4035" s="2" t="str">
        <f t="shared" si="1035"/>
        <v>男</v>
      </c>
      <c r="D4035" s="2" t="str">
        <f t="shared" si="1015"/>
        <v>7</v>
      </c>
      <c r="E4035" s="2" t="str">
        <f>"机电工程学院"</f>
        <v>机电工程学院</v>
      </c>
    </row>
    <row r="4036" customHeight="1" spans="1:5">
      <c r="A4036" s="6" t="str">
        <f>"郑林麒"</f>
        <v>郑林麒</v>
      </c>
      <c r="B4036" s="6" t="str">
        <f>"B20210306115"</f>
        <v>B20210306115</v>
      </c>
      <c r="C4036" s="6" t="str">
        <f t="shared" si="1035"/>
        <v>男</v>
      </c>
      <c r="D4036" s="7" t="str">
        <f>"13"</f>
        <v>13</v>
      </c>
      <c r="E4036" s="6" t="str">
        <f>"计算机科学与工程学院"</f>
        <v>计算机科学与工程学院</v>
      </c>
    </row>
    <row r="4037" ht="13.5" hidden="1" spans="1:5">
      <c r="A4037" s="2" t="str">
        <f>"胡龙渝"</f>
        <v>胡龙渝</v>
      </c>
      <c r="B4037" s="2" t="str">
        <f>"B20230902317"</f>
        <v>B20230902317</v>
      </c>
      <c r="C4037" s="2" t="str">
        <f t="shared" si="1035"/>
        <v>男</v>
      </c>
      <c r="D4037" s="2" t="str">
        <f t="shared" si="1015"/>
        <v>7</v>
      </c>
      <c r="E4037" s="2" t="str">
        <f>"经济与管理学院"</f>
        <v>经济与管理学院</v>
      </c>
    </row>
    <row r="4038" ht="13.5" hidden="1" spans="1:5">
      <c r="A4038" s="2" t="str">
        <f>"王纯越"</f>
        <v>王纯越</v>
      </c>
      <c r="B4038" s="2" t="str">
        <f>"B20231401228"</f>
        <v>B20231401228</v>
      </c>
      <c r="C4038" s="2" t="str">
        <f t="shared" ref="C4038:C4041" si="1036">"女"</f>
        <v>女</v>
      </c>
      <c r="D4038" s="2" t="str">
        <f t="shared" si="1015"/>
        <v>7</v>
      </c>
      <c r="E4038" s="2" t="str">
        <f>"马克思主义学院"</f>
        <v>马克思主义学院</v>
      </c>
    </row>
    <row r="4039" ht="13.5" hidden="1" spans="1:5">
      <c r="A4039" s="2" t="str">
        <f>"伍俊杰"</f>
        <v>伍俊杰</v>
      </c>
      <c r="B4039" s="2" t="str">
        <f>"B20210401404"</f>
        <v>B20210401404</v>
      </c>
      <c r="C4039" s="2" t="str">
        <f t="shared" ref="C4039:C4044" si="1037">"男"</f>
        <v>男</v>
      </c>
      <c r="D4039" s="2" t="str">
        <f t="shared" si="1015"/>
        <v>7</v>
      </c>
      <c r="E4039" s="2" t="str">
        <f t="shared" ref="E4039:E4044" si="1038">"电子信息与电气工程学院"</f>
        <v>电子信息与电气工程学院</v>
      </c>
    </row>
    <row r="4040" ht="13.5" hidden="1" spans="1:5">
      <c r="A4040" s="2" t="str">
        <f>"刘淑慧"</f>
        <v>刘淑慧</v>
      </c>
      <c r="B4040" s="2" t="str">
        <f>"B20220803113"</f>
        <v>B20220803113</v>
      </c>
      <c r="C4040" s="2" t="str">
        <f t="shared" si="1036"/>
        <v>女</v>
      </c>
      <c r="D4040" s="2" t="str">
        <f t="shared" si="1015"/>
        <v>7</v>
      </c>
      <c r="E4040" s="2" t="str">
        <f>"外国语学院"</f>
        <v>外国语学院</v>
      </c>
    </row>
    <row r="4041" ht="13.5" hidden="1" spans="1:5">
      <c r="A4041" s="2" t="str">
        <f>"陈慧柔"</f>
        <v>陈慧柔</v>
      </c>
      <c r="B4041" s="2" t="str">
        <f>"B20220901238"</f>
        <v>B20220901238</v>
      </c>
      <c r="C4041" s="2" t="str">
        <f t="shared" si="1036"/>
        <v>女</v>
      </c>
      <c r="D4041" s="2" t="str">
        <f t="shared" si="1015"/>
        <v>7</v>
      </c>
      <c r="E4041" s="2" t="str">
        <f>"经济与管理学院"</f>
        <v>经济与管理学院</v>
      </c>
    </row>
    <row r="4042" ht="13.5" hidden="1" spans="1:5">
      <c r="A4042" s="2" t="str">
        <f>"刘俊洋"</f>
        <v>刘俊洋</v>
      </c>
      <c r="B4042" s="2" t="str">
        <f>"B20210401226"</f>
        <v>B20210401226</v>
      </c>
      <c r="C4042" s="2" t="str">
        <f t="shared" si="1037"/>
        <v>男</v>
      </c>
      <c r="D4042" s="2" t="str">
        <f t="shared" si="1015"/>
        <v>7</v>
      </c>
      <c r="E4042" s="2" t="str">
        <f t="shared" si="1038"/>
        <v>电子信息与电气工程学院</v>
      </c>
    </row>
    <row r="4043" customHeight="1" spans="1:5">
      <c r="A4043" s="6" t="str">
        <f>"杨兰"</f>
        <v>杨兰</v>
      </c>
      <c r="B4043" s="6" t="str">
        <f>"B20210306116"</f>
        <v>B20210306116</v>
      </c>
      <c r="C4043" s="6" t="str">
        <f>"女"</f>
        <v>女</v>
      </c>
      <c r="D4043" s="7" t="str">
        <f>"3"</f>
        <v>3</v>
      </c>
      <c r="E4043" s="6" t="str">
        <f>"计算机科学与工程学院"</f>
        <v>计算机科学与工程学院</v>
      </c>
    </row>
    <row r="4044" ht="13.5" hidden="1" spans="1:5">
      <c r="A4044" s="2" t="str">
        <f>"周杜渐"</f>
        <v>周杜渐</v>
      </c>
      <c r="B4044" s="2" t="str">
        <f>"B20220401119"</f>
        <v>B20220401119</v>
      </c>
      <c r="C4044" s="2" t="str">
        <f t="shared" si="1037"/>
        <v>男</v>
      </c>
      <c r="D4044" s="2" t="str">
        <f t="shared" si="1015"/>
        <v>7</v>
      </c>
      <c r="E4044" s="2" t="str">
        <f t="shared" si="1038"/>
        <v>电子信息与电气工程学院</v>
      </c>
    </row>
    <row r="4045" ht="13.5" hidden="1" spans="1:5">
      <c r="A4045" s="2" t="str">
        <f>"李晓雯"</f>
        <v>李晓雯</v>
      </c>
      <c r="B4045" s="2" t="str">
        <f>"B20230801125"</f>
        <v>B20230801125</v>
      </c>
      <c r="C4045" s="2" t="str">
        <f t="shared" ref="C4045:C4050" si="1039">"女"</f>
        <v>女</v>
      </c>
      <c r="D4045" s="2" t="str">
        <f t="shared" si="1015"/>
        <v>7</v>
      </c>
      <c r="E4045" s="2" t="str">
        <f>"外国语学院"</f>
        <v>外国语学院</v>
      </c>
    </row>
    <row r="4046" ht="13.5" hidden="1" spans="1:5">
      <c r="A4046" s="2" t="str">
        <f>"陈亮"</f>
        <v>陈亮</v>
      </c>
      <c r="B4046" s="2" t="str">
        <f>"B20220504225"</f>
        <v>B20220504225</v>
      </c>
      <c r="C4046" s="2" t="str">
        <f t="shared" ref="C4046:C4049" si="1040">"男"</f>
        <v>男</v>
      </c>
      <c r="D4046" s="2" t="str">
        <f t="shared" si="1015"/>
        <v>7</v>
      </c>
      <c r="E4046" s="2" t="str">
        <f>"生物与化学工程学院"</f>
        <v>生物与化学工程学院</v>
      </c>
    </row>
    <row r="4047" ht="13.5" hidden="1" spans="1:5">
      <c r="A4047" s="2" t="str">
        <f>"唐丽尧"</f>
        <v>唐丽尧</v>
      </c>
      <c r="B4047" s="2" t="str">
        <f>"B20221111119"</f>
        <v>B20221111119</v>
      </c>
      <c r="C4047" s="2" t="str">
        <f t="shared" si="1039"/>
        <v>女</v>
      </c>
      <c r="D4047" s="2" t="str">
        <f t="shared" ref="D4047:D4110" si="1041">"7"</f>
        <v>7</v>
      </c>
      <c r="E4047" s="2" t="str">
        <f>"音乐学院"</f>
        <v>音乐学院</v>
      </c>
    </row>
    <row r="4048" ht="13.5" hidden="1" spans="1:5">
      <c r="A4048" s="2" t="str">
        <f>"梁振宇"</f>
        <v>梁振宇</v>
      </c>
      <c r="B4048" s="2" t="str">
        <f>"B20200203114"</f>
        <v>B20200203114</v>
      </c>
      <c r="C4048" s="2" t="str">
        <f t="shared" si="1040"/>
        <v>男</v>
      </c>
      <c r="D4048" s="2" t="str">
        <f t="shared" si="1041"/>
        <v>7</v>
      </c>
      <c r="E4048" s="2" t="str">
        <f>"机电工程学院"</f>
        <v>机电工程学院</v>
      </c>
    </row>
    <row r="4049" ht="13.5" hidden="1" spans="1:5">
      <c r="A4049" s="2" t="str">
        <f>"胡永宏"</f>
        <v>胡永宏</v>
      </c>
      <c r="B4049" s="2" t="str">
        <f>"B20230903237"</f>
        <v>B20230903237</v>
      </c>
      <c r="C4049" s="2" t="str">
        <f t="shared" si="1040"/>
        <v>男</v>
      </c>
      <c r="D4049" s="2" t="str">
        <f t="shared" si="1041"/>
        <v>7</v>
      </c>
      <c r="E4049" s="2" t="str">
        <f>"经济与管理学院"</f>
        <v>经济与管理学院</v>
      </c>
    </row>
    <row r="4050" ht="13.5" hidden="1" spans="1:5">
      <c r="A4050" s="2" t="str">
        <f>"李静雯"</f>
        <v>李静雯</v>
      </c>
      <c r="B4050" s="2" t="str">
        <f>"B20230802234"</f>
        <v>B20230802234</v>
      </c>
      <c r="C4050" s="2" t="str">
        <f t="shared" si="1039"/>
        <v>女</v>
      </c>
      <c r="D4050" s="2" t="str">
        <f t="shared" si="1041"/>
        <v>7</v>
      </c>
      <c r="E4050" s="2" t="str">
        <f>"外国语学院"</f>
        <v>外国语学院</v>
      </c>
    </row>
    <row r="4051" ht="13.5" hidden="1" spans="1:5">
      <c r="A4051" s="2" t="str">
        <f>"刘博翔"</f>
        <v>刘博翔</v>
      </c>
      <c r="B4051" s="2" t="str">
        <f>"B20230402230"</f>
        <v>B20230402230</v>
      </c>
      <c r="C4051" s="2" t="str">
        <f t="shared" ref="C4051:C4053" si="1042">"男"</f>
        <v>男</v>
      </c>
      <c r="D4051" s="2" t="str">
        <f t="shared" si="1041"/>
        <v>7</v>
      </c>
      <c r="E4051" s="2" t="str">
        <f>"电子信息与电气工程学院"</f>
        <v>电子信息与电气工程学院</v>
      </c>
    </row>
    <row r="4052" ht="13.5" hidden="1" spans="1:5">
      <c r="A4052" s="2" t="str">
        <f>"刘城旭"</f>
        <v>刘城旭</v>
      </c>
      <c r="B4052" s="2" t="str">
        <f>"B20230103120"</f>
        <v>B20230103120</v>
      </c>
      <c r="C4052" s="2" t="str">
        <f t="shared" si="1042"/>
        <v>男</v>
      </c>
      <c r="D4052" s="2" t="str">
        <f t="shared" si="1041"/>
        <v>7</v>
      </c>
      <c r="E4052" s="2" t="str">
        <f>"土木工程学院"</f>
        <v>土木工程学院</v>
      </c>
    </row>
    <row r="4053" ht="13.5" hidden="1" spans="1:5">
      <c r="A4053" s="2" t="str">
        <f>"唐锦标"</f>
        <v>唐锦标</v>
      </c>
      <c r="B4053" s="2" t="str">
        <f>"B20220404221"</f>
        <v>B20220404221</v>
      </c>
      <c r="C4053" s="2" t="str">
        <f t="shared" si="1042"/>
        <v>男</v>
      </c>
      <c r="D4053" s="2" t="str">
        <f t="shared" si="1041"/>
        <v>7</v>
      </c>
      <c r="E4053" s="2" t="str">
        <f>"电子信息与电气工程学院"</f>
        <v>电子信息与电气工程学院</v>
      </c>
    </row>
    <row r="4054" ht="13.5" hidden="1" spans="1:5">
      <c r="A4054" s="2" t="str">
        <f>"吴可"</f>
        <v>吴可</v>
      </c>
      <c r="B4054" s="2" t="str">
        <f>"B20230803224"</f>
        <v>B20230803224</v>
      </c>
      <c r="C4054" s="2" t="str">
        <f t="shared" ref="C4054:C4058" si="1043">"女"</f>
        <v>女</v>
      </c>
      <c r="D4054" s="2" t="str">
        <f t="shared" si="1041"/>
        <v>7</v>
      </c>
      <c r="E4054" s="2" t="str">
        <f>"外国语学院"</f>
        <v>外国语学院</v>
      </c>
    </row>
    <row r="4055" ht="13.5" hidden="1" spans="1:5">
      <c r="A4055" s="2" t="str">
        <f>"荣琦强"</f>
        <v>荣琦强</v>
      </c>
      <c r="B4055" s="2" t="str">
        <f>"B20230704111"</f>
        <v>B20230704111</v>
      </c>
      <c r="C4055" s="2" t="str">
        <f t="shared" ref="C4055:C4059" si="1044">"男"</f>
        <v>男</v>
      </c>
      <c r="D4055" s="2" t="str">
        <f t="shared" si="1041"/>
        <v>7</v>
      </c>
      <c r="E4055" s="2" t="str">
        <f>"马栏山新媒体学院"</f>
        <v>马栏山新媒体学院</v>
      </c>
    </row>
    <row r="4056" customHeight="1" spans="1:5">
      <c r="A4056" s="6" t="str">
        <f>"张安琪"</f>
        <v>张安琪</v>
      </c>
      <c r="B4056" s="6" t="str">
        <f>"B20210306118"</f>
        <v>B20210306118</v>
      </c>
      <c r="C4056" s="6" t="str">
        <f>"女"</f>
        <v>女</v>
      </c>
      <c r="D4056" s="7" t="str">
        <f>"6"</f>
        <v>6</v>
      </c>
      <c r="E4056" s="6" t="str">
        <f>"计算机科学与工程学院"</f>
        <v>计算机科学与工程学院</v>
      </c>
    </row>
    <row r="4057" ht="13.5" hidden="1" spans="1:5">
      <c r="A4057" s="2" t="str">
        <f>"陈宇轩"</f>
        <v>陈宇轩</v>
      </c>
      <c r="B4057" s="2" t="str">
        <f>"B20230104122"</f>
        <v>B20230104122</v>
      </c>
      <c r="C4057" s="2" t="str">
        <f t="shared" si="1043"/>
        <v>女</v>
      </c>
      <c r="D4057" s="2" t="str">
        <f t="shared" si="1041"/>
        <v>7</v>
      </c>
      <c r="E4057" s="2" t="str">
        <f>"土木工程学院"</f>
        <v>土木工程学院</v>
      </c>
    </row>
    <row r="4058" ht="13.5" hidden="1" spans="1:5">
      <c r="A4058" s="2" t="str">
        <f>"张帅茹"</f>
        <v>张帅茹</v>
      </c>
      <c r="B4058" s="2" t="str">
        <f>"B20220601427"</f>
        <v>B20220601427</v>
      </c>
      <c r="C4058" s="2" t="str">
        <f t="shared" si="1043"/>
        <v>女</v>
      </c>
      <c r="D4058" s="2" t="str">
        <f t="shared" si="1041"/>
        <v>7</v>
      </c>
      <c r="E4058" s="2" t="str">
        <f>"法学院"</f>
        <v>法学院</v>
      </c>
    </row>
    <row r="4059" ht="13.5" hidden="1" spans="1:5">
      <c r="A4059" s="2" t="str">
        <f>"李欢"</f>
        <v>李欢</v>
      </c>
      <c r="B4059" s="2" t="str">
        <f>"B20230201224"</f>
        <v>B20230201224</v>
      </c>
      <c r="C4059" s="2" t="str">
        <f t="shared" si="1044"/>
        <v>男</v>
      </c>
      <c r="D4059" s="2" t="str">
        <f t="shared" si="1041"/>
        <v>7</v>
      </c>
      <c r="E4059" s="2" t="str">
        <f>"机电工程学院"</f>
        <v>机电工程学院</v>
      </c>
    </row>
    <row r="4060" customHeight="1" spans="1:5">
      <c r="A4060" s="6" t="str">
        <f>"李姗"</f>
        <v>李姗</v>
      </c>
      <c r="B4060" s="6" t="str">
        <f>"B20210306120"</f>
        <v>B20210306120</v>
      </c>
      <c r="C4060" s="6" t="str">
        <f>"女"</f>
        <v>女</v>
      </c>
      <c r="D4060" s="7" t="str">
        <f>"9"</f>
        <v>9</v>
      </c>
      <c r="E4060" s="6" t="str">
        <f>"计算机科学与工程学院"</f>
        <v>计算机科学与工程学院</v>
      </c>
    </row>
    <row r="4061" ht="13.5" hidden="1" spans="1:5">
      <c r="A4061" s="2" t="str">
        <f>"李张领"</f>
        <v>李张领</v>
      </c>
      <c r="B4061" s="2" t="str">
        <f>"B20230501127"</f>
        <v>B20230501127</v>
      </c>
      <c r="C4061" s="2" t="str">
        <f t="shared" ref="C4061:C4063" si="1045">"男"</f>
        <v>男</v>
      </c>
      <c r="D4061" s="2" t="str">
        <f t="shared" si="1041"/>
        <v>7</v>
      </c>
      <c r="E4061" s="2" t="str">
        <f>"生物与化学工程学院"</f>
        <v>生物与化学工程学院</v>
      </c>
    </row>
    <row r="4062" ht="13.5" hidden="1" spans="1:5">
      <c r="A4062" s="2" t="str">
        <f>"孙磊"</f>
        <v>孙磊</v>
      </c>
      <c r="B4062" s="2" t="str">
        <f>"B20231302130"</f>
        <v>B20231302130</v>
      </c>
      <c r="C4062" s="2" t="str">
        <f t="shared" si="1045"/>
        <v>男</v>
      </c>
      <c r="D4062" s="2" t="str">
        <f t="shared" si="1041"/>
        <v>7</v>
      </c>
      <c r="E4062" s="2" t="str">
        <f>"材料与环境工程学院"</f>
        <v>材料与环境工程学院</v>
      </c>
    </row>
    <row r="4063" ht="13.5" hidden="1" spans="1:5">
      <c r="A4063" s="2" t="str">
        <f>"李修之"</f>
        <v>李修之</v>
      </c>
      <c r="B4063" s="2" t="str">
        <f>"B20230204108"</f>
        <v>B20230204108</v>
      </c>
      <c r="C4063" s="2" t="str">
        <f t="shared" si="1045"/>
        <v>男</v>
      </c>
      <c r="D4063" s="2" t="str">
        <f t="shared" si="1041"/>
        <v>7</v>
      </c>
      <c r="E4063" s="2" t="str">
        <f>"机电工程学院"</f>
        <v>机电工程学院</v>
      </c>
    </row>
    <row r="4064" ht="13.5" hidden="1" spans="1:5">
      <c r="A4064" s="2" t="str">
        <f>"尹露"</f>
        <v>尹露</v>
      </c>
      <c r="B4064" s="2" t="str">
        <f>"B20220903111"</f>
        <v>B20220903111</v>
      </c>
      <c r="C4064" s="2" t="str">
        <f t="shared" ref="C4060:C4066" si="1046">"女"</f>
        <v>女</v>
      </c>
      <c r="D4064" s="2" t="str">
        <f t="shared" si="1041"/>
        <v>7</v>
      </c>
      <c r="E4064" s="2" t="str">
        <f>"经济与管理学院"</f>
        <v>经济与管理学院</v>
      </c>
    </row>
    <row r="4065" ht="13.5" hidden="1" spans="1:5">
      <c r="A4065" s="2" t="str">
        <f>"黄静娴"</f>
        <v>黄静娴</v>
      </c>
      <c r="B4065" s="2" t="str">
        <f>"B20220405112"</f>
        <v>B20220405112</v>
      </c>
      <c r="C4065" s="2" t="str">
        <f t="shared" si="1046"/>
        <v>女</v>
      </c>
      <c r="D4065" s="2" t="str">
        <f t="shared" si="1041"/>
        <v>7</v>
      </c>
      <c r="E4065" s="2" t="str">
        <f>"电子信息与电气工程学院"</f>
        <v>电子信息与电气工程学院</v>
      </c>
    </row>
    <row r="4066" ht="13.5" hidden="1" spans="1:5">
      <c r="A4066" s="2" t="str">
        <f>"施智颖"</f>
        <v>施智颖</v>
      </c>
      <c r="B4066" s="2" t="str">
        <f>"B20200702228"</f>
        <v>B20200702228</v>
      </c>
      <c r="C4066" s="2" t="str">
        <f t="shared" si="1046"/>
        <v>女</v>
      </c>
      <c r="D4066" s="2" t="str">
        <f t="shared" si="1041"/>
        <v>7</v>
      </c>
      <c r="E4066" s="2" t="str">
        <f>"马栏山新媒体学院"</f>
        <v>马栏山新媒体学院</v>
      </c>
    </row>
    <row r="4067" ht="13.5" hidden="1" spans="1:5">
      <c r="A4067" s="2" t="str">
        <f>"邱旭程"</f>
        <v>邱旭程</v>
      </c>
      <c r="B4067" s="2" t="str">
        <f>"B20230802114"</f>
        <v>B20230802114</v>
      </c>
      <c r="C4067" s="2" t="str">
        <f t="shared" ref="C4067:C4070" si="1047">"男"</f>
        <v>男</v>
      </c>
      <c r="D4067" s="2" t="str">
        <f t="shared" si="1041"/>
        <v>7</v>
      </c>
      <c r="E4067" s="2" t="str">
        <f>"外国语学院"</f>
        <v>外国语学院</v>
      </c>
    </row>
    <row r="4068" ht="13.5" hidden="1" spans="1:5">
      <c r="A4068" s="2" t="str">
        <f>"李佳洛"</f>
        <v>李佳洛</v>
      </c>
      <c r="B4068" s="2" t="str">
        <f>"B20230401117"</f>
        <v>B20230401117</v>
      </c>
      <c r="C4068" s="2" t="str">
        <f t="shared" si="1047"/>
        <v>男</v>
      </c>
      <c r="D4068" s="2" t="str">
        <f t="shared" si="1041"/>
        <v>7</v>
      </c>
      <c r="E4068" s="2" t="str">
        <f>"电子信息与电气工程学院"</f>
        <v>电子信息与电气工程学院</v>
      </c>
    </row>
    <row r="4069" customHeight="1" spans="1:5">
      <c r="A4069" s="6" t="str">
        <f>"朱银"</f>
        <v>朱银</v>
      </c>
      <c r="B4069" s="6" t="str">
        <f>"B20210306121"</f>
        <v>B20210306121</v>
      </c>
      <c r="C4069" s="6" t="str">
        <f>"女"</f>
        <v>女</v>
      </c>
      <c r="D4069" s="7" t="str">
        <f>"8"</f>
        <v>8</v>
      </c>
      <c r="E4069" s="6" t="str">
        <f>"计算机科学与工程学院"</f>
        <v>计算机科学与工程学院</v>
      </c>
    </row>
    <row r="4070" ht="13.5" hidden="1" spans="1:5">
      <c r="A4070" s="2" t="str">
        <f>"游斌锋"</f>
        <v>游斌锋</v>
      </c>
      <c r="B4070" s="2" t="str">
        <f>"B20210204215"</f>
        <v>B20210204215</v>
      </c>
      <c r="C4070" s="2" t="str">
        <f t="shared" si="1047"/>
        <v>男</v>
      </c>
      <c r="D4070" s="2" t="str">
        <f t="shared" si="1041"/>
        <v>7</v>
      </c>
      <c r="E4070" s="2" t="str">
        <f>"机电工程学院"</f>
        <v>机电工程学院</v>
      </c>
    </row>
    <row r="4071" ht="13.5" hidden="1" spans="1:5">
      <c r="A4071" s="2" t="str">
        <f>"汪利利"</f>
        <v>汪利利</v>
      </c>
      <c r="B4071" s="2" t="str">
        <f>"B20220104133"</f>
        <v>B20220104133</v>
      </c>
      <c r="C4071" s="2" t="str">
        <f t="shared" ref="C4069:C4072" si="1048">"女"</f>
        <v>女</v>
      </c>
      <c r="D4071" s="2" t="str">
        <f t="shared" si="1041"/>
        <v>7</v>
      </c>
      <c r="E4071" s="2" t="str">
        <f>"土木工程学院"</f>
        <v>土木工程学院</v>
      </c>
    </row>
    <row r="4072" ht="13.5" hidden="1" spans="1:5">
      <c r="A4072" s="2" t="str">
        <f>"张越"</f>
        <v>张越</v>
      </c>
      <c r="B4072" s="2" t="str">
        <f>"B20230704107"</f>
        <v>B20230704107</v>
      </c>
      <c r="C4072" s="2" t="str">
        <f t="shared" si="1048"/>
        <v>女</v>
      </c>
      <c r="D4072" s="2" t="str">
        <f t="shared" si="1041"/>
        <v>7</v>
      </c>
      <c r="E4072" s="2" t="str">
        <f>"马栏山新媒体学院"</f>
        <v>马栏山新媒体学院</v>
      </c>
    </row>
    <row r="4073" ht="13.5" hidden="1" spans="1:5">
      <c r="A4073" s="2" t="str">
        <f>"李泽荣"</f>
        <v>李泽荣</v>
      </c>
      <c r="B4073" s="2" t="str">
        <f>"B20230504307"</f>
        <v>B20230504307</v>
      </c>
      <c r="C4073" s="2" t="str">
        <f>"男"</f>
        <v>男</v>
      </c>
      <c r="D4073" s="2" t="str">
        <f t="shared" si="1041"/>
        <v>7</v>
      </c>
      <c r="E4073" s="2" t="str">
        <f>"生物与化学工程学院"</f>
        <v>生物与化学工程学院</v>
      </c>
    </row>
    <row r="4074" ht="13.5" hidden="1" spans="1:5">
      <c r="A4074" s="2" t="str">
        <f>"刘蓉"</f>
        <v>刘蓉</v>
      </c>
      <c r="B4074" s="2" t="str">
        <f>"B20230701218"</f>
        <v>B20230701218</v>
      </c>
      <c r="C4074" s="2" t="str">
        <f t="shared" ref="C4074:C4077" si="1049">"女"</f>
        <v>女</v>
      </c>
      <c r="D4074" s="2" t="str">
        <f t="shared" si="1041"/>
        <v>7</v>
      </c>
      <c r="E4074" s="2" t="str">
        <f>"马栏山新媒体学院"</f>
        <v>马栏山新媒体学院</v>
      </c>
    </row>
    <row r="4075" ht="13.5" hidden="1" spans="1:5">
      <c r="A4075" s="2" t="str">
        <f>"吴怡"</f>
        <v>吴怡</v>
      </c>
      <c r="B4075" s="2" t="str">
        <f>"B20221002310"</f>
        <v>B20221002310</v>
      </c>
      <c r="C4075" s="2" t="str">
        <f t="shared" si="1049"/>
        <v>女</v>
      </c>
      <c r="D4075" s="2" t="str">
        <f t="shared" si="1041"/>
        <v>7</v>
      </c>
      <c r="E4075" s="2" t="str">
        <f>"艺术设计学院"</f>
        <v>艺术设计学院</v>
      </c>
    </row>
    <row r="4076" ht="13.5" hidden="1" spans="1:5">
      <c r="A4076" s="2" t="str">
        <f>"王雯丽"</f>
        <v>王雯丽</v>
      </c>
      <c r="B4076" s="2" t="str">
        <f>"B20221004209"</f>
        <v>B20221004209</v>
      </c>
      <c r="C4076" s="2" t="str">
        <f t="shared" si="1049"/>
        <v>女</v>
      </c>
      <c r="D4076" s="2" t="str">
        <f t="shared" si="1041"/>
        <v>7</v>
      </c>
      <c r="E4076" s="2" t="str">
        <f>"艺术设计学院"</f>
        <v>艺术设计学院</v>
      </c>
    </row>
    <row r="4077" ht="13.5" hidden="1" spans="1:5">
      <c r="A4077" s="2" t="str">
        <f>"邵稀"</f>
        <v>邵稀</v>
      </c>
      <c r="B4077" s="2" t="str">
        <f>"B20230501128"</f>
        <v>B20230501128</v>
      </c>
      <c r="C4077" s="2" t="str">
        <f t="shared" si="1049"/>
        <v>女</v>
      </c>
      <c r="D4077" s="2" t="str">
        <f t="shared" si="1041"/>
        <v>7</v>
      </c>
      <c r="E4077" s="2" t="str">
        <f>"生物与化学工程学院"</f>
        <v>生物与化学工程学院</v>
      </c>
    </row>
    <row r="4078" ht="13.5" hidden="1" spans="1:5">
      <c r="A4078" s="2" t="str">
        <f>"刘进财"</f>
        <v>刘进财</v>
      </c>
      <c r="B4078" s="2" t="str">
        <f>"B20200202214"</f>
        <v>B20200202214</v>
      </c>
      <c r="C4078" s="2" t="str">
        <f t="shared" ref="C4078:C4082" si="1050">"男"</f>
        <v>男</v>
      </c>
      <c r="D4078" s="2" t="str">
        <f t="shared" si="1041"/>
        <v>7</v>
      </c>
      <c r="E4078" s="2" t="str">
        <f>"机电工程学院"</f>
        <v>机电工程学院</v>
      </c>
    </row>
    <row r="4079" ht="13.5" hidden="1" spans="1:5">
      <c r="A4079" s="2" t="str">
        <f>"马语嫣"</f>
        <v>马语嫣</v>
      </c>
      <c r="B4079" s="2" t="str">
        <f>"B20220906132"</f>
        <v>B20220906132</v>
      </c>
      <c r="C4079" s="2" t="str">
        <f t="shared" ref="C4079:C4085" si="1051">"女"</f>
        <v>女</v>
      </c>
      <c r="D4079" s="2" t="str">
        <f t="shared" si="1041"/>
        <v>7</v>
      </c>
      <c r="E4079" s="2" t="str">
        <f t="shared" ref="E4079:E4084" si="1052">"经济与管理学院"</f>
        <v>经济与管理学院</v>
      </c>
    </row>
    <row r="4080" customHeight="1" spans="1:5">
      <c r="A4080" s="6" t="str">
        <f>"罗云琛"</f>
        <v>罗云琛</v>
      </c>
      <c r="B4080" s="6" t="str">
        <f>"B20210306122"</f>
        <v>B20210306122</v>
      </c>
      <c r="C4080" s="6" t="str">
        <f>"男"</f>
        <v>男</v>
      </c>
      <c r="D4080" s="7" t="str">
        <f>"6"</f>
        <v>6</v>
      </c>
      <c r="E4080" s="6" t="str">
        <f>"计算机科学与工程学院"</f>
        <v>计算机科学与工程学院</v>
      </c>
    </row>
    <row r="4081" ht="13.5" hidden="1" spans="1:5">
      <c r="A4081" s="2" t="str">
        <f>"候炎柏"</f>
        <v>候炎柏</v>
      </c>
      <c r="B4081" s="2" t="str">
        <f>"B20210901224"</f>
        <v>B20210901224</v>
      </c>
      <c r="C4081" s="2" t="str">
        <f t="shared" si="1051"/>
        <v>女</v>
      </c>
      <c r="D4081" s="2" t="str">
        <f t="shared" si="1041"/>
        <v>7</v>
      </c>
      <c r="E4081" s="2" t="str">
        <f t="shared" si="1052"/>
        <v>经济与管理学院</v>
      </c>
    </row>
    <row r="4082" ht="13.5" hidden="1" spans="1:5">
      <c r="A4082" s="2" t="str">
        <f>"侯洋"</f>
        <v>侯洋</v>
      </c>
      <c r="B4082" s="2" t="str">
        <f>"B20220803130"</f>
        <v>B20220803130</v>
      </c>
      <c r="C4082" s="2" t="str">
        <f t="shared" si="1050"/>
        <v>男</v>
      </c>
      <c r="D4082" s="2" t="str">
        <f t="shared" si="1041"/>
        <v>7</v>
      </c>
      <c r="E4082" s="2" t="str">
        <f>"外国语学院"</f>
        <v>外国语学院</v>
      </c>
    </row>
    <row r="4083" ht="13.5" hidden="1" spans="1:5">
      <c r="A4083" s="2" t="str">
        <f>"彭慧"</f>
        <v>彭慧</v>
      </c>
      <c r="B4083" s="2" t="str">
        <f>"B20200801309"</f>
        <v>B20200801309</v>
      </c>
      <c r="C4083" s="2" t="str">
        <f t="shared" si="1051"/>
        <v>女</v>
      </c>
      <c r="D4083" s="2" t="str">
        <f t="shared" si="1041"/>
        <v>7</v>
      </c>
      <c r="E4083" s="2" t="str">
        <f>"外国语学院"</f>
        <v>外国语学院</v>
      </c>
    </row>
    <row r="4084" ht="13.5" hidden="1" spans="1:5">
      <c r="A4084" s="2" t="str">
        <f>"吴希妍"</f>
        <v>吴希妍</v>
      </c>
      <c r="B4084" s="2" t="str">
        <f>"B20230901233"</f>
        <v>B20230901233</v>
      </c>
      <c r="C4084" s="2" t="str">
        <f t="shared" si="1051"/>
        <v>女</v>
      </c>
      <c r="D4084" s="2" t="str">
        <f t="shared" si="1041"/>
        <v>7</v>
      </c>
      <c r="E4084" s="2" t="str">
        <f t="shared" si="1052"/>
        <v>经济与管理学院</v>
      </c>
    </row>
    <row r="4085" customHeight="1" spans="1:5">
      <c r="A4085" s="6" t="str">
        <f>"龚慧琳"</f>
        <v>龚慧琳</v>
      </c>
      <c r="B4085" s="6" t="str">
        <f>"B20210306123"</f>
        <v>B20210306123</v>
      </c>
      <c r="C4085" s="6" t="str">
        <f t="shared" si="1051"/>
        <v>女</v>
      </c>
      <c r="D4085" s="7" t="str">
        <f>"9"</f>
        <v>9</v>
      </c>
      <c r="E4085" s="6" t="str">
        <f>"计算机科学与工程学院"</f>
        <v>计算机科学与工程学院</v>
      </c>
    </row>
    <row r="4086" ht="13.5" hidden="1" spans="1:5">
      <c r="A4086" s="2" t="str">
        <f>"尹秦凯"</f>
        <v>尹秦凯</v>
      </c>
      <c r="B4086" s="2" t="str">
        <f>"B20210505212"</f>
        <v>B20210505212</v>
      </c>
      <c r="C4086" s="2" t="str">
        <f t="shared" ref="C4086:C4089" si="1053">"男"</f>
        <v>男</v>
      </c>
      <c r="D4086" s="2" t="str">
        <f t="shared" si="1041"/>
        <v>7</v>
      </c>
      <c r="E4086" s="2" t="str">
        <f>"材料与环境工程学院"</f>
        <v>材料与环境工程学院</v>
      </c>
    </row>
    <row r="4087" ht="13.5" hidden="1" spans="1:5">
      <c r="A4087" s="2" t="str">
        <f>"潘勍"</f>
        <v>潘勍</v>
      </c>
      <c r="B4087" s="2" t="str">
        <f>"B20200103115"</f>
        <v>B20200103115</v>
      </c>
      <c r="C4087" s="2" t="str">
        <f t="shared" si="1053"/>
        <v>男</v>
      </c>
      <c r="D4087" s="2" t="str">
        <f t="shared" si="1041"/>
        <v>7</v>
      </c>
      <c r="E4087" s="2" t="str">
        <f>"土木工程学院"</f>
        <v>土木工程学院</v>
      </c>
    </row>
    <row r="4088" customHeight="1" spans="1:5">
      <c r="A4088" s="6" t="str">
        <f>"苏昕露"</f>
        <v>苏昕露</v>
      </c>
      <c r="B4088" s="6" t="str">
        <f>"B20210306124"</f>
        <v>B20210306124</v>
      </c>
      <c r="C4088" s="6" t="str">
        <f>"女"</f>
        <v>女</v>
      </c>
      <c r="D4088" s="7" t="str">
        <f>"6"</f>
        <v>6</v>
      </c>
      <c r="E4088" s="6" t="str">
        <f>"计算机科学与工程学院"</f>
        <v>计算机科学与工程学院</v>
      </c>
    </row>
    <row r="4089" ht="13.5" hidden="1" spans="1:5">
      <c r="A4089" s="2" t="str">
        <f>"顾欣晟"</f>
        <v>顾欣晟</v>
      </c>
      <c r="B4089" s="2" t="str">
        <f>"B20210501101"</f>
        <v>B20210501101</v>
      </c>
      <c r="C4089" s="2" t="str">
        <f t="shared" si="1053"/>
        <v>男</v>
      </c>
      <c r="D4089" s="2" t="str">
        <f t="shared" si="1041"/>
        <v>7</v>
      </c>
      <c r="E4089" s="2" t="str">
        <f>"生物与化学工程学院"</f>
        <v>生物与化学工程学院</v>
      </c>
    </row>
    <row r="4090" ht="13.5" hidden="1" spans="1:5">
      <c r="A4090" s="2" t="str">
        <f>"贺旗梦"</f>
        <v>贺旗梦</v>
      </c>
      <c r="B4090" s="2" t="str">
        <f>"B20230701206"</f>
        <v>B20230701206</v>
      </c>
      <c r="C4090" s="2" t="str">
        <f>"女"</f>
        <v>女</v>
      </c>
      <c r="D4090" s="2" t="str">
        <f t="shared" si="1041"/>
        <v>7</v>
      </c>
      <c r="E4090" s="2" t="str">
        <f>"马栏山新媒体学院"</f>
        <v>马栏山新媒体学院</v>
      </c>
    </row>
    <row r="4091" ht="13.5" hidden="1" spans="1:5">
      <c r="A4091" s="2" t="str">
        <f>"尹唐颖"</f>
        <v>尹唐颖</v>
      </c>
      <c r="B4091" s="2" t="str">
        <f>"B20230502211"</f>
        <v>B20230502211</v>
      </c>
      <c r="C4091" s="2" t="str">
        <f t="shared" ref="C4091:C4093" si="1054">"男"</f>
        <v>男</v>
      </c>
      <c r="D4091" s="2" t="str">
        <f t="shared" si="1041"/>
        <v>7</v>
      </c>
      <c r="E4091" s="2" t="str">
        <f>"生物与化学工程学院"</f>
        <v>生物与化学工程学院</v>
      </c>
    </row>
    <row r="4092" ht="13.5" hidden="1" spans="1:5">
      <c r="A4092" s="2" t="str">
        <f>"袁圆"</f>
        <v>袁圆</v>
      </c>
      <c r="B4092" s="2" t="str">
        <f>"B20230404220"</f>
        <v>B20230404220</v>
      </c>
      <c r="C4092" s="2" t="str">
        <f t="shared" si="1054"/>
        <v>男</v>
      </c>
      <c r="D4092" s="2" t="str">
        <f t="shared" si="1041"/>
        <v>7</v>
      </c>
      <c r="E4092" s="2" t="str">
        <f>"电子信息与电气工程学院"</f>
        <v>电子信息与电气工程学院</v>
      </c>
    </row>
    <row r="4093" customHeight="1" spans="1:5">
      <c r="A4093" s="6" t="str">
        <f>"张政东"</f>
        <v>张政东</v>
      </c>
      <c r="B4093" s="6" t="str">
        <f>"B20210306125"</f>
        <v>B20210306125</v>
      </c>
      <c r="C4093" s="6" t="str">
        <f t="shared" si="1054"/>
        <v>男</v>
      </c>
      <c r="D4093" s="7" t="str">
        <f>"5"</f>
        <v>5</v>
      </c>
      <c r="E4093" s="6" t="str">
        <f>"计算机科学与工程学院"</f>
        <v>计算机科学与工程学院</v>
      </c>
    </row>
    <row r="4094" ht="13.5" hidden="1" spans="1:5">
      <c r="A4094" s="2" t="str">
        <f>"陈澜予"</f>
        <v>陈澜予</v>
      </c>
      <c r="B4094" s="2" t="str">
        <f>"B20201101110"</f>
        <v>B20201101110</v>
      </c>
      <c r="C4094" s="2" t="str">
        <f>"女"</f>
        <v>女</v>
      </c>
      <c r="D4094" s="2" t="str">
        <f t="shared" si="1041"/>
        <v>7</v>
      </c>
      <c r="E4094" s="2" t="str">
        <f>"音乐学院"</f>
        <v>音乐学院</v>
      </c>
    </row>
    <row r="4095" customHeight="1" spans="1:5">
      <c r="A4095" s="6" t="str">
        <f>"向晓雯"</f>
        <v>向晓雯</v>
      </c>
      <c r="B4095" s="6" t="str">
        <f>"B20210306126"</f>
        <v>B20210306126</v>
      </c>
      <c r="C4095" s="6" t="str">
        <f>"女"</f>
        <v>女</v>
      </c>
      <c r="D4095" s="7" t="str">
        <f t="shared" si="1041"/>
        <v>7</v>
      </c>
      <c r="E4095" s="6" t="str">
        <f>"计算机科学与工程学院"</f>
        <v>计算机科学与工程学院</v>
      </c>
    </row>
    <row r="4096" ht="13.5" hidden="1" spans="1:5">
      <c r="A4096" s="2" t="str">
        <f>"高悦"</f>
        <v>高悦</v>
      </c>
      <c r="B4096" s="2" t="str">
        <f>"B20201002409"</f>
        <v>B20201002409</v>
      </c>
      <c r="C4096" s="2" t="str">
        <f t="shared" ref="C4096:C4103" si="1055">"女"</f>
        <v>女</v>
      </c>
      <c r="D4096" s="2" t="str">
        <f t="shared" si="1041"/>
        <v>7</v>
      </c>
      <c r="E4096" s="2" t="str">
        <f>"艺术设计学院"</f>
        <v>艺术设计学院</v>
      </c>
    </row>
    <row r="4097" ht="13.5" hidden="1" spans="1:5">
      <c r="A4097" s="2" t="str">
        <f>"陈家何"</f>
        <v>陈家何</v>
      </c>
      <c r="B4097" s="2" t="str">
        <f>"B20210202428"</f>
        <v>B20210202428</v>
      </c>
      <c r="C4097" s="2" t="str">
        <f t="shared" ref="C4095:C4099" si="1056">"男"</f>
        <v>男</v>
      </c>
      <c r="D4097" s="2" t="str">
        <f t="shared" si="1041"/>
        <v>7</v>
      </c>
      <c r="E4097" s="2" t="str">
        <f>"机电工程学院"</f>
        <v>机电工程学院</v>
      </c>
    </row>
    <row r="4098" ht="13.5" hidden="1" spans="1:5">
      <c r="A4098" s="2" t="str">
        <f>"游怀宇"</f>
        <v>游怀宇</v>
      </c>
      <c r="B4098" s="2" t="str">
        <f>"B20200404209"</f>
        <v>B20200404209</v>
      </c>
      <c r="C4098" s="2" t="str">
        <f t="shared" si="1056"/>
        <v>男</v>
      </c>
      <c r="D4098" s="2" t="str">
        <f t="shared" si="1041"/>
        <v>7</v>
      </c>
      <c r="E4098" s="2" t="str">
        <f t="shared" ref="E4098:E4101" si="1057">"电子信息与电气工程学院"</f>
        <v>电子信息与电气工程学院</v>
      </c>
    </row>
    <row r="4099" ht="13.5" hidden="1" spans="1:5">
      <c r="A4099" s="2" t="str">
        <f>"谭鸿锦"</f>
        <v>谭鸿锦</v>
      </c>
      <c r="B4099" s="2" t="str">
        <f>"B20210404211"</f>
        <v>B20210404211</v>
      </c>
      <c r="C4099" s="2" t="str">
        <f t="shared" si="1056"/>
        <v>男</v>
      </c>
      <c r="D4099" s="2" t="str">
        <f t="shared" si="1041"/>
        <v>7</v>
      </c>
      <c r="E4099" s="2" t="str">
        <f t="shared" si="1057"/>
        <v>电子信息与电气工程学院</v>
      </c>
    </row>
    <row r="4100" ht="13.5" hidden="1" spans="1:5">
      <c r="A4100" s="2" t="str">
        <f>"何佳静"</f>
        <v>何佳静</v>
      </c>
      <c r="B4100" s="2" t="str">
        <f>"B20210904306"</f>
        <v>B20210904306</v>
      </c>
      <c r="C4100" s="2" t="str">
        <f t="shared" si="1055"/>
        <v>女</v>
      </c>
      <c r="D4100" s="2" t="str">
        <f t="shared" si="1041"/>
        <v>7</v>
      </c>
      <c r="E4100" s="2" t="str">
        <f>"经济与管理学院"</f>
        <v>经济与管理学院</v>
      </c>
    </row>
    <row r="4101" ht="13.5" hidden="1" spans="1:5">
      <c r="A4101" s="2" t="str">
        <f>"何伟伟"</f>
        <v>何伟伟</v>
      </c>
      <c r="B4101" s="2" t="str">
        <f>"B20200404220"</f>
        <v>B20200404220</v>
      </c>
      <c r="C4101" s="2" t="str">
        <f t="shared" si="1055"/>
        <v>女</v>
      </c>
      <c r="D4101" s="2" t="str">
        <f t="shared" si="1041"/>
        <v>7</v>
      </c>
      <c r="E4101" s="2" t="str">
        <f t="shared" si="1057"/>
        <v>电子信息与电气工程学院</v>
      </c>
    </row>
    <row r="4102" ht="13.5" hidden="1" spans="1:5">
      <c r="A4102" s="2" t="str">
        <f>"葛刘燕"</f>
        <v>葛刘燕</v>
      </c>
      <c r="B4102" s="2" t="str">
        <f>"B20200505209"</f>
        <v>B20200505209</v>
      </c>
      <c r="C4102" s="2" t="str">
        <f t="shared" si="1055"/>
        <v>女</v>
      </c>
      <c r="D4102" s="2" t="str">
        <f t="shared" si="1041"/>
        <v>7</v>
      </c>
      <c r="E4102" s="2" t="str">
        <f>"法学院"</f>
        <v>法学院</v>
      </c>
    </row>
    <row r="4103" ht="13.5" hidden="1" spans="1:5">
      <c r="A4103" s="2" t="str">
        <f>"唐倩茹"</f>
        <v>唐倩茹</v>
      </c>
      <c r="B4103" s="2" t="str">
        <f>"B20210903109"</f>
        <v>B20210903109</v>
      </c>
      <c r="C4103" s="2" t="str">
        <f t="shared" si="1055"/>
        <v>女</v>
      </c>
      <c r="D4103" s="2" t="str">
        <f t="shared" si="1041"/>
        <v>7</v>
      </c>
      <c r="E4103" s="2" t="str">
        <f t="shared" ref="E4103:E4107" si="1058">"经济与管理学院"</f>
        <v>经济与管理学院</v>
      </c>
    </row>
    <row r="4104" ht="13.5" hidden="1" spans="1:5">
      <c r="A4104" s="2" t="str">
        <f>"张智洪"</f>
        <v>张智洪</v>
      </c>
      <c r="B4104" s="2" t="str">
        <f>"B20200402101"</f>
        <v>B20200402101</v>
      </c>
      <c r="C4104" s="2" t="str">
        <f t="shared" ref="C4104:C4112" si="1059">"男"</f>
        <v>男</v>
      </c>
      <c r="D4104" s="2" t="str">
        <f t="shared" si="1041"/>
        <v>7</v>
      </c>
      <c r="E4104" s="2" t="str">
        <f>"电子信息与电气工程学院"</f>
        <v>电子信息与电气工程学院</v>
      </c>
    </row>
    <row r="4105" ht="13.5" hidden="1" spans="1:5">
      <c r="A4105" s="2" t="str">
        <f>"陈佳儒"</f>
        <v>陈佳儒</v>
      </c>
      <c r="B4105" s="2" t="str">
        <f>"B20221004123"</f>
        <v>B20221004123</v>
      </c>
      <c r="C4105" s="2" t="str">
        <f>"女"</f>
        <v>女</v>
      </c>
      <c r="D4105" s="2" t="str">
        <f t="shared" si="1041"/>
        <v>7</v>
      </c>
      <c r="E4105" s="2" t="str">
        <f>"艺术设计学院"</f>
        <v>艺术设计学院</v>
      </c>
    </row>
    <row r="4106" ht="13.5" hidden="1" spans="1:5">
      <c r="A4106" s="2" t="str">
        <f>"吴珂"</f>
        <v>吴珂</v>
      </c>
      <c r="B4106" s="2" t="str">
        <f>"B20210904129"</f>
        <v>B20210904129</v>
      </c>
      <c r="C4106" s="2" t="str">
        <f>"女"</f>
        <v>女</v>
      </c>
      <c r="D4106" s="2" t="str">
        <f t="shared" si="1041"/>
        <v>7</v>
      </c>
      <c r="E4106" s="2" t="str">
        <f t="shared" si="1058"/>
        <v>经济与管理学院</v>
      </c>
    </row>
    <row r="4107" ht="13.5" hidden="1" spans="1:5">
      <c r="A4107" s="2" t="str">
        <f>"阳湘源"</f>
        <v>阳湘源</v>
      </c>
      <c r="B4107" s="2" t="str">
        <f>"B20210904113"</f>
        <v>B20210904113</v>
      </c>
      <c r="C4107" s="2" t="str">
        <f t="shared" si="1059"/>
        <v>男</v>
      </c>
      <c r="D4107" s="2" t="str">
        <f t="shared" si="1041"/>
        <v>7</v>
      </c>
      <c r="E4107" s="2" t="str">
        <f t="shared" si="1058"/>
        <v>经济与管理学院</v>
      </c>
    </row>
    <row r="4108" ht="13.5" hidden="1" spans="1:5">
      <c r="A4108" s="2" t="str">
        <f>"欧蔚波"</f>
        <v>欧蔚波</v>
      </c>
      <c r="B4108" s="2" t="str">
        <f>"B20210102111"</f>
        <v>B20210102111</v>
      </c>
      <c r="C4108" s="2" t="str">
        <f t="shared" si="1059"/>
        <v>男</v>
      </c>
      <c r="D4108" s="2" t="str">
        <f t="shared" si="1041"/>
        <v>7</v>
      </c>
      <c r="E4108" s="2" t="str">
        <f>"土木工程学院"</f>
        <v>土木工程学院</v>
      </c>
    </row>
    <row r="4109" ht="13.5" hidden="1" spans="1:5">
      <c r="A4109" s="2" t="str">
        <f>"黄耀"</f>
        <v>黄耀</v>
      </c>
      <c r="B4109" s="2" t="str">
        <f>"B20220202235"</f>
        <v>B20220202235</v>
      </c>
      <c r="C4109" s="2" t="str">
        <f t="shared" si="1059"/>
        <v>男</v>
      </c>
      <c r="D4109" s="2" t="str">
        <f t="shared" si="1041"/>
        <v>7</v>
      </c>
      <c r="E4109" s="2" t="str">
        <f>"机电工程学院"</f>
        <v>机电工程学院</v>
      </c>
    </row>
    <row r="4110" ht="13.5" hidden="1" spans="1:5">
      <c r="A4110" s="2" t="str">
        <f>"陈果"</f>
        <v>陈果</v>
      </c>
      <c r="B4110" s="2" t="str">
        <f>"B20210402109"</f>
        <v>B20210402109</v>
      </c>
      <c r="C4110" s="2" t="str">
        <f t="shared" si="1059"/>
        <v>男</v>
      </c>
      <c r="D4110" s="2" t="str">
        <f t="shared" si="1041"/>
        <v>7</v>
      </c>
      <c r="E4110" s="2" t="str">
        <f>"电子信息与电气工程学院"</f>
        <v>电子信息与电气工程学院</v>
      </c>
    </row>
    <row r="4111" ht="13.5" hidden="1" spans="1:5">
      <c r="A4111" s="2" t="str">
        <f>"徐园"</f>
        <v>徐园</v>
      </c>
      <c r="B4111" s="2" t="str">
        <f>"B20210202237"</f>
        <v>B20210202237</v>
      </c>
      <c r="C4111" s="2" t="str">
        <f t="shared" si="1059"/>
        <v>男</v>
      </c>
      <c r="D4111" s="2" t="str">
        <f t="shared" ref="D4111:D4174" si="1060">"7"</f>
        <v>7</v>
      </c>
      <c r="E4111" s="2" t="str">
        <f>"机电工程学院"</f>
        <v>机电工程学院</v>
      </c>
    </row>
    <row r="4112" ht="13.5" hidden="1" spans="1:5">
      <c r="A4112" s="2" t="str">
        <f>"刘鹏"</f>
        <v>刘鹏</v>
      </c>
      <c r="B4112" s="2" t="str">
        <f>"B20230101535"</f>
        <v>B20230101535</v>
      </c>
      <c r="C4112" s="2" t="str">
        <f t="shared" si="1059"/>
        <v>男</v>
      </c>
      <c r="D4112" s="2" t="str">
        <f t="shared" si="1060"/>
        <v>7</v>
      </c>
      <c r="E4112" s="2" t="str">
        <f>"土木工程学院"</f>
        <v>土木工程学院</v>
      </c>
    </row>
    <row r="4113" ht="13.5" hidden="1" spans="1:5">
      <c r="A4113" s="2" t="str">
        <f>"郑嘉媛"</f>
        <v>郑嘉媛</v>
      </c>
      <c r="B4113" s="2" t="str">
        <f>"B20230701124"</f>
        <v>B20230701124</v>
      </c>
      <c r="C4113" s="2" t="str">
        <f>"女"</f>
        <v>女</v>
      </c>
      <c r="D4113" s="2" t="str">
        <f t="shared" si="1060"/>
        <v>7</v>
      </c>
      <c r="E4113" s="2" t="str">
        <f>"马栏山新媒体学院"</f>
        <v>马栏山新媒体学院</v>
      </c>
    </row>
    <row r="4114" ht="13.5" hidden="1" spans="1:5">
      <c r="A4114" s="2" t="str">
        <f>"钟嘉亮"</f>
        <v>钟嘉亮</v>
      </c>
      <c r="B4114" s="2" t="str">
        <f>"B20230502213"</f>
        <v>B20230502213</v>
      </c>
      <c r="C4114" s="2" t="str">
        <f t="shared" ref="C4114:C4116" si="1061">"男"</f>
        <v>男</v>
      </c>
      <c r="D4114" s="2" t="str">
        <f t="shared" si="1060"/>
        <v>7</v>
      </c>
      <c r="E4114" s="2" t="str">
        <f>"生物与化学工程学院"</f>
        <v>生物与化学工程学院</v>
      </c>
    </row>
    <row r="4115" ht="13.5" hidden="1" spans="1:5">
      <c r="A4115" s="2" t="str">
        <f>"张漩"</f>
        <v>张漩</v>
      </c>
      <c r="B4115" s="2" t="str">
        <f>"B20211002107"</f>
        <v>B20211002107</v>
      </c>
      <c r="C4115" s="2" t="str">
        <f t="shared" si="1061"/>
        <v>男</v>
      </c>
      <c r="D4115" s="2" t="str">
        <f t="shared" si="1060"/>
        <v>7</v>
      </c>
      <c r="E4115" s="2" t="str">
        <f>"艺术设计学院"</f>
        <v>艺术设计学院</v>
      </c>
    </row>
    <row r="4116" ht="13.5" hidden="1" spans="1:5">
      <c r="A4116" s="2" t="str">
        <f>"李中泽"</f>
        <v>李中泽</v>
      </c>
      <c r="B4116" s="2" t="str">
        <f>"B20230704320"</f>
        <v>B20230704320</v>
      </c>
      <c r="C4116" s="2" t="str">
        <f t="shared" si="1061"/>
        <v>男</v>
      </c>
      <c r="D4116" s="2" t="str">
        <f t="shared" si="1060"/>
        <v>7</v>
      </c>
      <c r="E4116" s="2" t="str">
        <f>"马栏山新媒体学院"</f>
        <v>马栏山新媒体学院</v>
      </c>
    </row>
    <row r="4117" ht="13.5" hidden="1" spans="1:5">
      <c r="A4117" s="2" t="str">
        <f>"曾欣蕊"</f>
        <v>曾欣蕊</v>
      </c>
      <c r="B4117" s="2" t="str">
        <f>"B20220801210"</f>
        <v>B20220801210</v>
      </c>
      <c r="C4117" s="2" t="str">
        <f>"女"</f>
        <v>女</v>
      </c>
      <c r="D4117" s="2" t="str">
        <f t="shared" si="1060"/>
        <v>7</v>
      </c>
      <c r="E4117" s="2" t="str">
        <f>"外国语学院"</f>
        <v>外国语学院</v>
      </c>
    </row>
    <row r="4118" ht="13.5" hidden="1" spans="1:5">
      <c r="A4118" s="2" t="str">
        <f>"何起扬"</f>
        <v>何起扬</v>
      </c>
      <c r="B4118" s="2" t="str">
        <f>"B20210201303"</f>
        <v>B20210201303</v>
      </c>
      <c r="C4118" s="2" t="str">
        <f t="shared" ref="C4118:C4120" si="1062">"男"</f>
        <v>男</v>
      </c>
      <c r="D4118" s="2" t="str">
        <f t="shared" si="1060"/>
        <v>7</v>
      </c>
      <c r="E4118" s="2" t="str">
        <f>"机电工程学院"</f>
        <v>机电工程学院</v>
      </c>
    </row>
    <row r="4119" ht="13.5" hidden="1" spans="1:5">
      <c r="A4119" s="2" t="str">
        <f>"宁轩宇"</f>
        <v>宁轩宇</v>
      </c>
      <c r="B4119" s="2" t="str">
        <f>"B20210401107"</f>
        <v>B20210401107</v>
      </c>
      <c r="C4119" s="2" t="str">
        <f t="shared" si="1062"/>
        <v>男</v>
      </c>
      <c r="D4119" s="2" t="str">
        <f t="shared" si="1060"/>
        <v>7</v>
      </c>
      <c r="E4119" s="2" t="str">
        <f>"电子信息与电气工程学院"</f>
        <v>电子信息与电气工程学院</v>
      </c>
    </row>
    <row r="4120" customHeight="1" spans="1:5">
      <c r="A4120" s="6" t="str">
        <f>"梁晓清"</f>
        <v>梁晓清</v>
      </c>
      <c r="B4120" s="6" t="str">
        <f>"B20210306127"</f>
        <v>B20210306127</v>
      </c>
      <c r="C4120" s="6" t="str">
        <f>"女"</f>
        <v>女</v>
      </c>
      <c r="D4120" s="7" t="str">
        <f>"13"</f>
        <v>13</v>
      </c>
      <c r="E4120" s="6" t="str">
        <f>"计算机科学与工程学院"</f>
        <v>计算机科学与工程学院</v>
      </c>
    </row>
    <row r="4121" ht="13.5" hidden="1" spans="1:5">
      <c r="A4121" s="2" t="str">
        <f>"肖雅宣"</f>
        <v>肖雅宣</v>
      </c>
      <c r="B4121" s="2" t="str">
        <f>"B20231111215"</f>
        <v>B20231111215</v>
      </c>
      <c r="C4121" s="2" t="str">
        <f>"女"</f>
        <v>女</v>
      </c>
      <c r="D4121" s="2" t="str">
        <f t="shared" si="1060"/>
        <v>7</v>
      </c>
      <c r="E4121" s="2" t="str">
        <f>"音乐学院"</f>
        <v>音乐学院</v>
      </c>
    </row>
    <row r="4122" customHeight="1" spans="1:5">
      <c r="A4122" s="6" t="str">
        <f>"程棕榈"</f>
        <v>程棕榈</v>
      </c>
      <c r="B4122" s="6" t="str">
        <f>"B20210306128"</f>
        <v>B20210306128</v>
      </c>
      <c r="C4122" s="6" t="str">
        <f>"男"</f>
        <v>男</v>
      </c>
      <c r="D4122" s="7" t="str">
        <f>"3"</f>
        <v>3</v>
      </c>
      <c r="E4122" s="6" t="str">
        <f>"计算机科学与工程学院"</f>
        <v>计算机科学与工程学院</v>
      </c>
    </row>
    <row r="4123" ht="13.5" hidden="1" spans="1:5">
      <c r="A4123" s="2" t="str">
        <f>"梁捷"</f>
        <v>梁捷</v>
      </c>
      <c r="B4123" s="2" t="str">
        <f>"B20230102126"</f>
        <v>B20230102126</v>
      </c>
      <c r="C4123" s="2" t="str">
        <f t="shared" ref="C4123:C4127" si="1063">"男"</f>
        <v>男</v>
      </c>
      <c r="D4123" s="2" t="str">
        <f t="shared" si="1060"/>
        <v>7</v>
      </c>
      <c r="E4123" s="2" t="str">
        <f>"土木工程学院"</f>
        <v>土木工程学院</v>
      </c>
    </row>
    <row r="4124" ht="13.5" hidden="1" spans="1:5">
      <c r="A4124" s="2" t="str">
        <f>"王雅萱"</f>
        <v>王雅萱</v>
      </c>
      <c r="B4124" s="2" t="str">
        <f>"B20200802321"</f>
        <v>B20200802321</v>
      </c>
      <c r="C4124" s="2" t="str">
        <f t="shared" ref="C4124:C4129" si="1064">"女"</f>
        <v>女</v>
      </c>
      <c r="D4124" s="2" t="str">
        <f t="shared" si="1060"/>
        <v>7</v>
      </c>
      <c r="E4124" s="2" t="str">
        <f>"外国语学院"</f>
        <v>外国语学院</v>
      </c>
    </row>
    <row r="4125" ht="13.5" hidden="1" spans="1:5">
      <c r="A4125" s="2" t="str">
        <f>"张嘉怡"</f>
        <v>张嘉怡</v>
      </c>
      <c r="B4125" s="2" t="str">
        <f>"B20231101321"</f>
        <v>B20231101321</v>
      </c>
      <c r="C4125" s="2" t="str">
        <f t="shared" si="1064"/>
        <v>女</v>
      </c>
      <c r="D4125" s="2" t="str">
        <f t="shared" si="1060"/>
        <v>7</v>
      </c>
      <c r="E4125" s="2" t="str">
        <f>"音乐学院"</f>
        <v>音乐学院</v>
      </c>
    </row>
    <row r="4126" ht="13.5" hidden="1" spans="1:5">
      <c r="A4126" s="2" t="str">
        <f>"李志涛"</f>
        <v>李志涛</v>
      </c>
      <c r="B4126" s="2" t="str">
        <f>"B20230101204"</f>
        <v>B20230101204</v>
      </c>
      <c r="C4126" s="2" t="str">
        <f t="shared" si="1063"/>
        <v>男</v>
      </c>
      <c r="D4126" s="2" t="str">
        <f t="shared" si="1060"/>
        <v>7</v>
      </c>
      <c r="E4126" s="2" t="str">
        <f>"土木工程学院"</f>
        <v>土木工程学院</v>
      </c>
    </row>
    <row r="4127" ht="13.5" hidden="1" spans="1:5">
      <c r="A4127" s="2" t="str">
        <f>"李涛"</f>
        <v>李涛</v>
      </c>
      <c r="B4127" s="2" t="str">
        <f>"B20220403134"</f>
        <v>B20220403134</v>
      </c>
      <c r="C4127" s="2" t="str">
        <f t="shared" si="1063"/>
        <v>男</v>
      </c>
      <c r="D4127" s="2" t="str">
        <f t="shared" si="1060"/>
        <v>7</v>
      </c>
      <c r="E4127" s="2" t="str">
        <f>"电子信息与电气工程学院"</f>
        <v>电子信息与电气工程学院</v>
      </c>
    </row>
    <row r="4128" ht="13.5" hidden="1" spans="1:5">
      <c r="A4128" s="2" t="str">
        <f>"唐惠"</f>
        <v>唐惠</v>
      </c>
      <c r="B4128" s="2" t="str">
        <f>"B20230803223"</f>
        <v>B20230803223</v>
      </c>
      <c r="C4128" s="2" t="str">
        <f t="shared" si="1064"/>
        <v>女</v>
      </c>
      <c r="D4128" s="2" t="str">
        <f t="shared" si="1060"/>
        <v>7</v>
      </c>
      <c r="E4128" s="2" t="str">
        <f>"外国语学院"</f>
        <v>外国语学院</v>
      </c>
    </row>
    <row r="4129" customHeight="1" spans="1:5">
      <c r="A4129" s="6" t="str">
        <f>"吕诗婷"</f>
        <v>吕诗婷</v>
      </c>
      <c r="B4129" s="6" t="str">
        <f>"B20210306201"</f>
        <v>B20210306201</v>
      </c>
      <c r="C4129" s="6" t="str">
        <f t="shared" si="1064"/>
        <v>女</v>
      </c>
      <c r="D4129" s="7" t="str">
        <f t="shared" si="1060"/>
        <v>7</v>
      </c>
      <c r="E4129" s="6" t="str">
        <f>"计算机科学与工程学院"</f>
        <v>计算机科学与工程学院</v>
      </c>
    </row>
    <row r="4130" ht="13.5" hidden="1" spans="1:5">
      <c r="A4130" s="2" t="str">
        <f>"胡宇熙"</f>
        <v>胡宇熙</v>
      </c>
      <c r="B4130" s="2" t="str">
        <f>"B20200403102"</f>
        <v>B20200403102</v>
      </c>
      <c r="C4130" s="2" t="str">
        <f>"男"</f>
        <v>男</v>
      </c>
      <c r="D4130" s="2" t="str">
        <f t="shared" si="1060"/>
        <v>7</v>
      </c>
      <c r="E4130" s="2" t="str">
        <f>"电子信息与电气工程学院"</f>
        <v>电子信息与电气工程学院</v>
      </c>
    </row>
    <row r="4131" ht="13.5" hidden="1" spans="1:5">
      <c r="A4131" s="2" t="str">
        <f>"文璇"</f>
        <v>文璇</v>
      </c>
      <c r="B4131" s="2" t="str">
        <f>"B20200905212"</f>
        <v>B20200905212</v>
      </c>
      <c r="C4131" s="2" t="str">
        <f t="shared" ref="C4131:C4133" si="1065">"女"</f>
        <v>女</v>
      </c>
      <c r="D4131" s="2" t="str">
        <f t="shared" si="1060"/>
        <v>7</v>
      </c>
      <c r="E4131" s="2" t="str">
        <f>"经济与管理学院"</f>
        <v>经济与管理学院</v>
      </c>
    </row>
    <row r="4132" customHeight="1" spans="1:5">
      <c r="A4132" s="6" t="str">
        <f>"税典坤"</f>
        <v>税典坤</v>
      </c>
      <c r="B4132" s="6" t="str">
        <f>"B20210306202"</f>
        <v>B20210306202</v>
      </c>
      <c r="C4132" s="6" t="str">
        <f>"男"</f>
        <v>男</v>
      </c>
      <c r="D4132" s="7" t="str">
        <f>"2"</f>
        <v>2</v>
      </c>
      <c r="E4132" s="6" t="str">
        <f>"计算机科学与工程学院"</f>
        <v>计算机科学与工程学院</v>
      </c>
    </row>
    <row r="4133" ht="13.5" hidden="1" spans="1:5">
      <c r="A4133" s="2" t="str">
        <f>"张诗琪"</f>
        <v>张诗琪</v>
      </c>
      <c r="B4133" s="2" t="str">
        <f>"B20230702203"</f>
        <v>B20230702203</v>
      </c>
      <c r="C4133" s="2" t="str">
        <f t="shared" si="1065"/>
        <v>女</v>
      </c>
      <c r="D4133" s="2" t="str">
        <f t="shared" si="1060"/>
        <v>7</v>
      </c>
      <c r="E4133" s="2" t="str">
        <f>"马栏山新媒体学院"</f>
        <v>马栏山新媒体学院</v>
      </c>
    </row>
    <row r="4134" ht="13.5" hidden="1" spans="1:5">
      <c r="A4134" s="2" t="str">
        <f>"周瑞康"</f>
        <v>周瑞康</v>
      </c>
      <c r="B4134" s="2" t="str">
        <f>"B20230402315"</f>
        <v>B20230402315</v>
      </c>
      <c r="C4134" s="2" t="str">
        <f>"男"</f>
        <v>男</v>
      </c>
      <c r="D4134" s="2" t="str">
        <f t="shared" si="1060"/>
        <v>7</v>
      </c>
      <c r="E4134" s="2" t="str">
        <f>"电子信息与电气工程学院"</f>
        <v>电子信息与电气工程学院</v>
      </c>
    </row>
    <row r="4135" customHeight="1" spans="1:5">
      <c r="A4135" s="6" t="str">
        <f>"郑宇佳"</f>
        <v>郑宇佳</v>
      </c>
      <c r="B4135" s="6" t="str">
        <f>"B20210306203"</f>
        <v>B20210306203</v>
      </c>
      <c r="C4135" s="6" t="str">
        <f>"男"</f>
        <v>男</v>
      </c>
      <c r="D4135" s="7" t="str">
        <f>"5"</f>
        <v>5</v>
      </c>
      <c r="E4135" s="6" t="str">
        <f>"计算机科学与工程学院"</f>
        <v>计算机科学与工程学院</v>
      </c>
    </row>
    <row r="4136" ht="13.5" hidden="1" spans="1:5">
      <c r="A4136" s="2" t="str">
        <f>"刘喻柔"</f>
        <v>刘喻柔</v>
      </c>
      <c r="B4136" s="2" t="str">
        <f>"B20210502115"</f>
        <v>B20210502115</v>
      </c>
      <c r="C4136" s="2" t="str">
        <f>"女"</f>
        <v>女</v>
      </c>
      <c r="D4136" s="2" t="str">
        <f t="shared" si="1060"/>
        <v>7</v>
      </c>
      <c r="E4136" s="2" t="str">
        <f>"生物与化学工程学院"</f>
        <v>生物与化学工程学院</v>
      </c>
    </row>
    <row r="4137" ht="13.5" hidden="1" spans="1:5">
      <c r="A4137" s="2" t="str">
        <f>"刘磊"</f>
        <v>刘磊</v>
      </c>
      <c r="B4137" s="2" t="str">
        <f>"B20220201308"</f>
        <v>B20220201308</v>
      </c>
      <c r="C4137" s="2" t="str">
        <f t="shared" ref="C4137:C4141" si="1066">"男"</f>
        <v>男</v>
      </c>
      <c r="D4137" s="2" t="str">
        <f t="shared" si="1060"/>
        <v>7</v>
      </c>
      <c r="E4137" s="2" t="str">
        <f t="shared" ref="E4137:E4140" si="1067">"机电工程学院"</f>
        <v>机电工程学院</v>
      </c>
    </row>
    <row r="4138" ht="13.5" hidden="1" spans="1:5">
      <c r="A4138" s="2" t="str">
        <f>"陈佳伟"</f>
        <v>陈佳伟</v>
      </c>
      <c r="B4138" s="2" t="str">
        <f>"B20230205330"</f>
        <v>B20230205330</v>
      </c>
      <c r="C4138" s="2" t="str">
        <f t="shared" si="1066"/>
        <v>男</v>
      </c>
      <c r="D4138" s="2" t="str">
        <f t="shared" si="1060"/>
        <v>7</v>
      </c>
      <c r="E4138" s="2" t="str">
        <f t="shared" si="1067"/>
        <v>机电工程学院</v>
      </c>
    </row>
    <row r="4139" customHeight="1" spans="1:5">
      <c r="A4139" s="6" t="str">
        <f>"钟睿瑶"</f>
        <v>钟睿瑶</v>
      </c>
      <c r="B4139" s="6" t="str">
        <f>"B20210306204"</f>
        <v>B20210306204</v>
      </c>
      <c r="C4139" s="6" t="str">
        <f>"女"</f>
        <v>女</v>
      </c>
      <c r="D4139" s="7" t="str">
        <f>"4"</f>
        <v>4</v>
      </c>
      <c r="E4139" s="6" t="str">
        <f>"计算机科学与工程学院"</f>
        <v>计算机科学与工程学院</v>
      </c>
    </row>
    <row r="4140" ht="13.5" hidden="1" spans="1:5">
      <c r="A4140" s="2" t="str">
        <f>"程进"</f>
        <v>程进</v>
      </c>
      <c r="B4140" s="2" t="str">
        <f>"B20230204111"</f>
        <v>B20230204111</v>
      </c>
      <c r="C4140" s="2" t="str">
        <f t="shared" si="1066"/>
        <v>男</v>
      </c>
      <c r="D4140" s="2" t="str">
        <f t="shared" si="1060"/>
        <v>7</v>
      </c>
      <c r="E4140" s="2" t="str">
        <f t="shared" si="1067"/>
        <v>机电工程学院</v>
      </c>
    </row>
    <row r="4141" ht="13.5" hidden="1" spans="1:5">
      <c r="A4141" s="2" t="str">
        <f>"蒋星宇"</f>
        <v>蒋星宇</v>
      </c>
      <c r="B4141" s="2" t="str">
        <f>"B20220401410"</f>
        <v>B20220401410</v>
      </c>
      <c r="C4141" s="2" t="str">
        <f t="shared" si="1066"/>
        <v>男</v>
      </c>
      <c r="D4141" s="2" t="str">
        <f t="shared" si="1060"/>
        <v>7</v>
      </c>
      <c r="E4141" s="2" t="str">
        <f>"电子信息与电气工程学院"</f>
        <v>电子信息与电气工程学院</v>
      </c>
    </row>
    <row r="4142" customHeight="1" spans="1:5">
      <c r="A4142" s="6" t="str">
        <f>"奉盈盈"</f>
        <v>奉盈盈</v>
      </c>
      <c r="B4142" s="6" t="str">
        <f>"B20210306205"</f>
        <v>B20210306205</v>
      </c>
      <c r="C4142" s="6" t="str">
        <f>"女"</f>
        <v>女</v>
      </c>
      <c r="D4142" s="7" t="str">
        <f>"8"</f>
        <v>8</v>
      </c>
      <c r="E4142" s="6" t="str">
        <f>"计算机科学与工程学院"</f>
        <v>计算机科学与工程学院</v>
      </c>
    </row>
    <row r="4143" ht="13.5" hidden="1" spans="1:5">
      <c r="A4143" s="2" t="str">
        <f>"何周杰"</f>
        <v>何周杰</v>
      </c>
      <c r="B4143" s="2" t="str">
        <f>"B20220202118"</f>
        <v>B20220202118</v>
      </c>
      <c r="C4143" s="2" t="str">
        <f t="shared" ref="C4143:C4149" si="1068">"男"</f>
        <v>男</v>
      </c>
      <c r="D4143" s="2" t="str">
        <f t="shared" si="1060"/>
        <v>7</v>
      </c>
      <c r="E4143" s="2" t="str">
        <f>"机电工程学院"</f>
        <v>机电工程学院</v>
      </c>
    </row>
    <row r="4144" ht="13.5" hidden="1" spans="1:5">
      <c r="A4144" s="2" t="str">
        <f>"万奇麒"</f>
        <v>万奇麒</v>
      </c>
      <c r="B4144" s="2" t="str">
        <f>"B20230201407"</f>
        <v>B20230201407</v>
      </c>
      <c r="C4144" s="2" t="str">
        <f t="shared" si="1068"/>
        <v>男</v>
      </c>
      <c r="D4144" s="2" t="str">
        <f t="shared" si="1060"/>
        <v>7</v>
      </c>
      <c r="E4144" s="2" t="str">
        <f>"机电工程学院"</f>
        <v>机电工程学院</v>
      </c>
    </row>
    <row r="4145" ht="13.5" hidden="1" spans="1:5">
      <c r="A4145" s="2" t="str">
        <f>"赵毅"</f>
        <v>赵毅</v>
      </c>
      <c r="B4145" s="2" t="str">
        <f>"B20230803216"</f>
        <v>B20230803216</v>
      </c>
      <c r="C4145" s="2" t="str">
        <f t="shared" ref="C4142:C4146" si="1069">"女"</f>
        <v>女</v>
      </c>
      <c r="D4145" s="2" t="str">
        <f t="shared" si="1060"/>
        <v>7</v>
      </c>
      <c r="E4145" s="2" t="str">
        <f>"外国语学院"</f>
        <v>外国语学院</v>
      </c>
    </row>
    <row r="4146" ht="13.5" hidden="1" spans="1:5">
      <c r="A4146" s="2" t="str">
        <f>"李昕怡"</f>
        <v>李昕怡</v>
      </c>
      <c r="B4146" s="2" t="str">
        <f>"B20200905206"</f>
        <v>B20200905206</v>
      </c>
      <c r="C4146" s="2" t="str">
        <f t="shared" si="1069"/>
        <v>女</v>
      </c>
      <c r="D4146" s="2" t="str">
        <f t="shared" si="1060"/>
        <v>7</v>
      </c>
      <c r="E4146" s="2" t="str">
        <f t="shared" ref="E4146:E4150" si="1070">"经济与管理学院"</f>
        <v>经济与管理学院</v>
      </c>
    </row>
    <row r="4147" ht="13.5" hidden="1" spans="1:5">
      <c r="A4147" s="2" t="str">
        <f>"刘启航"</f>
        <v>刘启航</v>
      </c>
      <c r="B4147" s="2" t="str">
        <f>"B20220905222"</f>
        <v>B20220905222</v>
      </c>
      <c r="C4147" s="2" t="str">
        <f t="shared" si="1068"/>
        <v>男</v>
      </c>
      <c r="D4147" s="2" t="str">
        <f t="shared" si="1060"/>
        <v>7</v>
      </c>
      <c r="E4147" s="2" t="str">
        <f t="shared" si="1070"/>
        <v>经济与管理学院</v>
      </c>
    </row>
    <row r="4148" ht="13.5" hidden="1" spans="1:5">
      <c r="A4148" s="2" t="str">
        <f>"杨豪"</f>
        <v>杨豪</v>
      </c>
      <c r="B4148" s="2" t="str">
        <f>"B20230104125"</f>
        <v>B20230104125</v>
      </c>
      <c r="C4148" s="2" t="str">
        <f t="shared" si="1068"/>
        <v>男</v>
      </c>
      <c r="D4148" s="2" t="str">
        <f t="shared" si="1060"/>
        <v>7</v>
      </c>
      <c r="E4148" s="2" t="str">
        <f>"土木工程学院"</f>
        <v>土木工程学院</v>
      </c>
    </row>
    <row r="4149" ht="13.5" hidden="1" spans="1:5">
      <c r="A4149" s="2" t="str">
        <f>"陈宇乐"</f>
        <v>陈宇乐</v>
      </c>
      <c r="B4149" s="2" t="str">
        <f>"B20230101605"</f>
        <v>B20230101605</v>
      </c>
      <c r="C4149" s="2" t="str">
        <f t="shared" si="1068"/>
        <v>男</v>
      </c>
      <c r="D4149" s="2" t="str">
        <f t="shared" si="1060"/>
        <v>7</v>
      </c>
      <c r="E4149" s="2" t="str">
        <f>"土木工程学院"</f>
        <v>土木工程学院</v>
      </c>
    </row>
    <row r="4150" ht="13.5" hidden="1" spans="1:5">
      <c r="A4150" s="2" t="str">
        <f>"邹依琳"</f>
        <v>邹依琳</v>
      </c>
      <c r="B4150" s="2" t="str">
        <f>"B20230904334"</f>
        <v>B20230904334</v>
      </c>
      <c r="C4150" s="2" t="str">
        <f t="shared" ref="C4150:C4153" si="1071">"女"</f>
        <v>女</v>
      </c>
      <c r="D4150" s="2" t="str">
        <f t="shared" si="1060"/>
        <v>7</v>
      </c>
      <c r="E4150" s="2" t="str">
        <f t="shared" si="1070"/>
        <v>经济与管理学院</v>
      </c>
    </row>
    <row r="4151" ht="13.5" hidden="1" spans="1:5">
      <c r="A4151" s="2" t="str">
        <f>"黄顺"</f>
        <v>黄顺</v>
      </c>
      <c r="B4151" s="2" t="str">
        <f>"B20230702127"</f>
        <v>B20230702127</v>
      </c>
      <c r="C4151" s="2" t="str">
        <f t="shared" si="1071"/>
        <v>女</v>
      </c>
      <c r="D4151" s="2" t="str">
        <f t="shared" si="1060"/>
        <v>7</v>
      </c>
      <c r="E4151" s="2" t="str">
        <f>"马栏山新媒体学院"</f>
        <v>马栏山新媒体学院</v>
      </c>
    </row>
    <row r="4152" ht="13.5" hidden="1" spans="1:5">
      <c r="A4152" s="2" t="str">
        <f>"何露彬"</f>
        <v>何露彬</v>
      </c>
      <c r="B4152" s="2" t="str">
        <f>"B20220901337"</f>
        <v>B20220901337</v>
      </c>
      <c r="C4152" s="2" t="str">
        <f t="shared" si="1071"/>
        <v>女</v>
      </c>
      <c r="D4152" s="2" t="str">
        <f t="shared" si="1060"/>
        <v>7</v>
      </c>
      <c r="E4152" s="2" t="str">
        <f>"经济与管理学院"</f>
        <v>经济与管理学院</v>
      </c>
    </row>
    <row r="4153" customHeight="1" spans="1:5">
      <c r="A4153" s="6" t="str">
        <f>"黄婧"</f>
        <v>黄婧</v>
      </c>
      <c r="B4153" s="6" t="str">
        <f>"B20210306206"</f>
        <v>B20210306206</v>
      </c>
      <c r="C4153" s="6" t="str">
        <f t="shared" si="1071"/>
        <v>女</v>
      </c>
      <c r="D4153" s="7" t="str">
        <f>"2"</f>
        <v>2</v>
      </c>
      <c r="E4153" s="6" t="str">
        <f>"计算机科学与工程学院"</f>
        <v>计算机科学与工程学院</v>
      </c>
    </row>
    <row r="4154" ht="13.5" hidden="1" spans="1:5">
      <c r="A4154" s="2" t="str">
        <f>"杨诗凯"</f>
        <v>杨诗凯</v>
      </c>
      <c r="B4154" s="2" t="str">
        <f>"B20200401206"</f>
        <v>B20200401206</v>
      </c>
      <c r="C4154" s="2" t="str">
        <f>"男"</f>
        <v>男</v>
      </c>
      <c r="D4154" s="2" t="str">
        <f t="shared" si="1060"/>
        <v>7</v>
      </c>
      <c r="E4154" s="2" t="str">
        <f>"电子信息与电气工程学院"</f>
        <v>电子信息与电气工程学院</v>
      </c>
    </row>
    <row r="4155" ht="13.5" hidden="1" spans="1:5">
      <c r="A4155" s="2" t="str">
        <f>"兰欣茹"</f>
        <v>兰欣茹</v>
      </c>
      <c r="B4155" s="2" t="str">
        <f>"B20230901227"</f>
        <v>B20230901227</v>
      </c>
      <c r="C4155" s="2" t="str">
        <f t="shared" ref="C4155:C4162" si="1072">"女"</f>
        <v>女</v>
      </c>
      <c r="D4155" s="2" t="str">
        <f t="shared" si="1060"/>
        <v>7</v>
      </c>
      <c r="E4155" s="2" t="str">
        <f>"经济与管理学院"</f>
        <v>经济与管理学院</v>
      </c>
    </row>
    <row r="4156" ht="13.5" hidden="1" spans="1:5">
      <c r="A4156" s="2" t="str">
        <f>"吴旭冉"</f>
        <v>吴旭冉</v>
      </c>
      <c r="B4156" s="2" t="str">
        <f>"B20220802101"</f>
        <v>B20220802101</v>
      </c>
      <c r="C4156" s="2" t="str">
        <f t="shared" si="1072"/>
        <v>女</v>
      </c>
      <c r="D4156" s="2" t="str">
        <f t="shared" si="1060"/>
        <v>7</v>
      </c>
      <c r="E4156" s="2" t="str">
        <f>"外国语学院"</f>
        <v>外国语学院</v>
      </c>
    </row>
    <row r="4157" ht="13.5" hidden="1" spans="1:5">
      <c r="A4157" s="2" t="str">
        <f>"曾佳乐"</f>
        <v>曾佳乐</v>
      </c>
      <c r="B4157" s="2" t="str">
        <f>"B20210505111"</f>
        <v>B20210505111</v>
      </c>
      <c r="C4157" s="2" t="str">
        <f t="shared" si="1072"/>
        <v>女</v>
      </c>
      <c r="D4157" s="2" t="str">
        <f t="shared" si="1060"/>
        <v>7</v>
      </c>
      <c r="E4157" s="2" t="str">
        <f>"材料与环境工程学院"</f>
        <v>材料与环境工程学院</v>
      </c>
    </row>
    <row r="4158" ht="13.5" hidden="1" spans="1:5">
      <c r="A4158" s="2" t="str">
        <f>"李嘉欣"</f>
        <v>李嘉欣</v>
      </c>
      <c r="B4158" s="2" t="str">
        <f>"B20230702327"</f>
        <v>B20230702327</v>
      </c>
      <c r="C4158" s="2" t="str">
        <f t="shared" si="1072"/>
        <v>女</v>
      </c>
      <c r="D4158" s="2" t="str">
        <f t="shared" si="1060"/>
        <v>7</v>
      </c>
      <c r="E4158" s="2" t="str">
        <f>"马栏山新媒体学院"</f>
        <v>马栏山新媒体学院</v>
      </c>
    </row>
    <row r="4159" ht="13.5" hidden="1" spans="1:5">
      <c r="A4159" s="2" t="str">
        <f>"彭凤"</f>
        <v>彭凤</v>
      </c>
      <c r="B4159" s="2" t="str">
        <f>"B20220803110"</f>
        <v>B20220803110</v>
      </c>
      <c r="C4159" s="2" t="str">
        <f t="shared" si="1072"/>
        <v>女</v>
      </c>
      <c r="D4159" s="2" t="str">
        <f t="shared" si="1060"/>
        <v>7</v>
      </c>
      <c r="E4159" s="2" t="str">
        <f>"外国语学院"</f>
        <v>外国语学院</v>
      </c>
    </row>
    <row r="4160" ht="13.5" hidden="1" spans="1:5">
      <c r="A4160" s="2" t="str">
        <f>"赵金亿"</f>
        <v>赵金亿</v>
      </c>
      <c r="B4160" s="2" t="str">
        <f>"B20211004118"</f>
        <v>B20211004118</v>
      </c>
      <c r="C4160" s="2" t="str">
        <f t="shared" si="1072"/>
        <v>女</v>
      </c>
      <c r="D4160" s="2" t="str">
        <f t="shared" si="1060"/>
        <v>7</v>
      </c>
      <c r="E4160" s="2" t="str">
        <f>"艺术设计学院"</f>
        <v>艺术设计学院</v>
      </c>
    </row>
    <row r="4161" customHeight="1" spans="1:5">
      <c r="A4161" s="6" t="str">
        <f>"刘丽菲"</f>
        <v>刘丽菲</v>
      </c>
      <c r="B4161" s="6" t="str">
        <f>"B20210306208"</f>
        <v>B20210306208</v>
      </c>
      <c r="C4161" s="6" t="str">
        <f t="shared" si="1072"/>
        <v>女</v>
      </c>
      <c r="D4161" s="7" t="str">
        <f>"9"</f>
        <v>9</v>
      </c>
      <c r="E4161" s="6" t="str">
        <f>"计算机科学与工程学院"</f>
        <v>计算机科学与工程学院</v>
      </c>
    </row>
    <row r="4162" customHeight="1" spans="1:5">
      <c r="A4162" s="6" t="str">
        <f>"王津"</f>
        <v>王津</v>
      </c>
      <c r="B4162" s="6" t="str">
        <f>"B20210306209"</f>
        <v>B20210306209</v>
      </c>
      <c r="C4162" s="6" t="str">
        <f t="shared" si="1072"/>
        <v>女</v>
      </c>
      <c r="D4162" s="7" t="str">
        <f>"8"</f>
        <v>8</v>
      </c>
      <c r="E4162" s="6" t="str">
        <f>"计算机科学与工程学院"</f>
        <v>计算机科学与工程学院</v>
      </c>
    </row>
    <row r="4163" ht="13.5" hidden="1" spans="1:5">
      <c r="A4163" s="2" t="str">
        <f>"程燕姿"</f>
        <v>程燕姿</v>
      </c>
      <c r="B4163" s="2" t="str">
        <f>"B20230702307"</f>
        <v>B20230702307</v>
      </c>
      <c r="C4163" s="2" t="str">
        <f t="shared" ref="C4162:C4168" si="1073">"女"</f>
        <v>女</v>
      </c>
      <c r="D4163" s="2" t="str">
        <f t="shared" si="1060"/>
        <v>7</v>
      </c>
      <c r="E4163" s="2" t="str">
        <f t="shared" ref="E4163:E4168" si="1074">"马栏山新媒体学院"</f>
        <v>马栏山新媒体学院</v>
      </c>
    </row>
    <row r="4164" ht="13.5" hidden="1" spans="1:5">
      <c r="A4164" s="2" t="str">
        <f>"黄泽凡"</f>
        <v>黄泽凡</v>
      </c>
      <c r="B4164" s="2" t="str">
        <f>"B20200201212"</f>
        <v>B20200201212</v>
      </c>
      <c r="C4164" s="2" t="str">
        <f>"男"</f>
        <v>男</v>
      </c>
      <c r="D4164" s="2" t="str">
        <f t="shared" si="1060"/>
        <v>7</v>
      </c>
      <c r="E4164" s="2" t="str">
        <f>"机电工程学院"</f>
        <v>机电工程学院</v>
      </c>
    </row>
    <row r="4165" ht="13.5" hidden="1" spans="1:5">
      <c r="A4165" s="2" t="str">
        <f>"李晓萌"</f>
        <v>李晓萌</v>
      </c>
      <c r="B4165" s="2" t="str">
        <f>"B20220103133"</f>
        <v>B20220103133</v>
      </c>
      <c r="C4165" s="2" t="str">
        <f t="shared" si="1073"/>
        <v>女</v>
      </c>
      <c r="D4165" s="2" t="str">
        <f t="shared" si="1060"/>
        <v>7</v>
      </c>
      <c r="E4165" s="2" t="str">
        <f>"土木工程学院"</f>
        <v>土木工程学院</v>
      </c>
    </row>
    <row r="4166" ht="13.5" hidden="1" spans="1:5">
      <c r="A4166" s="2" t="str">
        <f>"蔡彦慧"</f>
        <v>蔡彦慧</v>
      </c>
      <c r="B4166" s="2" t="str">
        <f>"B20201002121"</f>
        <v>B20201002121</v>
      </c>
      <c r="C4166" s="2" t="str">
        <f t="shared" si="1073"/>
        <v>女</v>
      </c>
      <c r="D4166" s="2" t="str">
        <f t="shared" si="1060"/>
        <v>7</v>
      </c>
      <c r="E4166" s="2" t="str">
        <f>"艺术设计学院"</f>
        <v>艺术设计学院</v>
      </c>
    </row>
    <row r="4167" ht="13.5" hidden="1" spans="1:5">
      <c r="A4167" s="2" t="str">
        <f>"王恩熙"</f>
        <v>王恩熙</v>
      </c>
      <c r="B4167" s="2" t="str">
        <f>"B20210702107"</f>
        <v>B20210702107</v>
      </c>
      <c r="C4167" s="2" t="str">
        <f t="shared" si="1073"/>
        <v>女</v>
      </c>
      <c r="D4167" s="2" t="str">
        <f t="shared" si="1060"/>
        <v>7</v>
      </c>
      <c r="E4167" s="2" t="str">
        <f t="shared" si="1074"/>
        <v>马栏山新媒体学院</v>
      </c>
    </row>
    <row r="4168" ht="13.5" hidden="1" spans="1:5">
      <c r="A4168" s="2" t="str">
        <f>"黄柯"</f>
        <v>黄柯</v>
      </c>
      <c r="B4168" s="2" t="str">
        <f>"B20230702113"</f>
        <v>B20230702113</v>
      </c>
      <c r="C4168" s="2" t="str">
        <f t="shared" si="1073"/>
        <v>女</v>
      </c>
      <c r="D4168" s="2" t="str">
        <f t="shared" si="1060"/>
        <v>7</v>
      </c>
      <c r="E4168" s="2" t="str">
        <f t="shared" si="1074"/>
        <v>马栏山新媒体学院</v>
      </c>
    </row>
    <row r="4169" ht="13.5" hidden="1" spans="1:5">
      <c r="A4169" s="2" t="str">
        <f>"张志刚"</f>
        <v>张志刚</v>
      </c>
      <c r="B4169" s="2" t="str">
        <f>"B20220201233"</f>
        <v>B20220201233</v>
      </c>
      <c r="C4169" s="2" t="str">
        <f t="shared" ref="C4169:C4178" si="1075">"男"</f>
        <v>男</v>
      </c>
      <c r="D4169" s="2" t="str">
        <f t="shared" si="1060"/>
        <v>7</v>
      </c>
      <c r="E4169" s="2" t="str">
        <f>"机电工程学院"</f>
        <v>机电工程学院</v>
      </c>
    </row>
    <row r="4170" ht="13.5" hidden="1" spans="1:5">
      <c r="A4170" s="2" t="str">
        <f>"李致远"</f>
        <v>李致远</v>
      </c>
      <c r="B4170" s="2" t="str">
        <f>"B20200802118"</f>
        <v>B20200802118</v>
      </c>
      <c r="C4170" s="2" t="str">
        <f t="shared" si="1075"/>
        <v>男</v>
      </c>
      <c r="D4170" s="2" t="str">
        <f t="shared" si="1060"/>
        <v>7</v>
      </c>
      <c r="E4170" s="2" t="str">
        <f>"外国语学院"</f>
        <v>外国语学院</v>
      </c>
    </row>
    <row r="4171" customHeight="1" spans="1:5">
      <c r="A4171" s="6" t="str">
        <f>"邹丽"</f>
        <v>邹丽</v>
      </c>
      <c r="B4171" s="6" t="str">
        <f>"B20210306218"</f>
        <v>B20210306218</v>
      </c>
      <c r="C4171" s="6" t="str">
        <f>"女"</f>
        <v>女</v>
      </c>
      <c r="D4171" s="7" t="str">
        <f>"9"</f>
        <v>9</v>
      </c>
      <c r="E4171" s="6" t="str">
        <f>"计算机科学与工程学院"</f>
        <v>计算机科学与工程学院</v>
      </c>
    </row>
    <row r="4172" ht="13.5" hidden="1" spans="1:5">
      <c r="A4172" s="2" t="str">
        <f>"汤鑫欣"</f>
        <v>汤鑫欣</v>
      </c>
      <c r="B4172" s="2" t="str">
        <f>"B20220801417"</f>
        <v>B20220801417</v>
      </c>
      <c r="C4172" s="2" t="str">
        <f t="shared" ref="C4171:C4173" si="1076">"女"</f>
        <v>女</v>
      </c>
      <c r="D4172" s="2" t="str">
        <f t="shared" si="1060"/>
        <v>7</v>
      </c>
      <c r="E4172" s="2" t="str">
        <f>"外国语学院"</f>
        <v>外国语学院</v>
      </c>
    </row>
    <row r="4173" ht="13.5" hidden="1" spans="1:5">
      <c r="A4173" s="2" t="str">
        <f>"曾小璃"</f>
        <v>曾小璃</v>
      </c>
      <c r="B4173" s="2" t="str">
        <f>"B20200906128"</f>
        <v>B20200906128</v>
      </c>
      <c r="C4173" s="2" t="str">
        <f t="shared" si="1076"/>
        <v>女</v>
      </c>
      <c r="D4173" s="2" t="str">
        <f t="shared" si="1060"/>
        <v>7</v>
      </c>
      <c r="E4173" s="2" t="str">
        <f>"经济与管理学院"</f>
        <v>经济与管理学院</v>
      </c>
    </row>
    <row r="4174" ht="13.5" hidden="1" spans="1:5">
      <c r="A4174" s="2" t="str">
        <f>"俞越"</f>
        <v>俞越</v>
      </c>
      <c r="B4174" s="2" t="str">
        <f>"B20200404129"</f>
        <v>B20200404129</v>
      </c>
      <c r="C4174" s="2" t="str">
        <f t="shared" si="1075"/>
        <v>男</v>
      </c>
      <c r="D4174" s="2" t="str">
        <f t="shared" si="1060"/>
        <v>7</v>
      </c>
      <c r="E4174" s="2" t="str">
        <f>"电子信息与电气工程学院"</f>
        <v>电子信息与电气工程学院</v>
      </c>
    </row>
    <row r="4175" ht="13.5" hidden="1" spans="1:5">
      <c r="A4175" s="2" t="str">
        <f>"肖峰"</f>
        <v>肖峰</v>
      </c>
      <c r="B4175" s="2" t="str">
        <f>"B20210204122"</f>
        <v>B20210204122</v>
      </c>
      <c r="C4175" s="2" t="str">
        <f t="shared" si="1075"/>
        <v>男</v>
      </c>
      <c r="D4175" s="2" t="str">
        <f t="shared" ref="D4175:D4238" si="1077">"7"</f>
        <v>7</v>
      </c>
      <c r="E4175" s="2" t="str">
        <f>"机电工程学院"</f>
        <v>机电工程学院</v>
      </c>
    </row>
    <row r="4176" ht="13.5" hidden="1" spans="1:5">
      <c r="A4176" s="2" t="str">
        <f>"李平安"</f>
        <v>李平安</v>
      </c>
      <c r="B4176" s="2" t="str">
        <f>"B20230703104"</f>
        <v>B20230703104</v>
      </c>
      <c r="C4176" s="2" t="str">
        <f t="shared" si="1075"/>
        <v>男</v>
      </c>
      <c r="D4176" s="2" t="str">
        <f t="shared" si="1077"/>
        <v>7</v>
      </c>
      <c r="E4176" s="2" t="str">
        <f>"马栏山新媒体学院"</f>
        <v>马栏山新媒体学院</v>
      </c>
    </row>
    <row r="4177" customHeight="1" spans="1:5">
      <c r="A4177" s="6" t="str">
        <f>"邓莹"</f>
        <v>邓莹</v>
      </c>
      <c r="B4177" s="6" t="str">
        <f>"B20210306219"</f>
        <v>B20210306219</v>
      </c>
      <c r="C4177" s="6" t="str">
        <f>"女"</f>
        <v>女</v>
      </c>
      <c r="D4177" s="7" t="str">
        <f>"5"</f>
        <v>5</v>
      </c>
      <c r="E4177" s="6" t="str">
        <f>"计算机科学与工程学院"</f>
        <v>计算机科学与工程学院</v>
      </c>
    </row>
    <row r="4178" ht="13.5" hidden="1" spans="1:5">
      <c r="A4178" s="2" t="str">
        <f>"陈宇航"</f>
        <v>陈宇航</v>
      </c>
      <c r="B4178" s="2" t="str">
        <f>"B20220204332"</f>
        <v>B20220204332</v>
      </c>
      <c r="C4178" s="2" t="str">
        <f t="shared" si="1075"/>
        <v>男</v>
      </c>
      <c r="D4178" s="2" t="str">
        <f t="shared" si="1077"/>
        <v>7</v>
      </c>
      <c r="E4178" s="2" t="str">
        <f>"机电工程学院"</f>
        <v>机电工程学院</v>
      </c>
    </row>
    <row r="4179" ht="13.5" hidden="1" spans="1:5">
      <c r="A4179" s="2" t="str">
        <f>"尧梦莹"</f>
        <v>尧梦莹</v>
      </c>
      <c r="B4179" s="2" t="str">
        <f>"B20210502135"</f>
        <v>B20210502135</v>
      </c>
      <c r="C4179" s="2" t="str">
        <f t="shared" ref="C4179:C4183" si="1078">"女"</f>
        <v>女</v>
      </c>
      <c r="D4179" s="2" t="str">
        <f t="shared" si="1077"/>
        <v>7</v>
      </c>
      <c r="E4179" s="2" t="str">
        <f>"生物与化学工程学院"</f>
        <v>生物与化学工程学院</v>
      </c>
    </row>
    <row r="4180" ht="13.5" hidden="1" spans="1:5">
      <c r="A4180" s="2" t="str">
        <f>"高智宏"</f>
        <v>高智宏</v>
      </c>
      <c r="B4180" s="2" t="str">
        <f>"B20200101520"</f>
        <v>B20200101520</v>
      </c>
      <c r="C4180" s="2" t="str">
        <f t="shared" ref="C4180:C4186" si="1079">"男"</f>
        <v>男</v>
      </c>
      <c r="D4180" s="2" t="str">
        <f t="shared" si="1077"/>
        <v>7</v>
      </c>
      <c r="E4180" s="2" t="str">
        <f>"土木工程学院"</f>
        <v>土木工程学院</v>
      </c>
    </row>
    <row r="4181" ht="13.5" hidden="1" spans="1:5">
      <c r="A4181" s="2" t="str">
        <f>"秦欣颖"</f>
        <v>秦欣颖</v>
      </c>
      <c r="B4181" s="2" t="str">
        <f>"B20221101210"</f>
        <v>B20221101210</v>
      </c>
      <c r="C4181" s="2" t="str">
        <f t="shared" si="1078"/>
        <v>女</v>
      </c>
      <c r="D4181" s="2" t="str">
        <f t="shared" si="1077"/>
        <v>7</v>
      </c>
      <c r="E4181" s="2" t="str">
        <f>"音乐学院"</f>
        <v>音乐学院</v>
      </c>
    </row>
    <row r="4182" ht="13.5" hidden="1" spans="1:5">
      <c r="A4182" s="2" t="str">
        <f>"徐锦程"</f>
        <v>徐锦程</v>
      </c>
      <c r="B4182" s="2" t="str">
        <f>"B20230104235"</f>
        <v>B20230104235</v>
      </c>
      <c r="C4182" s="2" t="str">
        <f t="shared" si="1079"/>
        <v>男</v>
      </c>
      <c r="D4182" s="2" t="str">
        <f t="shared" si="1077"/>
        <v>7</v>
      </c>
      <c r="E4182" s="2" t="str">
        <f>"土木工程学院"</f>
        <v>土木工程学院</v>
      </c>
    </row>
    <row r="4183" ht="13.5" hidden="1" spans="1:5">
      <c r="A4183" s="2" t="str">
        <f>"贺聪锡"</f>
        <v>贺聪锡</v>
      </c>
      <c r="B4183" s="2" t="str">
        <f>"B20200701119"</f>
        <v>B20200701119</v>
      </c>
      <c r="C4183" s="2" t="str">
        <f t="shared" si="1078"/>
        <v>女</v>
      </c>
      <c r="D4183" s="2" t="str">
        <f t="shared" si="1077"/>
        <v>7</v>
      </c>
      <c r="E4183" s="2" t="str">
        <f>"马栏山新媒体学院"</f>
        <v>马栏山新媒体学院</v>
      </c>
    </row>
    <row r="4184" ht="13.5" hidden="1" spans="1:5">
      <c r="A4184" s="2" t="str">
        <f>"刘江涛"</f>
        <v>刘江涛</v>
      </c>
      <c r="B4184" s="2" t="str">
        <f>"B20230502132"</f>
        <v>B20230502132</v>
      </c>
      <c r="C4184" s="2" t="str">
        <f t="shared" si="1079"/>
        <v>男</v>
      </c>
      <c r="D4184" s="2" t="str">
        <f t="shared" si="1077"/>
        <v>7</v>
      </c>
      <c r="E4184" s="2" t="str">
        <f>"生物与化学工程学院"</f>
        <v>生物与化学工程学院</v>
      </c>
    </row>
    <row r="4185" ht="13.5" hidden="1" spans="1:5">
      <c r="A4185" s="2" t="str">
        <f>"易振兴"</f>
        <v>易振兴</v>
      </c>
      <c r="B4185" s="2" t="str">
        <f>"B20210905108"</f>
        <v>B20210905108</v>
      </c>
      <c r="C4185" s="2" t="str">
        <f t="shared" si="1079"/>
        <v>男</v>
      </c>
      <c r="D4185" s="2" t="str">
        <f t="shared" si="1077"/>
        <v>7</v>
      </c>
      <c r="E4185" s="2" t="str">
        <f>"经济与管理学院"</f>
        <v>经济与管理学院</v>
      </c>
    </row>
    <row r="4186" ht="13.5" hidden="1" spans="1:5">
      <c r="A4186" s="2" t="str">
        <f>"陈熙"</f>
        <v>陈熙</v>
      </c>
      <c r="B4186" s="2" t="str">
        <f>"B20230703215"</f>
        <v>B20230703215</v>
      </c>
      <c r="C4186" s="2" t="str">
        <f t="shared" si="1079"/>
        <v>男</v>
      </c>
      <c r="D4186" s="2" t="str">
        <f t="shared" si="1077"/>
        <v>7</v>
      </c>
      <c r="E4186" s="2" t="str">
        <f>"马栏山新媒体学院"</f>
        <v>马栏山新媒体学院</v>
      </c>
    </row>
    <row r="4187" ht="13.5" hidden="1" spans="1:5">
      <c r="A4187" s="2" t="str">
        <f>"潘媛媛"</f>
        <v>潘媛媛</v>
      </c>
      <c r="B4187" s="2" t="str">
        <f>"B20210801616"</f>
        <v>B20210801616</v>
      </c>
      <c r="C4187" s="2" t="str">
        <f>"女"</f>
        <v>女</v>
      </c>
      <c r="D4187" s="2" t="str">
        <f t="shared" si="1077"/>
        <v>7</v>
      </c>
      <c r="E4187" s="2" t="str">
        <f>"外国语学院"</f>
        <v>外国语学院</v>
      </c>
    </row>
    <row r="4188" ht="13.5" hidden="1" spans="1:5">
      <c r="A4188" s="2" t="str">
        <f>"曹景瑞"</f>
        <v>曹景瑞</v>
      </c>
      <c r="B4188" s="2" t="str">
        <f>"B20221302301"</f>
        <v>B20221302301</v>
      </c>
      <c r="C4188" s="2" t="str">
        <f t="shared" ref="C4188:C4190" si="1080">"男"</f>
        <v>男</v>
      </c>
      <c r="D4188" s="2" t="str">
        <f t="shared" si="1077"/>
        <v>7</v>
      </c>
      <c r="E4188" s="2" t="str">
        <f>"材料与环境工程学院"</f>
        <v>材料与环境工程学院</v>
      </c>
    </row>
    <row r="4189" ht="13.5" hidden="1" spans="1:5">
      <c r="A4189" s="2" t="str">
        <f>"邓远超"</f>
        <v>邓远超</v>
      </c>
      <c r="B4189" s="2" t="str">
        <f>"B20230402317"</f>
        <v>B20230402317</v>
      </c>
      <c r="C4189" s="2" t="str">
        <f t="shared" si="1080"/>
        <v>男</v>
      </c>
      <c r="D4189" s="2" t="str">
        <f t="shared" si="1077"/>
        <v>7</v>
      </c>
      <c r="E4189" s="2" t="str">
        <f>"电子信息与电气工程学院"</f>
        <v>电子信息与电气工程学院</v>
      </c>
    </row>
    <row r="4190" ht="13.5" hidden="1" spans="1:5">
      <c r="A4190" s="2" t="str">
        <f>"李涛"</f>
        <v>李涛</v>
      </c>
      <c r="B4190" s="2" t="str">
        <f>"B20230904327"</f>
        <v>B20230904327</v>
      </c>
      <c r="C4190" s="2" t="str">
        <f t="shared" si="1080"/>
        <v>男</v>
      </c>
      <c r="D4190" s="2" t="str">
        <f t="shared" si="1077"/>
        <v>7</v>
      </c>
      <c r="E4190" s="2" t="str">
        <f t="shared" ref="E4190:E4195" si="1081">"经济与管理学院"</f>
        <v>经济与管理学院</v>
      </c>
    </row>
    <row r="4191" ht="13.5" hidden="1" spans="1:5">
      <c r="A4191" s="2" t="str">
        <f>"严冉"</f>
        <v>严冉</v>
      </c>
      <c r="B4191" s="2" t="str">
        <f>"B20230903135"</f>
        <v>B20230903135</v>
      </c>
      <c r="C4191" s="2" t="str">
        <f t="shared" ref="C4191:C4195" si="1082">"女"</f>
        <v>女</v>
      </c>
      <c r="D4191" s="2" t="str">
        <f t="shared" si="1077"/>
        <v>7</v>
      </c>
      <c r="E4191" s="2" t="str">
        <f t="shared" si="1081"/>
        <v>经济与管理学院</v>
      </c>
    </row>
    <row r="4192" ht="13.5" hidden="1" spans="1:5">
      <c r="A4192" s="2" t="str">
        <f>"彭凤祥"</f>
        <v>彭凤祥</v>
      </c>
      <c r="B4192" s="2" t="str">
        <f>"B20220202314"</f>
        <v>B20220202314</v>
      </c>
      <c r="C4192" s="2" t="str">
        <f t="shared" ref="C4192:C4198" si="1083">"男"</f>
        <v>男</v>
      </c>
      <c r="D4192" s="2" t="str">
        <f t="shared" si="1077"/>
        <v>7</v>
      </c>
      <c r="E4192" s="2" t="str">
        <f>"机电工程学院"</f>
        <v>机电工程学院</v>
      </c>
    </row>
    <row r="4193" ht="13.5" hidden="1" spans="1:5">
      <c r="A4193" s="2" t="str">
        <f>"朱飞阳"</f>
        <v>朱飞阳</v>
      </c>
      <c r="B4193" s="2" t="str">
        <f>"B20210905117"</f>
        <v>B20210905117</v>
      </c>
      <c r="C4193" s="2" t="str">
        <f t="shared" si="1082"/>
        <v>女</v>
      </c>
      <c r="D4193" s="2" t="str">
        <f t="shared" si="1077"/>
        <v>7</v>
      </c>
      <c r="E4193" s="2" t="str">
        <f t="shared" si="1081"/>
        <v>经济与管理学院</v>
      </c>
    </row>
    <row r="4194" ht="13.5" hidden="1" spans="1:5">
      <c r="A4194" s="2" t="str">
        <f>"张爱盛"</f>
        <v>张爱盛</v>
      </c>
      <c r="B4194" s="2" t="str">
        <f>"B20220901210"</f>
        <v>B20220901210</v>
      </c>
      <c r="C4194" s="2" t="str">
        <f t="shared" si="1082"/>
        <v>女</v>
      </c>
      <c r="D4194" s="2" t="str">
        <f t="shared" si="1077"/>
        <v>7</v>
      </c>
      <c r="E4194" s="2" t="str">
        <f t="shared" si="1081"/>
        <v>经济与管理学院</v>
      </c>
    </row>
    <row r="4195" ht="13.5" hidden="1" spans="1:5">
      <c r="A4195" s="2" t="str">
        <f>"舒渝珊"</f>
        <v>舒渝珊</v>
      </c>
      <c r="B4195" s="2" t="str">
        <f>"B20230902325"</f>
        <v>B20230902325</v>
      </c>
      <c r="C4195" s="2" t="str">
        <f t="shared" si="1082"/>
        <v>女</v>
      </c>
      <c r="D4195" s="2" t="str">
        <f t="shared" si="1077"/>
        <v>7</v>
      </c>
      <c r="E4195" s="2" t="str">
        <f t="shared" si="1081"/>
        <v>经济与管理学院</v>
      </c>
    </row>
    <row r="4196" ht="13.5" hidden="1" spans="1:5">
      <c r="A4196" s="2" t="str">
        <f>"王庭睿"</f>
        <v>王庭睿</v>
      </c>
      <c r="B4196" s="2" t="str">
        <f>"B20230801109"</f>
        <v>B20230801109</v>
      </c>
      <c r="C4196" s="2" t="str">
        <f t="shared" si="1083"/>
        <v>男</v>
      </c>
      <c r="D4196" s="2" t="str">
        <f t="shared" si="1077"/>
        <v>7</v>
      </c>
      <c r="E4196" s="2" t="str">
        <f>"外国语学院"</f>
        <v>外国语学院</v>
      </c>
    </row>
    <row r="4197" ht="13.5" hidden="1" spans="1:5">
      <c r="A4197" s="2" t="str">
        <f>"肖超宇"</f>
        <v>肖超宇</v>
      </c>
      <c r="B4197" s="2" t="str">
        <f>"B20210905115"</f>
        <v>B20210905115</v>
      </c>
      <c r="C4197" s="2" t="str">
        <f t="shared" si="1083"/>
        <v>男</v>
      </c>
      <c r="D4197" s="2" t="str">
        <f t="shared" si="1077"/>
        <v>7</v>
      </c>
      <c r="E4197" s="2" t="str">
        <f>"经济与管理学院"</f>
        <v>经济与管理学院</v>
      </c>
    </row>
    <row r="4198" ht="13.5" hidden="1" spans="1:5">
      <c r="A4198" s="2" t="str">
        <f>"张青山"</f>
        <v>张青山</v>
      </c>
      <c r="B4198" s="2" t="str">
        <f>"B20220601107"</f>
        <v>B20220601107</v>
      </c>
      <c r="C4198" s="2" t="str">
        <f t="shared" si="1083"/>
        <v>男</v>
      </c>
      <c r="D4198" s="2" t="str">
        <f t="shared" si="1077"/>
        <v>7</v>
      </c>
      <c r="E4198" s="2" t="str">
        <f>"法学院"</f>
        <v>法学院</v>
      </c>
    </row>
    <row r="4199" ht="13.5" hidden="1" spans="1:5">
      <c r="A4199" s="2" t="str">
        <f>"赵晨宇"</f>
        <v>赵晨宇</v>
      </c>
      <c r="B4199" s="2" t="str">
        <f>"B20231002410"</f>
        <v>B20231002410</v>
      </c>
      <c r="C4199" s="2" t="str">
        <f t="shared" ref="C4199:C4204" si="1084">"女"</f>
        <v>女</v>
      </c>
      <c r="D4199" s="2" t="str">
        <f t="shared" si="1077"/>
        <v>7</v>
      </c>
      <c r="E4199" s="2" t="str">
        <f>"艺术设计学院"</f>
        <v>艺术设计学院</v>
      </c>
    </row>
    <row r="4200" ht="13.5" hidden="1" spans="1:5">
      <c r="A4200" s="2" t="str">
        <f>"薛喜祥"</f>
        <v>薛喜祥</v>
      </c>
      <c r="B4200" s="2" t="str">
        <f>"B20220202234"</f>
        <v>B20220202234</v>
      </c>
      <c r="C4200" s="2" t="str">
        <f t="shared" ref="C4200:C4205" si="1085">"男"</f>
        <v>男</v>
      </c>
      <c r="D4200" s="2" t="str">
        <f t="shared" si="1077"/>
        <v>7</v>
      </c>
      <c r="E4200" s="2" t="str">
        <f>"机电工程学院"</f>
        <v>机电工程学院</v>
      </c>
    </row>
    <row r="4201" ht="13.5" hidden="1" spans="1:5">
      <c r="A4201" s="2" t="str">
        <f>"谭笑妍"</f>
        <v>谭笑妍</v>
      </c>
      <c r="B4201" s="2" t="str">
        <f>"B20210801303"</f>
        <v>B20210801303</v>
      </c>
      <c r="C4201" s="2" t="str">
        <f t="shared" si="1084"/>
        <v>女</v>
      </c>
      <c r="D4201" s="2" t="str">
        <f t="shared" si="1077"/>
        <v>7</v>
      </c>
      <c r="E4201" s="2" t="str">
        <f>"外国语学院"</f>
        <v>外国语学院</v>
      </c>
    </row>
    <row r="4202" ht="13.5" hidden="1" spans="1:5">
      <c r="A4202" s="2" t="str">
        <f>"刘俊贤"</f>
        <v>刘俊贤</v>
      </c>
      <c r="B4202" s="2" t="str">
        <f>"B20220404204"</f>
        <v>B20220404204</v>
      </c>
      <c r="C4202" s="2" t="str">
        <f t="shared" si="1085"/>
        <v>男</v>
      </c>
      <c r="D4202" s="2" t="str">
        <f t="shared" si="1077"/>
        <v>7</v>
      </c>
      <c r="E4202" s="2" t="str">
        <f>"电子信息与电气工程学院"</f>
        <v>电子信息与电气工程学院</v>
      </c>
    </row>
    <row r="4203" ht="13.5" hidden="1" spans="1:5">
      <c r="A4203" s="2" t="str">
        <f>"曾嘉盈"</f>
        <v>曾嘉盈</v>
      </c>
      <c r="B4203" s="2" t="str">
        <f>"B20210901328"</f>
        <v>B20210901328</v>
      </c>
      <c r="C4203" s="2" t="str">
        <f t="shared" si="1084"/>
        <v>女</v>
      </c>
      <c r="D4203" s="2" t="str">
        <f t="shared" si="1077"/>
        <v>7</v>
      </c>
      <c r="E4203" s="2" t="str">
        <f>"经济与管理学院"</f>
        <v>经济与管理学院</v>
      </c>
    </row>
    <row r="4204" customHeight="1" spans="1:5">
      <c r="A4204" s="6" t="str">
        <f>"胡婵"</f>
        <v>胡婵</v>
      </c>
      <c r="B4204" s="6" t="str">
        <f>"B20210306220"</f>
        <v>B20210306220</v>
      </c>
      <c r="C4204" s="6" t="str">
        <f t="shared" si="1084"/>
        <v>女</v>
      </c>
      <c r="D4204" s="7" t="str">
        <f>"2"</f>
        <v>2</v>
      </c>
      <c r="E4204" s="6" t="str">
        <f>"计算机科学与工程学院"</f>
        <v>计算机科学与工程学院</v>
      </c>
    </row>
    <row r="4205" ht="13.5" hidden="1" spans="1:5">
      <c r="A4205" s="2" t="str">
        <f>"李佳成"</f>
        <v>李佳成</v>
      </c>
      <c r="B4205" s="2" t="str">
        <f>"B20210402302"</f>
        <v>B20210402302</v>
      </c>
      <c r="C4205" s="2" t="str">
        <f t="shared" si="1085"/>
        <v>男</v>
      </c>
      <c r="D4205" s="2" t="str">
        <f t="shared" si="1077"/>
        <v>7</v>
      </c>
      <c r="E4205" s="2" t="str">
        <f>"电子信息与电气工程学院"</f>
        <v>电子信息与电气工程学院</v>
      </c>
    </row>
    <row r="4206" ht="13.5" hidden="1" spans="1:5">
      <c r="A4206" s="2" t="str">
        <f>"吴佳宜"</f>
        <v>吴佳宜</v>
      </c>
      <c r="B4206" s="2" t="str">
        <f>"B20230905205"</f>
        <v>B20230905205</v>
      </c>
      <c r="C4206" s="2" t="str">
        <f t="shared" ref="C4206:C4212" si="1086">"女"</f>
        <v>女</v>
      </c>
      <c r="D4206" s="2" t="str">
        <f t="shared" si="1077"/>
        <v>7</v>
      </c>
      <c r="E4206" s="2" t="str">
        <f>"经济与管理学院"</f>
        <v>经济与管理学院</v>
      </c>
    </row>
    <row r="4207" ht="13.5" hidden="1" spans="1:5">
      <c r="A4207" s="2" t="str">
        <f>"冯鑫琪"</f>
        <v>冯鑫琪</v>
      </c>
      <c r="B4207" s="2" t="str">
        <f>"B20230801416"</f>
        <v>B20230801416</v>
      </c>
      <c r="C4207" s="2" t="str">
        <f t="shared" si="1086"/>
        <v>女</v>
      </c>
      <c r="D4207" s="2" t="str">
        <f t="shared" si="1077"/>
        <v>7</v>
      </c>
      <c r="E4207" s="2" t="str">
        <f>"外国语学院"</f>
        <v>外国语学院</v>
      </c>
    </row>
    <row r="4208" ht="13.5" hidden="1" spans="1:5">
      <c r="A4208" s="2" t="str">
        <f>"吕智文"</f>
        <v>吕智文</v>
      </c>
      <c r="B4208" s="2" t="str">
        <f>"B20220401230"</f>
        <v>B20220401230</v>
      </c>
      <c r="C4208" s="2" t="str">
        <f t="shared" ref="C4208:C4214" si="1087">"男"</f>
        <v>男</v>
      </c>
      <c r="D4208" s="2" t="str">
        <f t="shared" si="1077"/>
        <v>7</v>
      </c>
      <c r="E4208" s="2" t="str">
        <f>"电子信息与电气工程学院"</f>
        <v>电子信息与电气工程学院</v>
      </c>
    </row>
    <row r="4209" ht="13.5" hidden="1" spans="1:5">
      <c r="A4209" s="2" t="str">
        <f>"龚世伟"</f>
        <v>龚世伟</v>
      </c>
      <c r="B4209" s="2" t="str">
        <f>"B20230906223"</f>
        <v>B20230906223</v>
      </c>
      <c r="C4209" s="2" t="str">
        <f t="shared" si="1087"/>
        <v>男</v>
      </c>
      <c r="D4209" s="2" t="str">
        <f t="shared" si="1077"/>
        <v>7</v>
      </c>
      <c r="E4209" s="2" t="str">
        <f t="shared" ref="E4209:E4213" si="1088">"经济与管理学院"</f>
        <v>经济与管理学院</v>
      </c>
    </row>
    <row r="4210" ht="13.5" hidden="1" spans="1:5">
      <c r="A4210" s="2" t="str">
        <f>"王雅诗"</f>
        <v>王雅诗</v>
      </c>
      <c r="B4210" s="2" t="str">
        <f>"B20211001114"</f>
        <v>B20211001114</v>
      </c>
      <c r="C4210" s="2" t="str">
        <f t="shared" si="1086"/>
        <v>女</v>
      </c>
      <c r="D4210" s="2" t="str">
        <f t="shared" si="1077"/>
        <v>7</v>
      </c>
      <c r="E4210" s="2" t="str">
        <f>"艺术设计学院"</f>
        <v>艺术设计学院</v>
      </c>
    </row>
    <row r="4211" ht="13.5" hidden="1" spans="1:5">
      <c r="A4211" s="2" t="str">
        <f>"谢镓颖"</f>
        <v>谢镓颖</v>
      </c>
      <c r="B4211" s="2" t="str">
        <f>"B20211101320"</f>
        <v>B20211101320</v>
      </c>
      <c r="C4211" s="2" t="str">
        <f t="shared" si="1086"/>
        <v>女</v>
      </c>
      <c r="D4211" s="2" t="str">
        <f t="shared" si="1077"/>
        <v>7</v>
      </c>
      <c r="E4211" s="2" t="str">
        <f>"音乐学院"</f>
        <v>音乐学院</v>
      </c>
    </row>
    <row r="4212" ht="13.5" hidden="1" spans="1:5">
      <c r="A4212" s="2" t="str">
        <f>"何金燕"</f>
        <v>何金燕</v>
      </c>
      <c r="B4212" s="2" t="str">
        <f>"B20210905119"</f>
        <v>B20210905119</v>
      </c>
      <c r="C4212" s="2" t="str">
        <f t="shared" si="1086"/>
        <v>女</v>
      </c>
      <c r="D4212" s="2" t="str">
        <f t="shared" si="1077"/>
        <v>7</v>
      </c>
      <c r="E4212" s="2" t="str">
        <f t="shared" si="1088"/>
        <v>经济与管理学院</v>
      </c>
    </row>
    <row r="4213" ht="13.5" hidden="1" spans="1:5">
      <c r="A4213" s="2" t="str">
        <f>"王璇"</f>
        <v>王璇</v>
      </c>
      <c r="B4213" s="2" t="str">
        <f>"B20220904335"</f>
        <v>B20220904335</v>
      </c>
      <c r="C4213" s="2" t="str">
        <f t="shared" si="1087"/>
        <v>男</v>
      </c>
      <c r="D4213" s="2" t="str">
        <f t="shared" si="1077"/>
        <v>7</v>
      </c>
      <c r="E4213" s="2" t="str">
        <f t="shared" si="1088"/>
        <v>经济与管理学院</v>
      </c>
    </row>
    <row r="4214" ht="13.5" hidden="1" spans="1:5">
      <c r="A4214" s="2" t="str">
        <f>"王家旺"</f>
        <v>王家旺</v>
      </c>
      <c r="B4214" s="2" t="str">
        <f>"B20220202315"</f>
        <v>B20220202315</v>
      </c>
      <c r="C4214" s="2" t="str">
        <f t="shared" si="1087"/>
        <v>男</v>
      </c>
      <c r="D4214" s="2" t="str">
        <f t="shared" si="1077"/>
        <v>7</v>
      </c>
      <c r="E4214" s="2" t="str">
        <f>"机电工程学院"</f>
        <v>机电工程学院</v>
      </c>
    </row>
    <row r="4215" ht="13.5" hidden="1" spans="1:5">
      <c r="A4215" s="2" t="str">
        <f>"刘艳萍"</f>
        <v>刘艳萍</v>
      </c>
      <c r="B4215" s="2" t="str">
        <f>"B20230801410"</f>
        <v>B20230801410</v>
      </c>
      <c r="C4215" s="2" t="str">
        <f>"女"</f>
        <v>女</v>
      </c>
      <c r="D4215" s="2" t="str">
        <f t="shared" si="1077"/>
        <v>7</v>
      </c>
      <c r="E4215" s="2" t="str">
        <f>"外国语学院"</f>
        <v>外国语学院</v>
      </c>
    </row>
    <row r="4216" ht="13.5" hidden="1" spans="1:5">
      <c r="A4216" s="2" t="str">
        <f>"张帅"</f>
        <v>张帅</v>
      </c>
      <c r="B4216" s="2" t="str">
        <f>"B20210401413"</f>
        <v>B20210401413</v>
      </c>
      <c r="C4216" s="2" t="str">
        <f t="shared" ref="C4216:C4220" si="1089">"男"</f>
        <v>男</v>
      </c>
      <c r="D4216" s="2" t="str">
        <f t="shared" si="1077"/>
        <v>7</v>
      </c>
      <c r="E4216" s="2" t="str">
        <f>"电子信息与电气工程学院"</f>
        <v>电子信息与电气工程学院</v>
      </c>
    </row>
    <row r="4217" ht="13.5" hidden="1" spans="1:5">
      <c r="A4217" s="2" t="str">
        <f>"沙桐"</f>
        <v>沙桐</v>
      </c>
      <c r="B4217" s="2" t="str">
        <f>"B20230204203"</f>
        <v>B20230204203</v>
      </c>
      <c r="C4217" s="2" t="str">
        <f t="shared" si="1089"/>
        <v>男</v>
      </c>
      <c r="D4217" s="2" t="str">
        <f t="shared" si="1077"/>
        <v>7</v>
      </c>
      <c r="E4217" s="2" t="str">
        <f>"机电工程学院"</f>
        <v>机电工程学院</v>
      </c>
    </row>
    <row r="4218" ht="13.5" hidden="1" spans="1:5">
      <c r="A4218" s="2" t="str">
        <f>"廖雨倩"</f>
        <v>廖雨倩</v>
      </c>
      <c r="B4218" s="2" t="str">
        <f>"B20231101206"</f>
        <v>B20231101206</v>
      </c>
      <c r="C4218" s="2" t="str">
        <f>"女"</f>
        <v>女</v>
      </c>
      <c r="D4218" s="2" t="str">
        <f t="shared" si="1077"/>
        <v>7</v>
      </c>
      <c r="E4218" s="2" t="str">
        <f>"音乐学院"</f>
        <v>音乐学院</v>
      </c>
    </row>
    <row r="4219" ht="13.5" hidden="1" spans="1:5">
      <c r="A4219" s="2" t="str">
        <f>"瞿宇成"</f>
        <v>瞿宇成</v>
      </c>
      <c r="B4219" s="2" t="str">
        <f>"B20200101134"</f>
        <v>B20200101134</v>
      </c>
      <c r="C4219" s="2" t="str">
        <f t="shared" si="1089"/>
        <v>男</v>
      </c>
      <c r="D4219" s="2" t="str">
        <f t="shared" si="1077"/>
        <v>7</v>
      </c>
      <c r="E4219" s="2" t="str">
        <f t="shared" ref="E4219:E4224" si="1090">"土木工程学院"</f>
        <v>土木工程学院</v>
      </c>
    </row>
    <row r="4220" ht="13.5" hidden="1" spans="1:5">
      <c r="A4220" s="2" t="str">
        <f>"李甘箩"</f>
        <v>李甘箩</v>
      </c>
      <c r="B4220" s="2" t="str">
        <f>"B20230504207"</f>
        <v>B20230504207</v>
      </c>
      <c r="C4220" s="2" t="str">
        <f t="shared" si="1089"/>
        <v>男</v>
      </c>
      <c r="D4220" s="2" t="str">
        <f t="shared" si="1077"/>
        <v>7</v>
      </c>
      <c r="E4220" s="2" t="str">
        <f>"生物与化学工程学院"</f>
        <v>生物与化学工程学院</v>
      </c>
    </row>
    <row r="4221" ht="13.5" hidden="1" spans="1:5">
      <c r="A4221" s="2" t="str">
        <f>"程建荣"</f>
        <v>程建荣</v>
      </c>
      <c r="B4221" s="2" t="str">
        <f>"B20211101319"</f>
        <v>B20211101319</v>
      </c>
      <c r="C4221" s="2" t="str">
        <f>"女"</f>
        <v>女</v>
      </c>
      <c r="D4221" s="2" t="str">
        <f t="shared" si="1077"/>
        <v>7</v>
      </c>
      <c r="E4221" s="2" t="str">
        <f>"音乐学院"</f>
        <v>音乐学院</v>
      </c>
    </row>
    <row r="4222" ht="13.5" hidden="1" spans="1:5">
      <c r="A4222" s="2" t="str">
        <f>"文世广"</f>
        <v>文世广</v>
      </c>
      <c r="B4222" s="2" t="str">
        <f>"B20180101334"</f>
        <v>B20180101334</v>
      </c>
      <c r="C4222" s="2" t="str">
        <f t="shared" ref="C4222:C4226" si="1091">"男"</f>
        <v>男</v>
      </c>
      <c r="D4222" s="2" t="str">
        <f t="shared" si="1077"/>
        <v>7</v>
      </c>
      <c r="E4222" s="2" t="str">
        <f t="shared" si="1090"/>
        <v>土木工程学院</v>
      </c>
    </row>
    <row r="4223" ht="13.5" hidden="1" spans="1:5">
      <c r="A4223" s="2" t="str">
        <f>"杨锦文"</f>
        <v>杨锦文</v>
      </c>
      <c r="B4223" s="2" t="str">
        <f>"B20230403311"</f>
        <v>B20230403311</v>
      </c>
      <c r="C4223" s="2" t="str">
        <f t="shared" si="1091"/>
        <v>男</v>
      </c>
      <c r="D4223" s="2" t="str">
        <f t="shared" si="1077"/>
        <v>7</v>
      </c>
      <c r="E4223" s="2" t="str">
        <f t="shared" ref="E4223:E4228" si="1092">"电子信息与电气工程学院"</f>
        <v>电子信息与电气工程学院</v>
      </c>
    </row>
    <row r="4224" ht="13.5" hidden="1" spans="1:5">
      <c r="A4224" s="2" t="str">
        <f>"彭资祥"</f>
        <v>彭资祥</v>
      </c>
      <c r="B4224" s="2" t="str">
        <f>"B20210101104"</f>
        <v>B20210101104</v>
      </c>
      <c r="C4224" s="2" t="str">
        <f t="shared" si="1091"/>
        <v>男</v>
      </c>
      <c r="D4224" s="2" t="str">
        <f t="shared" si="1077"/>
        <v>7</v>
      </c>
      <c r="E4224" s="2" t="str">
        <f t="shared" si="1090"/>
        <v>土木工程学院</v>
      </c>
    </row>
    <row r="4225" ht="13.5" hidden="1" spans="1:5">
      <c r="A4225" s="2" t="str">
        <f>"周浩恺"</f>
        <v>周浩恺</v>
      </c>
      <c r="B4225" s="2" t="str">
        <f>"B20231302131"</f>
        <v>B20231302131</v>
      </c>
      <c r="C4225" s="2" t="str">
        <f t="shared" si="1091"/>
        <v>男</v>
      </c>
      <c r="D4225" s="2" t="str">
        <f t="shared" si="1077"/>
        <v>7</v>
      </c>
      <c r="E4225" s="2" t="str">
        <f>"材料与环境工程学院"</f>
        <v>材料与环境工程学院</v>
      </c>
    </row>
    <row r="4226" ht="13.5" hidden="1" spans="1:5">
      <c r="A4226" s="2" t="str">
        <f>"李希望"</f>
        <v>李希望</v>
      </c>
      <c r="B4226" s="2" t="str">
        <f>"B20230404126"</f>
        <v>B20230404126</v>
      </c>
      <c r="C4226" s="2" t="str">
        <f t="shared" si="1091"/>
        <v>男</v>
      </c>
      <c r="D4226" s="2" t="str">
        <f t="shared" si="1077"/>
        <v>7</v>
      </c>
      <c r="E4226" s="2" t="str">
        <f t="shared" si="1092"/>
        <v>电子信息与电气工程学院</v>
      </c>
    </row>
    <row r="4227" ht="13.5" hidden="1" spans="1:5">
      <c r="A4227" s="2" t="str">
        <f>"娄卓琳"</f>
        <v>娄卓琳</v>
      </c>
      <c r="B4227" s="2" t="str">
        <f>"B20220701326"</f>
        <v>B20220701326</v>
      </c>
      <c r="C4227" s="2" t="str">
        <f t="shared" ref="C4227:C4230" si="1093">"女"</f>
        <v>女</v>
      </c>
      <c r="D4227" s="2" t="str">
        <f t="shared" si="1077"/>
        <v>7</v>
      </c>
      <c r="E4227" s="2" t="str">
        <f>"马栏山新媒体学院"</f>
        <v>马栏山新媒体学院</v>
      </c>
    </row>
    <row r="4228" ht="13.5" hidden="1" spans="1:5">
      <c r="A4228" s="2" t="str">
        <f>"王浩东"</f>
        <v>王浩东</v>
      </c>
      <c r="B4228" s="2" t="str">
        <f>"B20230403106"</f>
        <v>B20230403106</v>
      </c>
      <c r="C4228" s="2" t="str">
        <f t="shared" ref="C4228:C4234" si="1094">"男"</f>
        <v>男</v>
      </c>
      <c r="D4228" s="2" t="str">
        <f t="shared" si="1077"/>
        <v>7</v>
      </c>
      <c r="E4228" s="2" t="str">
        <f t="shared" si="1092"/>
        <v>电子信息与电气工程学院</v>
      </c>
    </row>
    <row r="4229" ht="13.5" hidden="1" spans="1:5">
      <c r="A4229" s="2" t="str">
        <f>"张颖"</f>
        <v>张颖</v>
      </c>
      <c r="B4229" s="2" t="str">
        <f>"B20210701227"</f>
        <v>B20210701227</v>
      </c>
      <c r="C4229" s="2" t="str">
        <f t="shared" si="1093"/>
        <v>女</v>
      </c>
      <c r="D4229" s="2" t="str">
        <f t="shared" si="1077"/>
        <v>7</v>
      </c>
      <c r="E4229" s="2" t="str">
        <f>"马栏山新媒体学院"</f>
        <v>马栏山新媒体学院</v>
      </c>
    </row>
    <row r="4230" ht="13.5" hidden="1" spans="1:5">
      <c r="A4230" s="2" t="str">
        <f>"周晗冰"</f>
        <v>周晗冰</v>
      </c>
      <c r="B4230" s="2" t="str">
        <f>"B20211002318"</f>
        <v>B20211002318</v>
      </c>
      <c r="C4230" s="2" t="str">
        <f t="shared" si="1093"/>
        <v>女</v>
      </c>
      <c r="D4230" s="2" t="str">
        <f t="shared" si="1077"/>
        <v>7</v>
      </c>
      <c r="E4230" s="2" t="str">
        <f>"艺术设计学院"</f>
        <v>艺术设计学院</v>
      </c>
    </row>
    <row r="4231" ht="13.5" hidden="1" spans="1:5">
      <c r="A4231" s="2" t="str">
        <f>"杨忠庆"</f>
        <v>杨忠庆</v>
      </c>
      <c r="B4231" s="2" t="str">
        <f>"B20210504218"</f>
        <v>B20210504218</v>
      </c>
      <c r="C4231" s="2" t="str">
        <f t="shared" si="1094"/>
        <v>男</v>
      </c>
      <c r="D4231" s="2" t="str">
        <f t="shared" si="1077"/>
        <v>7</v>
      </c>
      <c r="E4231" s="2" t="str">
        <f>"生物与化学工程学院"</f>
        <v>生物与化学工程学院</v>
      </c>
    </row>
    <row r="4232" ht="13.5" hidden="1" spans="1:5">
      <c r="A4232" s="2" t="str">
        <f>"袁梦"</f>
        <v>袁梦</v>
      </c>
      <c r="B4232" s="2" t="str">
        <f>"B20230901108"</f>
        <v>B20230901108</v>
      </c>
      <c r="C4232" s="2" t="str">
        <f>"女"</f>
        <v>女</v>
      </c>
      <c r="D4232" s="2" t="str">
        <f t="shared" si="1077"/>
        <v>7</v>
      </c>
      <c r="E4232" s="2" t="str">
        <f>"经济与管理学院"</f>
        <v>经济与管理学院</v>
      </c>
    </row>
    <row r="4233" customHeight="1" spans="1:5">
      <c r="A4233" s="6" t="str">
        <f>"彭琦"</f>
        <v>彭琦</v>
      </c>
      <c r="B4233" s="6" t="str">
        <f>"B20210306221"</f>
        <v>B20210306221</v>
      </c>
      <c r="C4233" s="6" t="str">
        <f>"女"</f>
        <v>女</v>
      </c>
      <c r="D4233" s="7" t="str">
        <f>"9"</f>
        <v>9</v>
      </c>
      <c r="E4233" s="6" t="str">
        <f>"计算机科学与工程学院"</f>
        <v>计算机科学与工程学院</v>
      </c>
    </row>
    <row r="4234" ht="13.5" hidden="1" spans="1:5">
      <c r="A4234" s="2" t="str">
        <f>"姚杭"</f>
        <v>姚杭</v>
      </c>
      <c r="B4234" s="2" t="str">
        <f>"B20230101514"</f>
        <v>B20230101514</v>
      </c>
      <c r="C4234" s="2" t="str">
        <f t="shared" si="1094"/>
        <v>男</v>
      </c>
      <c r="D4234" s="2" t="str">
        <f t="shared" si="1077"/>
        <v>7</v>
      </c>
      <c r="E4234" s="2" t="str">
        <f>"土木工程学院"</f>
        <v>土木工程学院</v>
      </c>
    </row>
    <row r="4235" ht="13.5" hidden="1" spans="1:5">
      <c r="A4235" s="2" t="str">
        <f>"毛新凤"</f>
        <v>毛新凤</v>
      </c>
      <c r="B4235" s="2" t="str">
        <f>"B20200203212"</f>
        <v>B20200203212</v>
      </c>
      <c r="C4235" s="2" t="str">
        <f t="shared" ref="C4235:C4240" si="1095">"女"</f>
        <v>女</v>
      </c>
      <c r="D4235" s="2" t="str">
        <f t="shared" si="1077"/>
        <v>7</v>
      </c>
      <c r="E4235" s="2" t="str">
        <f>"机电工程学院"</f>
        <v>机电工程学院</v>
      </c>
    </row>
    <row r="4236" ht="13.5" hidden="1" spans="1:5">
      <c r="A4236" s="2" t="str">
        <f>"李阳"</f>
        <v>李阳</v>
      </c>
      <c r="B4236" s="2" t="str">
        <f>"B20220905204"</f>
        <v>B20220905204</v>
      </c>
      <c r="C4236" s="2" t="str">
        <f>"男"</f>
        <v>男</v>
      </c>
      <c r="D4236" s="2" t="str">
        <f t="shared" si="1077"/>
        <v>7</v>
      </c>
      <c r="E4236" s="2" t="str">
        <f>"经济与管理学院"</f>
        <v>经济与管理学院</v>
      </c>
    </row>
    <row r="4237" customHeight="1" spans="1:5">
      <c r="A4237" s="6" t="str">
        <f>"张紫昭"</f>
        <v>张紫昭</v>
      </c>
      <c r="B4237" s="6" t="str">
        <f>"B20210306222"</f>
        <v>B20210306222</v>
      </c>
      <c r="C4237" s="6" t="str">
        <f>"男"</f>
        <v>男</v>
      </c>
      <c r="D4237" s="7" t="str">
        <f>"2"</f>
        <v>2</v>
      </c>
      <c r="E4237" s="6" t="str">
        <f>"计算机科学与工程学院"</f>
        <v>计算机科学与工程学院</v>
      </c>
    </row>
    <row r="4238" ht="13.5" hidden="1" spans="1:5">
      <c r="A4238" s="2" t="str">
        <f>"李小彤"</f>
        <v>李小彤</v>
      </c>
      <c r="B4238" s="2" t="str">
        <f>"B20230702414"</f>
        <v>B20230702414</v>
      </c>
      <c r="C4238" s="2" t="str">
        <f t="shared" si="1095"/>
        <v>女</v>
      </c>
      <c r="D4238" s="2" t="str">
        <f t="shared" si="1077"/>
        <v>7</v>
      </c>
      <c r="E4238" s="2" t="str">
        <f>"马栏山新媒体学院"</f>
        <v>马栏山新媒体学院</v>
      </c>
    </row>
    <row r="4239" customHeight="1" spans="1:5">
      <c r="A4239" s="6" t="str">
        <f>"陈凯"</f>
        <v>陈凯</v>
      </c>
      <c r="B4239" s="6" t="str">
        <f>"B20210306223"</f>
        <v>B20210306223</v>
      </c>
      <c r="C4239" s="6" t="str">
        <f>"男"</f>
        <v>男</v>
      </c>
      <c r="D4239" s="7" t="str">
        <f>"4"</f>
        <v>4</v>
      </c>
      <c r="E4239" s="6" t="str">
        <f>"计算机科学与工程学院"</f>
        <v>计算机科学与工程学院</v>
      </c>
    </row>
    <row r="4240" ht="13.5" hidden="1" spans="1:5">
      <c r="A4240" s="2" t="str">
        <f>"方媛"</f>
        <v>方媛</v>
      </c>
      <c r="B4240" s="2" t="str">
        <f>"B20230905228"</f>
        <v>B20230905228</v>
      </c>
      <c r="C4240" s="2" t="str">
        <f t="shared" si="1095"/>
        <v>女</v>
      </c>
      <c r="D4240" s="2" t="str">
        <f t="shared" ref="D4239:D4302" si="1096">"7"</f>
        <v>7</v>
      </c>
      <c r="E4240" s="2" t="str">
        <f>"经济与管理学院"</f>
        <v>经济与管理学院</v>
      </c>
    </row>
    <row r="4241" ht="13.5" hidden="1" spans="1:5">
      <c r="A4241" s="2" t="str">
        <f>"李俊"</f>
        <v>李俊</v>
      </c>
      <c r="B4241" s="2" t="str">
        <f>"B20230202127"</f>
        <v>B20230202127</v>
      </c>
      <c r="C4241" s="2" t="str">
        <f>"男"</f>
        <v>男</v>
      </c>
      <c r="D4241" s="2" t="str">
        <f t="shared" si="1096"/>
        <v>7</v>
      </c>
      <c r="E4241" s="2" t="str">
        <f>"机电工程学院"</f>
        <v>机电工程学院</v>
      </c>
    </row>
    <row r="4242" ht="13.5" hidden="1" spans="1:5">
      <c r="A4242" s="2" t="str">
        <f>"龚涛"</f>
        <v>龚涛</v>
      </c>
      <c r="B4242" s="2" t="str">
        <f>"B20231302202"</f>
        <v>B20231302202</v>
      </c>
      <c r="C4242" s="2" t="str">
        <f>"男"</f>
        <v>男</v>
      </c>
      <c r="D4242" s="2" t="str">
        <f t="shared" si="1096"/>
        <v>7</v>
      </c>
      <c r="E4242" s="2" t="str">
        <f>"材料与环境工程学院"</f>
        <v>材料与环境工程学院</v>
      </c>
    </row>
    <row r="4243" ht="13.5" hidden="1" spans="1:5">
      <c r="A4243" s="2" t="str">
        <f>"童奥"</f>
        <v>童奥</v>
      </c>
      <c r="B4243" s="2" t="str">
        <f>"B20230601109"</f>
        <v>B20230601109</v>
      </c>
      <c r="C4243" s="2" t="str">
        <f t="shared" ref="C4243:C4246" si="1097">"女"</f>
        <v>女</v>
      </c>
      <c r="D4243" s="2" t="str">
        <f t="shared" si="1096"/>
        <v>7</v>
      </c>
      <c r="E4243" s="2" t="str">
        <f>"法学院"</f>
        <v>法学院</v>
      </c>
    </row>
    <row r="4244" ht="13.5" hidden="1" spans="1:5">
      <c r="A4244" s="2" t="str">
        <f>"周亦雯"</f>
        <v>周亦雯</v>
      </c>
      <c r="B4244" s="2" t="str">
        <f>"B20230903223"</f>
        <v>B20230903223</v>
      </c>
      <c r="C4244" s="2" t="str">
        <f t="shared" si="1097"/>
        <v>女</v>
      </c>
      <c r="D4244" s="2" t="str">
        <f t="shared" si="1096"/>
        <v>7</v>
      </c>
      <c r="E4244" s="2" t="str">
        <f>"经济与管理学院"</f>
        <v>经济与管理学院</v>
      </c>
    </row>
    <row r="4245" ht="13.5" hidden="1" spans="1:5">
      <c r="A4245" s="2" t="str">
        <f>"李湘"</f>
        <v>李湘</v>
      </c>
      <c r="B4245" s="2" t="str">
        <f>"B20230801214"</f>
        <v>B20230801214</v>
      </c>
      <c r="C4245" s="2" t="str">
        <f t="shared" si="1097"/>
        <v>女</v>
      </c>
      <c r="D4245" s="2" t="str">
        <f t="shared" si="1096"/>
        <v>7</v>
      </c>
      <c r="E4245" s="2" t="str">
        <f>"外国语学院"</f>
        <v>外国语学院</v>
      </c>
    </row>
    <row r="4246" ht="13.5" hidden="1" spans="1:5">
      <c r="A4246" s="2" t="str">
        <f>"罗晓钰"</f>
        <v>罗晓钰</v>
      </c>
      <c r="B4246" s="2" t="str">
        <f>"B20220703105"</f>
        <v>B20220703105</v>
      </c>
      <c r="C4246" s="2" t="str">
        <f t="shared" si="1097"/>
        <v>女</v>
      </c>
      <c r="D4246" s="2" t="str">
        <f t="shared" si="1096"/>
        <v>7</v>
      </c>
      <c r="E4246" s="2" t="str">
        <f>"马栏山新媒体学院"</f>
        <v>马栏山新媒体学院</v>
      </c>
    </row>
    <row r="4247" customHeight="1" spans="1:5">
      <c r="A4247" s="6" t="str">
        <f>"唐俊华"</f>
        <v>唐俊华</v>
      </c>
      <c r="B4247" s="6" t="str">
        <f>"B20210306225"</f>
        <v>B20210306225</v>
      </c>
      <c r="C4247" s="6" t="str">
        <f>"男"</f>
        <v>男</v>
      </c>
      <c r="D4247" s="7" t="str">
        <f>"4"</f>
        <v>4</v>
      </c>
      <c r="E4247" s="6" t="str">
        <f>"计算机科学与工程学院"</f>
        <v>计算机科学与工程学院</v>
      </c>
    </row>
    <row r="4248" ht="13.5" hidden="1" spans="1:5">
      <c r="A4248" s="2" t="str">
        <f>"罗欣怡"</f>
        <v>罗欣怡</v>
      </c>
      <c r="B4248" s="2" t="str">
        <f>"B20231002210"</f>
        <v>B20231002210</v>
      </c>
      <c r="C4248" s="2" t="str">
        <f t="shared" ref="C4248:C4252" si="1098">"女"</f>
        <v>女</v>
      </c>
      <c r="D4248" s="2" t="str">
        <f t="shared" si="1096"/>
        <v>7</v>
      </c>
      <c r="E4248" s="2" t="str">
        <f>"艺术设计学院"</f>
        <v>艺术设计学院</v>
      </c>
    </row>
    <row r="4249" ht="13.5" hidden="1" spans="1:5">
      <c r="A4249" s="2" t="str">
        <f>"王源"</f>
        <v>王源</v>
      </c>
      <c r="B4249" s="2" t="str">
        <f>"B20231004120"</f>
        <v>B20231004120</v>
      </c>
      <c r="C4249" s="2" t="str">
        <f t="shared" si="1098"/>
        <v>女</v>
      </c>
      <c r="D4249" s="2" t="str">
        <f t="shared" si="1096"/>
        <v>7</v>
      </c>
      <c r="E4249" s="2" t="str">
        <f>"艺术设计学院"</f>
        <v>艺术设计学院</v>
      </c>
    </row>
    <row r="4250" customHeight="1" spans="1:5">
      <c r="A4250" s="6" t="str">
        <f>"张思莹"</f>
        <v>张思莹</v>
      </c>
      <c r="B4250" s="6" t="str">
        <f>"B20210306227"</f>
        <v>B20210306227</v>
      </c>
      <c r="C4250" s="6" t="str">
        <f t="shared" si="1098"/>
        <v>女</v>
      </c>
      <c r="D4250" s="7" t="str">
        <f>"3"</f>
        <v>3</v>
      </c>
      <c r="E4250" s="6" t="str">
        <f>"计算机科学与工程学院"</f>
        <v>计算机科学与工程学院</v>
      </c>
    </row>
    <row r="4251" ht="13.5" hidden="1" spans="1:5">
      <c r="A4251" s="2" t="str">
        <f>"龚崇萌"</f>
        <v>龚崇萌</v>
      </c>
      <c r="B4251" s="2" t="str">
        <f>"B20230904233"</f>
        <v>B20230904233</v>
      </c>
      <c r="C4251" s="2" t="str">
        <f>"男"</f>
        <v>男</v>
      </c>
      <c r="D4251" s="2" t="str">
        <f t="shared" si="1096"/>
        <v>7</v>
      </c>
      <c r="E4251" s="2" t="str">
        <f>"经济与管理学院"</f>
        <v>经济与管理学院</v>
      </c>
    </row>
    <row r="4252" ht="13.5" hidden="1" spans="1:5">
      <c r="A4252" s="2" t="str">
        <f>"高苗"</f>
        <v>高苗</v>
      </c>
      <c r="B4252" s="2" t="str">
        <f>"B20230101209"</f>
        <v>B20230101209</v>
      </c>
      <c r="C4252" s="2" t="str">
        <f t="shared" si="1098"/>
        <v>女</v>
      </c>
      <c r="D4252" s="2" t="str">
        <f t="shared" si="1096"/>
        <v>7</v>
      </c>
      <c r="E4252" s="2" t="str">
        <f>"土木工程学院"</f>
        <v>土木工程学院</v>
      </c>
    </row>
    <row r="4253" ht="13.5" hidden="1" spans="1:5">
      <c r="A4253" s="2" t="str">
        <f>"吴一帆"</f>
        <v>吴一帆</v>
      </c>
      <c r="B4253" s="2" t="str">
        <f>"B20210505202"</f>
        <v>B20210505202</v>
      </c>
      <c r="C4253" s="2" t="str">
        <f t="shared" ref="C4253:C4261" si="1099">"男"</f>
        <v>男</v>
      </c>
      <c r="D4253" s="2" t="str">
        <f t="shared" si="1096"/>
        <v>7</v>
      </c>
      <c r="E4253" s="2" t="str">
        <f>"材料与环境工程学院"</f>
        <v>材料与环境工程学院</v>
      </c>
    </row>
    <row r="4254" ht="13.5" hidden="1" spans="1:5">
      <c r="A4254" s="2" t="str">
        <f>"李雪梅"</f>
        <v>李雪梅</v>
      </c>
      <c r="B4254" s="2" t="str">
        <f>"B20200502215"</f>
        <v>B20200502215</v>
      </c>
      <c r="C4254" s="2" t="str">
        <f>"女"</f>
        <v>女</v>
      </c>
      <c r="D4254" s="2" t="str">
        <f t="shared" si="1096"/>
        <v>7</v>
      </c>
      <c r="E4254" s="2" t="str">
        <f>"生物与环境工程学院"</f>
        <v>生物与环境工程学院</v>
      </c>
    </row>
    <row r="4255" ht="13.5" hidden="1" spans="1:5">
      <c r="A4255" s="2" t="str">
        <f>"戴志杰"</f>
        <v>戴志杰</v>
      </c>
      <c r="B4255" s="2" t="str">
        <f>"B20210503237"</f>
        <v>B20210503237</v>
      </c>
      <c r="C4255" s="2" t="str">
        <f t="shared" si="1099"/>
        <v>男</v>
      </c>
      <c r="D4255" s="2" t="str">
        <f t="shared" si="1096"/>
        <v>7</v>
      </c>
      <c r="E4255" s="2" t="str">
        <f>"材料与环境工程学院"</f>
        <v>材料与环境工程学院</v>
      </c>
    </row>
    <row r="4256" ht="13.5" hidden="1" spans="1:5">
      <c r="A4256" s="2" t="str">
        <f>"宋思思"</f>
        <v>宋思思</v>
      </c>
      <c r="B4256" s="2" t="str">
        <f>"B20230504402"</f>
        <v>B20230504402</v>
      </c>
      <c r="C4256" s="2" t="str">
        <f>"女"</f>
        <v>女</v>
      </c>
      <c r="D4256" s="2" t="str">
        <f t="shared" si="1096"/>
        <v>7</v>
      </c>
      <c r="E4256" s="2" t="str">
        <f>"生物与化学工程学院"</f>
        <v>生物与化学工程学院</v>
      </c>
    </row>
    <row r="4257" ht="13.5" hidden="1" spans="1:5">
      <c r="A4257" s="2" t="str">
        <f>"曹一凡"</f>
        <v>曹一凡</v>
      </c>
      <c r="B4257" s="2" t="str">
        <f>"B20200502211"</f>
        <v>B20200502211</v>
      </c>
      <c r="C4257" s="2" t="str">
        <f t="shared" si="1099"/>
        <v>男</v>
      </c>
      <c r="D4257" s="2" t="str">
        <f t="shared" si="1096"/>
        <v>7</v>
      </c>
      <c r="E4257" s="2" t="str">
        <f>"生物与环境工程学院"</f>
        <v>生物与环境工程学院</v>
      </c>
    </row>
    <row r="4258" customHeight="1" spans="1:5">
      <c r="A4258" s="6" t="str">
        <f>"夏玲"</f>
        <v>夏玲</v>
      </c>
      <c r="B4258" s="6" t="str">
        <f>"B20210306228"</f>
        <v>B20210306228</v>
      </c>
      <c r="C4258" s="6" t="str">
        <f>"女"</f>
        <v>女</v>
      </c>
      <c r="D4258" s="7" t="str">
        <f>"3"</f>
        <v>3</v>
      </c>
      <c r="E4258" s="6" t="str">
        <f>"计算机科学与工程学院"</f>
        <v>计算机科学与工程学院</v>
      </c>
    </row>
    <row r="4259" customHeight="1" spans="1:5">
      <c r="A4259" s="6" t="str">
        <f>"雷毅"</f>
        <v>雷毅</v>
      </c>
      <c r="B4259" s="6" t="str">
        <f>"B20210306229"</f>
        <v>B20210306229</v>
      </c>
      <c r="C4259" s="6" t="str">
        <f>"男"</f>
        <v>男</v>
      </c>
      <c r="D4259" s="7" t="str">
        <f>"3"</f>
        <v>3</v>
      </c>
      <c r="E4259" s="6" t="str">
        <f>"计算机科学与工程学院"</f>
        <v>计算机科学与工程学院</v>
      </c>
    </row>
    <row r="4260" ht="13.5" hidden="1" spans="1:5">
      <c r="A4260" s="2" t="str">
        <f>"冉维贵"</f>
        <v>冉维贵</v>
      </c>
      <c r="B4260" s="2" t="str">
        <f>"B20230403115"</f>
        <v>B20230403115</v>
      </c>
      <c r="C4260" s="2" t="str">
        <f t="shared" si="1099"/>
        <v>男</v>
      </c>
      <c r="D4260" s="2" t="str">
        <f t="shared" si="1096"/>
        <v>7</v>
      </c>
      <c r="E4260" s="2" t="str">
        <f>"电子信息与电气工程学院"</f>
        <v>电子信息与电气工程学院</v>
      </c>
    </row>
    <row r="4261" ht="13.5" hidden="1" spans="1:5">
      <c r="A4261" s="2" t="str">
        <f>"钟祥振"</f>
        <v>钟祥振</v>
      </c>
      <c r="B4261" s="2" t="str">
        <f>"B20200202124"</f>
        <v>B20200202124</v>
      </c>
      <c r="C4261" s="2" t="str">
        <f t="shared" si="1099"/>
        <v>男</v>
      </c>
      <c r="D4261" s="2" t="str">
        <f t="shared" si="1096"/>
        <v>7</v>
      </c>
      <c r="E4261" s="2" t="str">
        <f>"机电工程学院"</f>
        <v>机电工程学院</v>
      </c>
    </row>
    <row r="4262" ht="13.5" hidden="1" spans="1:5">
      <c r="A4262" s="2" t="str">
        <f>"邹京萍"</f>
        <v>邹京萍</v>
      </c>
      <c r="B4262" s="2" t="str">
        <f>"B20200701117"</f>
        <v>B20200701117</v>
      </c>
      <c r="C4262" s="2" t="str">
        <f t="shared" ref="C4262:C4267" si="1100">"女"</f>
        <v>女</v>
      </c>
      <c r="D4262" s="2" t="str">
        <f t="shared" si="1096"/>
        <v>7</v>
      </c>
      <c r="E4262" s="2" t="str">
        <f>"马栏山新媒体学院"</f>
        <v>马栏山新媒体学院</v>
      </c>
    </row>
    <row r="4263" ht="13.5" hidden="1" spans="1:5">
      <c r="A4263" s="2" t="str">
        <f>"刘中川"</f>
        <v>刘中川</v>
      </c>
      <c r="B4263" s="2" t="str">
        <f>"B20200402318"</f>
        <v>B20200402318</v>
      </c>
      <c r="C4263" s="2" t="str">
        <f>"男"</f>
        <v>男</v>
      </c>
      <c r="D4263" s="2" t="str">
        <f t="shared" si="1096"/>
        <v>7</v>
      </c>
      <c r="E4263" s="2" t="str">
        <f>"电子信息与电气工程学院"</f>
        <v>电子信息与电气工程学院</v>
      </c>
    </row>
    <row r="4264" ht="13.5" hidden="1" spans="1:5">
      <c r="A4264" s="2" t="str">
        <f>"肖芊"</f>
        <v>肖芊</v>
      </c>
      <c r="B4264" s="2" t="str">
        <f>"B20200601123"</f>
        <v>B20200601123</v>
      </c>
      <c r="C4264" s="2" t="str">
        <f t="shared" si="1100"/>
        <v>女</v>
      </c>
      <c r="D4264" s="2" t="str">
        <f t="shared" si="1096"/>
        <v>7</v>
      </c>
      <c r="E4264" s="2" t="str">
        <f>"法学院"</f>
        <v>法学院</v>
      </c>
    </row>
    <row r="4265" ht="13.5" hidden="1" spans="1:5">
      <c r="A4265" s="2" t="str">
        <f>"王子贤"</f>
        <v>王子贤</v>
      </c>
      <c r="B4265" s="2" t="str">
        <f>"B20230702429"</f>
        <v>B20230702429</v>
      </c>
      <c r="C4265" s="2" t="str">
        <f t="shared" si="1100"/>
        <v>女</v>
      </c>
      <c r="D4265" s="2" t="str">
        <f t="shared" si="1096"/>
        <v>7</v>
      </c>
      <c r="E4265" s="2" t="str">
        <f>"马栏山新媒体学院"</f>
        <v>马栏山新媒体学院</v>
      </c>
    </row>
    <row r="4266" ht="13.5" hidden="1" spans="1:5">
      <c r="A4266" s="2" t="str">
        <f>"周炑箐"</f>
        <v>周炑箐</v>
      </c>
      <c r="B4266" s="2" t="str">
        <f>"B20230905207"</f>
        <v>B20230905207</v>
      </c>
      <c r="C4266" s="2" t="str">
        <f t="shared" si="1100"/>
        <v>女</v>
      </c>
      <c r="D4266" s="2" t="str">
        <f t="shared" si="1096"/>
        <v>7</v>
      </c>
      <c r="E4266" s="2" t="str">
        <f>"经济与管理学院"</f>
        <v>经济与管理学院</v>
      </c>
    </row>
    <row r="4267" ht="13.5" hidden="1" spans="1:5">
      <c r="A4267" s="2" t="str">
        <f>"宋虞"</f>
        <v>宋虞</v>
      </c>
      <c r="B4267" s="2" t="str">
        <f>"B20230905201"</f>
        <v>B20230905201</v>
      </c>
      <c r="C4267" s="2" t="str">
        <f t="shared" si="1100"/>
        <v>女</v>
      </c>
      <c r="D4267" s="2" t="str">
        <f t="shared" si="1096"/>
        <v>7</v>
      </c>
      <c r="E4267" s="2" t="str">
        <f>"经济与管理学院"</f>
        <v>经济与管理学院</v>
      </c>
    </row>
    <row r="4268" ht="13.5" hidden="1" spans="1:5">
      <c r="A4268" s="2" t="str">
        <f>"李长智"</f>
        <v>李长智</v>
      </c>
      <c r="B4268" s="2" t="str">
        <f>"B20230101417"</f>
        <v>B20230101417</v>
      </c>
      <c r="C4268" s="2" t="str">
        <f t="shared" ref="C4268:C4273" si="1101">"男"</f>
        <v>男</v>
      </c>
      <c r="D4268" s="2" t="str">
        <f t="shared" si="1096"/>
        <v>7</v>
      </c>
      <c r="E4268" s="2" t="str">
        <f>"土木工程学院"</f>
        <v>土木工程学院</v>
      </c>
    </row>
    <row r="4269" customHeight="1" spans="1:5">
      <c r="A4269" s="6" t="str">
        <f>"庞喆恺"</f>
        <v>庞喆恺</v>
      </c>
      <c r="B4269" s="6" t="str">
        <f>"B20210307102"</f>
        <v>B20210307102</v>
      </c>
      <c r="C4269" s="6" t="str">
        <f t="shared" si="1101"/>
        <v>男</v>
      </c>
      <c r="D4269" s="7" t="str">
        <f>"6"</f>
        <v>6</v>
      </c>
      <c r="E4269" s="6" t="str">
        <f>"计算机科学与工程学院"</f>
        <v>计算机科学与工程学院</v>
      </c>
    </row>
    <row r="4270" ht="13.5" hidden="1" spans="1:5">
      <c r="A4270" s="2" t="str">
        <f>"李源晨"</f>
        <v>李源晨</v>
      </c>
      <c r="B4270" s="2" t="str">
        <f>"B20230404228"</f>
        <v>B20230404228</v>
      </c>
      <c r="C4270" s="2" t="str">
        <f t="shared" si="1101"/>
        <v>男</v>
      </c>
      <c r="D4270" s="2" t="str">
        <f t="shared" si="1096"/>
        <v>7</v>
      </c>
      <c r="E4270" s="2" t="str">
        <f>"电子信息与电气工程学院"</f>
        <v>电子信息与电气工程学院</v>
      </c>
    </row>
    <row r="4271" ht="13.5" hidden="1" spans="1:5">
      <c r="A4271" s="2" t="str">
        <f>"梁饮冰"</f>
        <v>梁饮冰</v>
      </c>
      <c r="B4271" s="2" t="str">
        <f>"B20200204134"</f>
        <v>B20200204134</v>
      </c>
      <c r="C4271" s="2" t="str">
        <f t="shared" si="1101"/>
        <v>男</v>
      </c>
      <c r="D4271" s="2" t="str">
        <f t="shared" si="1096"/>
        <v>7</v>
      </c>
      <c r="E4271" s="2" t="str">
        <f>"机电工程学院"</f>
        <v>机电工程学院</v>
      </c>
    </row>
    <row r="4272" ht="13.5" hidden="1" spans="1:5">
      <c r="A4272" s="2" t="str">
        <f>"肖阳"</f>
        <v>肖阳</v>
      </c>
      <c r="B4272" s="2" t="str">
        <f>"B20210401424"</f>
        <v>B20210401424</v>
      </c>
      <c r="C4272" s="2" t="str">
        <f t="shared" si="1101"/>
        <v>男</v>
      </c>
      <c r="D4272" s="2" t="str">
        <f t="shared" si="1096"/>
        <v>7</v>
      </c>
      <c r="E4272" s="2" t="str">
        <f>"电子信息与电气工程学院"</f>
        <v>电子信息与电气工程学院</v>
      </c>
    </row>
    <row r="4273" ht="13.5" hidden="1" spans="1:5">
      <c r="A4273" s="2" t="str">
        <f>"王梦林"</f>
        <v>王梦林</v>
      </c>
      <c r="B4273" s="2" t="str">
        <f>"B20200501229"</f>
        <v>B20200501229</v>
      </c>
      <c r="C4273" s="2" t="str">
        <f t="shared" si="1101"/>
        <v>男</v>
      </c>
      <c r="D4273" s="2" t="str">
        <f t="shared" si="1096"/>
        <v>7</v>
      </c>
      <c r="E4273" s="2" t="str">
        <f>"生物与环境工程学院"</f>
        <v>生物与环境工程学院</v>
      </c>
    </row>
    <row r="4274" ht="13.5" hidden="1" spans="1:5">
      <c r="A4274" s="2" t="str">
        <f>"李雅琪"</f>
        <v>李雅琪</v>
      </c>
      <c r="B4274" s="2" t="str">
        <f>"B20211003203"</f>
        <v>B20211003203</v>
      </c>
      <c r="C4274" s="2" t="str">
        <f>"女"</f>
        <v>女</v>
      </c>
      <c r="D4274" s="2" t="str">
        <f t="shared" si="1096"/>
        <v>7</v>
      </c>
      <c r="E4274" s="2" t="str">
        <f>"艺术设计学院"</f>
        <v>艺术设计学院</v>
      </c>
    </row>
    <row r="4275" ht="13.5" hidden="1" spans="1:5">
      <c r="A4275" s="2" t="str">
        <f>"董振泽"</f>
        <v>董振泽</v>
      </c>
      <c r="B4275" s="2" t="str">
        <f>"B20210504136"</f>
        <v>B20210504136</v>
      </c>
      <c r="C4275" s="2" t="str">
        <f t="shared" ref="C4275:C4278" si="1102">"男"</f>
        <v>男</v>
      </c>
      <c r="D4275" s="2" t="str">
        <f t="shared" si="1096"/>
        <v>7</v>
      </c>
      <c r="E4275" s="2" t="str">
        <f>"生物与化学工程学院"</f>
        <v>生物与化学工程学院</v>
      </c>
    </row>
    <row r="4276" ht="13.5" hidden="1" spans="1:5">
      <c r="A4276" s="2" t="str">
        <f>"张世杰"</f>
        <v>张世杰</v>
      </c>
      <c r="B4276" s="2" t="str">
        <f>"B20210202425"</f>
        <v>B20210202425</v>
      </c>
      <c r="C4276" s="2" t="str">
        <f t="shared" si="1102"/>
        <v>男</v>
      </c>
      <c r="D4276" s="2" t="str">
        <f t="shared" si="1096"/>
        <v>7</v>
      </c>
      <c r="E4276" s="2" t="str">
        <f>"机电工程学院"</f>
        <v>机电工程学院</v>
      </c>
    </row>
    <row r="4277" ht="13.5" hidden="1" spans="1:5">
      <c r="A4277" s="2" t="str">
        <f>"黎楚元"</f>
        <v>黎楚元</v>
      </c>
      <c r="B4277" s="2" t="str">
        <f>"B20200503207"</f>
        <v>B20200503207</v>
      </c>
      <c r="C4277" s="2" t="str">
        <f t="shared" si="1102"/>
        <v>男</v>
      </c>
      <c r="D4277" s="2" t="str">
        <f t="shared" si="1096"/>
        <v>7</v>
      </c>
      <c r="E4277" s="2" t="str">
        <f>"电子信息与电气工程学院"</f>
        <v>电子信息与电气工程学院</v>
      </c>
    </row>
    <row r="4278" ht="13.5" hidden="1" spans="1:5">
      <c r="A4278" s="2" t="str">
        <f>"谢旺"</f>
        <v>谢旺</v>
      </c>
      <c r="B4278" s="2" t="str">
        <f>"B20210101210"</f>
        <v>B20210101210</v>
      </c>
      <c r="C4278" s="2" t="str">
        <f t="shared" si="1102"/>
        <v>男</v>
      </c>
      <c r="D4278" s="2" t="str">
        <f t="shared" si="1096"/>
        <v>7</v>
      </c>
      <c r="E4278" s="2" t="str">
        <f>"土木工程学院"</f>
        <v>土木工程学院</v>
      </c>
    </row>
    <row r="4279" ht="13.5" hidden="1" spans="1:5">
      <c r="A4279" s="2" t="str">
        <f>"胡蓉"</f>
        <v>胡蓉</v>
      </c>
      <c r="B4279" s="2" t="str">
        <f>"B20200902218"</f>
        <v>B20200902218</v>
      </c>
      <c r="C4279" s="2" t="str">
        <f t="shared" ref="C4279:C4283" si="1103">"女"</f>
        <v>女</v>
      </c>
      <c r="D4279" s="2" t="str">
        <f t="shared" si="1096"/>
        <v>7</v>
      </c>
      <c r="E4279" s="2" t="str">
        <f t="shared" ref="E4279:E4281" si="1104">"经济与管理学院"</f>
        <v>经济与管理学院</v>
      </c>
    </row>
    <row r="4280" ht="13.5" hidden="1" spans="1:5">
      <c r="A4280" s="2" t="str">
        <f>"刘子奇"</f>
        <v>刘子奇</v>
      </c>
      <c r="B4280" s="2" t="str">
        <f>"B20220905115"</f>
        <v>B20220905115</v>
      </c>
      <c r="C4280" s="2" t="str">
        <f t="shared" si="1103"/>
        <v>女</v>
      </c>
      <c r="D4280" s="2" t="str">
        <f t="shared" si="1096"/>
        <v>7</v>
      </c>
      <c r="E4280" s="2" t="str">
        <f t="shared" si="1104"/>
        <v>经济与管理学院</v>
      </c>
    </row>
    <row r="4281" ht="13.5" hidden="1" spans="1:5">
      <c r="A4281" s="2" t="str">
        <f>"黄伟烨"</f>
        <v>黄伟烨</v>
      </c>
      <c r="B4281" s="2" t="str">
        <f>"B20210904106"</f>
        <v>B20210904106</v>
      </c>
      <c r="C4281" s="2" t="str">
        <f t="shared" ref="C4281:C4285" si="1105">"男"</f>
        <v>男</v>
      </c>
      <c r="D4281" s="2" t="str">
        <f t="shared" si="1096"/>
        <v>7</v>
      </c>
      <c r="E4281" s="2" t="str">
        <f t="shared" si="1104"/>
        <v>经济与管理学院</v>
      </c>
    </row>
    <row r="4282" ht="13.5" hidden="1" spans="1:5">
      <c r="A4282" s="2" t="str">
        <f>"李博龙"</f>
        <v>李博龙</v>
      </c>
      <c r="B4282" s="2" t="str">
        <f>"B20221003110"</f>
        <v>B20221003110</v>
      </c>
      <c r="C4282" s="2" t="str">
        <f t="shared" si="1105"/>
        <v>男</v>
      </c>
      <c r="D4282" s="2" t="str">
        <f t="shared" si="1096"/>
        <v>7</v>
      </c>
      <c r="E4282" s="2" t="str">
        <f>"艺术设计学院"</f>
        <v>艺术设计学院</v>
      </c>
    </row>
    <row r="4283" ht="13.5" hidden="1" spans="1:5">
      <c r="A4283" s="2" t="str">
        <f>"周县嫔"</f>
        <v>周县嫔</v>
      </c>
      <c r="B4283" s="2" t="str">
        <f>"B20220601401"</f>
        <v>B20220601401</v>
      </c>
      <c r="C4283" s="2" t="str">
        <f t="shared" si="1103"/>
        <v>女</v>
      </c>
      <c r="D4283" s="2" t="str">
        <f t="shared" si="1096"/>
        <v>7</v>
      </c>
      <c r="E4283" s="2" t="str">
        <f>"法学院"</f>
        <v>法学院</v>
      </c>
    </row>
    <row r="4284" ht="13.5" hidden="1" spans="1:5">
      <c r="A4284" s="2" t="str">
        <f>"许晨曦"</f>
        <v>许晨曦</v>
      </c>
      <c r="B4284" s="2" t="str">
        <f>"B20220103220"</f>
        <v>B20220103220</v>
      </c>
      <c r="C4284" s="2" t="str">
        <f t="shared" si="1105"/>
        <v>男</v>
      </c>
      <c r="D4284" s="2" t="str">
        <f t="shared" si="1096"/>
        <v>7</v>
      </c>
      <c r="E4284" s="2" t="str">
        <f>"土木工程学院"</f>
        <v>土木工程学院</v>
      </c>
    </row>
    <row r="4285" ht="13.5" hidden="1" spans="1:5">
      <c r="A4285" s="2" t="str">
        <f>"夏应坤"</f>
        <v>夏应坤</v>
      </c>
      <c r="B4285" s="2" t="str">
        <f>"B20200402310"</f>
        <v>B20200402310</v>
      </c>
      <c r="C4285" s="2" t="str">
        <f t="shared" si="1105"/>
        <v>男</v>
      </c>
      <c r="D4285" s="2" t="str">
        <f t="shared" si="1096"/>
        <v>7</v>
      </c>
      <c r="E4285" s="2" t="str">
        <f>"电子信息与电气工程学院"</f>
        <v>电子信息与电气工程学院</v>
      </c>
    </row>
    <row r="4286" ht="13.5" hidden="1" spans="1:5">
      <c r="A4286" s="2" t="str">
        <f>"麻安厅"</f>
        <v>麻安厅</v>
      </c>
      <c r="B4286" s="2" t="str">
        <f>"B20230801431"</f>
        <v>B20230801431</v>
      </c>
      <c r="C4286" s="2" t="str">
        <f t="shared" ref="C4286:C4289" si="1106">"女"</f>
        <v>女</v>
      </c>
      <c r="D4286" s="2" t="str">
        <f t="shared" si="1096"/>
        <v>7</v>
      </c>
      <c r="E4286" s="2" t="str">
        <f>"外国语学院"</f>
        <v>外国语学院</v>
      </c>
    </row>
    <row r="4287" ht="13.5" hidden="1" spans="1:5">
      <c r="A4287" s="2" t="str">
        <f>"唐莹芝"</f>
        <v>唐莹芝</v>
      </c>
      <c r="B4287" s="2" t="str">
        <f>"B20220904306"</f>
        <v>B20220904306</v>
      </c>
      <c r="C4287" s="2" t="str">
        <f t="shared" si="1106"/>
        <v>女</v>
      </c>
      <c r="D4287" s="2" t="str">
        <f t="shared" si="1096"/>
        <v>7</v>
      </c>
      <c r="E4287" s="2" t="str">
        <f>"经济与管理学院"</f>
        <v>经济与管理学院</v>
      </c>
    </row>
    <row r="4288" ht="13.5" hidden="1" spans="1:5">
      <c r="A4288" s="2" t="str">
        <f>"李甜"</f>
        <v>李甜</v>
      </c>
      <c r="B4288" s="2" t="str">
        <f>"B20210202439"</f>
        <v>B20210202439</v>
      </c>
      <c r="C4288" s="2" t="str">
        <f t="shared" ref="C4288:C4293" si="1107">"男"</f>
        <v>男</v>
      </c>
      <c r="D4288" s="2" t="str">
        <f t="shared" si="1096"/>
        <v>7</v>
      </c>
      <c r="E4288" s="2" t="str">
        <f>"机电工程学院"</f>
        <v>机电工程学院</v>
      </c>
    </row>
    <row r="4289" ht="13.5" hidden="1" spans="1:5">
      <c r="A4289" s="2" t="str">
        <f>"欧阳梓荻"</f>
        <v>欧阳梓荻</v>
      </c>
      <c r="B4289" s="2" t="str">
        <f>"B20220504323"</f>
        <v>B20220504323</v>
      </c>
      <c r="C4289" s="2" t="str">
        <f t="shared" si="1106"/>
        <v>女</v>
      </c>
      <c r="D4289" s="2" t="str">
        <f t="shared" si="1096"/>
        <v>7</v>
      </c>
      <c r="E4289" s="2" t="str">
        <f>"生物与化学工程学院"</f>
        <v>生物与化学工程学院</v>
      </c>
    </row>
    <row r="4290" customHeight="1" spans="1:5">
      <c r="A4290" s="6" t="str">
        <f>"李南星"</f>
        <v>李南星</v>
      </c>
      <c r="B4290" s="6" t="str">
        <f>"B20210307104"</f>
        <v>B20210307104</v>
      </c>
      <c r="C4290" s="6" t="str">
        <f>"男"</f>
        <v>男</v>
      </c>
      <c r="D4290" s="7" t="str">
        <f>"5"</f>
        <v>5</v>
      </c>
      <c r="E4290" s="6" t="str">
        <f>"计算机科学与工程学院"</f>
        <v>计算机科学与工程学院</v>
      </c>
    </row>
    <row r="4291" ht="13.5" hidden="1" spans="1:5">
      <c r="A4291" s="2" t="str">
        <f>"张茸皓"</f>
        <v>张茸皓</v>
      </c>
      <c r="B4291" s="2" t="str">
        <f>"B20200704109"</f>
        <v>B20200704109</v>
      </c>
      <c r="C4291" s="2" t="str">
        <f t="shared" si="1107"/>
        <v>男</v>
      </c>
      <c r="D4291" s="2" t="str">
        <f t="shared" si="1096"/>
        <v>7</v>
      </c>
      <c r="E4291" s="2" t="str">
        <f>"马栏山新媒体学院"</f>
        <v>马栏山新媒体学院</v>
      </c>
    </row>
    <row r="4292" ht="13.5" hidden="1" spans="1:5">
      <c r="A4292" s="2" t="str">
        <f>"陈源"</f>
        <v>陈源</v>
      </c>
      <c r="B4292" s="2" t="str">
        <f>"B20220403227"</f>
        <v>B20220403227</v>
      </c>
      <c r="C4292" s="2" t="str">
        <f t="shared" si="1107"/>
        <v>男</v>
      </c>
      <c r="D4292" s="2" t="str">
        <f t="shared" si="1096"/>
        <v>7</v>
      </c>
      <c r="E4292" s="2" t="str">
        <f>"电子信息与电气工程学院"</f>
        <v>电子信息与电气工程学院</v>
      </c>
    </row>
    <row r="4293" ht="13.5" hidden="1" spans="1:5">
      <c r="A4293" s="2" t="str">
        <f>"沈凯璇"</f>
        <v>沈凯璇</v>
      </c>
      <c r="B4293" s="2" t="str">
        <f>"B20210502231"</f>
        <v>B20210502231</v>
      </c>
      <c r="C4293" s="2" t="str">
        <f t="shared" si="1107"/>
        <v>男</v>
      </c>
      <c r="D4293" s="2" t="str">
        <f t="shared" si="1096"/>
        <v>7</v>
      </c>
      <c r="E4293" s="2" t="str">
        <f>"生物与化学工程学院"</f>
        <v>生物与化学工程学院</v>
      </c>
    </row>
    <row r="4294" ht="13.5" hidden="1" spans="1:5">
      <c r="A4294" s="2" t="str">
        <f>"赵薇"</f>
        <v>赵薇</v>
      </c>
      <c r="B4294" s="2" t="str">
        <f>"B20220901322"</f>
        <v>B20220901322</v>
      </c>
      <c r="C4294" s="2" t="str">
        <f t="shared" ref="C4294:C4298" si="1108">"女"</f>
        <v>女</v>
      </c>
      <c r="D4294" s="2" t="str">
        <f t="shared" si="1096"/>
        <v>7</v>
      </c>
      <c r="E4294" s="2" t="str">
        <f>"经济与管理学院"</f>
        <v>经济与管理学院</v>
      </c>
    </row>
    <row r="4295" ht="13.5" hidden="1" spans="1:5">
      <c r="A4295" s="2" t="str">
        <f>"樊丁丁"</f>
        <v>樊丁丁</v>
      </c>
      <c r="B4295" s="2" t="str">
        <f>"B20230905108"</f>
        <v>B20230905108</v>
      </c>
      <c r="C4295" s="2" t="str">
        <f t="shared" si="1108"/>
        <v>女</v>
      </c>
      <c r="D4295" s="2" t="str">
        <f t="shared" si="1096"/>
        <v>7</v>
      </c>
      <c r="E4295" s="2" t="str">
        <f>"经济与管理学院"</f>
        <v>经济与管理学院</v>
      </c>
    </row>
    <row r="4296" ht="13.5" hidden="1" spans="1:5">
      <c r="A4296" s="2" t="str">
        <f>"吴晓鹏"</f>
        <v>吴晓鹏</v>
      </c>
      <c r="B4296" s="2" t="str">
        <f>"B20230205324"</f>
        <v>B20230205324</v>
      </c>
      <c r="C4296" s="2" t="str">
        <f t="shared" ref="C4296:C4300" si="1109">"男"</f>
        <v>男</v>
      </c>
      <c r="D4296" s="2" t="str">
        <f t="shared" si="1096"/>
        <v>7</v>
      </c>
      <c r="E4296" s="2" t="str">
        <f>"机电工程学院"</f>
        <v>机电工程学院</v>
      </c>
    </row>
    <row r="4297" ht="13.5" hidden="1" spans="1:5">
      <c r="A4297" s="2" t="str">
        <f>"吕昕恬"</f>
        <v>吕昕恬</v>
      </c>
      <c r="B4297" s="2" t="str">
        <f>"B20230704125"</f>
        <v>B20230704125</v>
      </c>
      <c r="C4297" s="2" t="str">
        <f t="shared" si="1108"/>
        <v>女</v>
      </c>
      <c r="D4297" s="2" t="str">
        <f t="shared" si="1096"/>
        <v>7</v>
      </c>
      <c r="E4297" s="2" t="str">
        <f>"马栏山新媒体学院"</f>
        <v>马栏山新媒体学院</v>
      </c>
    </row>
    <row r="4298" ht="13.5" hidden="1" spans="1:5">
      <c r="A4298" s="2" t="str">
        <f>"薛雅琴"</f>
        <v>薛雅琴</v>
      </c>
      <c r="B4298" s="2" t="str">
        <f>"B20230601406"</f>
        <v>B20230601406</v>
      </c>
      <c r="C4298" s="2" t="str">
        <f t="shared" si="1108"/>
        <v>女</v>
      </c>
      <c r="D4298" s="2" t="str">
        <f t="shared" si="1096"/>
        <v>7</v>
      </c>
      <c r="E4298" s="2" t="str">
        <f>"法学院"</f>
        <v>法学院</v>
      </c>
    </row>
    <row r="4299" customHeight="1" spans="1:5">
      <c r="A4299" s="6" t="str">
        <f>"郑为"</f>
        <v>郑为</v>
      </c>
      <c r="B4299" s="6" t="str">
        <f>"B20210307105"</f>
        <v>B20210307105</v>
      </c>
      <c r="C4299" s="6" t="str">
        <f>"男"</f>
        <v>男</v>
      </c>
      <c r="D4299" s="7" t="str">
        <f>"6"</f>
        <v>6</v>
      </c>
      <c r="E4299" s="6" t="str">
        <f>"计算机科学与工程学院"</f>
        <v>计算机科学与工程学院</v>
      </c>
    </row>
    <row r="4300" ht="13.5" hidden="1" spans="1:5">
      <c r="A4300" s="2" t="str">
        <f>"唐乾雄"</f>
        <v>唐乾雄</v>
      </c>
      <c r="B4300" s="2" t="str">
        <f>"B20230205208"</f>
        <v>B20230205208</v>
      </c>
      <c r="C4300" s="2" t="str">
        <f t="shared" si="1109"/>
        <v>男</v>
      </c>
      <c r="D4300" s="2" t="str">
        <f t="shared" si="1096"/>
        <v>7</v>
      </c>
      <c r="E4300" s="2" t="str">
        <f>"机电工程学院"</f>
        <v>机电工程学院</v>
      </c>
    </row>
    <row r="4301" ht="13.5" hidden="1" spans="1:5">
      <c r="A4301" s="2" t="str">
        <f>"王琦"</f>
        <v>王琦</v>
      </c>
      <c r="B4301" s="2" t="str">
        <f>"B20230904331"</f>
        <v>B20230904331</v>
      </c>
      <c r="C4301" s="2" t="str">
        <f t="shared" ref="C4301:C4304" si="1110">"女"</f>
        <v>女</v>
      </c>
      <c r="D4301" s="2" t="str">
        <f t="shared" si="1096"/>
        <v>7</v>
      </c>
      <c r="E4301" s="2" t="str">
        <f t="shared" ref="E4301:E4305" si="1111">"经济与管理学院"</f>
        <v>经济与管理学院</v>
      </c>
    </row>
    <row r="4302" ht="13.5" hidden="1" spans="1:5">
      <c r="A4302" s="2" t="str">
        <f>"李明洁"</f>
        <v>李明洁</v>
      </c>
      <c r="B4302" s="2" t="str">
        <f>"B20230905221"</f>
        <v>B20230905221</v>
      </c>
      <c r="C4302" s="2" t="str">
        <f t="shared" si="1110"/>
        <v>女</v>
      </c>
      <c r="D4302" s="2" t="str">
        <f t="shared" si="1096"/>
        <v>7</v>
      </c>
      <c r="E4302" s="2" t="str">
        <f t="shared" si="1111"/>
        <v>经济与管理学院</v>
      </c>
    </row>
    <row r="4303" ht="13.5" hidden="1" spans="1:5">
      <c r="A4303" s="2" t="str">
        <f>"李思"</f>
        <v>李思</v>
      </c>
      <c r="B4303" s="2" t="str">
        <f>"B20220504330"</f>
        <v>B20220504330</v>
      </c>
      <c r="C4303" s="2" t="str">
        <f t="shared" si="1110"/>
        <v>女</v>
      </c>
      <c r="D4303" s="2" t="str">
        <f t="shared" ref="D4303:D4366" si="1112">"7"</f>
        <v>7</v>
      </c>
      <c r="E4303" s="2" t="str">
        <f>"生物与化学工程学院"</f>
        <v>生物与化学工程学院</v>
      </c>
    </row>
    <row r="4304" ht="13.5" hidden="1" spans="1:5">
      <c r="A4304" s="2" t="str">
        <f>"王帅颖"</f>
        <v>王帅颖</v>
      </c>
      <c r="B4304" s="2" t="str">
        <f>"B20221002116"</f>
        <v>B20221002116</v>
      </c>
      <c r="C4304" s="2" t="str">
        <f t="shared" si="1110"/>
        <v>女</v>
      </c>
      <c r="D4304" s="2" t="str">
        <f t="shared" si="1112"/>
        <v>7</v>
      </c>
      <c r="E4304" s="2" t="str">
        <f>"艺术设计学院"</f>
        <v>艺术设计学院</v>
      </c>
    </row>
    <row r="4305" ht="13.5" hidden="1" spans="1:5">
      <c r="A4305" s="2" t="str">
        <f>"马世豪"</f>
        <v>马世豪</v>
      </c>
      <c r="B4305" s="2" t="str">
        <f>"B20230902303"</f>
        <v>B20230902303</v>
      </c>
      <c r="C4305" s="2" t="str">
        <f t="shared" ref="C4305:C4313" si="1113">"男"</f>
        <v>男</v>
      </c>
      <c r="D4305" s="2" t="str">
        <f t="shared" si="1112"/>
        <v>7</v>
      </c>
      <c r="E4305" s="2" t="str">
        <f t="shared" si="1111"/>
        <v>经济与管理学院</v>
      </c>
    </row>
    <row r="4306" ht="13.5" hidden="1" spans="1:5">
      <c r="A4306" s="2" t="str">
        <f>"伍玥铢"</f>
        <v>伍玥铢</v>
      </c>
      <c r="B4306" s="2" t="str">
        <f>"B20200801118"</f>
        <v>B20200801118</v>
      </c>
      <c r="C4306" s="2" t="str">
        <f t="shared" ref="C4306:C4309" si="1114">"女"</f>
        <v>女</v>
      </c>
      <c r="D4306" s="2" t="str">
        <f t="shared" si="1112"/>
        <v>7</v>
      </c>
      <c r="E4306" s="2" t="str">
        <f>"外国语学院"</f>
        <v>外国语学院</v>
      </c>
    </row>
    <row r="4307" ht="13.5" hidden="1" spans="1:5">
      <c r="A4307" s="2" t="str">
        <f>"朱营营"</f>
        <v>朱营营</v>
      </c>
      <c r="B4307" s="2" t="str">
        <f>"B20200704419"</f>
        <v>B20200704419</v>
      </c>
      <c r="C4307" s="2" t="str">
        <f t="shared" si="1114"/>
        <v>女</v>
      </c>
      <c r="D4307" s="2" t="str">
        <f t="shared" si="1112"/>
        <v>7</v>
      </c>
      <c r="E4307" s="2" t="str">
        <f>"马栏山新媒体学院"</f>
        <v>马栏山新媒体学院</v>
      </c>
    </row>
    <row r="4308" ht="13.5" hidden="1" spans="1:5">
      <c r="A4308" s="2" t="str">
        <f>"高浩"</f>
        <v>高浩</v>
      </c>
      <c r="B4308" s="2" t="str">
        <f>"B20220403233"</f>
        <v>B20220403233</v>
      </c>
      <c r="C4308" s="2" t="str">
        <f t="shared" si="1113"/>
        <v>男</v>
      </c>
      <c r="D4308" s="2" t="str">
        <f t="shared" si="1112"/>
        <v>7</v>
      </c>
      <c r="E4308" s="2" t="str">
        <f t="shared" ref="E4308:E4312" si="1115">"电子信息与电气工程学院"</f>
        <v>电子信息与电气工程学院</v>
      </c>
    </row>
    <row r="4309" ht="13.5" hidden="1" spans="1:5">
      <c r="A4309" s="2" t="str">
        <f>"杨志琳"</f>
        <v>杨志琳</v>
      </c>
      <c r="B4309" s="2" t="str">
        <f>"B20230405115"</f>
        <v>B20230405115</v>
      </c>
      <c r="C4309" s="2" t="str">
        <f t="shared" si="1114"/>
        <v>女</v>
      </c>
      <c r="D4309" s="2" t="str">
        <f t="shared" si="1112"/>
        <v>7</v>
      </c>
      <c r="E4309" s="2" t="str">
        <f t="shared" si="1115"/>
        <v>电子信息与电气工程学院</v>
      </c>
    </row>
    <row r="4310" customHeight="1" spans="1:5">
      <c r="A4310" s="6" t="str">
        <f>"刘骏"</f>
        <v>刘骏</v>
      </c>
      <c r="B4310" s="6" t="str">
        <f>"B20210307106"</f>
        <v>B20210307106</v>
      </c>
      <c r="C4310" s="6" t="str">
        <f>"男"</f>
        <v>男</v>
      </c>
      <c r="D4310" s="7" t="str">
        <f>"5"</f>
        <v>5</v>
      </c>
      <c r="E4310" s="6" t="str">
        <f>"计算机科学与工程学院"</f>
        <v>计算机科学与工程学院</v>
      </c>
    </row>
    <row r="4311" ht="13.5" hidden="1" spans="1:5">
      <c r="A4311" s="2" t="str">
        <f>"杨英东"</f>
        <v>杨英东</v>
      </c>
      <c r="B4311" s="2" t="str">
        <f>"B20200401210"</f>
        <v>B20200401210</v>
      </c>
      <c r="C4311" s="2" t="str">
        <f t="shared" si="1113"/>
        <v>男</v>
      </c>
      <c r="D4311" s="2" t="str">
        <f t="shared" si="1112"/>
        <v>7</v>
      </c>
      <c r="E4311" s="2" t="str">
        <f t="shared" si="1115"/>
        <v>电子信息与电气工程学院</v>
      </c>
    </row>
    <row r="4312" ht="13.5" hidden="1" spans="1:5">
      <c r="A4312" s="2" t="str">
        <f>"刘杰尧"</f>
        <v>刘杰尧</v>
      </c>
      <c r="B4312" s="2" t="str">
        <f>"B20210402101"</f>
        <v>B20210402101</v>
      </c>
      <c r="C4312" s="2" t="str">
        <f t="shared" si="1113"/>
        <v>男</v>
      </c>
      <c r="D4312" s="2" t="str">
        <f t="shared" si="1112"/>
        <v>7</v>
      </c>
      <c r="E4312" s="2" t="str">
        <f t="shared" si="1115"/>
        <v>电子信息与电气工程学院</v>
      </c>
    </row>
    <row r="4313" ht="13.5" hidden="1" spans="1:5">
      <c r="A4313" s="2" t="str">
        <f>"周星杰"</f>
        <v>周星杰</v>
      </c>
      <c r="B4313" s="2" t="str">
        <f>"B20230902119"</f>
        <v>B20230902119</v>
      </c>
      <c r="C4313" s="2" t="str">
        <f t="shared" si="1113"/>
        <v>男</v>
      </c>
      <c r="D4313" s="2" t="str">
        <f t="shared" si="1112"/>
        <v>7</v>
      </c>
      <c r="E4313" s="2" t="str">
        <f>"经济与管理学院"</f>
        <v>经济与管理学院</v>
      </c>
    </row>
    <row r="4314" ht="13.5" hidden="1" spans="1:5">
      <c r="A4314" s="2" t="str">
        <f>"冯珺"</f>
        <v>冯珺</v>
      </c>
      <c r="B4314" s="2" t="str">
        <f>"B20200701233"</f>
        <v>B20200701233</v>
      </c>
      <c r="C4314" s="2" t="str">
        <f t="shared" ref="C4314:C4318" si="1116">"女"</f>
        <v>女</v>
      </c>
      <c r="D4314" s="2" t="str">
        <f t="shared" si="1112"/>
        <v>7</v>
      </c>
      <c r="E4314" s="2" t="str">
        <f>"马栏山新媒体学院"</f>
        <v>马栏山新媒体学院</v>
      </c>
    </row>
    <row r="4315" ht="13.5" hidden="1" spans="1:5">
      <c r="A4315" s="2" t="str">
        <f>"刘斌"</f>
        <v>刘斌</v>
      </c>
      <c r="B4315" s="2" t="str">
        <f>"B20220501227"</f>
        <v>B20220501227</v>
      </c>
      <c r="C4315" s="2" t="str">
        <f t="shared" ref="C4315:C4323" si="1117">"男"</f>
        <v>男</v>
      </c>
      <c r="D4315" s="2" t="str">
        <f t="shared" si="1112"/>
        <v>7</v>
      </c>
      <c r="E4315" s="2" t="str">
        <f>"生物与化学工程学院"</f>
        <v>生物与化学工程学院</v>
      </c>
    </row>
    <row r="4316" customHeight="1" spans="1:5">
      <c r="A4316" s="6" t="str">
        <f>"段春卫"</f>
        <v>段春卫</v>
      </c>
      <c r="B4316" s="6" t="str">
        <f>"B20210307107"</f>
        <v>B20210307107</v>
      </c>
      <c r="C4316" s="6" t="str">
        <f t="shared" si="1117"/>
        <v>男</v>
      </c>
      <c r="D4316" s="7" t="str">
        <f>"13"</f>
        <v>13</v>
      </c>
      <c r="E4316" s="6" t="str">
        <f>"计算机科学与工程学院"</f>
        <v>计算机科学与工程学院</v>
      </c>
    </row>
    <row r="4317" ht="13.5" hidden="1" spans="1:5">
      <c r="A4317" s="2" t="str">
        <f>"胡蓉"</f>
        <v>胡蓉</v>
      </c>
      <c r="B4317" s="2" t="str">
        <f>"B20220202415"</f>
        <v>B20220202415</v>
      </c>
      <c r="C4317" s="2" t="str">
        <f t="shared" si="1116"/>
        <v>女</v>
      </c>
      <c r="D4317" s="2" t="str">
        <f t="shared" si="1112"/>
        <v>7</v>
      </c>
      <c r="E4317" s="2" t="str">
        <f>"机电工程学院"</f>
        <v>机电工程学院</v>
      </c>
    </row>
    <row r="4318" ht="13.5" hidden="1" spans="1:5">
      <c r="A4318" s="2" t="str">
        <f>"廖思月"</f>
        <v>廖思月</v>
      </c>
      <c r="B4318" s="2" t="str">
        <f>"B20220801121"</f>
        <v>B20220801121</v>
      </c>
      <c r="C4318" s="2" t="str">
        <f t="shared" si="1116"/>
        <v>女</v>
      </c>
      <c r="D4318" s="2" t="str">
        <f t="shared" si="1112"/>
        <v>7</v>
      </c>
      <c r="E4318" s="2" t="str">
        <f>"外国语学院"</f>
        <v>外国语学院</v>
      </c>
    </row>
    <row r="4319" ht="13.5" hidden="1" spans="1:5">
      <c r="A4319" s="2" t="str">
        <f>"朱昱琪"</f>
        <v>朱昱琪</v>
      </c>
      <c r="B4319" s="2" t="str">
        <f>"B20220403117"</f>
        <v>B20220403117</v>
      </c>
      <c r="C4319" s="2" t="str">
        <f t="shared" si="1117"/>
        <v>男</v>
      </c>
      <c r="D4319" s="2" t="str">
        <f t="shared" si="1112"/>
        <v>7</v>
      </c>
      <c r="E4319" s="2" t="str">
        <f>"电子信息与电气工程学院"</f>
        <v>电子信息与电气工程学院</v>
      </c>
    </row>
    <row r="4320" ht="13.5" hidden="1" spans="1:5">
      <c r="A4320" s="2" t="str">
        <f>"师大航"</f>
        <v>师大航</v>
      </c>
      <c r="B4320" s="2" t="str">
        <f>"B20210905105"</f>
        <v>B20210905105</v>
      </c>
      <c r="C4320" s="2" t="str">
        <f t="shared" si="1117"/>
        <v>男</v>
      </c>
      <c r="D4320" s="2" t="str">
        <f t="shared" si="1112"/>
        <v>7</v>
      </c>
      <c r="E4320" s="2" t="str">
        <f t="shared" ref="E4320:E4325" si="1118">"经济与管理学院"</f>
        <v>经济与管理学院</v>
      </c>
    </row>
    <row r="4321" ht="13.5" hidden="1" spans="1:5">
      <c r="A4321" s="2" t="str">
        <f>"陈可京"</f>
        <v>陈可京</v>
      </c>
      <c r="B4321" s="2" t="str">
        <f>"B20230101636"</f>
        <v>B20230101636</v>
      </c>
      <c r="C4321" s="2" t="str">
        <f t="shared" si="1117"/>
        <v>男</v>
      </c>
      <c r="D4321" s="2" t="str">
        <f t="shared" si="1112"/>
        <v>7</v>
      </c>
      <c r="E4321" s="2" t="str">
        <f>"土木工程学院"</f>
        <v>土木工程学院</v>
      </c>
    </row>
    <row r="4322" ht="13.5" hidden="1" spans="1:5">
      <c r="A4322" s="2" t="str">
        <f>"魏健豪"</f>
        <v>魏健豪</v>
      </c>
      <c r="B4322" s="2" t="str">
        <f>"B20230404219"</f>
        <v>B20230404219</v>
      </c>
      <c r="C4322" s="2" t="str">
        <f t="shared" si="1117"/>
        <v>男</v>
      </c>
      <c r="D4322" s="2" t="str">
        <f t="shared" si="1112"/>
        <v>7</v>
      </c>
      <c r="E4322" s="2" t="str">
        <f>"电子信息与电气工程学院"</f>
        <v>电子信息与电气工程学院</v>
      </c>
    </row>
    <row r="4323" ht="13.5" hidden="1" spans="1:5">
      <c r="A4323" s="2" t="str">
        <f>"刘锦宇"</f>
        <v>刘锦宇</v>
      </c>
      <c r="B4323" s="2" t="str">
        <f>"B20230906226"</f>
        <v>B20230906226</v>
      </c>
      <c r="C4323" s="2" t="str">
        <f t="shared" si="1117"/>
        <v>男</v>
      </c>
      <c r="D4323" s="2" t="str">
        <f t="shared" si="1112"/>
        <v>7</v>
      </c>
      <c r="E4323" s="2" t="str">
        <f t="shared" si="1118"/>
        <v>经济与管理学院</v>
      </c>
    </row>
    <row r="4324" ht="13.5" hidden="1" spans="1:5">
      <c r="A4324" s="2" t="str">
        <f>"刘远"</f>
        <v>刘远</v>
      </c>
      <c r="B4324" s="2" t="str">
        <f>"B20210904337"</f>
        <v>B20210904337</v>
      </c>
      <c r="C4324" s="2" t="str">
        <f t="shared" ref="C4324:C4328" si="1119">"女"</f>
        <v>女</v>
      </c>
      <c r="D4324" s="2" t="str">
        <f t="shared" si="1112"/>
        <v>7</v>
      </c>
      <c r="E4324" s="2" t="str">
        <f t="shared" si="1118"/>
        <v>经济与管理学院</v>
      </c>
    </row>
    <row r="4325" ht="13.5" hidden="1" spans="1:5">
      <c r="A4325" s="2" t="str">
        <f>"樊玲"</f>
        <v>樊玲</v>
      </c>
      <c r="B4325" s="2" t="str">
        <f>"B20230903209"</f>
        <v>B20230903209</v>
      </c>
      <c r="C4325" s="2" t="str">
        <f t="shared" si="1119"/>
        <v>女</v>
      </c>
      <c r="D4325" s="2" t="str">
        <f t="shared" si="1112"/>
        <v>7</v>
      </c>
      <c r="E4325" s="2" t="str">
        <f t="shared" si="1118"/>
        <v>经济与管理学院</v>
      </c>
    </row>
    <row r="4326" ht="13.5" hidden="1" spans="1:5">
      <c r="A4326" s="2" t="str">
        <f>"舒星源"</f>
        <v>舒星源</v>
      </c>
      <c r="B4326" s="2" t="str">
        <f>"B20231301114"</f>
        <v>B20231301114</v>
      </c>
      <c r="C4326" s="2" t="str">
        <f t="shared" ref="C4326:C4332" si="1120">"男"</f>
        <v>男</v>
      </c>
      <c r="D4326" s="2" t="str">
        <f t="shared" si="1112"/>
        <v>7</v>
      </c>
      <c r="E4326" s="2" t="str">
        <f>"材料与环境工程学院"</f>
        <v>材料与环境工程学院</v>
      </c>
    </row>
    <row r="4327" customHeight="1" spans="1:5">
      <c r="A4327" s="6" t="str">
        <f>"刘广平"</f>
        <v>刘广平</v>
      </c>
      <c r="B4327" s="6" t="str">
        <f>"B20210307108"</f>
        <v>B20210307108</v>
      </c>
      <c r="C4327" s="6" t="str">
        <f t="shared" si="1120"/>
        <v>男</v>
      </c>
      <c r="D4327" s="7" t="str">
        <f>"2"</f>
        <v>2</v>
      </c>
      <c r="E4327" s="6" t="str">
        <f>"计算机科学与工程学院"</f>
        <v>计算机科学与工程学院</v>
      </c>
    </row>
    <row r="4328" ht="13.5" hidden="1" spans="1:5">
      <c r="A4328" s="2" t="str">
        <f>"林宜霏"</f>
        <v>林宜霏</v>
      </c>
      <c r="B4328" s="2" t="str">
        <f>"B20231001311"</f>
        <v>B20231001311</v>
      </c>
      <c r="C4328" s="2" t="str">
        <f t="shared" si="1119"/>
        <v>女</v>
      </c>
      <c r="D4328" s="2" t="str">
        <f t="shared" si="1112"/>
        <v>7</v>
      </c>
      <c r="E4328" s="2" t="str">
        <f t="shared" ref="E4328:E4333" si="1121">"艺术设计学院"</f>
        <v>艺术设计学院</v>
      </c>
    </row>
    <row r="4329" ht="13.5" hidden="1" spans="1:5">
      <c r="A4329" s="2" t="str">
        <f>"吴昀熹"</f>
        <v>吴昀熹</v>
      </c>
      <c r="B4329" s="2" t="str">
        <f>"B20230703302"</f>
        <v>B20230703302</v>
      </c>
      <c r="C4329" s="2" t="str">
        <f t="shared" si="1120"/>
        <v>男</v>
      </c>
      <c r="D4329" s="2" t="str">
        <f t="shared" si="1112"/>
        <v>7</v>
      </c>
      <c r="E4329" s="2" t="str">
        <f>"马栏山新媒体学院"</f>
        <v>马栏山新媒体学院</v>
      </c>
    </row>
    <row r="4330" ht="13.5" hidden="1" spans="1:5">
      <c r="A4330" s="2" t="str">
        <f>"袁陶然"</f>
        <v>袁陶然</v>
      </c>
      <c r="B4330" s="2" t="str">
        <f>"B20221002120"</f>
        <v>B20221002120</v>
      </c>
      <c r="C4330" s="2" t="str">
        <f t="shared" ref="C4330:C4336" si="1122">"女"</f>
        <v>女</v>
      </c>
      <c r="D4330" s="2" t="str">
        <f t="shared" si="1112"/>
        <v>7</v>
      </c>
      <c r="E4330" s="2" t="str">
        <f t="shared" si="1121"/>
        <v>艺术设计学院</v>
      </c>
    </row>
    <row r="4331" ht="13.5" hidden="1" spans="1:5">
      <c r="A4331" s="2" t="str">
        <f>"徐英凯"</f>
        <v>徐英凯</v>
      </c>
      <c r="B4331" s="2" t="str">
        <f>"B20230501134"</f>
        <v>B20230501134</v>
      </c>
      <c r="C4331" s="2" t="str">
        <f t="shared" si="1120"/>
        <v>男</v>
      </c>
      <c r="D4331" s="2" t="str">
        <f t="shared" si="1112"/>
        <v>7</v>
      </c>
      <c r="E4331" s="2" t="str">
        <f>"生物与化学工程学院"</f>
        <v>生物与化学工程学院</v>
      </c>
    </row>
    <row r="4332" ht="13.5" hidden="1" spans="1:5">
      <c r="A4332" s="2" t="str">
        <f>"左家宏"</f>
        <v>左家宏</v>
      </c>
      <c r="B4332" s="2" t="str">
        <f>"B20230204208"</f>
        <v>B20230204208</v>
      </c>
      <c r="C4332" s="2" t="str">
        <f t="shared" si="1120"/>
        <v>男</v>
      </c>
      <c r="D4332" s="2" t="str">
        <f t="shared" si="1112"/>
        <v>7</v>
      </c>
      <c r="E4332" s="2" t="str">
        <f>"机电工程学院"</f>
        <v>机电工程学院</v>
      </c>
    </row>
    <row r="4333" ht="13.5" hidden="1" spans="1:5">
      <c r="A4333" s="2" t="str">
        <f>"蒋靖涵"</f>
        <v>蒋靖涵</v>
      </c>
      <c r="B4333" s="2" t="str">
        <f>"B20231002102"</f>
        <v>B20231002102</v>
      </c>
      <c r="C4333" s="2" t="str">
        <f t="shared" si="1122"/>
        <v>女</v>
      </c>
      <c r="D4333" s="2" t="str">
        <f t="shared" si="1112"/>
        <v>7</v>
      </c>
      <c r="E4333" s="2" t="str">
        <f t="shared" si="1121"/>
        <v>艺术设计学院</v>
      </c>
    </row>
    <row r="4334" ht="13.5" hidden="1" spans="1:5">
      <c r="A4334" s="2" t="str">
        <f>"张婉贤"</f>
        <v>张婉贤</v>
      </c>
      <c r="B4334" s="2" t="str">
        <f>"B20230904221"</f>
        <v>B20230904221</v>
      </c>
      <c r="C4334" s="2" t="str">
        <f t="shared" si="1122"/>
        <v>女</v>
      </c>
      <c r="D4334" s="2" t="str">
        <f t="shared" si="1112"/>
        <v>7</v>
      </c>
      <c r="E4334" s="2" t="str">
        <f>"经济与管理学院"</f>
        <v>经济与管理学院</v>
      </c>
    </row>
    <row r="4335" customHeight="1" spans="1:5">
      <c r="A4335" s="6" t="str">
        <f>"刘奇"</f>
        <v>刘奇</v>
      </c>
      <c r="B4335" s="6" t="str">
        <f>"B20210307110"</f>
        <v>B20210307110</v>
      </c>
      <c r="C4335" s="6" t="str">
        <f>"男"</f>
        <v>男</v>
      </c>
      <c r="D4335" s="7" t="str">
        <f>"3"</f>
        <v>3</v>
      </c>
      <c r="E4335" s="6" t="str">
        <f>"计算机科学与工程学院"</f>
        <v>计算机科学与工程学院</v>
      </c>
    </row>
    <row r="4336" ht="13.5" hidden="1" spans="1:5">
      <c r="A4336" s="2" t="str">
        <f>"段林林"</f>
        <v>段林林</v>
      </c>
      <c r="B4336" s="2" t="str">
        <f>"B20210103223"</f>
        <v>B20210103223</v>
      </c>
      <c r="C4336" s="2" t="str">
        <f t="shared" si="1122"/>
        <v>女</v>
      </c>
      <c r="D4336" s="2" t="str">
        <f t="shared" si="1112"/>
        <v>7</v>
      </c>
      <c r="E4336" s="2" t="str">
        <f>"土木工程学院"</f>
        <v>土木工程学院</v>
      </c>
    </row>
    <row r="4337" ht="13.5" hidden="1" spans="1:5">
      <c r="A4337" s="2" t="str">
        <f>"董志伟"</f>
        <v>董志伟</v>
      </c>
      <c r="B4337" s="2" t="str">
        <f>"B20210505238"</f>
        <v>B20210505238</v>
      </c>
      <c r="C4337" s="2" t="str">
        <f t="shared" ref="C4337:C4341" si="1123">"男"</f>
        <v>男</v>
      </c>
      <c r="D4337" s="2" t="str">
        <f t="shared" si="1112"/>
        <v>7</v>
      </c>
      <c r="E4337" s="2" t="str">
        <f>"材料与环境工程学院"</f>
        <v>材料与环境工程学院</v>
      </c>
    </row>
    <row r="4338" ht="13.5" hidden="1" spans="1:5">
      <c r="A4338" s="2" t="str">
        <f>"刘珂瑶"</f>
        <v>刘珂瑶</v>
      </c>
      <c r="B4338" s="2" t="str">
        <f>"B20231302216"</f>
        <v>B20231302216</v>
      </c>
      <c r="C4338" s="2" t="str">
        <f>"女"</f>
        <v>女</v>
      </c>
      <c r="D4338" s="2" t="str">
        <f t="shared" si="1112"/>
        <v>7</v>
      </c>
      <c r="E4338" s="2" t="str">
        <f>"材料与环境工程学院"</f>
        <v>材料与环境工程学院</v>
      </c>
    </row>
    <row r="4339" ht="13.5" hidden="1" spans="1:5">
      <c r="A4339" s="2" t="str">
        <f>"刘家兴"</f>
        <v>刘家兴</v>
      </c>
      <c r="B4339" s="2" t="str">
        <f>"B20200802104"</f>
        <v>B20200802104</v>
      </c>
      <c r="C4339" s="2" t="str">
        <f t="shared" si="1123"/>
        <v>男</v>
      </c>
      <c r="D4339" s="2" t="str">
        <f t="shared" si="1112"/>
        <v>7</v>
      </c>
      <c r="E4339" s="2" t="str">
        <f>"外国语学院"</f>
        <v>外国语学院</v>
      </c>
    </row>
    <row r="4340" customHeight="1" spans="1:5">
      <c r="A4340" s="6" t="str">
        <f>"禹林锟"</f>
        <v>禹林锟</v>
      </c>
      <c r="B4340" s="6" t="str">
        <f>"B20210307112"</f>
        <v>B20210307112</v>
      </c>
      <c r="C4340" s="6" t="str">
        <f t="shared" si="1123"/>
        <v>男</v>
      </c>
      <c r="D4340" s="7" t="str">
        <f>"6"</f>
        <v>6</v>
      </c>
      <c r="E4340" s="6" t="str">
        <f>"计算机科学与工程学院"</f>
        <v>计算机科学与工程学院</v>
      </c>
    </row>
    <row r="4341" ht="13.5" hidden="1" spans="1:5">
      <c r="A4341" s="2" t="str">
        <f>"谭怡阳"</f>
        <v>谭怡阳</v>
      </c>
      <c r="B4341" s="2" t="str">
        <f>"B20200201131"</f>
        <v>B20200201131</v>
      </c>
      <c r="C4341" s="2" t="str">
        <f t="shared" si="1123"/>
        <v>男</v>
      </c>
      <c r="D4341" s="2" t="str">
        <f t="shared" si="1112"/>
        <v>7</v>
      </c>
      <c r="E4341" s="2" t="str">
        <f>"机电工程学院"</f>
        <v>机电工程学院</v>
      </c>
    </row>
    <row r="4342" ht="13.5" hidden="1" spans="1:5">
      <c r="A4342" s="2" t="str">
        <f>"卢馨懿"</f>
        <v>卢馨懿</v>
      </c>
      <c r="B4342" s="2" t="str">
        <f>"B20230906216"</f>
        <v>B20230906216</v>
      </c>
      <c r="C4342" s="2" t="str">
        <f t="shared" ref="C4342:C4345" si="1124">"女"</f>
        <v>女</v>
      </c>
      <c r="D4342" s="2" t="str">
        <f t="shared" si="1112"/>
        <v>7</v>
      </c>
      <c r="E4342" s="2" t="str">
        <f>"经济与管理学院"</f>
        <v>经济与管理学院</v>
      </c>
    </row>
    <row r="4343" ht="13.5" hidden="1" spans="1:5">
      <c r="A4343" s="2" t="str">
        <f>"陈振锋"</f>
        <v>陈振锋</v>
      </c>
      <c r="B4343" s="2" t="str">
        <f>"B20230504215"</f>
        <v>B20230504215</v>
      </c>
      <c r="C4343" s="2" t="str">
        <f>"男"</f>
        <v>男</v>
      </c>
      <c r="D4343" s="2" t="str">
        <f t="shared" si="1112"/>
        <v>7</v>
      </c>
      <c r="E4343" s="2" t="str">
        <f t="shared" ref="E4343:E4347" si="1125">"生物与化学工程学院"</f>
        <v>生物与化学工程学院</v>
      </c>
    </row>
    <row r="4344" ht="13.5" hidden="1" spans="1:5">
      <c r="A4344" s="2" t="str">
        <f>"唐恋秋"</f>
        <v>唐恋秋</v>
      </c>
      <c r="B4344" s="2" t="str">
        <f>"B20210901227"</f>
        <v>B20210901227</v>
      </c>
      <c r="C4344" s="2" t="str">
        <f t="shared" si="1124"/>
        <v>女</v>
      </c>
      <c r="D4344" s="2" t="str">
        <f t="shared" si="1112"/>
        <v>7</v>
      </c>
      <c r="E4344" s="2" t="str">
        <f>"经济与管理学院"</f>
        <v>经济与管理学院</v>
      </c>
    </row>
    <row r="4345" customHeight="1" spans="1:5">
      <c r="A4345" s="6" t="str">
        <f>"刘明煜"</f>
        <v>刘明煜</v>
      </c>
      <c r="B4345" s="6" t="str">
        <f>"B20210307114"</f>
        <v>B20210307114</v>
      </c>
      <c r="C4345" s="6" t="str">
        <f>"男"</f>
        <v>男</v>
      </c>
      <c r="D4345" s="7" t="str">
        <f t="shared" si="1112"/>
        <v>7</v>
      </c>
      <c r="E4345" s="6" t="str">
        <f>"计算机科学与工程学院"</f>
        <v>计算机科学与工程学院</v>
      </c>
    </row>
    <row r="4346" ht="13.5" hidden="1" spans="1:5">
      <c r="A4346" s="2" t="str">
        <f>"阳磊"</f>
        <v>阳磊</v>
      </c>
      <c r="B4346" s="2" t="str">
        <f>"B20220502229"</f>
        <v>B20220502229</v>
      </c>
      <c r="C4346" s="2" t="str">
        <f>"男"</f>
        <v>男</v>
      </c>
      <c r="D4346" s="2" t="str">
        <f t="shared" si="1112"/>
        <v>7</v>
      </c>
      <c r="E4346" s="2" t="str">
        <f t="shared" si="1125"/>
        <v>生物与化学工程学院</v>
      </c>
    </row>
    <row r="4347" ht="13.5" hidden="1" spans="1:5">
      <c r="A4347" s="2" t="str">
        <f>"刘米怡"</f>
        <v>刘米怡</v>
      </c>
      <c r="B4347" s="2" t="str">
        <f>"B20220502203"</f>
        <v>B20220502203</v>
      </c>
      <c r="C4347" s="2" t="str">
        <f t="shared" ref="C4347:C4351" si="1126">"女"</f>
        <v>女</v>
      </c>
      <c r="D4347" s="2" t="str">
        <f t="shared" si="1112"/>
        <v>7</v>
      </c>
      <c r="E4347" s="2" t="str">
        <f t="shared" si="1125"/>
        <v>生物与化学工程学院</v>
      </c>
    </row>
    <row r="4348" ht="13.5" hidden="1" spans="1:5">
      <c r="A4348" s="2" t="str">
        <f>"谭欣颖"</f>
        <v>谭欣颖</v>
      </c>
      <c r="B4348" s="2" t="str">
        <f>"B20221101216"</f>
        <v>B20221101216</v>
      </c>
      <c r="C4348" s="2" t="str">
        <f t="shared" si="1126"/>
        <v>女</v>
      </c>
      <c r="D4348" s="2" t="str">
        <f t="shared" si="1112"/>
        <v>7</v>
      </c>
      <c r="E4348" s="2" t="str">
        <f>"音乐学院"</f>
        <v>音乐学院</v>
      </c>
    </row>
    <row r="4349" ht="13.5" hidden="1" spans="1:5">
      <c r="A4349" s="2" t="str">
        <f>"孙睿"</f>
        <v>孙睿</v>
      </c>
      <c r="B4349" s="2" t="str">
        <f>"B20201004213"</f>
        <v>B20201004213</v>
      </c>
      <c r="C4349" s="2" t="str">
        <f t="shared" ref="C4349:C4355" si="1127">"男"</f>
        <v>男</v>
      </c>
      <c r="D4349" s="2" t="str">
        <f t="shared" si="1112"/>
        <v>7</v>
      </c>
      <c r="E4349" s="2" t="str">
        <f>"艺术设计学院"</f>
        <v>艺术设计学院</v>
      </c>
    </row>
    <row r="4350" ht="13.5" hidden="1" spans="1:5">
      <c r="A4350" s="2" t="str">
        <f>"王湘英"</f>
        <v>王湘英</v>
      </c>
      <c r="B4350" s="2" t="str">
        <f>"B20230201417"</f>
        <v>B20230201417</v>
      </c>
      <c r="C4350" s="2" t="str">
        <f t="shared" si="1126"/>
        <v>女</v>
      </c>
      <c r="D4350" s="2" t="str">
        <f t="shared" si="1112"/>
        <v>7</v>
      </c>
      <c r="E4350" s="2" t="str">
        <f>"机电工程学院"</f>
        <v>机电工程学院</v>
      </c>
    </row>
    <row r="4351" ht="13.5" hidden="1" spans="1:5">
      <c r="A4351" s="2" t="str">
        <f>"曾丽媛"</f>
        <v>曾丽媛</v>
      </c>
      <c r="B4351" s="2" t="str">
        <f>"B20210902229"</f>
        <v>B20210902229</v>
      </c>
      <c r="C4351" s="2" t="str">
        <f t="shared" si="1126"/>
        <v>女</v>
      </c>
      <c r="D4351" s="2" t="str">
        <f t="shared" si="1112"/>
        <v>7</v>
      </c>
      <c r="E4351" s="2" t="str">
        <f>"经济与管理学院"</f>
        <v>经济与管理学院</v>
      </c>
    </row>
    <row r="4352" ht="13.5" hidden="1" spans="1:5">
      <c r="A4352" s="2" t="str">
        <f>"肖诚锴"</f>
        <v>肖诚锴</v>
      </c>
      <c r="B4352" s="2" t="str">
        <f>"B20210101515"</f>
        <v>B20210101515</v>
      </c>
      <c r="C4352" s="2" t="str">
        <f t="shared" si="1127"/>
        <v>男</v>
      </c>
      <c r="D4352" s="2" t="str">
        <f t="shared" si="1112"/>
        <v>7</v>
      </c>
      <c r="E4352" s="2" t="str">
        <f>"土木工程学院"</f>
        <v>土木工程学院</v>
      </c>
    </row>
    <row r="4353" ht="13.5" hidden="1" spans="1:5">
      <c r="A4353" s="2" t="str">
        <f>"李琦"</f>
        <v>李琦</v>
      </c>
      <c r="B4353" s="2" t="str">
        <f>"B20220404218"</f>
        <v>B20220404218</v>
      </c>
      <c r="C4353" s="2" t="str">
        <f t="shared" si="1127"/>
        <v>男</v>
      </c>
      <c r="D4353" s="2" t="str">
        <f t="shared" si="1112"/>
        <v>7</v>
      </c>
      <c r="E4353" s="2" t="str">
        <f>"电子信息与电气工程学院"</f>
        <v>电子信息与电气工程学院</v>
      </c>
    </row>
    <row r="4354" ht="13.5" hidden="1" spans="1:5">
      <c r="A4354" s="2" t="str">
        <f>"胡斌诚"</f>
        <v>胡斌诚</v>
      </c>
      <c r="B4354" s="2" t="str">
        <f>"B20220204328"</f>
        <v>B20220204328</v>
      </c>
      <c r="C4354" s="2" t="str">
        <f t="shared" si="1127"/>
        <v>男</v>
      </c>
      <c r="D4354" s="2" t="str">
        <f t="shared" si="1112"/>
        <v>7</v>
      </c>
      <c r="E4354" s="2" t="str">
        <f>"机电工程学院"</f>
        <v>机电工程学院</v>
      </c>
    </row>
    <row r="4355" ht="13.5" hidden="1" spans="1:5">
      <c r="A4355" s="2" t="str">
        <f>"罗逸"</f>
        <v>罗逸</v>
      </c>
      <c r="B4355" s="2" t="str">
        <f>"B20230101427"</f>
        <v>B20230101427</v>
      </c>
      <c r="C4355" s="2" t="str">
        <f t="shared" si="1127"/>
        <v>男</v>
      </c>
      <c r="D4355" s="2" t="str">
        <f t="shared" si="1112"/>
        <v>7</v>
      </c>
      <c r="E4355" s="2" t="str">
        <f>"土木工程学院"</f>
        <v>土木工程学院</v>
      </c>
    </row>
    <row r="4356" ht="13.5" hidden="1" spans="1:5">
      <c r="A4356" s="2" t="str">
        <f>"蒋佳雨"</f>
        <v>蒋佳雨</v>
      </c>
      <c r="B4356" s="2" t="str">
        <f>"B20221001307"</f>
        <v>B20221001307</v>
      </c>
      <c r="C4356" s="2" t="str">
        <f t="shared" ref="C4356:C4362" si="1128">"女"</f>
        <v>女</v>
      </c>
      <c r="D4356" s="2" t="str">
        <f t="shared" si="1112"/>
        <v>7</v>
      </c>
      <c r="E4356" s="2" t="str">
        <f>"艺术设计学院"</f>
        <v>艺术设计学院</v>
      </c>
    </row>
    <row r="4357" ht="13.5" hidden="1" spans="1:5">
      <c r="A4357" s="2" t="str">
        <f>"谭思源"</f>
        <v>谭思源</v>
      </c>
      <c r="B4357" s="2" t="str">
        <f>"B20230901307"</f>
        <v>B20230901307</v>
      </c>
      <c r="C4357" s="2" t="str">
        <f t="shared" ref="C4357:C4360" si="1129">"男"</f>
        <v>男</v>
      </c>
      <c r="D4357" s="2" t="str">
        <f t="shared" si="1112"/>
        <v>7</v>
      </c>
      <c r="E4357" s="2" t="str">
        <f>"经济与管理学院"</f>
        <v>经济与管理学院</v>
      </c>
    </row>
    <row r="4358" ht="13.5" hidden="1" spans="1:5">
      <c r="A4358" s="2" t="str">
        <f>"姜雅腾"</f>
        <v>姜雅腾</v>
      </c>
      <c r="B4358" s="2" t="str">
        <f>"B20230201216"</f>
        <v>B20230201216</v>
      </c>
      <c r="C4358" s="2" t="str">
        <f t="shared" si="1129"/>
        <v>男</v>
      </c>
      <c r="D4358" s="2" t="str">
        <f t="shared" si="1112"/>
        <v>7</v>
      </c>
      <c r="E4358" s="2" t="str">
        <f>"机电工程学院"</f>
        <v>机电工程学院</v>
      </c>
    </row>
    <row r="4359" ht="13.5" hidden="1" spans="1:5">
      <c r="A4359" s="2" t="str">
        <f>"顾雨辰"</f>
        <v>顾雨辰</v>
      </c>
      <c r="B4359" s="2" t="str">
        <f>"B20231003211"</f>
        <v>B20231003211</v>
      </c>
      <c r="C4359" s="2" t="str">
        <f t="shared" si="1128"/>
        <v>女</v>
      </c>
      <c r="D4359" s="2" t="str">
        <f t="shared" si="1112"/>
        <v>7</v>
      </c>
      <c r="E4359" s="2" t="str">
        <f>"艺术设计学院"</f>
        <v>艺术设计学院</v>
      </c>
    </row>
    <row r="4360" ht="13.5" hidden="1" spans="1:5">
      <c r="A4360" s="2" t="str">
        <f>"邓鑫"</f>
        <v>邓鑫</v>
      </c>
      <c r="B4360" s="2" t="str">
        <f>"B20220404217"</f>
        <v>B20220404217</v>
      </c>
      <c r="C4360" s="2" t="str">
        <f t="shared" si="1129"/>
        <v>男</v>
      </c>
      <c r="D4360" s="2" t="str">
        <f t="shared" si="1112"/>
        <v>7</v>
      </c>
      <c r="E4360" s="2" t="str">
        <f>"电子信息与电气工程学院"</f>
        <v>电子信息与电气工程学院</v>
      </c>
    </row>
    <row r="4361" ht="13.5" hidden="1" spans="1:5">
      <c r="A4361" s="2" t="str">
        <f>"顾辰"</f>
        <v>顾辰</v>
      </c>
      <c r="B4361" s="2" t="str">
        <f>"B20230704309"</f>
        <v>B20230704309</v>
      </c>
      <c r="C4361" s="2" t="str">
        <f t="shared" si="1128"/>
        <v>女</v>
      </c>
      <c r="D4361" s="2" t="str">
        <f t="shared" si="1112"/>
        <v>7</v>
      </c>
      <c r="E4361" s="2" t="str">
        <f>"马栏山新媒体学院"</f>
        <v>马栏山新媒体学院</v>
      </c>
    </row>
    <row r="4362" ht="13.5" hidden="1" spans="1:5">
      <c r="A4362" s="2" t="str">
        <f>"张宛莹"</f>
        <v>张宛莹</v>
      </c>
      <c r="B4362" s="2" t="str">
        <f>"B20231001120"</f>
        <v>B20231001120</v>
      </c>
      <c r="C4362" s="2" t="str">
        <f t="shared" si="1128"/>
        <v>女</v>
      </c>
      <c r="D4362" s="2" t="str">
        <f t="shared" si="1112"/>
        <v>7</v>
      </c>
      <c r="E4362" s="2" t="str">
        <f>"艺术设计学院"</f>
        <v>艺术设计学院</v>
      </c>
    </row>
    <row r="4363" ht="13.5" hidden="1" spans="1:5">
      <c r="A4363" s="2" t="str">
        <f>"傅宇豪"</f>
        <v>傅宇豪</v>
      </c>
      <c r="B4363" s="2" t="str">
        <f>"B20210402108"</f>
        <v>B20210402108</v>
      </c>
      <c r="C4363" s="2" t="str">
        <f>"男"</f>
        <v>男</v>
      </c>
      <c r="D4363" s="2" t="str">
        <f t="shared" si="1112"/>
        <v>7</v>
      </c>
      <c r="E4363" s="2" t="str">
        <f>"电子信息与电气工程学院"</f>
        <v>电子信息与电气工程学院</v>
      </c>
    </row>
    <row r="4364" ht="13.5" hidden="1" spans="1:5">
      <c r="A4364" s="2" t="str">
        <f>"周珂璟"</f>
        <v>周珂璟</v>
      </c>
      <c r="B4364" s="2" t="str">
        <f>"B20211101112"</f>
        <v>B20211101112</v>
      </c>
      <c r="C4364" s="2" t="str">
        <f t="shared" ref="C4364:C4368" si="1130">"女"</f>
        <v>女</v>
      </c>
      <c r="D4364" s="2" t="str">
        <f t="shared" si="1112"/>
        <v>7</v>
      </c>
      <c r="E4364" s="2" t="str">
        <f>"音乐学院"</f>
        <v>音乐学院</v>
      </c>
    </row>
    <row r="4365" ht="13.5" hidden="1" spans="1:5">
      <c r="A4365" s="2" t="str">
        <f>"罗力华"</f>
        <v>罗力华</v>
      </c>
      <c r="B4365" s="2" t="str">
        <f>"B20230102229"</f>
        <v>B20230102229</v>
      </c>
      <c r="C4365" s="2" t="str">
        <f>"男"</f>
        <v>男</v>
      </c>
      <c r="D4365" s="2" t="str">
        <f t="shared" si="1112"/>
        <v>7</v>
      </c>
      <c r="E4365" s="2" t="str">
        <f>"土木工程学院"</f>
        <v>土木工程学院</v>
      </c>
    </row>
    <row r="4366" ht="13.5" hidden="1" spans="1:5">
      <c r="A4366" s="2" t="str">
        <f>"申伊瑶"</f>
        <v>申伊瑶</v>
      </c>
      <c r="B4366" s="2" t="str">
        <f>"B20230702105"</f>
        <v>B20230702105</v>
      </c>
      <c r="C4366" s="2" t="str">
        <f t="shared" si="1130"/>
        <v>女</v>
      </c>
      <c r="D4366" s="2" t="str">
        <f t="shared" si="1112"/>
        <v>7</v>
      </c>
      <c r="E4366" s="2" t="str">
        <f>"马栏山新媒体学院"</f>
        <v>马栏山新媒体学院</v>
      </c>
    </row>
    <row r="4367" ht="13.5" hidden="1" spans="1:5">
      <c r="A4367" s="2" t="str">
        <f>"陈煊煊"</f>
        <v>陈煊煊</v>
      </c>
      <c r="B4367" s="2" t="str">
        <f>"B20221002307"</f>
        <v>B20221002307</v>
      </c>
      <c r="C4367" s="2" t="str">
        <f t="shared" si="1130"/>
        <v>女</v>
      </c>
      <c r="D4367" s="2" t="str">
        <f t="shared" ref="D4367:D4430" si="1131">"7"</f>
        <v>7</v>
      </c>
      <c r="E4367" s="2" t="str">
        <f>"艺术设计学院"</f>
        <v>艺术设计学院</v>
      </c>
    </row>
    <row r="4368" customHeight="1" spans="1:5">
      <c r="A4368" s="6" t="str">
        <f>"尹宇伦"</f>
        <v>尹宇伦</v>
      </c>
      <c r="B4368" s="6" t="str">
        <f>"B20210307115"</f>
        <v>B20210307115</v>
      </c>
      <c r="C4368" s="6" t="str">
        <f>"男"</f>
        <v>男</v>
      </c>
      <c r="D4368" s="7" t="str">
        <f>"15"</f>
        <v>15</v>
      </c>
      <c r="E4368" s="6" t="str">
        <f>"计算机科学与工程学院"</f>
        <v>计算机科学与工程学院</v>
      </c>
    </row>
    <row r="4369" ht="13.5" hidden="1" spans="1:5">
      <c r="A4369" s="2" t="str">
        <f>"谢奥扬"</f>
        <v>谢奥扬</v>
      </c>
      <c r="B4369" s="2" t="str">
        <f>"B20221302321"</f>
        <v>B20221302321</v>
      </c>
      <c r="C4369" s="2" t="str">
        <f t="shared" ref="C4369:C4376" si="1132">"男"</f>
        <v>男</v>
      </c>
      <c r="D4369" s="2" t="str">
        <f t="shared" si="1131"/>
        <v>7</v>
      </c>
      <c r="E4369" s="2" t="str">
        <f>"材料与环境工程学院"</f>
        <v>材料与环境工程学院</v>
      </c>
    </row>
    <row r="4370" ht="13.5" hidden="1" spans="1:5">
      <c r="A4370" s="2" t="str">
        <f>"汪娟"</f>
        <v>汪娟</v>
      </c>
      <c r="B4370" s="2" t="str">
        <f>"B20231004106"</f>
        <v>B20231004106</v>
      </c>
      <c r="C4370" s="2" t="str">
        <f>"女"</f>
        <v>女</v>
      </c>
      <c r="D4370" s="2" t="str">
        <f t="shared" si="1131"/>
        <v>7</v>
      </c>
      <c r="E4370" s="2" t="str">
        <f>"艺术设计学院"</f>
        <v>艺术设计学院</v>
      </c>
    </row>
    <row r="4371" ht="13.5" hidden="1" spans="1:5">
      <c r="A4371" s="2" t="str">
        <f>"郭少华"</f>
        <v>郭少华</v>
      </c>
      <c r="B4371" s="2" t="str">
        <f>"B20230701421"</f>
        <v>B20230701421</v>
      </c>
      <c r="C4371" s="2" t="str">
        <f t="shared" si="1132"/>
        <v>男</v>
      </c>
      <c r="D4371" s="2" t="str">
        <f t="shared" si="1131"/>
        <v>7</v>
      </c>
      <c r="E4371" s="2" t="str">
        <f>"马栏山新媒体学院"</f>
        <v>马栏山新媒体学院</v>
      </c>
    </row>
    <row r="4372" ht="13.5" hidden="1" spans="1:5">
      <c r="A4372" s="2" t="str">
        <f>"李双叶荣"</f>
        <v>李双叶荣</v>
      </c>
      <c r="B4372" s="2" t="str">
        <f>"B20210401318"</f>
        <v>B20210401318</v>
      </c>
      <c r="C4372" s="2" t="str">
        <f t="shared" si="1132"/>
        <v>男</v>
      </c>
      <c r="D4372" s="2" t="str">
        <f t="shared" si="1131"/>
        <v>7</v>
      </c>
      <c r="E4372" s="2" t="str">
        <f>"电子信息与电气工程学院"</f>
        <v>电子信息与电气工程学院</v>
      </c>
    </row>
    <row r="4373" ht="13.5" hidden="1" spans="1:5">
      <c r="A4373" s="2" t="str">
        <f>"张镇鹏"</f>
        <v>张镇鹏</v>
      </c>
      <c r="B4373" s="2" t="str">
        <f>"B20220401332"</f>
        <v>B20220401332</v>
      </c>
      <c r="C4373" s="2" t="str">
        <f t="shared" si="1132"/>
        <v>男</v>
      </c>
      <c r="D4373" s="2" t="str">
        <f t="shared" si="1131"/>
        <v>7</v>
      </c>
      <c r="E4373" s="2" t="str">
        <f>"电子信息与电气工程学院"</f>
        <v>电子信息与电气工程学院</v>
      </c>
    </row>
    <row r="4374" ht="13.5" hidden="1" spans="1:5">
      <c r="A4374" s="2" t="str">
        <f>"邓皓宇"</f>
        <v>邓皓宇</v>
      </c>
      <c r="B4374" s="2" t="str">
        <f>"B20230702408"</f>
        <v>B20230702408</v>
      </c>
      <c r="C4374" s="2" t="str">
        <f t="shared" si="1132"/>
        <v>男</v>
      </c>
      <c r="D4374" s="2" t="str">
        <f t="shared" si="1131"/>
        <v>7</v>
      </c>
      <c r="E4374" s="2" t="str">
        <f>"马栏山新媒体学院"</f>
        <v>马栏山新媒体学院</v>
      </c>
    </row>
    <row r="4375" ht="13.5" hidden="1" spans="1:5">
      <c r="A4375" s="2" t="str">
        <f>"杜旭政"</f>
        <v>杜旭政</v>
      </c>
      <c r="B4375" s="2" t="str">
        <f>"B20230101212"</f>
        <v>B20230101212</v>
      </c>
      <c r="C4375" s="2" t="str">
        <f t="shared" si="1132"/>
        <v>男</v>
      </c>
      <c r="D4375" s="2" t="str">
        <f t="shared" si="1131"/>
        <v>7</v>
      </c>
      <c r="E4375" s="2" t="str">
        <f>"土木工程学院"</f>
        <v>土木工程学院</v>
      </c>
    </row>
    <row r="4376" ht="13.5" hidden="1" spans="1:5">
      <c r="A4376" s="2" t="str">
        <f>"龚子富"</f>
        <v>龚子富</v>
      </c>
      <c r="B4376" s="2" t="str">
        <f>"B20230101125"</f>
        <v>B20230101125</v>
      </c>
      <c r="C4376" s="2" t="str">
        <f t="shared" si="1132"/>
        <v>男</v>
      </c>
      <c r="D4376" s="2" t="str">
        <f t="shared" si="1131"/>
        <v>7</v>
      </c>
      <c r="E4376" s="2" t="str">
        <f>"土木工程学院"</f>
        <v>土木工程学院</v>
      </c>
    </row>
    <row r="4377" ht="13.5" hidden="1" spans="1:5">
      <c r="A4377" s="2" t="str">
        <f>"李昭玲"</f>
        <v>李昭玲</v>
      </c>
      <c r="B4377" s="2" t="str">
        <f>"B20210902427"</f>
        <v>B20210902427</v>
      </c>
      <c r="C4377" s="2" t="str">
        <f t="shared" ref="C4377:C4380" si="1133">"女"</f>
        <v>女</v>
      </c>
      <c r="D4377" s="2" t="str">
        <f t="shared" si="1131"/>
        <v>7</v>
      </c>
      <c r="E4377" s="2" t="str">
        <f>"经济与管理学院"</f>
        <v>经济与管理学院</v>
      </c>
    </row>
    <row r="4378" ht="13.5" hidden="1" spans="1:5">
      <c r="A4378" s="2" t="str">
        <f>"周媛"</f>
        <v>周媛</v>
      </c>
      <c r="B4378" s="2" t="str">
        <f>"B20230402228"</f>
        <v>B20230402228</v>
      </c>
      <c r="C4378" s="2" t="str">
        <f t="shared" si="1133"/>
        <v>女</v>
      </c>
      <c r="D4378" s="2" t="str">
        <f t="shared" si="1131"/>
        <v>7</v>
      </c>
      <c r="E4378" s="2" t="str">
        <f>"电子信息与电气工程学院"</f>
        <v>电子信息与电气工程学院</v>
      </c>
    </row>
    <row r="4379" ht="13.5" hidden="1" spans="1:5">
      <c r="A4379" s="2" t="str">
        <f>"杨思俊"</f>
        <v>杨思俊</v>
      </c>
      <c r="B4379" s="2" t="str">
        <f>"B20230201419"</f>
        <v>B20230201419</v>
      </c>
      <c r="C4379" s="2" t="str">
        <f t="shared" ref="C4379:C4382" si="1134">"男"</f>
        <v>男</v>
      </c>
      <c r="D4379" s="2" t="str">
        <f t="shared" si="1131"/>
        <v>7</v>
      </c>
      <c r="E4379" s="2" t="str">
        <f>"机电工程学院"</f>
        <v>机电工程学院</v>
      </c>
    </row>
    <row r="4380" ht="13.5" hidden="1" spans="1:5">
      <c r="A4380" s="2" t="str">
        <f>"甘婷"</f>
        <v>甘婷</v>
      </c>
      <c r="B4380" s="2" t="str">
        <f>"B20220405125"</f>
        <v>B20220405125</v>
      </c>
      <c r="C4380" s="2" t="str">
        <f t="shared" si="1133"/>
        <v>女</v>
      </c>
      <c r="D4380" s="2" t="str">
        <f t="shared" si="1131"/>
        <v>7</v>
      </c>
      <c r="E4380" s="2" t="str">
        <f>"电子信息与电气工程学院"</f>
        <v>电子信息与电气工程学院</v>
      </c>
    </row>
    <row r="4381" customHeight="1" spans="1:5">
      <c r="A4381" s="6" t="str">
        <f>"张皓天"</f>
        <v>张皓天</v>
      </c>
      <c r="B4381" s="6" t="str">
        <f>"B20210307116"</f>
        <v>B20210307116</v>
      </c>
      <c r="C4381" s="6" t="str">
        <f>"男"</f>
        <v>男</v>
      </c>
      <c r="D4381" s="7" t="str">
        <f>"13"</f>
        <v>13</v>
      </c>
      <c r="E4381" s="6" t="str">
        <f>"计算机科学与工程学院"</f>
        <v>计算机科学与工程学院</v>
      </c>
    </row>
    <row r="4382" ht="13.5" hidden="1" spans="1:5">
      <c r="A4382" s="2" t="str">
        <f>"刘思龙"</f>
        <v>刘思龙</v>
      </c>
      <c r="B4382" s="2" t="str">
        <f>"B20210103107"</f>
        <v>B20210103107</v>
      </c>
      <c r="C4382" s="2" t="str">
        <f t="shared" si="1134"/>
        <v>男</v>
      </c>
      <c r="D4382" s="2" t="str">
        <f t="shared" si="1131"/>
        <v>7</v>
      </c>
      <c r="E4382" s="2" t="str">
        <f>"土木工程学院"</f>
        <v>土木工程学院</v>
      </c>
    </row>
    <row r="4383" ht="13.5" hidden="1" spans="1:5">
      <c r="A4383" s="2" t="str">
        <f>"王思宇"</f>
        <v>王思宇</v>
      </c>
      <c r="B4383" s="2" t="str">
        <f>"B20220702221"</f>
        <v>B20220702221</v>
      </c>
      <c r="C4383" s="2" t="str">
        <f t="shared" ref="C4383:C4388" si="1135">"女"</f>
        <v>女</v>
      </c>
      <c r="D4383" s="2" t="str">
        <f t="shared" si="1131"/>
        <v>7</v>
      </c>
      <c r="E4383" s="2" t="str">
        <f>"马栏山新媒体学院"</f>
        <v>马栏山新媒体学院</v>
      </c>
    </row>
    <row r="4384" ht="13.5" hidden="1" spans="1:5">
      <c r="A4384" s="2" t="str">
        <f>"蒋金花"</f>
        <v>蒋金花</v>
      </c>
      <c r="B4384" s="2" t="str">
        <f>"B20210902125"</f>
        <v>B20210902125</v>
      </c>
      <c r="C4384" s="2" t="str">
        <f t="shared" si="1135"/>
        <v>女</v>
      </c>
      <c r="D4384" s="2" t="str">
        <f t="shared" si="1131"/>
        <v>7</v>
      </c>
      <c r="E4384" s="2" t="str">
        <f>"经济与管理学院"</f>
        <v>经济与管理学院</v>
      </c>
    </row>
    <row r="4385" ht="13.5" hidden="1" spans="1:5">
      <c r="A4385" s="2" t="str">
        <f>"李雨洋"</f>
        <v>李雨洋</v>
      </c>
      <c r="B4385" s="2" t="str">
        <f>"B20230204230"</f>
        <v>B20230204230</v>
      </c>
      <c r="C4385" s="2" t="str">
        <f t="shared" ref="C4385:C4387" si="1136">"男"</f>
        <v>男</v>
      </c>
      <c r="D4385" s="2" t="str">
        <f t="shared" si="1131"/>
        <v>7</v>
      </c>
      <c r="E4385" s="2" t="str">
        <f>"机电工程学院"</f>
        <v>机电工程学院</v>
      </c>
    </row>
    <row r="4386" customHeight="1" spans="1:5">
      <c r="A4386" s="6" t="str">
        <f>"叶鑫隆"</f>
        <v>叶鑫隆</v>
      </c>
      <c r="B4386" s="6" t="str">
        <f>"B20210307117"</f>
        <v>B20210307117</v>
      </c>
      <c r="C4386" s="6" t="str">
        <f t="shared" si="1136"/>
        <v>男</v>
      </c>
      <c r="D4386" s="7" t="str">
        <f>"8"</f>
        <v>8</v>
      </c>
      <c r="E4386" s="6" t="str">
        <f>"计算机科学与工程学院"</f>
        <v>计算机科学与工程学院</v>
      </c>
    </row>
    <row r="4387" ht="13.5" hidden="1" spans="1:5">
      <c r="A4387" s="2" t="str">
        <f>"谢斌"</f>
        <v>谢斌</v>
      </c>
      <c r="B4387" s="2" t="str">
        <f>"B20210405122"</f>
        <v>B20210405122</v>
      </c>
      <c r="C4387" s="2" t="str">
        <f t="shared" si="1136"/>
        <v>男</v>
      </c>
      <c r="D4387" s="2" t="str">
        <f t="shared" si="1131"/>
        <v>7</v>
      </c>
      <c r="E4387" s="2" t="str">
        <f>"电子信息与电气工程学院"</f>
        <v>电子信息与电气工程学院</v>
      </c>
    </row>
    <row r="4388" ht="13.5" hidden="1" spans="1:5">
      <c r="A4388" s="2" t="str">
        <f>"王诗雨"</f>
        <v>王诗雨</v>
      </c>
      <c r="B4388" s="2" t="str">
        <f>"B20230901132"</f>
        <v>B20230901132</v>
      </c>
      <c r="C4388" s="2" t="str">
        <f t="shared" si="1135"/>
        <v>女</v>
      </c>
      <c r="D4388" s="2" t="str">
        <f t="shared" si="1131"/>
        <v>7</v>
      </c>
      <c r="E4388" s="2" t="str">
        <f>"经济与管理学院"</f>
        <v>经济与管理学院</v>
      </c>
    </row>
    <row r="4389" ht="13.5" hidden="1" spans="1:5">
      <c r="A4389" s="2" t="str">
        <f>"陈奕玮"</f>
        <v>陈奕玮</v>
      </c>
      <c r="B4389" s="2" t="str">
        <f>"B20230702312"</f>
        <v>B20230702312</v>
      </c>
      <c r="C4389" s="2" t="str">
        <f t="shared" ref="C4389:C4394" si="1137">"男"</f>
        <v>男</v>
      </c>
      <c r="D4389" s="2" t="str">
        <f t="shared" si="1131"/>
        <v>7</v>
      </c>
      <c r="E4389" s="2" t="str">
        <f>"马栏山新媒体学院"</f>
        <v>马栏山新媒体学院</v>
      </c>
    </row>
    <row r="4390" ht="13.5" hidden="1" spans="1:5">
      <c r="A4390" s="2" t="str">
        <f>"刘淑萍"</f>
        <v>刘淑萍</v>
      </c>
      <c r="B4390" s="2" t="str">
        <f>"B20230902331"</f>
        <v>B20230902331</v>
      </c>
      <c r="C4390" s="2" t="str">
        <f>"女"</f>
        <v>女</v>
      </c>
      <c r="D4390" s="2" t="str">
        <f t="shared" si="1131"/>
        <v>7</v>
      </c>
      <c r="E4390" s="2" t="str">
        <f>"经济与管理学院"</f>
        <v>经济与管理学院</v>
      </c>
    </row>
    <row r="4391" ht="13.5" hidden="1" spans="1:5">
      <c r="A4391" s="2" t="str">
        <f>"刘颂献"</f>
        <v>刘颂献</v>
      </c>
      <c r="B4391" s="2" t="str">
        <f>"B20230201312"</f>
        <v>B20230201312</v>
      </c>
      <c r="C4391" s="2" t="str">
        <f t="shared" si="1137"/>
        <v>男</v>
      </c>
      <c r="D4391" s="2" t="str">
        <f t="shared" si="1131"/>
        <v>7</v>
      </c>
      <c r="E4391" s="2" t="str">
        <f t="shared" ref="E4391:E4395" si="1138">"机电工程学院"</f>
        <v>机电工程学院</v>
      </c>
    </row>
    <row r="4392" ht="13.5" hidden="1" spans="1:5">
      <c r="A4392" s="2" t="str">
        <f>"李瑞佳"</f>
        <v>李瑞佳</v>
      </c>
      <c r="B4392" s="2" t="str">
        <f>"B20230201315"</f>
        <v>B20230201315</v>
      </c>
      <c r="C4392" s="2" t="str">
        <f t="shared" si="1137"/>
        <v>男</v>
      </c>
      <c r="D4392" s="2" t="str">
        <f t="shared" si="1131"/>
        <v>7</v>
      </c>
      <c r="E4392" s="2" t="str">
        <f t="shared" si="1138"/>
        <v>机电工程学院</v>
      </c>
    </row>
    <row r="4393" ht="13.5" hidden="1" spans="1:5">
      <c r="A4393" s="2" t="str">
        <f>"魏有富"</f>
        <v>魏有富</v>
      </c>
      <c r="B4393" s="2" t="str">
        <f>"B20230101602"</f>
        <v>B20230101602</v>
      </c>
      <c r="C4393" s="2" t="str">
        <f t="shared" si="1137"/>
        <v>男</v>
      </c>
      <c r="D4393" s="2" t="str">
        <f t="shared" si="1131"/>
        <v>7</v>
      </c>
      <c r="E4393" s="2" t="str">
        <f t="shared" ref="E4393:E4398" si="1139">"土木工程学院"</f>
        <v>土木工程学院</v>
      </c>
    </row>
    <row r="4394" ht="13.5" hidden="1" spans="1:5">
      <c r="A4394" s="2" t="str">
        <f>"秦志明"</f>
        <v>秦志明</v>
      </c>
      <c r="B4394" s="2" t="str">
        <f>"B20200903103"</f>
        <v>B20200903103</v>
      </c>
      <c r="C4394" s="2" t="str">
        <f t="shared" si="1137"/>
        <v>男</v>
      </c>
      <c r="D4394" s="2" t="str">
        <f t="shared" si="1131"/>
        <v>7</v>
      </c>
      <c r="E4394" s="2" t="str">
        <f>"经济与管理学院"</f>
        <v>经济与管理学院</v>
      </c>
    </row>
    <row r="4395" ht="13.5" hidden="1" spans="1:5">
      <c r="A4395" s="2" t="str">
        <f>"周紫依"</f>
        <v>周紫依</v>
      </c>
      <c r="B4395" s="2" t="str">
        <f>"B20230201114"</f>
        <v>B20230201114</v>
      </c>
      <c r="C4395" s="2" t="str">
        <f>"女"</f>
        <v>女</v>
      </c>
      <c r="D4395" s="2" t="str">
        <f t="shared" si="1131"/>
        <v>7</v>
      </c>
      <c r="E4395" s="2" t="str">
        <f t="shared" si="1138"/>
        <v>机电工程学院</v>
      </c>
    </row>
    <row r="4396" ht="13.5" hidden="1" spans="1:5">
      <c r="A4396" s="2" t="str">
        <f>"唐石林"</f>
        <v>唐石林</v>
      </c>
      <c r="B4396" s="2" t="str">
        <f>"B20230101601"</f>
        <v>B20230101601</v>
      </c>
      <c r="C4396" s="2" t="str">
        <f t="shared" ref="C4396:C4400" si="1140">"男"</f>
        <v>男</v>
      </c>
      <c r="D4396" s="2" t="str">
        <f t="shared" si="1131"/>
        <v>7</v>
      </c>
      <c r="E4396" s="2" t="str">
        <f t="shared" si="1139"/>
        <v>土木工程学院</v>
      </c>
    </row>
    <row r="4397" ht="13.5" hidden="1" spans="1:5">
      <c r="A4397" s="2" t="str">
        <f>"郑微"</f>
        <v>郑微</v>
      </c>
      <c r="B4397" s="2" t="str">
        <f>"B20221003224"</f>
        <v>B20221003224</v>
      </c>
      <c r="C4397" s="2" t="str">
        <f>"女"</f>
        <v>女</v>
      </c>
      <c r="D4397" s="2" t="str">
        <f t="shared" si="1131"/>
        <v>7</v>
      </c>
      <c r="E4397" s="2" t="str">
        <f>"艺术设计学院"</f>
        <v>艺术设计学院</v>
      </c>
    </row>
    <row r="4398" ht="13.5" hidden="1" spans="1:5">
      <c r="A4398" s="2" t="str">
        <f>"张俊杰"</f>
        <v>张俊杰</v>
      </c>
      <c r="B4398" s="2" t="str">
        <f>"B20230104118"</f>
        <v>B20230104118</v>
      </c>
      <c r="C4398" s="2" t="str">
        <f t="shared" si="1140"/>
        <v>男</v>
      </c>
      <c r="D4398" s="2" t="str">
        <f t="shared" si="1131"/>
        <v>7</v>
      </c>
      <c r="E4398" s="2" t="str">
        <f t="shared" si="1139"/>
        <v>土木工程学院</v>
      </c>
    </row>
    <row r="4399" ht="13.5" hidden="1" spans="1:5">
      <c r="A4399" s="2" t="str">
        <f>"石凯"</f>
        <v>石凯</v>
      </c>
      <c r="B4399" s="2" t="str">
        <f>"B20210902325"</f>
        <v>B20210902325</v>
      </c>
      <c r="C4399" s="2" t="str">
        <f t="shared" si="1140"/>
        <v>男</v>
      </c>
      <c r="D4399" s="2" t="str">
        <f t="shared" si="1131"/>
        <v>7</v>
      </c>
      <c r="E4399" s="2" t="str">
        <f>"经济与管理学院"</f>
        <v>经济与管理学院</v>
      </c>
    </row>
    <row r="4400" ht="13.5" hidden="1" spans="1:5">
      <c r="A4400" s="2" t="str">
        <f>"成靖"</f>
        <v>成靖</v>
      </c>
      <c r="B4400" s="2" t="str">
        <f>"B20230601517"</f>
        <v>B20230601517</v>
      </c>
      <c r="C4400" s="2" t="str">
        <f t="shared" si="1140"/>
        <v>男</v>
      </c>
      <c r="D4400" s="2" t="str">
        <f t="shared" si="1131"/>
        <v>7</v>
      </c>
      <c r="E4400" s="2" t="str">
        <f>"法学院"</f>
        <v>法学院</v>
      </c>
    </row>
    <row r="4401" ht="13.5" hidden="1" spans="1:5">
      <c r="A4401" s="2" t="str">
        <f>"谭海芳"</f>
        <v>谭海芳</v>
      </c>
      <c r="B4401" s="2" t="str">
        <f>"B20220902125"</f>
        <v>B20220902125</v>
      </c>
      <c r="C4401" s="2" t="str">
        <f t="shared" ref="C4401:C4409" si="1141">"女"</f>
        <v>女</v>
      </c>
      <c r="D4401" s="2" t="str">
        <f t="shared" si="1131"/>
        <v>7</v>
      </c>
      <c r="E4401" s="2" t="str">
        <f>"经济与管理学院"</f>
        <v>经济与管理学院</v>
      </c>
    </row>
    <row r="4402" ht="13.5" hidden="1" spans="1:5">
      <c r="A4402" s="2" t="str">
        <f>"李旅舟"</f>
        <v>李旅舟</v>
      </c>
      <c r="B4402" s="2" t="str">
        <f>"B20230701402"</f>
        <v>B20230701402</v>
      </c>
      <c r="C4402" s="2" t="str">
        <f t="shared" ref="C4402:C4405" si="1142">"男"</f>
        <v>男</v>
      </c>
      <c r="D4402" s="2" t="str">
        <f t="shared" si="1131"/>
        <v>7</v>
      </c>
      <c r="E4402" s="2" t="str">
        <f t="shared" ref="E4402:E4407" si="1143">"马栏山新媒体学院"</f>
        <v>马栏山新媒体学院</v>
      </c>
    </row>
    <row r="4403" ht="13.5" hidden="1" spans="1:5">
      <c r="A4403" s="2" t="str">
        <f>"刘诗卓"</f>
        <v>刘诗卓</v>
      </c>
      <c r="B4403" s="2" t="str">
        <f>"B20220405133"</f>
        <v>B20220405133</v>
      </c>
      <c r="C4403" s="2" t="str">
        <f t="shared" si="1141"/>
        <v>女</v>
      </c>
      <c r="D4403" s="2" t="str">
        <f t="shared" si="1131"/>
        <v>7</v>
      </c>
      <c r="E4403" s="2" t="str">
        <f>"电子信息与电气工程学院"</f>
        <v>电子信息与电气工程学院</v>
      </c>
    </row>
    <row r="4404" ht="13.5" hidden="1" spans="1:5">
      <c r="A4404" s="2" t="str">
        <f>"吴乐彬"</f>
        <v>吴乐彬</v>
      </c>
      <c r="B4404" s="2" t="str">
        <f>"B20220101127"</f>
        <v>B20220101127</v>
      </c>
      <c r="C4404" s="2" t="str">
        <f t="shared" si="1142"/>
        <v>男</v>
      </c>
      <c r="D4404" s="2" t="str">
        <f t="shared" si="1131"/>
        <v>7</v>
      </c>
      <c r="E4404" s="2" t="str">
        <f>"土木工程学院"</f>
        <v>土木工程学院</v>
      </c>
    </row>
    <row r="4405" ht="13.5" hidden="1" spans="1:5">
      <c r="A4405" s="2" t="str">
        <f>"陈子彦"</f>
        <v>陈子彦</v>
      </c>
      <c r="B4405" s="2" t="str">
        <f>"B20230204106"</f>
        <v>B20230204106</v>
      </c>
      <c r="C4405" s="2" t="str">
        <f t="shared" si="1142"/>
        <v>男</v>
      </c>
      <c r="D4405" s="2" t="str">
        <f t="shared" si="1131"/>
        <v>7</v>
      </c>
      <c r="E4405" s="2" t="str">
        <f>"机电工程学院"</f>
        <v>机电工程学院</v>
      </c>
    </row>
    <row r="4406" ht="13.5" hidden="1" spans="1:5">
      <c r="A4406" s="2" t="str">
        <f>"李长隶"</f>
        <v>李长隶</v>
      </c>
      <c r="B4406" s="2" t="str">
        <f>"B20230704305"</f>
        <v>B20230704305</v>
      </c>
      <c r="C4406" s="2" t="str">
        <f t="shared" si="1141"/>
        <v>女</v>
      </c>
      <c r="D4406" s="2" t="str">
        <f t="shared" si="1131"/>
        <v>7</v>
      </c>
      <c r="E4406" s="2" t="str">
        <f t="shared" si="1143"/>
        <v>马栏山新媒体学院</v>
      </c>
    </row>
    <row r="4407" ht="13.5" hidden="1" spans="1:5">
      <c r="A4407" s="2" t="str">
        <f>"李佳敏"</f>
        <v>李佳敏</v>
      </c>
      <c r="B4407" s="2" t="str">
        <f>"B20230702325"</f>
        <v>B20230702325</v>
      </c>
      <c r="C4407" s="2" t="str">
        <f t="shared" si="1141"/>
        <v>女</v>
      </c>
      <c r="D4407" s="2" t="str">
        <f t="shared" si="1131"/>
        <v>7</v>
      </c>
      <c r="E4407" s="2" t="str">
        <f t="shared" si="1143"/>
        <v>马栏山新媒体学院</v>
      </c>
    </row>
    <row r="4408" ht="13.5" hidden="1" spans="1:5">
      <c r="A4408" s="2" t="str">
        <f>"陈琳馨"</f>
        <v>陈琳馨</v>
      </c>
      <c r="B4408" s="2" t="str">
        <f>"B20220504316"</f>
        <v>B20220504316</v>
      </c>
      <c r="C4408" s="2" t="str">
        <f t="shared" si="1141"/>
        <v>女</v>
      </c>
      <c r="D4408" s="2" t="str">
        <f t="shared" si="1131"/>
        <v>7</v>
      </c>
      <c r="E4408" s="2" t="str">
        <f>"生物与化学工程学院"</f>
        <v>生物与化学工程学院</v>
      </c>
    </row>
    <row r="4409" ht="13.5" hidden="1" spans="1:5">
      <c r="A4409" s="2" t="str">
        <f>"张登清"</f>
        <v>张登清</v>
      </c>
      <c r="B4409" s="2" t="str">
        <f>"B20210901132"</f>
        <v>B20210901132</v>
      </c>
      <c r="C4409" s="2" t="str">
        <f t="shared" si="1141"/>
        <v>女</v>
      </c>
      <c r="D4409" s="2" t="str">
        <f t="shared" si="1131"/>
        <v>7</v>
      </c>
      <c r="E4409" s="2" t="str">
        <f>"经济与管理学院"</f>
        <v>经济与管理学院</v>
      </c>
    </row>
    <row r="4410" ht="13.5" hidden="1" spans="1:5">
      <c r="A4410" s="2" t="str">
        <f>"胡皓然"</f>
        <v>胡皓然</v>
      </c>
      <c r="B4410" s="2" t="str">
        <f>"B20220901113"</f>
        <v>B20220901113</v>
      </c>
      <c r="C4410" s="2" t="str">
        <f t="shared" ref="C4410:C4413" si="1144">"男"</f>
        <v>男</v>
      </c>
      <c r="D4410" s="2" t="str">
        <f t="shared" si="1131"/>
        <v>7</v>
      </c>
      <c r="E4410" s="2" t="str">
        <f>"经济与管理学院"</f>
        <v>经济与管理学院</v>
      </c>
    </row>
    <row r="4411" ht="13.5" hidden="1" spans="1:5">
      <c r="A4411" s="2" t="str">
        <f>"林娟泽"</f>
        <v>林娟泽</v>
      </c>
      <c r="B4411" s="2" t="str">
        <f>"B20230103230"</f>
        <v>B20230103230</v>
      </c>
      <c r="C4411" s="2" t="str">
        <f>"女"</f>
        <v>女</v>
      </c>
      <c r="D4411" s="2" t="str">
        <f t="shared" si="1131"/>
        <v>7</v>
      </c>
      <c r="E4411" s="2" t="str">
        <f t="shared" ref="E4411:E4415" si="1145">"土木工程学院"</f>
        <v>土木工程学院</v>
      </c>
    </row>
    <row r="4412" ht="13.5" hidden="1" spans="1:5">
      <c r="A4412" s="2" t="str">
        <f>"杨小增"</f>
        <v>杨小增</v>
      </c>
      <c r="B4412" s="2" t="str">
        <f>"B20220201222"</f>
        <v>B20220201222</v>
      </c>
      <c r="C4412" s="2" t="str">
        <f t="shared" si="1144"/>
        <v>男</v>
      </c>
      <c r="D4412" s="2" t="str">
        <f t="shared" si="1131"/>
        <v>7</v>
      </c>
      <c r="E4412" s="2" t="str">
        <f>"机电工程学院"</f>
        <v>机电工程学院</v>
      </c>
    </row>
    <row r="4413" ht="13.5" hidden="1" spans="1:5">
      <c r="A4413" s="2" t="str">
        <f>"刘鑫"</f>
        <v>刘鑫</v>
      </c>
      <c r="B4413" s="2" t="str">
        <f>"B20200101220"</f>
        <v>B20200101220</v>
      </c>
      <c r="C4413" s="2" t="str">
        <f t="shared" si="1144"/>
        <v>男</v>
      </c>
      <c r="D4413" s="2" t="str">
        <f t="shared" si="1131"/>
        <v>7</v>
      </c>
      <c r="E4413" s="2" t="str">
        <f t="shared" si="1145"/>
        <v>土木工程学院</v>
      </c>
    </row>
    <row r="4414" ht="13.5" hidden="1" spans="1:5">
      <c r="A4414" s="2" t="str">
        <f>"唐馨"</f>
        <v>唐馨</v>
      </c>
      <c r="B4414" s="2" t="str">
        <f>"B20210704107"</f>
        <v>B20210704107</v>
      </c>
      <c r="C4414" s="2" t="str">
        <f>"女"</f>
        <v>女</v>
      </c>
      <c r="D4414" s="2" t="str">
        <f t="shared" si="1131"/>
        <v>7</v>
      </c>
      <c r="E4414" s="2" t="str">
        <f>"马栏山新媒体学院"</f>
        <v>马栏山新媒体学院</v>
      </c>
    </row>
    <row r="4415" ht="13.5" hidden="1" spans="1:5">
      <c r="A4415" s="2" t="str">
        <f>"唐坚"</f>
        <v>唐坚</v>
      </c>
      <c r="B4415" s="2" t="str">
        <f>"B20200104105"</f>
        <v>B20200104105</v>
      </c>
      <c r="C4415" s="2" t="str">
        <f t="shared" ref="C4415:C4420" si="1146">"男"</f>
        <v>男</v>
      </c>
      <c r="D4415" s="2" t="str">
        <f t="shared" si="1131"/>
        <v>7</v>
      </c>
      <c r="E4415" s="2" t="str">
        <f t="shared" si="1145"/>
        <v>土木工程学院</v>
      </c>
    </row>
    <row r="4416" ht="13.5" hidden="1" spans="1:5">
      <c r="A4416" s="2" t="str">
        <f>"李杰轩"</f>
        <v>李杰轩</v>
      </c>
      <c r="B4416" s="2" t="str">
        <f>"B20220405127"</f>
        <v>B20220405127</v>
      </c>
      <c r="C4416" s="2" t="str">
        <f t="shared" si="1146"/>
        <v>男</v>
      </c>
      <c r="D4416" s="2" t="str">
        <f t="shared" si="1131"/>
        <v>7</v>
      </c>
      <c r="E4416" s="2" t="str">
        <f>"电子信息与电气工程学院"</f>
        <v>电子信息与电气工程学院</v>
      </c>
    </row>
    <row r="4417" ht="13.5" hidden="1" spans="1:5">
      <c r="A4417" s="2" t="str">
        <f>"陈雨梦"</f>
        <v>陈雨梦</v>
      </c>
      <c r="B4417" s="2" t="str">
        <f>"B20210801623"</f>
        <v>B20210801623</v>
      </c>
      <c r="C4417" s="2" t="str">
        <f t="shared" ref="C4417:C4423" si="1147">"女"</f>
        <v>女</v>
      </c>
      <c r="D4417" s="2" t="str">
        <f t="shared" si="1131"/>
        <v>7</v>
      </c>
      <c r="E4417" s="2" t="str">
        <f>"外国语学院"</f>
        <v>外国语学院</v>
      </c>
    </row>
    <row r="4418" customHeight="1" spans="1:5">
      <c r="A4418" s="6" t="str">
        <f>"谢文杰"</f>
        <v>谢文杰</v>
      </c>
      <c r="B4418" s="6" t="str">
        <f>"B20210307118"</f>
        <v>B20210307118</v>
      </c>
      <c r="C4418" s="6" t="str">
        <f>"男"</f>
        <v>男</v>
      </c>
      <c r="D4418" s="7" t="str">
        <f>"8"</f>
        <v>8</v>
      </c>
      <c r="E4418" s="6" t="str">
        <f>"计算机科学与工程学院"</f>
        <v>计算机科学与工程学院</v>
      </c>
    </row>
    <row r="4419" ht="13.5" hidden="1" spans="1:5">
      <c r="A4419" s="2" t="str">
        <f>"潘德强"</f>
        <v>潘德强</v>
      </c>
      <c r="B4419" s="2" t="str">
        <f>"B20210204107"</f>
        <v>B20210204107</v>
      </c>
      <c r="C4419" s="2" t="str">
        <f t="shared" si="1146"/>
        <v>男</v>
      </c>
      <c r="D4419" s="2" t="str">
        <f t="shared" si="1131"/>
        <v>7</v>
      </c>
      <c r="E4419" s="2" t="str">
        <f>"机电工程学院"</f>
        <v>机电工程学院</v>
      </c>
    </row>
    <row r="4420" ht="13.5" hidden="1" spans="1:5">
      <c r="A4420" s="2" t="str">
        <f>"杨东欣"</f>
        <v>杨东欣</v>
      </c>
      <c r="B4420" s="2" t="str">
        <f>"B20220403329"</f>
        <v>B20220403329</v>
      </c>
      <c r="C4420" s="2" t="str">
        <f t="shared" si="1146"/>
        <v>男</v>
      </c>
      <c r="D4420" s="2" t="str">
        <f t="shared" si="1131"/>
        <v>7</v>
      </c>
      <c r="E4420" s="2" t="str">
        <f>"电子信息与电气工程学院"</f>
        <v>电子信息与电气工程学院</v>
      </c>
    </row>
    <row r="4421" ht="13.5" hidden="1" spans="1:5">
      <c r="A4421" s="2" t="str">
        <f>"陈雨欣"</f>
        <v>陈雨欣</v>
      </c>
      <c r="B4421" s="2" t="str">
        <f>"B20220802226"</f>
        <v>B20220802226</v>
      </c>
      <c r="C4421" s="2" t="str">
        <f t="shared" si="1147"/>
        <v>女</v>
      </c>
      <c r="D4421" s="2" t="str">
        <f t="shared" si="1131"/>
        <v>7</v>
      </c>
      <c r="E4421" s="2" t="str">
        <f>"外国语学院"</f>
        <v>外国语学院</v>
      </c>
    </row>
    <row r="4422" ht="13.5" hidden="1" spans="1:5">
      <c r="A4422" s="2" t="str">
        <f>"王苗苗"</f>
        <v>王苗苗</v>
      </c>
      <c r="B4422" s="2" t="str">
        <f>"B20230906107"</f>
        <v>B20230906107</v>
      </c>
      <c r="C4422" s="2" t="str">
        <f t="shared" si="1147"/>
        <v>女</v>
      </c>
      <c r="D4422" s="2" t="str">
        <f t="shared" si="1131"/>
        <v>7</v>
      </c>
      <c r="E4422" s="2" t="str">
        <f>"经济与管理学院"</f>
        <v>经济与管理学院</v>
      </c>
    </row>
    <row r="4423" customHeight="1" spans="1:5">
      <c r="A4423" s="6" t="str">
        <f>"罗治中"</f>
        <v>罗治中</v>
      </c>
      <c r="B4423" s="6" t="str">
        <f>"B20210307119"</f>
        <v>B20210307119</v>
      </c>
      <c r="C4423" s="6" t="str">
        <f>"男"</f>
        <v>男</v>
      </c>
      <c r="D4423" s="7" t="str">
        <f>"8"</f>
        <v>8</v>
      </c>
      <c r="E4423" s="6" t="str">
        <f>"计算机科学与工程学院"</f>
        <v>计算机科学与工程学院</v>
      </c>
    </row>
    <row r="4424" ht="13.5" hidden="1" spans="1:5">
      <c r="A4424" s="2" t="str">
        <f>"潘立敏"</f>
        <v>潘立敏</v>
      </c>
      <c r="B4424" s="2" t="str">
        <f>"B20230204231"</f>
        <v>B20230204231</v>
      </c>
      <c r="C4424" s="2" t="str">
        <f t="shared" ref="C4424:C4428" si="1148">"男"</f>
        <v>男</v>
      </c>
      <c r="D4424" s="2" t="str">
        <f t="shared" si="1131"/>
        <v>7</v>
      </c>
      <c r="E4424" s="2" t="str">
        <f>"机电工程学院"</f>
        <v>机电工程学院</v>
      </c>
    </row>
    <row r="4425" customHeight="1" spans="1:5">
      <c r="A4425" s="6" t="str">
        <f>"彭凯"</f>
        <v>彭凯</v>
      </c>
      <c r="B4425" s="6" t="str">
        <f>"B20210307121"</f>
        <v>B20210307121</v>
      </c>
      <c r="C4425" s="6" t="str">
        <f t="shared" si="1148"/>
        <v>男</v>
      </c>
      <c r="D4425" s="7" t="str">
        <f>"9"</f>
        <v>9</v>
      </c>
      <c r="E4425" s="6" t="str">
        <f>"计算机科学与工程学院"</f>
        <v>计算机科学与工程学院</v>
      </c>
    </row>
    <row r="4426" ht="13.5" hidden="1" spans="1:5">
      <c r="A4426" s="2" t="str">
        <f>"杜明轩"</f>
        <v>杜明轩</v>
      </c>
      <c r="B4426" s="2" t="str">
        <f>"B20210503232"</f>
        <v>B20210503232</v>
      </c>
      <c r="C4426" s="2" t="str">
        <f t="shared" si="1148"/>
        <v>男</v>
      </c>
      <c r="D4426" s="2" t="str">
        <f t="shared" si="1131"/>
        <v>7</v>
      </c>
      <c r="E4426" s="2" t="str">
        <f>"材料与环境工程学院"</f>
        <v>材料与环境工程学院</v>
      </c>
    </row>
    <row r="4427" ht="13.5" hidden="1" spans="1:5">
      <c r="A4427" s="2" t="str">
        <f>"周磊"</f>
        <v>周磊</v>
      </c>
      <c r="B4427" s="2" t="str">
        <f>"B20200505226"</f>
        <v>B20200505226</v>
      </c>
      <c r="C4427" s="2" t="str">
        <f t="shared" si="1148"/>
        <v>男</v>
      </c>
      <c r="D4427" s="2" t="str">
        <f t="shared" si="1131"/>
        <v>7</v>
      </c>
      <c r="E4427" s="2" t="str">
        <f>"生物与环境工程学院"</f>
        <v>生物与环境工程学院</v>
      </c>
    </row>
    <row r="4428" customHeight="1" spans="1:5">
      <c r="A4428" s="6" t="str">
        <f>"张凯"</f>
        <v>张凯</v>
      </c>
      <c r="B4428" s="6" t="str">
        <f>"B20210307122"</f>
        <v>B20210307122</v>
      </c>
      <c r="C4428" s="6" t="str">
        <f t="shared" si="1148"/>
        <v>男</v>
      </c>
      <c r="D4428" s="7" t="str">
        <f>"6"</f>
        <v>6</v>
      </c>
      <c r="E4428" s="6" t="str">
        <f>"计算机科学与工程学院"</f>
        <v>计算机科学与工程学院</v>
      </c>
    </row>
    <row r="4429" ht="13.5" hidden="1" spans="1:5">
      <c r="A4429" s="2" t="str">
        <f>"向楠"</f>
        <v>向楠</v>
      </c>
      <c r="B4429" s="2" t="str">
        <f>"B20210601215"</f>
        <v>B20210601215</v>
      </c>
      <c r="C4429" s="2" t="str">
        <f t="shared" ref="C4429:C4434" si="1149">"女"</f>
        <v>女</v>
      </c>
      <c r="D4429" s="2" t="str">
        <f t="shared" si="1131"/>
        <v>7</v>
      </c>
      <c r="E4429" s="2" t="str">
        <f>"法学院"</f>
        <v>法学院</v>
      </c>
    </row>
    <row r="4430" customHeight="1" spans="1:5">
      <c r="A4430" s="6" t="str">
        <f>"何宇杰"</f>
        <v>何宇杰</v>
      </c>
      <c r="B4430" s="6" t="str">
        <f>"B20210307123"</f>
        <v>B20210307123</v>
      </c>
      <c r="C4430" s="6" t="str">
        <f>"男"</f>
        <v>男</v>
      </c>
      <c r="D4430" s="7" t="str">
        <f>"1"</f>
        <v>1</v>
      </c>
      <c r="E4430" s="6" t="str">
        <f>"计算机科学与工程学院"</f>
        <v>计算机科学与工程学院</v>
      </c>
    </row>
    <row r="4431" ht="13.5" hidden="1" spans="1:5">
      <c r="A4431" s="2" t="str">
        <f>"徐语旋"</f>
        <v>徐语旋</v>
      </c>
      <c r="B4431" s="2" t="str">
        <f>"B20230702322"</f>
        <v>B20230702322</v>
      </c>
      <c r="C4431" s="2" t="str">
        <f t="shared" si="1149"/>
        <v>女</v>
      </c>
      <c r="D4431" s="2" t="str">
        <f t="shared" ref="D4431:D4494" si="1150">"7"</f>
        <v>7</v>
      </c>
      <c r="E4431" s="2" t="str">
        <f>"马栏山新媒体学院"</f>
        <v>马栏山新媒体学院</v>
      </c>
    </row>
    <row r="4432" ht="13.5" hidden="1" spans="1:5">
      <c r="A4432" s="2" t="str">
        <f>"谢锦燚"</f>
        <v>谢锦燚</v>
      </c>
      <c r="B4432" s="2" t="str">
        <f>"B20230205107"</f>
        <v>B20230205107</v>
      </c>
      <c r="C4432" s="2" t="str">
        <f>"男"</f>
        <v>男</v>
      </c>
      <c r="D4432" s="2" t="str">
        <f t="shared" si="1150"/>
        <v>7</v>
      </c>
      <c r="E4432" s="2" t="str">
        <f>"机电工程学院"</f>
        <v>机电工程学院</v>
      </c>
    </row>
    <row r="4433" customHeight="1" spans="1:5">
      <c r="A4433" s="6" t="str">
        <f>"闵加昊"</f>
        <v>闵加昊</v>
      </c>
      <c r="B4433" s="6" t="str">
        <f>"B20210307129"</f>
        <v>B20210307129</v>
      </c>
      <c r="C4433" s="6" t="str">
        <f>"男"</f>
        <v>男</v>
      </c>
      <c r="D4433" s="7" t="str">
        <f>"6"</f>
        <v>6</v>
      </c>
      <c r="E4433" s="6" t="str">
        <f>"计算机科学与工程学院"</f>
        <v>计算机科学与工程学院</v>
      </c>
    </row>
    <row r="4434" ht="13.5" hidden="1" spans="1:5">
      <c r="A4434" s="2" t="str">
        <f>"罗新怡"</f>
        <v>罗新怡</v>
      </c>
      <c r="B4434" s="2" t="str">
        <f>"B20230502101"</f>
        <v>B20230502101</v>
      </c>
      <c r="C4434" s="2" t="str">
        <f t="shared" si="1149"/>
        <v>女</v>
      </c>
      <c r="D4434" s="2" t="str">
        <f t="shared" si="1150"/>
        <v>7</v>
      </c>
      <c r="E4434" s="2" t="str">
        <f>"生物与化学工程学院"</f>
        <v>生物与化学工程学院</v>
      </c>
    </row>
    <row r="4435" ht="13.5" hidden="1" spans="1:5">
      <c r="A4435" s="2" t="str">
        <f>"赵闯"</f>
        <v>赵闯</v>
      </c>
      <c r="B4435" s="2" t="str">
        <f>"B20230502124"</f>
        <v>B20230502124</v>
      </c>
      <c r="C4435" s="2" t="str">
        <f t="shared" ref="C4435:C4440" si="1151">"男"</f>
        <v>男</v>
      </c>
      <c r="D4435" s="2" t="str">
        <f t="shared" si="1150"/>
        <v>7</v>
      </c>
      <c r="E4435" s="2" t="str">
        <f>"生物与化学工程学院"</f>
        <v>生物与化学工程学院</v>
      </c>
    </row>
    <row r="4436" ht="13.5" hidden="1" spans="1:5">
      <c r="A4436" s="2" t="str">
        <f>"邓哲予"</f>
        <v>邓哲予</v>
      </c>
      <c r="B4436" s="2" t="str">
        <f>"B20230701207"</f>
        <v>B20230701207</v>
      </c>
      <c r="C4436" s="2" t="str">
        <f>"女"</f>
        <v>女</v>
      </c>
      <c r="D4436" s="2" t="str">
        <f t="shared" si="1150"/>
        <v>7</v>
      </c>
      <c r="E4436" s="2" t="str">
        <f>"马栏山新媒体学院"</f>
        <v>马栏山新媒体学院</v>
      </c>
    </row>
    <row r="4437" ht="13.5" hidden="1" spans="1:5">
      <c r="A4437" s="2" t="str">
        <f>"张酉西"</f>
        <v>张酉西</v>
      </c>
      <c r="B4437" s="2" t="str">
        <f>"B20230904332"</f>
        <v>B20230904332</v>
      </c>
      <c r="C4437" s="2" t="str">
        <f t="shared" si="1151"/>
        <v>男</v>
      </c>
      <c r="D4437" s="2" t="str">
        <f t="shared" si="1150"/>
        <v>7</v>
      </c>
      <c r="E4437" s="2" t="str">
        <f>"经济与管理学院"</f>
        <v>经济与管理学院</v>
      </c>
    </row>
    <row r="4438" ht="13.5" hidden="1" spans="1:5">
      <c r="A4438" s="2" t="str">
        <f>"姚磊"</f>
        <v>姚磊</v>
      </c>
      <c r="B4438" s="2" t="str">
        <f>"B20210202416"</f>
        <v>B20210202416</v>
      </c>
      <c r="C4438" s="2" t="str">
        <f t="shared" si="1151"/>
        <v>男</v>
      </c>
      <c r="D4438" s="2" t="str">
        <f t="shared" si="1150"/>
        <v>7</v>
      </c>
      <c r="E4438" s="2" t="str">
        <f>"机电工程学院"</f>
        <v>机电工程学院</v>
      </c>
    </row>
    <row r="4439" customHeight="1" spans="1:5">
      <c r="A4439" s="6" t="str">
        <f>"尤建博"</f>
        <v>尤建博</v>
      </c>
      <c r="B4439" s="6" t="str">
        <f>"B20210307203"</f>
        <v>B20210307203</v>
      </c>
      <c r="C4439" s="6" t="str">
        <f>"女"</f>
        <v>女</v>
      </c>
      <c r="D4439" s="7" t="str">
        <f>"2"</f>
        <v>2</v>
      </c>
      <c r="E4439" s="6" t="str">
        <f>"计算机科学与工程学院"</f>
        <v>计算机科学与工程学院</v>
      </c>
    </row>
    <row r="4440" customHeight="1" spans="1:5">
      <c r="A4440" s="6" t="str">
        <f>"黄彧骁"</f>
        <v>黄彧骁</v>
      </c>
      <c r="B4440" s="6" t="str">
        <f>"B20210307204"</f>
        <v>B20210307204</v>
      </c>
      <c r="C4440" s="6" t="str">
        <f>"男"</f>
        <v>男</v>
      </c>
      <c r="D4440" s="7" t="str">
        <f>"6"</f>
        <v>6</v>
      </c>
      <c r="E4440" s="6" t="str">
        <f>"计算机科学与工程学院"</f>
        <v>计算机科学与工程学院</v>
      </c>
    </row>
    <row r="4441" ht="13.5" hidden="1" spans="1:5">
      <c r="A4441" s="2" t="str">
        <f>"唐云娟"</f>
        <v>唐云娟</v>
      </c>
      <c r="B4441" s="2" t="str">
        <f>"B20200904123"</f>
        <v>B20200904123</v>
      </c>
      <c r="C4441" s="2" t="str">
        <f t="shared" ref="C4441:C4445" si="1152">"女"</f>
        <v>女</v>
      </c>
      <c r="D4441" s="2" t="str">
        <f t="shared" si="1150"/>
        <v>7</v>
      </c>
      <c r="E4441" s="2" t="str">
        <f>"经济与管理学院"</f>
        <v>经济与管理学院</v>
      </c>
    </row>
    <row r="4442" ht="13.5" hidden="1" spans="1:5">
      <c r="A4442" s="2" t="str">
        <f>"戴伟涛"</f>
        <v>戴伟涛</v>
      </c>
      <c r="B4442" s="2" t="str">
        <f>"B20200401419"</f>
        <v>B20200401419</v>
      </c>
      <c r="C4442" s="2" t="str">
        <f t="shared" ref="C4442:C4446" si="1153">"男"</f>
        <v>男</v>
      </c>
      <c r="D4442" s="2" t="str">
        <f t="shared" si="1150"/>
        <v>7</v>
      </c>
      <c r="E4442" s="2" t="str">
        <f>"电子信息与电气工程学院"</f>
        <v>电子信息与电气工程学院</v>
      </c>
    </row>
    <row r="4443" ht="13.5" hidden="1" spans="1:5">
      <c r="A4443" s="2" t="str">
        <f>"石佳玲"</f>
        <v>石佳玲</v>
      </c>
      <c r="B4443" s="2" t="str">
        <f>"B20200802226"</f>
        <v>B20200802226</v>
      </c>
      <c r="C4443" s="2" t="str">
        <f t="shared" si="1152"/>
        <v>女</v>
      </c>
      <c r="D4443" s="2" t="str">
        <f t="shared" si="1150"/>
        <v>7</v>
      </c>
      <c r="E4443" s="2" t="str">
        <f>"外国语学院"</f>
        <v>外国语学院</v>
      </c>
    </row>
    <row r="4444" customHeight="1" spans="1:5">
      <c r="A4444" s="6" t="str">
        <f>"邬靓"</f>
        <v>邬靓</v>
      </c>
      <c r="B4444" s="6" t="str">
        <f>"B20210307205"</f>
        <v>B20210307205</v>
      </c>
      <c r="C4444" s="6" t="str">
        <f t="shared" si="1152"/>
        <v>女</v>
      </c>
      <c r="D4444" s="7" t="str">
        <f>"6"</f>
        <v>6</v>
      </c>
      <c r="E4444" s="6" t="str">
        <f>"计算机科学与工程学院"</f>
        <v>计算机科学与工程学院</v>
      </c>
    </row>
    <row r="4445" ht="13.5" hidden="1" spans="1:5">
      <c r="A4445" s="2" t="str">
        <f>"黄玲琴"</f>
        <v>黄玲琴</v>
      </c>
      <c r="B4445" s="2" t="str">
        <f>"B20200704117"</f>
        <v>B20200704117</v>
      </c>
      <c r="C4445" s="2" t="str">
        <f t="shared" si="1152"/>
        <v>女</v>
      </c>
      <c r="D4445" s="2" t="str">
        <f t="shared" si="1150"/>
        <v>7</v>
      </c>
      <c r="E4445" s="2" t="str">
        <f>"马栏山新媒体学院"</f>
        <v>马栏山新媒体学院</v>
      </c>
    </row>
    <row r="4446" ht="13.5" hidden="1" spans="1:5">
      <c r="A4446" s="2" t="str">
        <f>"唐柏林"</f>
        <v>唐柏林</v>
      </c>
      <c r="B4446" s="2" t="str">
        <f>"B20200402226"</f>
        <v>B20200402226</v>
      </c>
      <c r="C4446" s="2" t="str">
        <f t="shared" si="1153"/>
        <v>男</v>
      </c>
      <c r="D4446" s="2" t="str">
        <f t="shared" si="1150"/>
        <v>7</v>
      </c>
      <c r="E4446" s="2" t="str">
        <f>"电子信息与电气工程学院"</f>
        <v>电子信息与电气工程学院</v>
      </c>
    </row>
    <row r="4447" ht="13.5" hidden="1" spans="1:5">
      <c r="A4447" s="2" t="str">
        <f>"方欣燕"</f>
        <v>方欣燕</v>
      </c>
      <c r="B4447" s="2" t="str">
        <f>"B20221004225"</f>
        <v>B20221004225</v>
      </c>
      <c r="C4447" s="2" t="str">
        <f t="shared" ref="C4447:C4452" si="1154">"女"</f>
        <v>女</v>
      </c>
      <c r="D4447" s="2" t="str">
        <f t="shared" si="1150"/>
        <v>7</v>
      </c>
      <c r="E4447" s="2" t="str">
        <f>"艺术设计学院"</f>
        <v>艺术设计学院</v>
      </c>
    </row>
    <row r="4448" ht="13.5" hidden="1" spans="1:5">
      <c r="A4448" s="2" t="str">
        <f>"唐瑞明"</f>
        <v>唐瑞明</v>
      </c>
      <c r="B4448" s="2" t="str">
        <f>"B20220702412"</f>
        <v>B20220702412</v>
      </c>
      <c r="C4448" s="2" t="str">
        <f t="shared" si="1154"/>
        <v>女</v>
      </c>
      <c r="D4448" s="2" t="str">
        <f t="shared" si="1150"/>
        <v>7</v>
      </c>
      <c r="E4448" s="2" t="str">
        <f>"马栏山新媒体学院"</f>
        <v>马栏山新媒体学院</v>
      </c>
    </row>
    <row r="4449" ht="13.5" hidden="1" spans="1:5">
      <c r="A4449" s="2" t="str">
        <f>"李文峰"</f>
        <v>李文峰</v>
      </c>
      <c r="B4449" s="2" t="str">
        <f>"B20231301130"</f>
        <v>B20231301130</v>
      </c>
      <c r="C4449" s="2" t="str">
        <f t="shared" ref="C4449:C4456" si="1155">"男"</f>
        <v>男</v>
      </c>
      <c r="D4449" s="2" t="str">
        <f t="shared" si="1150"/>
        <v>7</v>
      </c>
      <c r="E4449" s="2" t="str">
        <f>"材料与环境工程学院"</f>
        <v>材料与环境工程学院</v>
      </c>
    </row>
    <row r="4450" ht="13.5" hidden="1" spans="1:5">
      <c r="A4450" s="2" t="str">
        <f>"郑至栩"</f>
        <v>郑至栩</v>
      </c>
      <c r="B4450" s="2" t="str">
        <f>"B20230401233"</f>
        <v>B20230401233</v>
      </c>
      <c r="C4450" s="2" t="str">
        <f t="shared" si="1154"/>
        <v>女</v>
      </c>
      <c r="D4450" s="2" t="str">
        <f t="shared" si="1150"/>
        <v>7</v>
      </c>
      <c r="E4450" s="2" t="str">
        <f>"电子信息与电气工程学院"</f>
        <v>电子信息与电气工程学院</v>
      </c>
    </row>
    <row r="4451" ht="13.5" hidden="1" spans="1:5">
      <c r="A4451" s="2" t="str">
        <f>"刘萱"</f>
        <v>刘萱</v>
      </c>
      <c r="B4451" s="2" t="str">
        <f>"B20210801507"</f>
        <v>B20210801507</v>
      </c>
      <c r="C4451" s="2" t="str">
        <f t="shared" si="1154"/>
        <v>女</v>
      </c>
      <c r="D4451" s="2" t="str">
        <f t="shared" si="1150"/>
        <v>7</v>
      </c>
      <c r="E4451" s="2" t="str">
        <f>"外国语学院"</f>
        <v>外国语学院</v>
      </c>
    </row>
    <row r="4452" ht="13.5" hidden="1" spans="1:5">
      <c r="A4452" s="2" t="str">
        <f>"陈佩玲"</f>
        <v>陈佩玲</v>
      </c>
      <c r="B4452" s="2" t="str">
        <f>"B20221302422"</f>
        <v>B20221302422</v>
      </c>
      <c r="C4452" s="2" t="str">
        <f t="shared" si="1154"/>
        <v>女</v>
      </c>
      <c r="D4452" s="2" t="str">
        <f t="shared" si="1150"/>
        <v>7</v>
      </c>
      <c r="E4452" s="2" t="str">
        <f>"材料与环境工程学院"</f>
        <v>材料与环境工程学院</v>
      </c>
    </row>
    <row r="4453" ht="13.5" hidden="1" spans="1:5">
      <c r="A4453" s="2" t="str">
        <f>"周华霆"</f>
        <v>周华霆</v>
      </c>
      <c r="B4453" s="2" t="str">
        <f>"B20210201110"</f>
        <v>B20210201110</v>
      </c>
      <c r="C4453" s="2" t="str">
        <f t="shared" si="1155"/>
        <v>男</v>
      </c>
      <c r="D4453" s="2" t="str">
        <f t="shared" si="1150"/>
        <v>7</v>
      </c>
      <c r="E4453" s="2" t="str">
        <f t="shared" ref="E4453:E4456" si="1156">"机电工程学院"</f>
        <v>机电工程学院</v>
      </c>
    </row>
    <row r="4454" ht="13.5" hidden="1" spans="1:5">
      <c r="A4454" s="2" t="str">
        <f>"叶锦轩"</f>
        <v>叶锦轩</v>
      </c>
      <c r="B4454" s="2" t="str">
        <f>"B20220404215"</f>
        <v>B20220404215</v>
      </c>
      <c r="C4454" s="2" t="str">
        <f t="shared" si="1155"/>
        <v>男</v>
      </c>
      <c r="D4454" s="2" t="str">
        <f t="shared" si="1150"/>
        <v>7</v>
      </c>
      <c r="E4454" s="2" t="str">
        <f t="shared" ref="E4454:E4459" si="1157">"电子信息与电气工程学院"</f>
        <v>电子信息与电气工程学院</v>
      </c>
    </row>
    <row r="4455" ht="13.5" hidden="1" spans="1:5">
      <c r="A4455" s="2" t="str">
        <f>"李佳豪"</f>
        <v>李佳豪</v>
      </c>
      <c r="B4455" s="2" t="str">
        <f>"B20210201332"</f>
        <v>B20210201332</v>
      </c>
      <c r="C4455" s="2" t="str">
        <f t="shared" si="1155"/>
        <v>男</v>
      </c>
      <c r="D4455" s="2" t="str">
        <f t="shared" si="1150"/>
        <v>7</v>
      </c>
      <c r="E4455" s="2" t="str">
        <f t="shared" si="1156"/>
        <v>机电工程学院</v>
      </c>
    </row>
    <row r="4456" ht="13.5" hidden="1" spans="1:5">
      <c r="A4456" s="2" t="str">
        <f>"段宇涵"</f>
        <v>段宇涵</v>
      </c>
      <c r="B4456" s="2" t="str">
        <f>"B20230205328"</f>
        <v>B20230205328</v>
      </c>
      <c r="C4456" s="2" t="str">
        <f t="shared" si="1155"/>
        <v>男</v>
      </c>
      <c r="D4456" s="2" t="str">
        <f t="shared" si="1150"/>
        <v>7</v>
      </c>
      <c r="E4456" s="2" t="str">
        <f t="shared" si="1156"/>
        <v>机电工程学院</v>
      </c>
    </row>
    <row r="4457" ht="13.5" hidden="1" spans="1:5">
      <c r="A4457" s="2" t="str">
        <f>"杨雨楦"</f>
        <v>杨雨楦</v>
      </c>
      <c r="B4457" s="2" t="str">
        <f>"B20200404212"</f>
        <v>B20200404212</v>
      </c>
      <c r="C4457" s="2" t="str">
        <f>"女"</f>
        <v>女</v>
      </c>
      <c r="D4457" s="2" t="str">
        <f t="shared" si="1150"/>
        <v>7</v>
      </c>
      <c r="E4457" s="2" t="str">
        <f t="shared" si="1157"/>
        <v>电子信息与电气工程学院</v>
      </c>
    </row>
    <row r="4458" ht="13.5" hidden="1" spans="1:5">
      <c r="A4458" s="2" t="str">
        <f>"覃思源"</f>
        <v>覃思源</v>
      </c>
      <c r="B4458" s="2" t="str">
        <f>"B20210901123"</f>
        <v>B20210901123</v>
      </c>
      <c r="C4458" s="2" t="str">
        <f>"女"</f>
        <v>女</v>
      </c>
      <c r="D4458" s="2" t="str">
        <f t="shared" si="1150"/>
        <v>7</v>
      </c>
      <c r="E4458" s="2" t="str">
        <f>"经济与管理学院"</f>
        <v>经济与管理学院</v>
      </c>
    </row>
    <row r="4459" ht="13.5" hidden="1" spans="1:5">
      <c r="A4459" s="2" t="str">
        <f>"雷佳胜"</f>
        <v>雷佳胜</v>
      </c>
      <c r="B4459" s="2" t="str">
        <f>"B20210401317"</f>
        <v>B20210401317</v>
      </c>
      <c r="C4459" s="2" t="str">
        <f t="shared" ref="C4459:C4465" si="1158">"男"</f>
        <v>男</v>
      </c>
      <c r="D4459" s="2" t="str">
        <f t="shared" si="1150"/>
        <v>7</v>
      </c>
      <c r="E4459" s="2" t="str">
        <f t="shared" si="1157"/>
        <v>电子信息与电气工程学院</v>
      </c>
    </row>
    <row r="4460" ht="13.5" hidden="1" spans="1:5">
      <c r="A4460" s="2" t="str">
        <f>"马林承佑"</f>
        <v>马林承佑</v>
      </c>
      <c r="B4460" s="2" t="str">
        <f>"B20210704224"</f>
        <v>B20210704224</v>
      </c>
      <c r="C4460" s="2" t="str">
        <f t="shared" si="1158"/>
        <v>男</v>
      </c>
      <c r="D4460" s="2" t="str">
        <f t="shared" si="1150"/>
        <v>7</v>
      </c>
      <c r="E4460" s="2" t="str">
        <f>"马栏山新媒体学院"</f>
        <v>马栏山新媒体学院</v>
      </c>
    </row>
    <row r="4461" customHeight="1" spans="1:5">
      <c r="A4461" s="6" t="str">
        <f>"肖腾飞"</f>
        <v>肖腾飞</v>
      </c>
      <c r="B4461" s="6" t="str">
        <f>"B20210307206"</f>
        <v>B20210307206</v>
      </c>
      <c r="C4461" s="6" t="str">
        <f t="shared" si="1158"/>
        <v>男</v>
      </c>
      <c r="D4461" s="7" t="str">
        <f>"13"</f>
        <v>13</v>
      </c>
      <c r="E4461" s="6" t="str">
        <f>"计算机科学与工程学院"</f>
        <v>计算机科学与工程学院</v>
      </c>
    </row>
    <row r="4462" ht="13.5" hidden="1" spans="1:5">
      <c r="A4462" s="2" t="str">
        <f>"陈必荣"</f>
        <v>陈必荣</v>
      </c>
      <c r="B4462" s="2" t="str">
        <f>"B20220202135"</f>
        <v>B20220202135</v>
      </c>
      <c r="C4462" s="2" t="str">
        <f t="shared" si="1158"/>
        <v>男</v>
      </c>
      <c r="D4462" s="2" t="str">
        <f t="shared" si="1150"/>
        <v>7</v>
      </c>
      <c r="E4462" s="2" t="str">
        <f>"机电工程学院"</f>
        <v>机电工程学院</v>
      </c>
    </row>
    <row r="4463" customHeight="1" spans="1:5">
      <c r="A4463" s="6" t="str">
        <f>"黎佳涛"</f>
        <v>黎佳涛</v>
      </c>
      <c r="B4463" s="6" t="str">
        <f>"B20210307207"</f>
        <v>B20210307207</v>
      </c>
      <c r="C4463" s="6" t="str">
        <f t="shared" si="1158"/>
        <v>男</v>
      </c>
      <c r="D4463" s="7" t="str">
        <f>"6"</f>
        <v>6</v>
      </c>
      <c r="E4463" s="6" t="str">
        <f>"计算机科学与工程学院"</f>
        <v>计算机科学与工程学院</v>
      </c>
    </row>
    <row r="4464" ht="13.5" hidden="1" spans="1:5">
      <c r="A4464" s="2" t="str">
        <f>"李俊"</f>
        <v>李俊</v>
      </c>
      <c r="B4464" s="2" t="str">
        <f>"B20231101216"</f>
        <v>B20231101216</v>
      </c>
      <c r="C4464" s="2" t="str">
        <f t="shared" si="1158"/>
        <v>男</v>
      </c>
      <c r="D4464" s="2" t="str">
        <f t="shared" si="1150"/>
        <v>7</v>
      </c>
      <c r="E4464" s="2" t="str">
        <f>"音乐学院"</f>
        <v>音乐学院</v>
      </c>
    </row>
    <row r="4465" customHeight="1" spans="1:5">
      <c r="A4465" s="6" t="str">
        <f>"陈俊豪"</f>
        <v>陈俊豪</v>
      </c>
      <c r="B4465" s="6" t="str">
        <f>"B20210307208"</f>
        <v>B20210307208</v>
      </c>
      <c r="C4465" s="6" t="str">
        <f t="shared" si="1158"/>
        <v>男</v>
      </c>
      <c r="D4465" s="7" t="str">
        <f>"8"</f>
        <v>8</v>
      </c>
      <c r="E4465" s="6" t="str">
        <f>"计算机科学与工程学院"</f>
        <v>计算机科学与工程学院</v>
      </c>
    </row>
    <row r="4466" ht="13.5" hidden="1" spans="1:5">
      <c r="A4466" s="2" t="str">
        <f>"于依琳"</f>
        <v>于依琳</v>
      </c>
      <c r="B4466" s="2" t="str">
        <f>"B20201001114"</f>
        <v>B20201001114</v>
      </c>
      <c r="C4466" s="2" t="str">
        <f t="shared" ref="C4466:C4472" si="1159">"女"</f>
        <v>女</v>
      </c>
      <c r="D4466" s="2" t="str">
        <f t="shared" si="1150"/>
        <v>7</v>
      </c>
      <c r="E4466" s="2" t="str">
        <f>"艺术设计学院"</f>
        <v>艺术设计学院</v>
      </c>
    </row>
    <row r="4467" ht="13.5" hidden="1" spans="1:5">
      <c r="A4467" s="2" t="str">
        <f>"宋泽群"</f>
        <v>宋泽群</v>
      </c>
      <c r="B4467" s="2" t="str">
        <f>"B20200201128"</f>
        <v>B20200201128</v>
      </c>
      <c r="C4467" s="2" t="str">
        <f>"男"</f>
        <v>男</v>
      </c>
      <c r="D4467" s="2" t="str">
        <f t="shared" si="1150"/>
        <v>7</v>
      </c>
      <c r="E4467" s="2" t="str">
        <f>"机电工程学院"</f>
        <v>机电工程学院</v>
      </c>
    </row>
    <row r="4468" ht="13.5" hidden="1" spans="1:5">
      <c r="A4468" s="2" t="str">
        <f>"杨艳"</f>
        <v>杨艳</v>
      </c>
      <c r="B4468" s="2" t="str">
        <f>"B20230702309"</f>
        <v>B20230702309</v>
      </c>
      <c r="C4468" s="2" t="str">
        <f t="shared" si="1159"/>
        <v>女</v>
      </c>
      <c r="D4468" s="2" t="str">
        <f t="shared" si="1150"/>
        <v>7</v>
      </c>
      <c r="E4468" s="2" t="str">
        <f t="shared" ref="E4468:E4472" si="1160">"马栏山新媒体学院"</f>
        <v>马栏山新媒体学院</v>
      </c>
    </row>
    <row r="4469" ht="13.5" hidden="1" spans="1:5">
      <c r="A4469" s="2" t="str">
        <f>"汤吕培"</f>
        <v>汤吕培</v>
      </c>
      <c r="B4469" s="2" t="str">
        <f>"B20210202409"</f>
        <v>B20210202409</v>
      </c>
      <c r="C4469" s="2" t="str">
        <f t="shared" ref="C4469:C4475" si="1161">"男"</f>
        <v>男</v>
      </c>
      <c r="D4469" s="2" t="str">
        <f t="shared" si="1150"/>
        <v>7</v>
      </c>
      <c r="E4469" s="2" t="str">
        <f>"机电工程学院"</f>
        <v>机电工程学院</v>
      </c>
    </row>
    <row r="4470" ht="13.5" hidden="1" spans="1:5">
      <c r="A4470" s="2" t="str">
        <f>"周家宜"</f>
        <v>周家宜</v>
      </c>
      <c r="B4470" s="2" t="str">
        <f>"B20210701116"</f>
        <v>B20210701116</v>
      </c>
      <c r="C4470" s="2" t="str">
        <f t="shared" si="1159"/>
        <v>女</v>
      </c>
      <c r="D4470" s="2" t="str">
        <f t="shared" si="1150"/>
        <v>7</v>
      </c>
      <c r="E4470" s="2" t="str">
        <f t="shared" si="1160"/>
        <v>马栏山新媒体学院</v>
      </c>
    </row>
    <row r="4471" ht="13.5" hidden="1" spans="1:5">
      <c r="A4471" s="2" t="str">
        <f>"刘栢懿"</f>
        <v>刘栢懿</v>
      </c>
      <c r="B4471" s="2" t="str">
        <f>"B20211003204"</f>
        <v>B20211003204</v>
      </c>
      <c r="C4471" s="2" t="str">
        <f t="shared" si="1159"/>
        <v>女</v>
      </c>
      <c r="D4471" s="2" t="str">
        <f t="shared" si="1150"/>
        <v>7</v>
      </c>
      <c r="E4471" s="2" t="str">
        <f>"艺术设计学院"</f>
        <v>艺术设计学院</v>
      </c>
    </row>
    <row r="4472" ht="13.5" hidden="1" spans="1:5">
      <c r="A4472" s="2" t="str">
        <f>"白璇"</f>
        <v>白璇</v>
      </c>
      <c r="B4472" s="2" t="str">
        <f>"B20230704203"</f>
        <v>B20230704203</v>
      </c>
      <c r="C4472" s="2" t="str">
        <f t="shared" si="1159"/>
        <v>女</v>
      </c>
      <c r="D4472" s="2" t="str">
        <f t="shared" si="1150"/>
        <v>7</v>
      </c>
      <c r="E4472" s="2" t="str">
        <f t="shared" si="1160"/>
        <v>马栏山新媒体学院</v>
      </c>
    </row>
    <row r="4473" customHeight="1" spans="1:5">
      <c r="A4473" s="6" t="str">
        <f>"王燎原"</f>
        <v>王燎原</v>
      </c>
      <c r="B4473" s="6" t="str">
        <f>"B20210307209"</f>
        <v>B20210307209</v>
      </c>
      <c r="C4473" s="6" t="str">
        <f>"男"</f>
        <v>男</v>
      </c>
      <c r="D4473" s="7" t="str">
        <f>"4"</f>
        <v>4</v>
      </c>
      <c r="E4473" s="6" t="str">
        <f>"计算机科学与工程学院"</f>
        <v>计算机科学与工程学院</v>
      </c>
    </row>
    <row r="4474" ht="13.5" hidden="1" spans="1:5">
      <c r="A4474" s="2" t="str">
        <f>"姚振杰"</f>
        <v>姚振杰</v>
      </c>
      <c r="B4474" s="2" t="str">
        <f>"B20220704405"</f>
        <v>B20220704405</v>
      </c>
      <c r="C4474" s="2" t="str">
        <f t="shared" si="1161"/>
        <v>男</v>
      </c>
      <c r="D4474" s="2" t="str">
        <f t="shared" si="1150"/>
        <v>7</v>
      </c>
      <c r="E4474" s="2" t="str">
        <f>"马栏山新媒体学院"</f>
        <v>马栏山新媒体学院</v>
      </c>
    </row>
    <row r="4475" ht="13.5" hidden="1" spans="1:5">
      <c r="A4475" s="2" t="str">
        <f>"赵臻"</f>
        <v>赵臻</v>
      </c>
      <c r="B4475" s="2" t="str">
        <f>"B20210404110"</f>
        <v>B20210404110</v>
      </c>
      <c r="C4475" s="2" t="str">
        <f t="shared" si="1161"/>
        <v>男</v>
      </c>
      <c r="D4475" s="2" t="str">
        <f t="shared" si="1150"/>
        <v>7</v>
      </c>
      <c r="E4475" s="2" t="str">
        <f>"电子信息与电气工程学院"</f>
        <v>电子信息与电气工程学院</v>
      </c>
    </row>
    <row r="4476" ht="13.5" hidden="1" spans="1:5">
      <c r="A4476" s="2" t="str">
        <f>"黄亦瑶"</f>
        <v>黄亦瑶</v>
      </c>
      <c r="B4476" s="2" t="str">
        <f>"B20230101302"</f>
        <v>B20230101302</v>
      </c>
      <c r="C4476" s="2" t="str">
        <f t="shared" ref="C4476:C4479" si="1162">"女"</f>
        <v>女</v>
      </c>
      <c r="D4476" s="2" t="str">
        <f t="shared" si="1150"/>
        <v>7</v>
      </c>
      <c r="E4476" s="2" t="str">
        <f>"土木工程学院"</f>
        <v>土木工程学院</v>
      </c>
    </row>
    <row r="4477" ht="13.5" hidden="1" spans="1:5">
      <c r="A4477" s="2" t="str">
        <f>"王梁"</f>
        <v>王梁</v>
      </c>
      <c r="B4477" s="2" t="str">
        <f>"B20230802218"</f>
        <v>B20230802218</v>
      </c>
      <c r="C4477" s="2" t="str">
        <f t="shared" ref="C4477:C4484" si="1163">"男"</f>
        <v>男</v>
      </c>
      <c r="D4477" s="2" t="str">
        <f t="shared" si="1150"/>
        <v>7</v>
      </c>
      <c r="E4477" s="2" t="str">
        <f>"外国语学院"</f>
        <v>外国语学院</v>
      </c>
    </row>
    <row r="4478" ht="13.5" hidden="1" spans="1:5">
      <c r="A4478" s="2" t="str">
        <f>"刘欣雨"</f>
        <v>刘欣雨</v>
      </c>
      <c r="B4478" s="2" t="str">
        <f>"B20210801224"</f>
        <v>B20210801224</v>
      </c>
      <c r="C4478" s="2" t="str">
        <f t="shared" si="1162"/>
        <v>女</v>
      </c>
      <c r="D4478" s="2" t="str">
        <f t="shared" si="1150"/>
        <v>7</v>
      </c>
      <c r="E4478" s="2" t="str">
        <f>"外国语学院"</f>
        <v>外国语学院</v>
      </c>
    </row>
    <row r="4479" ht="13.5" hidden="1" spans="1:5">
      <c r="A4479" s="2" t="str">
        <f>"郭靓"</f>
        <v>郭靓</v>
      </c>
      <c r="B4479" s="2" t="str">
        <f>"B20220902219"</f>
        <v>B20220902219</v>
      </c>
      <c r="C4479" s="2" t="str">
        <f t="shared" si="1162"/>
        <v>女</v>
      </c>
      <c r="D4479" s="2" t="str">
        <f t="shared" si="1150"/>
        <v>7</v>
      </c>
      <c r="E4479" s="2" t="str">
        <f>"经济与管理学院"</f>
        <v>经济与管理学院</v>
      </c>
    </row>
    <row r="4480" ht="13.5" hidden="1" spans="1:5">
      <c r="A4480" s="2" t="str">
        <f>"许镕哲"</f>
        <v>许镕哲</v>
      </c>
      <c r="B4480" s="2" t="str">
        <f>"B20230201414"</f>
        <v>B20230201414</v>
      </c>
      <c r="C4480" s="2" t="str">
        <f t="shared" si="1163"/>
        <v>男</v>
      </c>
      <c r="D4480" s="2" t="str">
        <f t="shared" si="1150"/>
        <v>7</v>
      </c>
      <c r="E4480" s="2" t="str">
        <f>"机电工程学院"</f>
        <v>机电工程学院</v>
      </c>
    </row>
    <row r="4481" ht="13.5" hidden="1" spans="1:5">
      <c r="A4481" s="2" t="str">
        <f>"张玥"</f>
        <v>张玥</v>
      </c>
      <c r="B4481" s="2" t="str">
        <f>"B20210101617"</f>
        <v>B20210101617</v>
      </c>
      <c r="C4481" s="2" t="str">
        <f>"女"</f>
        <v>女</v>
      </c>
      <c r="D4481" s="2" t="str">
        <f t="shared" si="1150"/>
        <v>7</v>
      </c>
      <c r="E4481" s="2" t="str">
        <f t="shared" ref="E4481:E4483" si="1164">"土木工程学院"</f>
        <v>土木工程学院</v>
      </c>
    </row>
    <row r="4482" ht="13.5" hidden="1" spans="1:5">
      <c r="A4482" s="2" t="str">
        <f>"张烨"</f>
        <v>张烨</v>
      </c>
      <c r="B4482" s="2" t="str">
        <f>"B20230101637"</f>
        <v>B20230101637</v>
      </c>
      <c r="C4482" s="2" t="str">
        <f t="shared" si="1163"/>
        <v>男</v>
      </c>
      <c r="D4482" s="2" t="str">
        <f t="shared" si="1150"/>
        <v>7</v>
      </c>
      <c r="E4482" s="2" t="str">
        <f t="shared" si="1164"/>
        <v>土木工程学院</v>
      </c>
    </row>
    <row r="4483" ht="13.5" hidden="1" spans="1:5">
      <c r="A4483" s="2" t="str">
        <f>"王凯"</f>
        <v>王凯</v>
      </c>
      <c r="B4483" s="2" t="str">
        <f>"B20200101304"</f>
        <v>B20200101304</v>
      </c>
      <c r="C4483" s="2" t="str">
        <f t="shared" si="1163"/>
        <v>男</v>
      </c>
      <c r="D4483" s="2" t="str">
        <f t="shared" si="1150"/>
        <v>7</v>
      </c>
      <c r="E4483" s="2" t="str">
        <f t="shared" si="1164"/>
        <v>土木工程学院</v>
      </c>
    </row>
    <row r="4484" ht="13.5" hidden="1" spans="1:5">
      <c r="A4484" s="2" t="str">
        <f>"禹涛"</f>
        <v>禹涛</v>
      </c>
      <c r="B4484" s="2" t="str">
        <f>"B20230201201"</f>
        <v>B20230201201</v>
      </c>
      <c r="C4484" s="2" t="str">
        <f t="shared" si="1163"/>
        <v>男</v>
      </c>
      <c r="D4484" s="2" t="str">
        <f t="shared" si="1150"/>
        <v>7</v>
      </c>
      <c r="E4484" s="2" t="str">
        <f>"机电工程学院"</f>
        <v>机电工程学院</v>
      </c>
    </row>
    <row r="4485" ht="13.5" hidden="1" spans="1:5">
      <c r="A4485" s="2" t="str">
        <f>"戴佳彤"</f>
        <v>戴佳彤</v>
      </c>
      <c r="B4485" s="2" t="str">
        <f>"B20230703301"</f>
        <v>B20230703301</v>
      </c>
      <c r="C4485" s="2" t="str">
        <f>"女"</f>
        <v>女</v>
      </c>
      <c r="D4485" s="2" t="str">
        <f t="shared" si="1150"/>
        <v>7</v>
      </c>
      <c r="E4485" s="2" t="str">
        <f>"马栏山新媒体学院"</f>
        <v>马栏山新媒体学院</v>
      </c>
    </row>
    <row r="4486" ht="13.5" hidden="1" spans="1:5">
      <c r="A4486" s="2" t="str">
        <f>"叶宇博"</f>
        <v>叶宇博</v>
      </c>
      <c r="B4486" s="2" t="str">
        <f>"B20230104112"</f>
        <v>B20230104112</v>
      </c>
      <c r="C4486" s="2" t="str">
        <f t="shared" ref="C4486:C4488" si="1165">"男"</f>
        <v>男</v>
      </c>
      <c r="D4486" s="2" t="str">
        <f t="shared" si="1150"/>
        <v>7</v>
      </c>
      <c r="E4486" s="2" t="str">
        <f>"土木工程学院"</f>
        <v>土木工程学院</v>
      </c>
    </row>
    <row r="4487" ht="13.5" hidden="1" spans="1:5">
      <c r="A4487" s="2" t="str">
        <f>"邓世超"</f>
        <v>邓世超</v>
      </c>
      <c r="B4487" s="2" t="str">
        <f>"B20231004107"</f>
        <v>B20231004107</v>
      </c>
      <c r="C4487" s="2" t="str">
        <f t="shared" si="1165"/>
        <v>男</v>
      </c>
      <c r="D4487" s="2" t="str">
        <f t="shared" si="1150"/>
        <v>7</v>
      </c>
      <c r="E4487" s="2" t="str">
        <f>"艺术设计学院"</f>
        <v>艺术设计学院</v>
      </c>
    </row>
    <row r="4488" ht="13.5" hidden="1" spans="1:5">
      <c r="A4488" s="2" t="str">
        <f>"汤政霖"</f>
        <v>汤政霖</v>
      </c>
      <c r="B4488" s="2" t="str">
        <f>"B20220103223"</f>
        <v>B20220103223</v>
      </c>
      <c r="C4488" s="2" t="str">
        <f t="shared" si="1165"/>
        <v>男</v>
      </c>
      <c r="D4488" s="2" t="str">
        <f t="shared" si="1150"/>
        <v>7</v>
      </c>
      <c r="E4488" s="2" t="str">
        <f>"土木工程学院"</f>
        <v>土木工程学院</v>
      </c>
    </row>
    <row r="4489" ht="13.5" hidden="1" spans="1:5">
      <c r="A4489" s="2" t="str">
        <f>"黄雨婷"</f>
        <v>黄雨婷</v>
      </c>
      <c r="B4489" s="2" t="str">
        <f>"B20230701325"</f>
        <v>B20230701325</v>
      </c>
      <c r="C4489" s="2" t="str">
        <f>"女"</f>
        <v>女</v>
      </c>
      <c r="D4489" s="2" t="str">
        <f t="shared" si="1150"/>
        <v>7</v>
      </c>
      <c r="E4489" s="2" t="str">
        <f>"马栏山新媒体学院"</f>
        <v>马栏山新媒体学院</v>
      </c>
    </row>
    <row r="4490" ht="13.5" hidden="1" spans="1:5">
      <c r="A4490" s="2" t="str">
        <f>"张韦湘"</f>
        <v>张韦湘</v>
      </c>
      <c r="B4490" s="2" t="str">
        <f>"B20230802217"</f>
        <v>B20230802217</v>
      </c>
      <c r="C4490" s="2" t="str">
        <f t="shared" ref="C4490:C4492" si="1166">"男"</f>
        <v>男</v>
      </c>
      <c r="D4490" s="2" t="str">
        <f t="shared" si="1150"/>
        <v>7</v>
      </c>
      <c r="E4490" s="2" t="str">
        <f>"外国语学院"</f>
        <v>外国语学院</v>
      </c>
    </row>
    <row r="4491" ht="13.5" hidden="1" spans="1:5">
      <c r="A4491" s="2" t="str">
        <f>"康泰鸣"</f>
        <v>康泰鸣</v>
      </c>
      <c r="B4491" s="2" t="str">
        <f>"B20230205124"</f>
        <v>B20230205124</v>
      </c>
      <c r="C4491" s="2" t="str">
        <f t="shared" si="1166"/>
        <v>男</v>
      </c>
      <c r="D4491" s="2" t="str">
        <f t="shared" si="1150"/>
        <v>7</v>
      </c>
      <c r="E4491" s="2" t="str">
        <f t="shared" ref="E4491:E4496" si="1167">"机电工程学院"</f>
        <v>机电工程学院</v>
      </c>
    </row>
    <row r="4492" ht="13.5" hidden="1" spans="1:5">
      <c r="A4492" s="2" t="str">
        <f>"谢飞"</f>
        <v>谢飞</v>
      </c>
      <c r="B4492" s="2" t="str">
        <f>"B20210203210"</f>
        <v>B20210203210</v>
      </c>
      <c r="C4492" s="2" t="str">
        <f t="shared" si="1166"/>
        <v>男</v>
      </c>
      <c r="D4492" s="2" t="str">
        <f t="shared" si="1150"/>
        <v>7</v>
      </c>
      <c r="E4492" s="2" t="str">
        <f t="shared" si="1167"/>
        <v>机电工程学院</v>
      </c>
    </row>
    <row r="4493" ht="13.5" hidden="1" spans="1:5">
      <c r="A4493" s="2" t="str">
        <f>"郭紫涵"</f>
        <v>郭紫涵</v>
      </c>
      <c r="B4493" s="2" t="str">
        <f>"B20230801418"</f>
        <v>B20230801418</v>
      </c>
      <c r="C4493" s="2" t="str">
        <f t="shared" ref="C4493:C4498" si="1168">"女"</f>
        <v>女</v>
      </c>
      <c r="D4493" s="2" t="str">
        <f t="shared" si="1150"/>
        <v>7</v>
      </c>
      <c r="E4493" s="2" t="str">
        <f>"外国语学院"</f>
        <v>外国语学院</v>
      </c>
    </row>
    <row r="4494" ht="13.5" hidden="1" spans="1:5">
      <c r="A4494" s="2" t="str">
        <f>"吴正丹"</f>
        <v>吴正丹</v>
      </c>
      <c r="B4494" s="2" t="str">
        <f>"B20230101214"</f>
        <v>B20230101214</v>
      </c>
      <c r="C4494" s="2" t="str">
        <f>"男"</f>
        <v>男</v>
      </c>
      <c r="D4494" s="2" t="str">
        <f t="shared" si="1150"/>
        <v>7</v>
      </c>
      <c r="E4494" s="2" t="str">
        <f>"土木工程学院"</f>
        <v>土木工程学院</v>
      </c>
    </row>
    <row r="4495" ht="13.5" hidden="1" spans="1:5">
      <c r="A4495" s="2" t="str">
        <f>"杨洁"</f>
        <v>杨洁</v>
      </c>
      <c r="B4495" s="2" t="str">
        <f>"B20220905201"</f>
        <v>B20220905201</v>
      </c>
      <c r="C4495" s="2" t="str">
        <f t="shared" si="1168"/>
        <v>女</v>
      </c>
      <c r="D4495" s="2" t="str">
        <f t="shared" ref="D4495:D4558" si="1169">"7"</f>
        <v>7</v>
      </c>
      <c r="E4495" s="2" t="str">
        <f t="shared" ref="E4495:E4498" si="1170">"经济与管理学院"</f>
        <v>经济与管理学院</v>
      </c>
    </row>
    <row r="4496" ht="13.5" hidden="1" spans="1:5">
      <c r="A4496" s="2" t="str">
        <f>"蒋宇琪"</f>
        <v>蒋宇琪</v>
      </c>
      <c r="B4496" s="2" t="str">
        <f>"B20210203219"</f>
        <v>B20210203219</v>
      </c>
      <c r="C4496" s="2" t="str">
        <f>"男"</f>
        <v>男</v>
      </c>
      <c r="D4496" s="2" t="str">
        <f t="shared" si="1169"/>
        <v>7</v>
      </c>
      <c r="E4496" s="2" t="str">
        <f t="shared" si="1167"/>
        <v>机电工程学院</v>
      </c>
    </row>
    <row r="4497" ht="13.5" hidden="1" spans="1:5">
      <c r="A4497" s="2" t="str">
        <f>"郭思含"</f>
        <v>郭思含</v>
      </c>
      <c r="B4497" s="2" t="str">
        <f>"B20230905233"</f>
        <v>B20230905233</v>
      </c>
      <c r="C4497" s="2" t="str">
        <f t="shared" si="1168"/>
        <v>女</v>
      </c>
      <c r="D4497" s="2" t="str">
        <f t="shared" si="1169"/>
        <v>7</v>
      </c>
      <c r="E4497" s="2" t="str">
        <f t="shared" si="1170"/>
        <v>经济与管理学院</v>
      </c>
    </row>
    <row r="4498" ht="13.5" hidden="1" spans="1:5">
      <c r="A4498" s="2" t="str">
        <f>"彭希"</f>
        <v>彭希</v>
      </c>
      <c r="B4498" s="2" t="str">
        <f>"B20220904223"</f>
        <v>B20220904223</v>
      </c>
      <c r="C4498" s="2" t="str">
        <f t="shared" si="1168"/>
        <v>女</v>
      </c>
      <c r="D4498" s="2" t="str">
        <f t="shared" si="1169"/>
        <v>7</v>
      </c>
      <c r="E4498" s="2" t="str">
        <f t="shared" si="1170"/>
        <v>经济与管理学院</v>
      </c>
    </row>
    <row r="4499" customHeight="1" spans="1:5">
      <c r="A4499" s="6" t="str">
        <f>"赵锦坤"</f>
        <v>赵锦坤</v>
      </c>
      <c r="B4499" s="6" t="str">
        <f>"B20210307211"</f>
        <v>B20210307211</v>
      </c>
      <c r="C4499" s="6" t="str">
        <f>"男"</f>
        <v>男</v>
      </c>
      <c r="D4499" s="7" t="str">
        <f>"1"</f>
        <v>1</v>
      </c>
      <c r="E4499" s="6" t="str">
        <f>"计算机科学与工程学院"</f>
        <v>计算机科学与工程学院</v>
      </c>
    </row>
    <row r="4500" ht="13.5" hidden="1" spans="1:5">
      <c r="A4500" s="2" t="str">
        <f>"张文"</f>
        <v>张文</v>
      </c>
      <c r="B4500" s="2" t="str">
        <f>"B20230904131"</f>
        <v>B20230904131</v>
      </c>
      <c r="C4500" s="2" t="str">
        <f t="shared" ref="C4500:C4508" si="1171">"女"</f>
        <v>女</v>
      </c>
      <c r="D4500" s="2" t="str">
        <f t="shared" si="1169"/>
        <v>7</v>
      </c>
      <c r="E4500" s="2" t="str">
        <f>"经济与管理学院"</f>
        <v>经济与管理学院</v>
      </c>
    </row>
    <row r="4501" ht="13.5" hidden="1" spans="1:5">
      <c r="A4501" s="2" t="str">
        <f>"刘珏"</f>
        <v>刘珏</v>
      </c>
      <c r="B4501" s="2" t="str">
        <f>"B20230803105"</f>
        <v>B20230803105</v>
      </c>
      <c r="C4501" s="2" t="str">
        <f t="shared" si="1171"/>
        <v>女</v>
      </c>
      <c r="D4501" s="2" t="str">
        <f t="shared" si="1169"/>
        <v>7</v>
      </c>
      <c r="E4501" s="2" t="str">
        <f>"外国语学院"</f>
        <v>外国语学院</v>
      </c>
    </row>
    <row r="4502" ht="13.5" hidden="1" spans="1:5">
      <c r="A4502" s="2" t="str">
        <f>"姚俊杰"</f>
        <v>姚俊杰</v>
      </c>
      <c r="B4502" s="2" t="str">
        <f>"B20210202113"</f>
        <v>B20210202113</v>
      </c>
      <c r="C4502" s="2" t="str">
        <f t="shared" ref="C4502:C4504" si="1172">"男"</f>
        <v>男</v>
      </c>
      <c r="D4502" s="2" t="str">
        <f t="shared" si="1169"/>
        <v>7</v>
      </c>
      <c r="E4502" s="2" t="str">
        <f>"机电工程学院"</f>
        <v>机电工程学院</v>
      </c>
    </row>
    <row r="4503" ht="13.5" hidden="1" spans="1:5">
      <c r="A4503" s="2" t="str">
        <f>"王家旺"</f>
        <v>王家旺</v>
      </c>
      <c r="B4503" s="2" t="str">
        <f>"B20220401221"</f>
        <v>B20220401221</v>
      </c>
      <c r="C4503" s="2" t="str">
        <f t="shared" si="1172"/>
        <v>男</v>
      </c>
      <c r="D4503" s="2" t="str">
        <f t="shared" si="1169"/>
        <v>7</v>
      </c>
      <c r="E4503" s="2" t="str">
        <f>"电子信息与电气工程学院"</f>
        <v>电子信息与电气工程学院</v>
      </c>
    </row>
    <row r="4504" ht="13.5" hidden="1" spans="1:5">
      <c r="A4504" s="2" t="str">
        <f>"聂启东"</f>
        <v>聂启东</v>
      </c>
      <c r="B4504" s="2" t="str">
        <f>"B20220204311"</f>
        <v>B20220204311</v>
      </c>
      <c r="C4504" s="2" t="str">
        <f t="shared" si="1172"/>
        <v>男</v>
      </c>
      <c r="D4504" s="2" t="str">
        <f t="shared" si="1169"/>
        <v>7</v>
      </c>
      <c r="E4504" s="2" t="str">
        <f>"机电工程学院"</f>
        <v>机电工程学院</v>
      </c>
    </row>
    <row r="4505" ht="13.5" hidden="1" spans="1:5">
      <c r="A4505" s="2" t="str">
        <f>"谭岳玲"</f>
        <v>谭岳玲</v>
      </c>
      <c r="B4505" s="2" t="str">
        <f>"B20220601512"</f>
        <v>B20220601512</v>
      </c>
      <c r="C4505" s="2" t="str">
        <f t="shared" si="1171"/>
        <v>女</v>
      </c>
      <c r="D4505" s="2" t="str">
        <f t="shared" si="1169"/>
        <v>7</v>
      </c>
      <c r="E4505" s="2" t="str">
        <f>"法学院"</f>
        <v>法学院</v>
      </c>
    </row>
    <row r="4506" ht="13.5" hidden="1" spans="1:5">
      <c r="A4506" s="2" t="str">
        <f>"颜慕晴"</f>
        <v>颜慕晴</v>
      </c>
      <c r="B4506" s="2" t="str">
        <f>"B20211002104"</f>
        <v>B20211002104</v>
      </c>
      <c r="C4506" s="2" t="str">
        <f t="shared" si="1171"/>
        <v>女</v>
      </c>
      <c r="D4506" s="2" t="str">
        <f t="shared" si="1169"/>
        <v>7</v>
      </c>
      <c r="E4506" s="2" t="str">
        <f>"艺术设计学院"</f>
        <v>艺术设计学院</v>
      </c>
    </row>
    <row r="4507" ht="13.5" hidden="1" spans="1:5">
      <c r="A4507" s="2" t="str">
        <f>"易笑薇"</f>
        <v>易笑薇</v>
      </c>
      <c r="B4507" s="2" t="str">
        <f>"B20220703116"</f>
        <v>B20220703116</v>
      </c>
      <c r="C4507" s="2" t="str">
        <f t="shared" si="1171"/>
        <v>女</v>
      </c>
      <c r="D4507" s="2" t="str">
        <f t="shared" si="1169"/>
        <v>7</v>
      </c>
      <c r="E4507" s="2" t="str">
        <f>"马栏山新媒体学院"</f>
        <v>马栏山新媒体学院</v>
      </c>
    </row>
    <row r="4508" ht="13.5" hidden="1" spans="1:5">
      <c r="A4508" s="2" t="str">
        <f>"张晓芸"</f>
        <v>张晓芸</v>
      </c>
      <c r="B4508" s="2" t="str">
        <f>"B20201101323"</f>
        <v>B20201101323</v>
      </c>
      <c r="C4508" s="2" t="str">
        <f t="shared" si="1171"/>
        <v>女</v>
      </c>
      <c r="D4508" s="2" t="str">
        <f t="shared" si="1169"/>
        <v>7</v>
      </c>
      <c r="E4508" s="2" t="str">
        <f>"音乐学院"</f>
        <v>音乐学院</v>
      </c>
    </row>
    <row r="4509" ht="13.5" hidden="1" spans="1:5">
      <c r="A4509" s="2" t="str">
        <f>"游根厚"</f>
        <v>游根厚</v>
      </c>
      <c r="B4509" s="2" t="str">
        <f>"B20230204206"</f>
        <v>B20230204206</v>
      </c>
      <c r="C4509" s="2" t="str">
        <f>"男"</f>
        <v>男</v>
      </c>
      <c r="D4509" s="2" t="str">
        <f t="shared" si="1169"/>
        <v>7</v>
      </c>
      <c r="E4509" s="2" t="str">
        <f>"机电工程学院"</f>
        <v>机电工程学院</v>
      </c>
    </row>
    <row r="4510" ht="13.5" hidden="1" spans="1:5">
      <c r="A4510" s="2" t="str">
        <f>"彭莉萍"</f>
        <v>彭莉萍</v>
      </c>
      <c r="B4510" s="2" t="str">
        <f>"B20210402112"</f>
        <v>B20210402112</v>
      </c>
      <c r="C4510" s="2" t="str">
        <f t="shared" ref="C4510:C4515" si="1173">"女"</f>
        <v>女</v>
      </c>
      <c r="D4510" s="2" t="str">
        <f t="shared" si="1169"/>
        <v>7</v>
      </c>
      <c r="E4510" s="2" t="str">
        <f>"电子信息与电气工程学院"</f>
        <v>电子信息与电气工程学院</v>
      </c>
    </row>
    <row r="4511" ht="13.5" hidden="1" spans="1:5">
      <c r="A4511" s="2" t="str">
        <f>"姜祉馨"</f>
        <v>姜祉馨</v>
      </c>
      <c r="B4511" s="2" t="str">
        <f>"B20230906124"</f>
        <v>B20230906124</v>
      </c>
      <c r="C4511" s="2" t="str">
        <f t="shared" si="1173"/>
        <v>女</v>
      </c>
      <c r="D4511" s="2" t="str">
        <f t="shared" si="1169"/>
        <v>7</v>
      </c>
      <c r="E4511" s="2" t="str">
        <f>"经济与管理学院"</f>
        <v>经济与管理学院</v>
      </c>
    </row>
    <row r="4512" customHeight="1" spans="1:5">
      <c r="A4512" s="6" t="str">
        <f>"王家欣"</f>
        <v>王家欣</v>
      </c>
      <c r="B4512" s="6" t="str">
        <f>"B20210307212"</f>
        <v>B20210307212</v>
      </c>
      <c r="C4512" s="6" t="str">
        <f>"男"</f>
        <v>男</v>
      </c>
      <c r="D4512" s="7" t="str">
        <f>"6"</f>
        <v>6</v>
      </c>
      <c r="E4512" s="6" t="str">
        <f>"计算机科学与工程学院"</f>
        <v>计算机科学与工程学院</v>
      </c>
    </row>
    <row r="4513" ht="13.5" hidden="1" spans="1:5">
      <c r="A4513" s="2" t="str">
        <f>"郑倩"</f>
        <v>郑倩</v>
      </c>
      <c r="B4513" s="2" t="str">
        <f>"B20230703213"</f>
        <v>B20230703213</v>
      </c>
      <c r="C4513" s="2" t="str">
        <f t="shared" si="1173"/>
        <v>女</v>
      </c>
      <c r="D4513" s="2" t="str">
        <f t="shared" si="1169"/>
        <v>7</v>
      </c>
      <c r="E4513" s="2" t="str">
        <f>"马栏山新媒体学院"</f>
        <v>马栏山新媒体学院</v>
      </c>
    </row>
    <row r="4514" ht="13.5" hidden="1" spans="1:5">
      <c r="A4514" s="2" t="str">
        <f>"周天娇"</f>
        <v>周天娇</v>
      </c>
      <c r="B4514" s="2" t="str">
        <f>"B20220903113"</f>
        <v>B20220903113</v>
      </c>
      <c r="C4514" s="2" t="str">
        <f t="shared" si="1173"/>
        <v>女</v>
      </c>
      <c r="D4514" s="2" t="str">
        <f t="shared" si="1169"/>
        <v>7</v>
      </c>
      <c r="E4514" s="2" t="str">
        <f>"经济与管理学院"</f>
        <v>经济与管理学院</v>
      </c>
    </row>
    <row r="4515" ht="13.5" hidden="1" spans="1:5">
      <c r="A4515" s="2" t="str">
        <f>"李芳"</f>
        <v>李芳</v>
      </c>
      <c r="B4515" s="2" t="str">
        <f>"B20200801614"</f>
        <v>B20200801614</v>
      </c>
      <c r="C4515" s="2" t="str">
        <f t="shared" si="1173"/>
        <v>女</v>
      </c>
      <c r="D4515" s="2" t="str">
        <f t="shared" si="1169"/>
        <v>7</v>
      </c>
      <c r="E4515" s="2" t="str">
        <f>"外国语学院"</f>
        <v>外国语学院</v>
      </c>
    </row>
    <row r="4516" ht="13.5" hidden="1" spans="1:5">
      <c r="A4516" s="2" t="str">
        <f>"蒙耀鹏"</f>
        <v>蒙耀鹏</v>
      </c>
      <c r="B4516" s="2" t="str">
        <f>"B20201002112"</f>
        <v>B20201002112</v>
      </c>
      <c r="C4516" s="2" t="str">
        <f t="shared" ref="C4516:C4519" si="1174">"男"</f>
        <v>男</v>
      </c>
      <c r="D4516" s="2" t="str">
        <f t="shared" si="1169"/>
        <v>7</v>
      </c>
      <c r="E4516" s="2" t="str">
        <f>"艺术设计学院"</f>
        <v>艺术设计学院</v>
      </c>
    </row>
    <row r="4517" ht="13.5" hidden="1" spans="1:5">
      <c r="A4517" s="2" t="str">
        <f>"李汶沛"</f>
        <v>李汶沛</v>
      </c>
      <c r="B4517" s="2" t="str">
        <f>"B20230701205"</f>
        <v>B20230701205</v>
      </c>
      <c r="C4517" s="2" t="str">
        <f>"女"</f>
        <v>女</v>
      </c>
      <c r="D4517" s="2" t="str">
        <f t="shared" si="1169"/>
        <v>7</v>
      </c>
      <c r="E4517" s="2" t="str">
        <f>"马栏山新媒体学院"</f>
        <v>马栏山新媒体学院</v>
      </c>
    </row>
    <row r="4518" ht="13.5" hidden="1" spans="1:5">
      <c r="A4518" s="2" t="str">
        <f>"文勇波"</f>
        <v>文勇波</v>
      </c>
      <c r="B4518" s="2" t="str">
        <f>"B20200401319"</f>
        <v>B20200401319</v>
      </c>
      <c r="C4518" s="2" t="str">
        <f t="shared" si="1174"/>
        <v>男</v>
      </c>
      <c r="D4518" s="2" t="str">
        <f t="shared" si="1169"/>
        <v>7</v>
      </c>
      <c r="E4518" s="2" t="str">
        <f>"电子信息与电气工程学院"</f>
        <v>电子信息与电气工程学院</v>
      </c>
    </row>
    <row r="4519" ht="13.5" hidden="1" spans="1:5">
      <c r="A4519" s="2" t="str">
        <f>"徐马宇"</f>
        <v>徐马宇</v>
      </c>
      <c r="B4519" s="2" t="str">
        <f>"B20221001217"</f>
        <v>B20221001217</v>
      </c>
      <c r="C4519" s="2" t="str">
        <f t="shared" si="1174"/>
        <v>男</v>
      </c>
      <c r="D4519" s="2" t="str">
        <f t="shared" si="1169"/>
        <v>7</v>
      </c>
      <c r="E4519" s="2" t="str">
        <f>"艺术设计学院"</f>
        <v>艺术设计学院</v>
      </c>
    </row>
    <row r="4520" ht="13.5" hidden="1" spans="1:5">
      <c r="A4520" s="2" t="str">
        <f>"贺欢"</f>
        <v>贺欢</v>
      </c>
      <c r="B4520" s="2" t="str">
        <f>"B20200906130"</f>
        <v>B20200906130</v>
      </c>
      <c r="C4520" s="2" t="str">
        <f>"女"</f>
        <v>女</v>
      </c>
      <c r="D4520" s="2" t="str">
        <f t="shared" si="1169"/>
        <v>7</v>
      </c>
      <c r="E4520" s="2" t="str">
        <f>"经济与管理学院"</f>
        <v>经济与管理学院</v>
      </c>
    </row>
    <row r="4521" ht="13.5" hidden="1" spans="1:5">
      <c r="A4521" s="2" t="str">
        <f>"朱建国"</f>
        <v>朱建国</v>
      </c>
      <c r="B4521" s="2" t="str">
        <f>"B20220202230"</f>
        <v>B20220202230</v>
      </c>
      <c r="C4521" s="2" t="str">
        <f t="shared" ref="C4521:C4528" si="1175">"男"</f>
        <v>男</v>
      </c>
      <c r="D4521" s="2" t="str">
        <f t="shared" si="1169"/>
        <v>7</v>
      </c>
      <c r="E4521" s="2" t="str">
        <f>"机电工程学院"</f>
        <v>机电工程学院</v>
      </c>
    </row>
    <row r="4522" customHeight="1" spans="1:5">
      <c r="A4522" s="6" t="str">
        <f>"胡雯婕"</f>
        <v>胡雯婕</v>
      </c>
      <c r="B4522" s="6" t="str">
        <f>"B20210307213"</f>
        <v>B20210307213</v>
      </c>
      <c r="C4522" s="6" t="str">
        <f>"女"</f>
        <v>女</v>
      </c>
      <c r="D4522" s="7" t="str">
        <f>"19"</f>
        <v>19</v>
      </c>
      <c r="E4522" s="6" t="str">
        <f>"计算机科学与工程学院"</f>
        <v>计算机科学与工程学院</v>
      </c>
    </row>
    <row r="4523" ht="13.5" hidden="1" spans="1:5">
      <c r="A4523" s="2" t="str">
        <f>"邹玉程"</f>
        <v>邹玉程</v>
      </c>
      <c r="B4523" s="2" t="str">
        <f>"B20230404104"</f>
        <v>B20230404104</v>
      </c>
      <c r="C4523" s="2" t="str">
        <f t="shared" si="1175"/>
        <v>男</v>
      </c>
      <c r="D4523" s="2" t="str">
        <f t="shared" si="1169"/>
        <v>7</v>
      </c>
      <c r="E4523" s="2" t="str">
        <f>"电子信息与电气工程学院"</f>
        <v>电子信息与电气工程学院</v>
      </c>
    </row>
    <row r="4524" ht="13.5" hidden="1" spans="1:5">
      <c r="A4524" s="2" t="str">
        <f>"欧阳斯陶"</f>
        <v>欧阳斯陶</v>
      </c>
      <c r="B4524" s="2" t="str">
        <f>"B20200501125"</f>
        <v>B20200501125</v>
      </c>
      <c r="C4524" s="2" t="str">
        <f t="shared" ref="C4524:C4529" si="1176">"女"</f>
        <v>女</v>
      </c>
      <c r="D4524" s="2" t="str">
        <f t="shared" si="1169"/>
        <v>7</v>
      </c>
      <c r="E4524" s="2" t="str">
        <f>"生物与环境工程学院"</f>
        <v>生物与环境工程学院</v>
      </c>
    </row>
    <row r="4525" ht="13.5" hidden="1" spans="1:5">
      <c r="A4525" s="2" t="str">
        <f>"陶柯吕"</f>
        <v>陶柯吕</v>
      </c>
      <c r="B4525" s="2" t="str">
        <f>"B20220904233"</f>
        <v>B20220904233</v>
      </c>
      <c r="C4525" s="2" t="str">
        <f t="shared" si="1176"/>
        <v>女</v>
      </c>
      <c r="D4525" s="2" t="str">
        <f t="shared" si="1169"/>
        <v>7</v>
      </c>
      <c r="E4525" s="2" t="str">
        <f>"经济与管理学院"</f>
        <v>经济与管理学院</v>
      </c>
    </row>
    <row r="4526" ht="13.5" hidden="1" spans="1:5">
      <c r="A4526" s="2" t="str">
        <f>"李士棋"</f>
        <v>李士棋</v>
      </c>
      <c r="B4526" s="2" t="str">
        <f>"B20220201314"</f>
        <v>B20220201314</v>
      </c>
      <c r="C4526" s="2" t="str">
        <f t="shared" si="1175"/>
        <v>男</v>
      </c>
      <c r="D4526" s="2" t="str">
        <f t="shared" si="1169"/>
        <v>7</v>
      </c>
      <c r="E4526" s="2" t="str">
        <f>"机电工程学院"</f>
        <v>机电工程学院</v>
      </c>
    </row>
    <row r="4527" ht="13.5" hidden="1" spans="1:5">
      <c r="A4527" s="2" t="str">
        <f>"卜颖城"</f>
        <v>卜颖城</v>
      </c>
      <c r="B4527" s="2" t="str">
        <f>"B20220104221"</f>
        <v>B20220104221</v>
      </c>
      <c r="C4527" s="2" t="str">
        <f t="shared" si="1175"/>
        <v>男</v>
      </c>
      <c r="D4527" s="2" t="str">
        <f t="shared" si="1169"/>
        <v>7</v>
      </c>
      <c r="E4527" s="2" t="str">
        <f>"土木工程学院"</f>
        <v>土木工程学院</v>
      </c>
    </row>
    <row r="4528" ht="13.5" hidden="1" spans="1:5">
      <c r="A4528" s="2" t="str">
        <f>"黄翰林"</f>
        <v>黄翰林</v>
      </c>
      <c r="B4528" s="2" t="str">
        <f>"B20220204326"</f>
        <v>B20220204326</v>
      </c>
      <c r="C4528" s="2" t="str">
        <f t="shared" si="1175"/>
        <v>男</v>
      </c>
      <c r="D4528" s="2" t="str">
        <f t="shared" si="1169"/>
        <v>7</v>
      </c>
      <c r="E4528" s="2" t="str">
        <f>"机电工程学院"</f>
        <v>机电工程学院</v>
      </c>
    </row>
    <row r="4529" ht="13.5" hidden="1" spans="1:5">
      <c r="A4529" s="2" t="str">
        <f>"郑倩清"</f>
        <v>郑倩清</v>
      </c>
      <c r="B4529" s="2" t="str">
        <f>"B20210902324"</f>
        <v>B20210902324</v>
      </c>
      <c r="C4529" s="2" t="str">
        <f t="shared" si="1176"/>
        <v>女</v>
      </c>
      <c r="D4529" s="2" t="str">
        <f t="shared" si="1169"/>
        <v>7</v>
      </c>
      <c r="E4529" s="2" t="str">
        <f>"经济与管理学院"</f>
        <v>经济与管理学院</v>
      </c>
    </row>
    <row r="4530" ht="13.5" hidden="1" spans="1:5">
      <c r="A4530" s="2" t="str">
        <f>"游德钊"</f>
        <v>游德钊</v>
      </c>
      <c r="B4530" s="2" t="str">
        <f>"B20230803217"</f>
        <v>B20230803217</v>
      </c>
      <c r="C4530" s="2" t="str">
        <f>"男"</f>
        <v>男</v>
      </c>
      <c r="D4530" s="2" t="str">
        <f t="shared" si="1169"/>
        <v>7</v>
      </c>
      <c r="E4530" s="2" t="str">
        <f>"外国语学院"</f>
        <v>外国语学院</v>
      </c>
    </row>
    <row r="4531" ht="13.5" hidden="1" spans="1:5">
      <c r="A4531" s="2" t="str">
        <f>"江艳"</f>
        <v>江艳</v>
      </c>
      <c r="B4531" s="2" t="str">
        <f>"B20210601428"</f>
        <v>B20210601428</v>
      </c>
      <c r="C4531" s="2" t="str">
        <f t="shared" ref="C4531:C4534" si="1177">"女"</f>
        <v>女</v>
      </c>
      <c r="D4531" s="2" t="str">
        <f t="shared" si="1169"/>
        <v>7</v>
      </c>
      <c r="E4531" s="2" t="str">
        <f>"法学院"</f>
        <v>法学院</v>
      </c>
    </row>
    <row r="4532" ht="13.5" hidden="1" spans="1:5">
      <c r="A4532" s="2" t="str">
        <f>"郑瑾帼"</f>
        <v>郑瑾帼</v>
      </c>
      <c r="B4532" s="2" t="str">
        <f>"B20200703217"</f>
        <v>B20200703217</v>
      </c>
      <c r="C4532" s="2" t="str">
        <f t="shared" si="1177"/>
        <v>女</v>
      </c>
      <c r="D4532" s="2" t="str">
        <f t="shared" si="1169"/>
        <v>7</v>
      </c>
      <c r="E4532" s="2" t="str">
        <f>"马栏山新媒体学院"</f>
        <v>马栏山新媒体学院</v>
      </c>
    </row>
    <row r="4533" ht="13.5" hidden="1" spans="1:5">
      <c r="A4533" s="2" t="str">
        <f>"张嘉轩"</f>
        <v>张嘉轩</v>
      </c>
      <c r="B4533" s="2" t="str">
        <f>"B20220202202"</f>
        <v>B20220202202</v>
      </c>
      <c r="C4533" s="2" t="str">
        <f>"男"</f>
        <v>男</v>
      </c>
      <c r="D4533" s="2" t="str">
        <f t="shared" si="1169"/>
        <v>7</v>
      </c>
      <c r="E4533" s="2" t="str">
        <f>"机电工程学院"</f>
        <v>机电工程学院</v>
      </c>
    </row>
    <row r="4534" ht="13.5" hidden="1" spans="1:5">
      <c r="A4534" s="2" t="str">
        <f>"赵清欣"</f>
        <v>赵清欣</v>
      </c>
      <c r="B4534" s="2" t="str">
        <f>"B20220701432"</f>
        <v>B20220701432</v>
      </c>
      <c r="C4534" s="2" t="str">
        <f t="shared" si="1177"/>
        <v>女</v>
      </c>
      <c r="D4534" s="2" t="str">
        <f t="shared" si="1169"/>
        <v>7</v>
      </c>
      <c r="E4534" s="2" t="str">
        <f>"马栏山新媒体学院"</f>
        <v>马栏山新媒体学院</v>
      </c>
    </row>
    <row r="4535" customHeight="1" spans="1:5">
      <c r="A4535" s="6" t="str">
        <f>"胡弘熙"</f>
        <v>胡弘熙</v>
      </c>
      <c r="B4535" s="6" t="str">
        <f>"B20210307214"</f>
        <v>B20210307214</v>
      </c>
      <c r="C4535" s="6" t="str">
        <f>"男"</f>
        <v>男</v>
      </c>
      <c r="D4535" s="7" t="str">
        <f>"1"</f>
        <v>1</v>
      </c>
      <c r="E4535" s="6" t="str">
        <f>"计算机科学与工程学院"</f>
        <v>计算机科学与工程学院</v>
      </c>
    </row>
    <row r="4536" ht="13.5" hidden="1" spans="1:5">
      <c r="A4536" s="2" t="str">
        <f>"殷梓怡"</f>
        <v>殷梓怡</v>
      </c>
      <c r="B4536" s="2" t="str">
        <f>"B20201111217"</f>
        <v>B20201111217</v>
      </c>
      <c r="C4536" s="2" t="str">
        <f t="shared" ref="C4536:C4542" si="1178">"女"</f>
        <v>女</v>
      </c>
      <c r="D4536" s="2" t="str">
        <f t="shared" si="1169"/>
        <v>7</v>
      </c>
      <c r="E4536" s="2" t="str">
        <f>"音乐学院"</f>
        <v>音乐学院</v>
      </c>
    </row>
    <row r="4537" ht="13.5" hidden="1" spans="1:5">
      <c r="A4537" s="2" t="str">
        <f>"丁琳力"</f>
        <v>丁琳力</v>
      </c>
      <c r="B4537" s="2" t="str">
        <f>"B20200901113"</f>
        <v>B20200901113</v>
      </c>
      <c r="C4537" s="2" t="str">
        <f t="shared" si="1178"/>
        <v>女</v>
      </c>
      <c r="D4537" s="2" t="str">
        <f t="shared" si="1169"/>
        <v>7</v>
      </c>
      <c r="E4537" s="2" t="str">
        <f t="shared" ref="E4537:E4542" si="1179">"经济与管理学院"</f>
        <v>经济与管理学院</v>
      </c>
    </row>
    <row r="4538" customHeight="1" spans="1:5">
      <c r="A4538" s="6" t="str">
        <f>"刘熙"</f>
        <v>刘熙</v>
      </c>
      <c r="B4538" s="6" t="str">
        <f>"B20210307215"</f>
        <v>B20210307215</v>
      </c>
      <c r="C4538" s="6" t="str">
        <f>"男"</f>
        <v>男</v>
      </c>
      <c r="D4538" s="7" t="str">
        <f t="shared" si="1169"/>
        <v>7</v>
      </c>
      <c r="E4538" s="6" t="str">
        <f>"计算机科学与工程学院"</f>
        <v>计算机科学与工程学院</v>
      </c>
    </row>
    <row r="4539" ht="13.5" hidden="1" spans="1:5">
      <c r="A4539" s="2" t="str">
        <f>"许易晟"</f>
        <v>许易晟</v>
      </c>
      <c r="B4539" s="2" t="str">
        <f>"B20220403203"</f>
        <v>B20220403203</v>
      </c>
      <c r="C4539" s="2" t="str">
        <f t="shared" ref="C4538:C4540" si="1180">"男"</f>
        <v>男</v>
      </c>
      <c r="D4539" s="2" t="str">
        <f t="shared" si="1169"/>
        <v>7</v>
      </c>
      <c r="E4539" s="2" t="str">
        <f>"电子信息与电气工程学院"</f>
        <v>电子信息与电气工程学院</v>
      </c>
    </row>
    <row r="4540" ht="13.5" hidden="1" spans="1:5">
      <c r="A4540" s="2" t="str">
        <f>"方庆宇"</f>
        <v>方庆宇</v>
      </c>
      <c r="B4540" s="2" t="str">
        <f>"B20220901235"</f>
        <v>B20220901235</v>
      </c>
      <c r="C4540" s="2" t="str">
        <f t="shared" si="1180"/>
        <v>男</v>
      </c>
      <c r="D4540" s="2" t="str">
        <f t="shared" si="1169"/>
        <v>7</v>
      </c>
      <c r="E4540" s="2" t="str">
        <f t="shared" si="1179"/>
        <v>经济与管理学院</v>
      </c>
    </row>
    <row r="4541" ht="13.5" hidden="1" spans="1:5">
      <c r="A4541" s="2" t="str">
        <f>"胡慧雯"</f>
        <v>胡慧雯</v>
      </c>
      <c r="B4541" s="2" t="str">
        <f>"B20230801126"</f>
        <v>B20230801126</v>
      </c>
      <c r="C4541" s="2" t="str">
        <f t="shared" si="1178"/>
        <v>女</v>
      </c>
      <c r="D4541" s="2" t="str">
        <f t="shared" si="1169"/>
        <v>7</v>
      </c>
      <c r="E4541" s="2" t="str">
        <f>"外国语学院"</f>
        <v>外国语学院</v>
      </c>
    </row>
    <row r="4542" ht="13.5" hidden="1" spans="1:5">
      <c r="A4542" s="2" t="str">
        <f>"谭清玲"</f>
        <v>谭清玲</v>
      </c>
      <c r="B4542" s="2" t="str">
        <f>"B20230902207"</f>
        <v>B20230902207</v>
      </c>
      <c r="C4542" s="2" t="str">
        <f t="shared" si="1178"/>
        <v>女</v>
      </c>
      <c r="D4542" s="2" t="str">
        <f t="shared" si="1169"/>
        <v>7</v>
      </c>
      <c r="E4542" s="2" t="str">
        <f t="shared" si="1179"/>
        <v>经济与管理学院</v>
      </c>
    </row>
    <row r="4543" ht="13.5" hidden="1" spans="1:5">
      <c r="A4543" s="2" t="str">
        <f>"梁程峰"</f>
        <v>梁程峰</v>
      </c>
      <c r="B4543" s="2" t="str">
        <f>"B20230404130"</f>
        <v>B20230404130</v>
      </c>
      <c r="C4543" s="2" t="str">
        <f t="shared" ref="C4543:C4548" si="1181">"男"</f>
        <v>男</v>
      </c>
      <c r="D4543" s="2" t="str">
        <f t="shared" si="1169"/>
        <v>7</v>
      </c>
      <c r="E4543" s="2" t="str">
        <f>"电子信息与电气工程学院"</f>
        <v>电子信息与电气工程学院</v>
      </c>
    </row>
    <row r="4544" ht="13.5" hidden="1" spans="1:5">
      <c r="A4544" s="2" t="str">
        <f>"李轩"</f>
        <v>李轩</v>
      </c>
      <c r="B4544" s="2" t="str">
        <f>"B20230601113"</f>
        <v>B20230601113</v>
      </c>
      <c r="C4544" s="2" t="str">
        <f t="shared" ref="C4544:C4549" si="1182">"女"</f>
        <v>女</v>
      </c>
      <c r="D4544" s="2" t="str">
        <f t="shared" si="1169"/>
        <v>7</v>
      </c>
      <c r="E4544" s="2" t="str">
        <f>"法学院"</f>
        <v>法学院</v>
      </c>
    </row>
    <row r="4545" ht="13.5" hidden="1" spans="1:5">
      <c r="A4545" s="2" t="str">
        <f>"晏蓉翔"</f>
        <v>晏蓉翔</v>
      </c>
      <c r="B4545" s="2" t="str">
        <f>"B20220801114"</f>
        <v>B20220801114</v>
      </c>
      <c r="C4545" s="2" t="str">
        <f t="shared" si="1182"/>
        <v>女</v>
      </c>
      <c r="D4545" s="2" t="str">
        <f t="shared" si="1169"/>
        <v>7</v>
      </c>
      <c r="E4545" s="2" t="str">
        <f>"外国语学院"</f>
        <v>外国语学院</v>
      </c>
    </row>
    <row r="4546" ht="13.5" hidden="1" spans="1:5">
      <c r="A4546" s="2" t="str">
        <f>"尹康"</f>
        <v>尹康</v>
      </c>
      <c r="B4546" s="2" t="str">
        <f>"B20231301227"</f>
        <v>B20231301227</v>
      </c>
      <c r="C4546" s="2" t="str">
        <f t="shared" si="1181"/>
        <v>男</v>
      </c>
      <c r="D4546" s="2" t="str">
        <f t="shared" si="1169"/>
        <v>7</v>
      </c>
      <c r="E4546" s="2" t="str">
        <f>"材料与环境工程学院"</f>
        <v>材料与环境工程学院</v>
      </c>
    </row>
    <row r="4547" ht="13.5" hidden="1" spans="1:5">
      <c r="A4547" s="2" t="str">
        <f>"王涵"</f>
        <v>王涵</v>
      </c>
      <c r="B4547" s="2" t="str">
        <f>"B20231111216"</f>
        <v>B20231111216</v>
      </c>
      <c r="C4547" s="2" t="str">
        <f t="shared" si="1181"/>
        <v>男</v>
      </c>
      <c r="D4547" s="2" t="str">
        <f t="shared" si="1169"/>
        <v>7</v>
      </c>
      <c r="E4547" s="2" t="str">
        <f>"音乐学院"</f>
        <v>音乐学院</v>
      </c>
    </row>
    <row r="4548" ht="13.5" hidden="1" spans="1:5">
      <c r="A4548" s="2" t="str">
        <f>"颜加乐"</f>
        <v>颜加乐</v>
      </c>
      <c r="B4548" s="2" t="str">
        <f>"B20220204413"</f>
        <v>B20220204413</v>
      </c>
      <c r="C4548" s="2" t="str">
        <f t="shared" si="1181"/>
        <v>男</v>
      </c>
      <c r="D4548" s="2" t="str">
        <f t="shared" si="1169"/>
        <v>7</v>
      </c>
      <c r="E4548" s="2" t="str">
        <f>"机电工程学院"</f>
        <v>机电工程学院</v>
      </c>
    </row>
    <row r="4549" ht="13.5" hidden="1" spans="1:5">
      <c r="A4549" s="2" t="str">
        <f>"吴佳萱"</f>
        <v>吴佳萱</v>
      </c>
      <c r="B4549" s="2" t="str">
        <f>"B20230601507"</f>
        <v>B20230601507</v>
      </c>
      <c r="C4549" s="2" t="str">
        <f t="shared" si="1182"/>
        <v>女</v>
      </c>
      <c r="D4549" s="2" t="str">
        <f t="shared" si="1169"/>
        <v>7</v>
      </c>
      <c r="E4549" s="2" t="str">
        <f>"法学院"</f>
        <v>法学院</v>
      </c>
    </row>
    <row r="4550" ht="13.5" hidden="1" spans="1:5">
      <c r="A4550" s="2" t="str">
        <f>"严俊逸"</f>
        <v>严俊逸</v>
      </c>
      <c r="B4550" s="2" t="str">
        <f>"B20230205214"</f>
        <v>B20230205214</v>
      </c>
      <c r="C4550" s="2" t="str">
        <f t="shared" ref="C4550:C4555" si="1183">"男"</f>
        <v>男</v>
      </c>
      <c r="D4550" s="2" t="str">
        <f t="shared" si="1169"/>
        <v>7</v>
      </c>
      <c r="E4550" s="2" t="str">
        <f>"机电工程学院"</f>
        <v>机电工程学院</v>
      </c>
    </row>
    <row r="4551" ht="13.5" hidden="1" spans="1:5">
      <c r="A4551" s="2" t="str">
        <f>"谢勇搏"</f>
        <v>谢勇搏</v>
      </c>
      <c r="B4551" s="2" t="str">
        <f>"B20210903219"</f>
        <v>B20210903219</v>
      </c>
      <c r="C4551" s="2" t="str">
        <f t="shared" si="1183"/>
        <v>男</v>
      </c>
      <c r="D4551" s="2" t="str">
        <f t="shared" si="1169"/>
        <v>7</v>
      </c>
      <c r="E4551" s="2" t="str">
        <f>"经济与管理学院"</f>
        <v>经济与管理学院</v>
      </c>
    </row>
    <row r="4552" ht="13.5" hidden="1" spans="1:5">
      <c r="A4552" s="2" t="str">
        <f>"游丰豪"</f>
        <v>游丰豪</v>
      </c>
      <c r="B4552" s="2" t="str">
        <f>"B20220901131"</f>
        <v>B20220901131</v>
      </c>
      <c r="C4552" s="2" t="str">
        <f t="shared" si="1183"/>
        <v>男</v>
      </c>
      <c r="D4552" s="2" t="str">
        <f t="shared" si="1169"/>
        <v>7</v>
      </c>
      <c r="E4552" s="2" t="str">
        <f>"经济与管理学院"</f>
        <v>经济与管理学院</v>
      </c>
    </row>
    <row r="4553" customHeight="1" spans="1:5">
      <c r="A4553" s="6" t="str">
        <f>"周兴耀"</f>
        <v>周兴耀</v>
      </c>
      <c r="B4553" s="6" t="str">
        <f>"B20210307216"</f>
        <v>B20210307216</v>
      </c>
      <c r="C4553" s="6" t="str">
        <f t="shared" si="1183"/>
        <v>男</v>
      </c>
      <c r="D4553" s="7" t="str">
        <f>"6"</f>
        <v>6</v>
      </c>
      <c r="E4553" s="6" t="str">
        <f>"计算机科学与工程学院"</f>
        <v>计算机科学与工程学院</v>
      </c>
    </row>
    <row r="4554" customHeight="1" spans="1:5">
      <c r="A4554" s="6" t="str">
        <f>"艾甜"</f>
        <v>艾甜</v>
      </c>
      <c r="B4554" s="6" t="str">
        <f>"B20210307217"</f>
        <v>B20210307217</v>
      </c>
      <c r="C4554" s="6" t="str">
        <f t="shared" si="1183"/>
        <v>男</v>
      </c>
      <c r="D4554" s="7" t="str">
        <f>"1"</f>
        <v>1</v>
      </c>
      <c r="E4554" s="6" t="str">
        <f>"计算机科学与工程学院"</f>
        <v>计算机科学与工程学院</v>
      </c>
    </row>
    <row r="4555" ht="13.5" hidden="1" spans="1:5">
      <c r="A4555" s="2" t="str">
        <f>"肖杨文"</f>
        <v>肖杨文</v>
      </c>
      <c r="B4555" s="2" t="str">
        <f>"B20220403321"</f>
        <v>B20220403321</v>
      </c>
      <c r="C4555" s="2" t="str">
        <f t="shared" si="1183"/>
        <v>男</v>
      </c>
      <c r="D4555" s="2" t="str">
        <f t="shared" si="1169"/>
        <v>7</v>
      </c>
      <c r="E4555" s="2" t="str">
        <f>"电子信息与电气工程学院"</f>
        <v>电子信息与电气工程学院</v>
      </c>
    </row>
    <row r="4556" ht="13.5" hidden="1" spans="1:5">
      <c r="A4556" s="2" t="str">
        <f>"郭珊"</f>
        <v>郭珊</v>
      </c>
      <c r="B4556" s="2" t="str">
        <f>"B20220801415"</f>
        <v>B20220801415</v>
      </c>
      <c r="C4556" s="2" t="str">
        <f t="shared" ref="C4556:C4559" si="1184">"女"</f>
        <v>女</v>
      </c>
      <c r="D4556" s="2" t="str">
        <f t="shared" si="1169"/>
        <v>7</v>
      </c>
      <c r="E4556" s="2" t="str">
        <f>"外国语学院"</f>
        <v>外国语学院</v>
      </c>
    </row>
    <row r="4557" ht="13.5" hidden="1" spans="1:5">
      <c r="A4557" s="2" t="str">
        <f>"杨锦"</f>
        <v>杨锦</v>
      </c>
      <c r="B4557" s="2" t="str">
        <f>"B20200102227"</f>
        <v>B20200102227</v>
      </c>
      <c r="C4557" s="2" t="str">
        <f t="shared" ref="C4557:C4563" si="1185">"男"</f>
        <v>男</v>
      </c>
      <c r="D4557" s="2" t="str">
        <f t="shared" si="1169"/>
        <v>7</v>
      </c>
      <c r="E4557" s="2" t="str">
        <f>"土木工程学院"</f>
        <v>土木工程学院</v>
      </c>
    </row>
    <row r="4558" ht="13.5" hidden="1" spans="1:5">
      <c r="A4558" s="2" t="str">
        <f>"何倩"</f>
        <v>何倩</v>
      </c>
      <c r="B4558" s="2" t="str">
        <f>"B20210906136"</f>
        <v>B20210906136</v>
      </c>
      <c r="C4558" s="2" t="str">
        <f t="shared" si="1184"/>
        <v>女</v>
      </c>
      <c r="D4558" s="2" t="str">
        <f t="shared" si="1169"/>
        <v>7</v>
      </c>
      <c r="E4558" s="2" t="str">
        <f t="shared" ref="E4558:E4564" si="1186">"经济与管理学院"</f>
        <v>经济与管理学院</v>
      </c>
    </row>
    <row r="4559" ht="13.5" hidden="1" spans="1:5">
      <c r="A4559" s="2" t="str">
        <f>"王倩"</f>
        <v>王倩</v>
      </c>
      <c r="B4559" s="2" t="str">
        <f>"B20200901205"</f>
        <v>B20200901205</v>
      </c>
      <c r="C4559" s="2" t="str">
        <f t="shared" si="1184"/>
        <v>女</v>
      </c>
      <c r="D4559" s="2" t="str">
        <f t="shared" ref="D4559:D4622" si="1187">"7"</f>
        <v>7</v>
      </c>
      <c r="E4559" s="2" t="str">
        <f t="shared" si="1186"/>
        <v>经济与管理学院</v>
      </c>
    </row>
    <row r="4560" ht="13.5" hidden="1" spans="1:5">
      <c r="A4560" s="2" t="str">
        <f>"黄志鹏"</f>
        <v>黄志鹏</v>
      </c>
      <c r="B4560" s="2" t="str">
        <f>"B20230202423"</f>
        <v>B20230202423</v>
      </c>
      <c r="C4560" s="2" t="str">
        <f t="shared" si="1185"/>
        <v>男</v>
      </c>
      <c r="D4560" s="2" t="str">
        <f t="shared" si="1187"/>
        <v>7</v>
      </c>
      <c r="E4560" s="2" t="str">
        <f>"机电工程学院"</f>
        <v>机电工程学院</v>
      </c>
    </row>
    <row r="4561" ht="13.5" hidden="1" spans="1:5">
      <c r="A4561" s="2" t="str">
        <f>"许慧如"</f>
        <v>许慧如</v>
      </c>
      <c r="B4561" s="2" t="str">
        <f>"B20230204201"</f>
        <v>B20230204201</v>
      </c>
      <c r="C4561" s="2" t="str">
        <f t="shared" ref="C4561:C4568" si="1188">"女"</f>
        <v>女</v>
      </c>
      <c r="D4561" s="2" t="str">
        <f t="shared" si="1187"/>
        <v>7</v>
      </c>
      <c r="E4561" s="2" t="str">
        <f>"机电工程学院"</f>
        <v>机电工程学院</v>
      </c>
    </row>
    <row r="4562" ht="13.5" hidden="1" spans="1:5">
      <c r="A4562" s="2" t="str">
        <f>"陈国"</f>
        <v>陈国</v>
      </c>
      <c r="B4562" s="2" t="str">
        <f>"B20230504125"</f>
        <v>B20230504125</v>
      </c>
      <c r="C4562" s="2" t="str">
        <f t="shared" si="1185"/>
        <v>男</v>
      </c>
      <c r="D4562" s="2" t="str">
        <f t="shared" si="1187"/>
        <v>7</v>
      </c>
      <c r="E4562" s="2" t="str">
        <f>"生物与化学工程学院"</f>
        <v>生物与化学工程学院</v>
      </c>
    </row>
    <row r="4563" ht="13.5" hidden="1" spans="1:5">
      <c r="A4563" s="2" t="str">
        <f>"吴玉键"</f>
        <v>吴玉键</v>
      </c>
      <c r="B4563" s="2" t="str">
        <f>"B20210903134"</f>
        <v>B20210903134</v>
      </c>
      <c r="C4563" s="2" t="str">
        <f t="shared" si="1185"/>
        <v>男</v>
      </c>
      <c r="D4563" s="2" t="str">
        <f t="shared" si="1187"/>
        <v>7</v>
      </c>
      <c r="E4563" s="2" t="str">
        <f t="shared" si="1186"/>
        <v>经济与管理学院</v>
      </c>
    </row>
    <row r="4564" ht="13.5" hidden="1" spans="1:5">
      <c r="A4564" s="2" t="str">
        <f>"何维维"</f>
        <v>何维维</v>
      </c>
      <c r="B4564" s="2" t="str">
        <f>"B20220902322"</f>
        <v>B20220902322</v>
      </c>
      <c r="C4564" s="2" t="str">
        <f t="shared" si="1188"/>
        <v>女</v>
      </c>
      <c r="D4564" s="2" t="str">
        <f t="shared" si="1187"/>
        <v>7</v>
      </c>
      <c r="E4564" s="2" t="str">
        <f t="shared" si="1186"/>
        <v>经济与管理学院</v>
      </c>
    </row>
    <row r="4565" ht="13.5" hidden="1" spans="1:5">
      <c r="A4565" s="2" t="str">
        <f>"李广坪"</f>
        <v>李广坪</v>
      </c>
      <c r="B4565" s="2" t="str">
        <f>"B20220401411"</f>
        <v>B20220401411</v>
      </c>
      <c r="C4565" s="2" t="str">
        <f>"男"</f>
        <v>男</v>
      </c>
      <c r="D4565" s="2" t="str">
        <f t="shared" si="1187"/>
        <v>7</v>
      </c>
      <c r="E4565" s="2" t="str">
        <f>"电子信息与电气工程学院"</f>
        <v>电子信息与电气工程学院</v>
      </c>
    </row>
    <row r="4566" ht="13.5" hidden="1" spans="1:5">
      <c r="A4566" s="2" t="str">
        <f>"肖海青"</f>
        <v>肖海青</v>
      </c>
      <c r="B4566" s="2" t="str">
        <f>"B20230101529"</f>
        <v>B20230101529</v>
      </c>
      <c r="C4566" s="2" t="str">
        <f t="shared" si="1188"/>
        <v>女</v>
      </c>
      <c r="D4566" s="2" t="str">
        <f t="shared" si="1187"/>
        <v>7</v>
      </c>
      <c r="E4566" s="2" t="str">
        <f>"土木工程学院"</f>
        <v>土木工程学院</v>
      </c>
    </row>
    <row r="4567" ht="13.5" hidden="1" spans="1:5">
      <c r="A4567" s="2" t="str">
        <f>"曾雨雯"</f>
        <v>曾雨雯</v>
      </c>
      <c r="B4567" s="2" t="str">
        <f>"B20230905106"</f>
        <v>B20230905106</v>
      </c>
      <c r="C4567" s="2" t="str">
        <f t="shared" si="1188"/>
        <v>女</v>
      </c>
      <c r="D4567" s="2" t="str">
        <f t="shared" si="1187"/>
        <v>7</v>
      </c>
      <c r="E4567" s="2" t="str">
        <f t="shared" ref="E4567:E4569" si="1189">"经济与管理学院"</f>
        <v>经济与管理学院</v>
      </c>
    </row>
    <row r="4568" ht="13.5" hidden="1" spans="1:5">
      <c r="A4568" s="2" t="str">
        <f>"刘倩芸"</f>
        <v>刘倩芸</v>
      </c>
      <c r="B4568" s="2" t="str">
        <f>"B20220901226"</f>
        <v>B20220901226</v>
      </c>
      <c r="C4568" s="2" t="str">
        <f t="shared" si="1188"/>
        <v>女</v>
      </c>
      <c r="D4568" s="2" t="str">
        <f t="shared" si="1187"/>
        <v>7</v>
      </c>
      <c r="E4568" s="2" t="str">
        <f t="shared" si="1189"/>
        <v>经济与管理学院</v>
      </c>
    </row>
    <row r="4569" ht="13.5" hidden="1" spans="1:5">
      <c r="A4569" s="2" t="str">
        <f>"洪梓原"</f>
        <v>洪梓原</v>
      </c>
      <c r="B4569" s="2" t="str">
        <f>"B20230902108"</f>
        <v>B20230902108</v>
      </c>
      <c r="C4569" s="2" t="str">
        <f t="shared" ref="C4569:C4575" si="1190">"男"</f>
        <v>男</v>
      </c>
      <c r="D4569" s="2" t="str">
        <f t="shared" si="1187"/>
        <v>7</v>
      </c>
      <c r="E4569" s="2" t="str">
        <f t="shared" si="1189"/>
        <v>经济与管理学院</v>
      </c>
    </row>
    <row r="4570" ht="13.5" hidden="1" spans="1:5">
      <c r="A4570" s="2" t="str">
        <f>"万秀娟"</f>
        <v>万秀娟</v>
      </c>
      <c r="B4570" s="2" t="str">
        <f>"B20210803206"</f>
        <v>B20210803206</v>
      </c>
      <c r="C4570" s="2" t="str">
        <f t="shared" ref="C4570:C4572" si="1191">"女"</f>
        <v>女</v>
      </c>
      <c r="D4570" s="2" t="str">
        <f t="shared" si="1187"/>
        <v>7</v>
      </c>
      <c r="E4570" s="2" t="str">
        <f>"外国语学院"</f>
        <v>外国语学院</v>
      </c>
    </row>
    <row r="4571" ht="13.5" hidden="1" spans="1:5">
      <c r="A4571" s="2" t="str">
        <f>"杨岚"</f>
        <v>杨岚</v>
      </c>
      <c r="B4571" s="2" t="str">
        <f>"B20220902204"</f>
        <v>B20220902204</v>
      </c>
      <c r="C4571" s="2" t="str">
        <f t="shared" si="1191"/>
        <v>女</v>
      </c>
      <c r="D4571" s="2" t="str">
        <f t="shared" si="1187"/>
        <v>7</v>
      </c>
      <c r="E4571" s="2" t="str">
        <f t="shared" ref="E4571:E4576" si="1192">"经济与管理学院"</f>
        <v>经济与管理学院</v>
      </c>
    </row>
    <row r="4572" ht="13.5" hidden="1" spans="1:5">
      <c r="A4572" s="2" t="str">
        <f>"常乃心"</f>
        <v>常乃心</v>
      </c>
      <c r="B4572" s="2" t="str">
        <f>"B20230401333"</f>
        <v>B20230401333</v>
      </c>
      <c r="C4572" s="2" t="str">
        <f t="shared" si="1191"/>
        <v>女</v>
      </c>
      <c r="D4572" s="2" t="str">
        <f t="shared" si="1187"/>
        <v>7</v>
      </c>
      <c r="E4572" s="2" t="str">
        <f>"电子信息与电气工程学院"</f>
        <v>电子信息与电气工程学院</v>
      </c>
    </row>
    <row r="4573" customHeight="1" spans="1:5">
      <c r="A4573" s="6" t="str">
        <f>"黄玄烨"</f>
        <v>黄玄烨</v>
      </c>
      <c r="B4573" s="6" t="str">
        <f>"B20210307218"</f>
        <v>B20210307218</v>
      </c>
      <c r="C4573" s="6" t="str">
        <f>"男"</f>
        <v>男</v>
      </c>
      <c r="D4573" s="7" t="str">
        <f>"13"</f>
        <v>13</v>
      </c>
      <c r="E4573" s="6" t="str">
        <f>"计算机科学与工程学院"</f>
        <v>计算机科学与工程学院</v>
      </c>
    </row>
    <row r="4574" ht="13.5" hidden="1" spans="1:5">
      <c r="A4574" s="2" t="str">
        <f>"瞿俊武"</f>
        <v>瞿俊武</v>
      </c>
      <c r="B4574" s="2" t="str">
        <f>"B20230906221"</f>
        <v>B20230906221</v>
      </c>
      <c r="C4574" s="2" t="str">
        <f t="shared" si="1190"/>
        <v>男</v>
      </c>
      <c r="D4574" s="2" t="str">
        <f t="shared" si="1187"/>
        <v>7</v>
      </c>
      <c r="E4574" s="2" t="str">
        <f t="shared" si="1192"/>
        <v>经济与管理学院</v>
      </c>
    </row>
    <row r="4575" ht="13.5" hidden="1" spans="1:5">
      <c r="A4575" s="2" t="str">
        <f>"朱荣康"</f>
        <v>朱荣康</v>
      </c>
      <c r="B4575" s="2" t="str">
        <f>"B20210505133"</f>
        <v>B20210505133</v>
      </c>
      <c r="C4575" s="2" t="str">
        <f t="shared" si="1190"/>
        <v>男</v>
      </c>
      <c r="D4575" s="2" t="str">
        <f t="shared" si="1187"/>
        <v>7</v>
      </c>
      <c r="E4575" s="2" t="str">
        <f>"材料与环境工程学院"</f>
        <v>材料与环境工程学院</v>
      </c>
    </row>
    <row r="4576" ht="13.5" hidden="1" spans="1:5">
      <c r="A4576" s="2" t="str">
        <f>"魏雨晗"</f>
        <v>魏雨晗</v>
      </c>
      <c r="B4576" s="2" t="str">
        <f>"B20210906101"</f>
        <v>B20210906101</v>
      </c>
      <c r="C4576" s="2" t="str">
        <f t="shared" ref="C4576:C4580" si="1193">"女"</f>
        <v>女</v>
      </c>
      <c r="D4576" s="2" t="str">
        <f t="shared" si="1187"/>
        <v>7</v>
      </c>
      <c r="E4576" s="2" t="str">
        <f t="shared" si="1192"/>
        <v>经济与管理学院</v>
      </c>
    </row>
    <row r="4577" ht="13.5" hidden="1" spans="1:5">
      <c r="A4577" s="2" t="str">
        <f>"李金昊"</f>
        <v>李金昊</v>
      </c>
      <c r="B4577" s="2" t="str">
        <f>"B20230101337"</f>
        <v>B20230101337</v>
      </c>
      <c r="C4577" s="2" t="str">
        <f t="shared" ref="C4577:C4582" si="1194">"男"</f>
        <v>男</v>
      </c>
      <c r="D4577" s="2" t="str">
        <f t="shared" si="1187"/>
        <v>7</v>
      </c>
      <c r="E4577" s="2" t="str">
        <f t="shared" ref="E4577:E4582" si="1195">"土木工程学院"</f>
        <v>土木工程学院</v>
      </c>
    </row>
    <row r="4578" customHeight="1" spans="1:5">
      <c r="A4578" s="6" t="str">
        <f>"程思远"</f>
        <v>程思远</v>
      </c>
      <c r="B4578" s="6" t="str">
        <f>"B20210307219"</f>
        <v>B20210307219</v>
      </c>
      <c r="C4578" s="6" t="str">
        <f t="shared" si="1194"/>
        <v>男</v>
      </c>
      <c r="D4578" s="7" t="str">
        <f>"8"</f>
        <v>8</v>
      </c>
      <c r="E4578" s="6" t="str">
        <f>"计算机科学与工程学院"</f>
        <v>计算机科学与工程学院</v>
      </c>
    </row>
    <row r="4579" ht="13.5" hidden="1" spans="1:5">
      <c r="A4579" s="2" t="str">
        <f>"张菁"</f>
        <v>张菁</v>
      </c>
      <c r="B4579" s="2" t="str">
        <f>"B20220902335"</f>
        <v>B20220902335</v>
      </c>
      <c r="C4579" s="2" t="str">
        <f t="shared" si="1193"/>
        <v>女</v>
      </c>
      <c r="D4579" s="2" t="str">
        <f t="shared" si="1187"/>
        <v>7</v>
      </c>
      <c r="E4579" s="2" t="str">
        <f>"经济与管理学院"</f>
        <v>经济与管理学院</v>
      </c>
    </row>
    <row r="4580" ht="13.5" hidden="1" spans="1:5">
      <c r="A4580" s="2" t="str">
        <f>"齐小琴"</f>
        <v>齐小琴</v>
      </c>
      <c r="B4580" s="2" t="str">
        <f>"B20200902214"</f>
        <v>B20200902214</v>
      </c>
      <c r="C4580" s="2" t="str">
        <f t="shared" si="1193"/>
        <v>女</v>
      </c>
      <c r="D4580" s="2" t="str">
        <f t="shared" si="1187"/>
        <v>7</v>
      </c>
      <c r="E4580" s="2" t="str">
        <f>"经济与管理学院"</f>
        <v>经济与管理学院</v>
      </c>
    </row>
    <row r="4581" ht="13.5" hidden="1" spans="1:5">
      <c r="A4581" s="2" t="str">
        <f>"鞠玉麟"</f>
        <v>鞠玉麟</v>
      </c>
      <c r="B4581" s="2" t="str">
        <f>"B20230102203"</f>
        <v>B20230102203</v>
      </c>
      <c r="C4581" s="2" t="str">
        <f t="shared" si="1194"/>
        <v>男</v>
      </c>
      <c r="D4581" s="2" t="str">
        <f t="shared" si="1187"/>
        <v>7</v>
      </c>
      <c r="E4581" s="2" t="str">
        <f t="shared" si="1195"/>
        <v>土木工程学院</v>
      </c>
    </row>
    <row r="4582" ht="13.5" hidden="1" spans="1:5">
      <c r="A4582" s="2" t="str">
        <f>"刘俊钰"</f>
        <v>刘俊钰</v>
      </c>
      <c r="B4582" s="2" t="str">
        <f>"B20210101305"</f>
        <v>B20210101305</v>
      </c>
      <c r="C4582" s="2" t="str">
        <f t="shared" si="1194"/>
        <v>男</v>
      </c>
      <c r="D4582" s="2" t="str">
        <f t="shared" si="1187"/>
        <v>7</v>
      </c>
      <c r="E4582" s="2" t="str">
        <f t="shared" si="1195"/>
        <v>土木工程学院</v>
      </c>
    </row>
    <row r="4583" ht="13.5" hidden="1" spans="1:5">
      <c r="A4583" s="2" t="str">
        <f>"邓琦琪"</f>
        <v>邓琦琪</v>
      </c>
      <c r="B4583" s="2" t="str">
        <f>"B20210601126"</f>
        <v>B20210601126</v>
      </c>
      <c r="C4583" s="2" t="str">
        <f t="shared" ref="C4583:C4587" si="1196">"女"</f>
        <v>女</v>
      </c>
      <c r="D4583" s="2" t="str">
        <f t="shared" si="1187"/>
        <v>7</v>
      </c>
      <c r="E4583" s="2" t="str">
        <f>"法学院"</f>
        <v>法学院</v>
      </c>
    </row>
    <row r="4584" ht="13.5" hidden="1" spans="1:5">
      <c r="A4584" s="2" t="str">
        <f>"段坤"</f>
        <v>段坤</v>
      </c>
      <c r="B4584" s="2" t="str">
        <f>"B20230101334"</f>
        <v>B20230101334</v>
      </c>
      <c r="C4584" s="2" t="str">
        <f t="shared" ref="C4584:C4588" si="1197">"男"</f>
        <v>男</v>
      </c>
      <c r="D4584" s="2" t="str">
        <f t="shared" si="1187"/>
        <v>7</v>
      </c>
      <c r="E4584" s="2" t="str">
        <f>"土木工程学院"</f>
        <v>土木工程学院</v>
      </c>
    </row>
    <row r="4585" ht="13.5" hidden="1" spans="1:5">
      <c r="A4585" s="2" t="str">
        <f>"童玉林"</f>
        <v>童玉林</v>
      </c>
      <c r="B4585" s="2" t="str">
        <f>"B20200203120"</f>
        <v>B20200203120</v>
      </c>
      <c r="C4585" s="2" t="str">
        <f t="shared" si="1196"/>
        <v>女</v>
      </c>
      <c r="D4585" s="2" t="str">
        <f t="shared" si="1187"/>
        <v>7</v>
      </c>
      <c r="E4585" s="2" t="str">
        <f>"机电工程学院"</f>
        <v>机电工程学院</v>
      </c>
    </row>
    <row r="4586" ht="13.5" hidden="1" spans="1:5">
      <c r="A4586" s="2" t="str">
        <f>"李柔兰"</f>
        <v>李柔兰</v>
      </c>
      <c r="B4586" s="2" t="str">
        <f>"B20230601203"</f>
        <v>B20230601203</v>
      </c>
      <c r="C4586" s="2" t="str">
        <f t="shared" si="1196"/>
        <v>女</v>
      </c>
      <c r="D4586" s="2" t="str">
        <f t="shared" si="1187"/>
        <v>7</v>
      </c>
      <c r="E4586" s="2" t="str">
        <f>"法学院"</f>
        <v>法学院</v>
      </c>
    </row>
    <row r="4587" customHeight="1" spans="1:5">
      <c r="A4587" s="6" t="str">
        <f>"肖依婷"</f>
        <v>肖依婷</v>
      </c>
      <c r="B4587" s="6" t="str">
        <f>"B20210307220"</f>
        <v>B20210307220</v>
      </c>
      <c r="C4587" s="6" t="str">
        <f t="shared" si="1196"/>
        <v>女</v>
      </c>
      <c r="D4587" s="7" t="str">
        <f>"5"</f>
        <v>5</v>
      </c>
      <c r="E4587" s="6" t="str">
        <f>"计算机科学与工程学院"</f>
        <v>计算机科学与工程学院</v>
      </c>
    </row>
    <row r="4588" ht="13.5" hidden="1" spans="1:5">
      <c r="A4588" s="2" t="str">
        <f>"屈嘉豪"</f>
        <v>屈嘉豪</v>
      </c>
      <c r="B4588" s="2" t="str">
        <f>"B20230504211"</f>
        <v>B20230504211</v>
      </c>
      <c r="C4588" s="2" t="str">
        <f t="shared" si="1197"/>
        <v>男</v>
      </c>
      <c r="D4588" s="2" t="str">
        <f t="shared" si="1187"/>
        <v>7</v>
      </c>
      <c r="E4588" s="2" t="str">
        <f>"生物与化学工程学院"</f>
        <v>生物与化学工程学院</v>
      </c>
    </row>
    <row r="4589" ht="13.5" hidden="1" spans="1:5">
      <c r="A4589" s="2" t="str">
        <f>"唐怡欣"</f>
        <v>唐怡欣</v>
      </c>
      <c r="B4589" s="2" t="str">
        <f>"B20231002110"</f>
        <v>B20231002110</v>
      </c>
      <c r="C4589" s="2" t="str">
        <f>"女"</f>
        <v>女</v>
      </c>
      <c r="D4589" s="2" t="str">
        <f t="shared" si="1187"/>
        <v>7</v>
      </c>
      <c r="E4589" s="2" t="str">
        <f>"艺术设计学院"</f>
        <v>艺术设计学院</v>
      </c>
    </row>
    <row r="4590" ht="13.5" hidden="1" spans="1:5">
      <c r="A4590" s="2" t="str">
        <f>"戴远程"</f>
        <v>戴远程</v>
      </c>
      <c r="B4590" s="2" t="str">
        <f>"B20200502122"</f>
        <v>B20200502122</v>
      </c>
      <c r="C4590" s="2" t="str">
        <f t="shared" ref="C4590:C4593" si="1198">"男"</f>
        <v>男</v>
      </c>
      <c r="D4590" s="2" t="str">
        <f t="shared" si="1187"/>
        <v>7</v>
      </c>
      <c r="E4590" s="2" t="str">
        <f>"生物与环境工程学院"</f>
        <v>生物与环境工程学院</v>
      </c>
    </row>
    <row r="4591" ht="13.5" hidden="1" spans="1:5">
      <c r="A4591" s="2" t="str">
        <f>"徐政"</f>
        <v>徐政</v>
      </c>
      <c r="B4591" s="2" t="str">
        <f>"B20230501132"</f>
        <v>B20230501132</v>
      </c>
      <c r="C4591" s="2" t="str">
        <f t="shared" si="1198"/>
        <v>男</v>
      </c>
      <c r="D4591" s="2" t="str">
        <f t="shared" si="1187"/>
        <v>7</v>
      </c>
      <c r="E4591" s="2" t="str">
        <f>"生物与化学工程学院"</f>
        <v>生物与化学工程学院</v>
      </c>
    </row>
    <row r="4592" ht="13.5" hidden="1" spans="1:5">
      <c r="A4592" s="2" t="str">
        <f>"李世瑶"</f>
        <v>李世瑶</v>
      </c>
      <c r="B4592" s="2" t="str">
        <f>"B20200403112"</f>
        <v>B20200403112</v>
      </c>
      <c r="C4592" s="2" t="str">
        <f t="shared" si="1198"/>
        <v>男</v>
      </c>
      <c r="D4592" s="2" t="str">
        <f t="shared" si="1187"/>
        <v>7</v>
      </c>
      <c r="E4592" s="2" t="str">
        <f>"电子信息与电气工程学院"</f>
        <v>电子信息与电气工程学院</v>
      </c>
    </row>
    <row r="4593" ht="13.5" hidden="1" spans="1:5">
      <c r="A4593" s="2" t="str">
        <f>"陈柏良"</f>
        <v>陈柏良</v>
      </c>
      <c r="B4593" s="2" t="str">
        <f>"B20200503120"</f>
        <v>B20200503120</v>
      </c>
      <c r="C4593" s="2" t="str">
        <f t="shared" si="1198"/>
        <v>男</v>
      </c>
      <c r="D4593" s="2" t="str">
        <f t="shared" si="1187"/>
        <v>7</v>
      </c>
      <c r="E4593" s="2" t="str">
        <f>"生物与环境工程学院"</f>
        <v>生物与环境工程学院</v>
      </c>
    </row>
    <row r="4594" ht="13.5" hidden="1" spans="1:5">
      <c r="A4594" s="2" t="str">
        <f>"唐姿佳"</f>
        <v>唐姿佳</v>
      </c>
      <c r="B4594" s="2" t="str">
        <f>"B20220702429"</f>
        <v>B20220702429</v>
      </c>
      <c r="C4594" s="2" t="str">
        <f t="shared" ref="C4594:C4598" si="1199">"女"</f>
        <v>女</v>
      </c>
      <c r="D4594" s="2" t="str">
        <f t="shared" si="1187"/>
        <v>7</v>
      </c>
      <c r="E4594" s="2" t="str">
        <f t="shared" ref="E4594:E4598" si="1200">"马栏山新媒体学院"</f>
        <v>马栏山新媒体学院</v>
      </c>
    </row>
    <row r="4595" ht="13.5" hidden="1" spans="1:5">
      <c r="A4595" s="2" t="str">
        <f>"张浩柏"</f>
        <v>张浩柏</v>
      </c>
      <c r="B4595" s="2" t="str">
        <f>"B20201002111"</f>
        <v>B20201002111</v>
      </c>
      <c r="C4595" s="2" t="str">
        <f t="shared" ref="C4595:C4601" si="1201">"男"</f>
        <v>男</v>
      </c>
      <c r="D4595" s="2" t="str">
        <f t="shared" si="1187"/>
        <v>7</v>
      </c>
      <c r="E4595" s="2" t="str">
        <f>"艺术设计学院"</f>
        <v>艺术设计学院</v>
      </c>
    </row>
    <row r="4596" ht="13.5" hidden="1" spans="1:5">
      <c r="A4596" s="2" t="str">
        <f>"贾妃"</f>
        <v>贾妃</v>
      </c>
      <c r="B4596" s="2" t="str">
        <f>"B20220103202"</f>
        <v>B20220103202</v>
      </c>
      <c r="C4596" s="2" t="str">
        <f t="shared" si="1199"/>
        <v>女</v>
      </c>
      <c r="D4596" s="2" t="str">
        <f t="shared" si="1187"/>
        <v>7</v>
      </c>
      <c r="E4596" s="2" t="str">
        <f>"土木工程学院"</f>
        <v>土木工程学院</v>
      </c>
    </row>
    <row r="4597" ht="13.5" hidden="1" spans="1:5">
      <c r="A4597" s="2" t="str">
        <f>"王欣怡"</f>
        <v>王欣怡</v>
      </c>
      <c r="B4597" s="2" t="str">
        <f>"B20230701229"</f>
        <v>B20230701229</v>
      </c>
      <c r="C4597" s="2" t="str">
        <f t="shared" si="1199"/>
        <v>女</v>
      </c>
      <c r="D4597" s="2" t="str">
        <f t="shared" si="1187"/>
        <v>7</v>
      </c>
      <c r="E4597" s="2" t="str">
        <f t="shared" si="1200"/>
        <v>马栏山新媒体学院</v>
      </c>
    </row>
    <row r="4598" ht="13.5" hidden="1" spans="1:5">
      <c r="A4598" s="2" t="str">
        <f>"黄丽娟"</f>
        <v>黄丽娟</v>
      </c>
      <c r="B4598" s="2" t="str">
        <f>"B20230701208"</f>
        <v>B20230701208</v>
      </c>
      <c r="C4598" s="2" t="str">
        <f t="shared" si="1199"/>
        <v>女</v>
      </c>
      <c r="D4598" s="2" t="str">
        <f t="shared" si="1187"/>
        <v>7</v>
      </c>
      <c r="E4598" s="2" t="str">
        <f t="shared" si="1200"/>
        <v>马栏山新媒体学院</v>
      </c>
    </row>
    <row r="4599" ht="13.5" hidden="1" spans="1:5">
      <c r="A4599" s="2" t="str">
        <f>"张柱砥"</f>
        <v>张柱砥</v>
      </c>
      <c r="B4599" s="2" t="str">
        <f>"B20220504415"</f>
        <v>B20220504415</v>
      </c>
      <c r="C4599" s="2" t="str">
        <f t="shared" si="1201"/>
        <v>男</v>
      </c>
      <c r="D4599" s="2" t="str">
        <f t="shared" si="1187"/>
        <v>7</v>
      </c>
      <c r="E4599" s="2" t="str">
        <f>"生物与化学工程学院"</f>
        <v>生物与化学工程学院</v>
      </c>
    </row>
    <row r="4600" customHeight="1" spans="1:5">
      <c r="A4600" s="6" t="str">
        <f>"严畅"</f>
        <v>严畅</v>
      </c>
      <c r="B4600" s="6" t="str">
        <f>"B20210307221"</f>
        <v>B20210307221</v>
      </c>
      <c r="C4600" s="6" t="str">
        <f t="shared" si="1201"/>
        <v>男</v>
      </c>
      <c r="D4600" s="7" t="str">
        <f>"2"</f>
        <v>2</v>
      </c>
      <c r="E4600" s="6" t="str">
        <f>"计算机科学与工程学院"</f>
        <v>计算机科学与工程学院</v>
      </c>
    </row>
    <row r="4601" ht="13.5" hidden="1" spans="1:5">
      <c r="A4601" s="2" t="str">
        <f>"肖铭杰"</f>
        <v>肖铭杰</v>
      </c>
      <c r="B4601" s="2" t="str">
        <f>"B20210202321"</f>
        <v>B20210202321</v>
      </c>
      <c r="C4601" s="2" t="str">
        <f t="shared" si="1201"/>
        <v>男</v>
      </c>
      <c r="D4601" s="2" t="str">
        <f t="shared" si="1187"/>
        <v>7</v>
      </c>
      <c r="E4601" s="2" t="str">
        <f>"机电工程学院"</f>
        <v>机电工程学院</v>
      </c>
    </row>
    <row r="4602" ht="13.5" hidden="1" spans="1:5">
      <c r="A4602" s="2" t="str">
        <f>"秦婉婷"</f>
        <v>秦婉婷</v>
      </c>
      <c r="B4602" s="2" t="str">
        <f>"B20211001119"</f>
        <v>B20211001119</v>
      </c>
      <c r="C4602" s="2" t="str">
        <f t="shared" ref="C4602:C4608" si="1202">"女"</f>
        <v>女</v>
      </c>
      <c r="D4602" s="2" t="str">
        <f t="shared" si="1187"/>
        <v>7</v>
      </c>
      <c r="E4602" s="2" t="str">
        <f>"艺术设计学院"</f>
        <v>艺术设计学院</v>
      </c>
    </row>
    <row r="4603" ht="13.5" hidden="1" spans="1:5">
      <c r="A4603" s="2" t="str">
        <f>"刘启勋"</f>
        <v>刘启勋</v>
      </c>
      <c r="B4603" s="2" t="str">
        <f>"B20200403228"</f>
        <v>B20200403228</v>
      </c>
      <c r="C4603" s="2" t="str">
        <f>"男"</f>
        <v>男</v>
      </c>
      <c r="D4603" s="2" t="str">
        <f t="shared" si="1187"/>
        <v>7</v>
      </c>
      <c r="E4603" s="2" t="str">
        <f>"电子信息与电气工程学院"</f>
        <v>电子信息与电气工程学院</v>
      </c>
    </row>
    <row r="4604" customHeight="1" spans="1:5">
      <c r="A4604" s="6" t="str">
        <f>"唐国顺"</f>
        <v>唐国顺</v>
      </c>
      <c r="B4604" s="6" t="str">
        <f>"B20210307222"</f>
        <v>B20210307222</v>
      </c>
      <c r="C4604" s="6" t="str">
        <f>"男"</f>
        <v>男</v>
      </c>
      <c r="D4604" s="7" t="str">
        <f>"3"</f>
        <v>3</v>
      </c>
      <c r="E4604" s="6" t="str">
        <f>"计算机科学与工程学院"</f>
        <v>计算机科学与工程学院</v>
      </c>
    </row>
    <row r="4605" ht="13.5" hidden="1" spans="1:5">
      <c r="A4605" s="2" t="str">
        <f>"张婧菲"</f>
        <v>张婧菲</v>
      </c>
      <c r="B4605" s="2" t="str">
        <f>"B20210904302"</f>
        <v>B20210904302</v>
      </c>
      <c r="C4605" s="2" t="str">
        <f t="shared" si="1202"/>
        <v>女</v>
      </c>
      <c r="D4605" s="2" t="str">
        <f t="shared" si="1187"/>
        <v>7</v>
      </c>
      <c r="E4605" s="2" t="str">
        <f>"经济与管理学院"</f>
        <v>经济与管理学院</v>
      </c>
    </row>
    <row r="4606" ht="13.5" hidden="1" spans="1:5">
      <c r="A4606" s="2" t="str">
        <f>"樊佳嘉"</f>
        <v>樊佳嘉</v>
      </c>
      <c r="B4606" s="2" t="str">
        <f>"B20210103226"</f>
        <v>B20210103226</v>
      </c>
      <c r="C4606" s="2" t="str">
        <f t="shared" si="1202"/>
        <v>女</v>
      </c>
      <c r="D4606" s="2" t="str">
        <f t="shared" si="1187"/>
        <v>7</v>
      </c>
      <c r="E4606" s="2" t="str">
        <f>"土木工程学院"</f>
        <v>土木工程学院</v>
      </c>
    </row>
    <row r="4607" ht="13.5" hidden="1" spans="1:5">
      <c r="A4607" s="2" t="str">
        <f>"莫慧兰"</f>
        <v>莫慧兰</v>
      </c>
      <c r="B4607" s="2" t="str">
        <f>"B20220502219"</f>
        <v>B20220502219</v>
      </c>
      <c r="C4607" s="2" t="str">
        <f t="shared" si="1202"/>
        <v>女</v>
      </c>
      <c r="D4607" s="2" t="str">
        <f t="shared" si="1187"/>
        <v>7</v>
      </c>
      <c r="E4607" s="2" t="str">
        <f>"生物与化学工程学院"</f>
        <v>生物与化学工程学院</v>
      </c>
    </row>
    <row r="4608" ht="13.5" hidden="1" spans="1:5">
      <c r="A4608" s="2" t="str">
        <f>"杨素"</f>
        <v>杨素</v>
      </c>
      <c r="B4608" s="2" t="str">
        <f>"B20210701204"</f>
        <v>B20210701204</v>
      </c>
      <c r="C4608" s="2" t="str">
        <f t="shared" si="1202"/>
        <v>女</v>
      </c>
      <c r="D4608" s="2" t="str">
        <f t="shared" si="1187"/>
        <v>7</v>
      </c>
      <c r="E4608" s="2" t="str">
        <f>"马栏山新媒体学院"</f>
        <v>马栏山新媒体学院</v>
      </c>
    </row>
    <row r="4609" ht="13.5" hidden="1" spans="1:5">
      <c r="A4609" s="2" t="str">
        <f>"曾鼎"</f>
        <v>曾鼎</v>
      </c>
      <c r="B4609" s="2" t="str">
        <f>"B20210906147"</f>
        <v>B20210906147</v>
      </c>
      <c r="C4609" s="2" t="str">
        <f t="shared" ref="C4609:C4613" si="1203">"男"</f>
        <v>男</v>
      </c>
      <c r="D4609" s="2" t="str">
        <f t="shared" si="1187"/>
        <v>7</v>
      </c>
      <c r="E4609" s="2" t="str">
        <f>"经济与管理学院"</f>
        <v>经济与管理学院</v>
      </c>
    </row>
    <row r="4610" ht="13.5" hidden="1" spans="1:5">
      <c r="A4610" s="2" t="str">
        <f>"刘洋"</f>
        <v>刘洋</v>
      </c>
      <c r="B4610" s="2" t="str">
        <f>"B20200101612"</f>
        <v>B20200101612</v>
      </c>
      <c r="C4610" s="2" t="str">
        <f t="shared" si="1203"/>
        <v>男</v>
      </c>
      <c r="D4610" s="2" t="str">
        <f t="shared" si="1187"/>
        <v>7</v>
      </c>
      <c r="E4610" s="2" t="str">
        <f>"土木工程学院"</f>
        <v>土木工程学院</v>
      </c>
    </row>
    <row r="4611" ht="13.5" hidden="1" spans="1:5">
      <c r="A4611" s="2" t="str">
        <f>"胡玲"</f>
        <v>胡玲</v>
      </c>
      <c r="B4611" s="2" t="str">
        <f>"B20210601117"</f>
        <v>B20210601117</v>
      </c>
      <c r="C4611" s="2" t="str">
        <f t="shared" ref="C4611:C4614" si="1204">"女"</f>
        <v>女</v>
      </c>
      <c r="D4611" s="2" t="str">
        <f t="shared" si="1187"/>
        <v>7</v>
      </c>
      <c r="E4611" s="2" t="str">
        <f>"法学院"</f>
        <v>法学院</v>
      </c>
    </row>
    <row r="4612" ht="13.5" hidden="1" spans="1:5">
      <c r="A4612" s="2" t="str">
        <f>"张雅文"</f>
        <v>张雅文</v>
      </c>
      <c r="B4612" s="2" t="str">
        <f>"B20220701427"</f>
        <v>B20220701427</v>
      </c>
      <c r="C4612" s="2" t="str">
        <f t="shared" si="1204"/>
        <v>女</v>
      </c>
      <c r="D4612" s="2" t="str">
        <f t="shared" si="1187"/>
        <v>7</v>
      </c>
      <c r="E4612" s="2" t="str">
        <f>"马栏山新媒体学院"</f>
        <v>马栏山新媒体学院</v>
      </c>
    </row>
    <row r="4613" ht="13.5" hidden="1" spans="1:5">
      <c r="A4613" s="2" t="str">
        <f>"卢杨"</f>
        <v>卢杨</v>
      </c>
      <c r="B4613" s="2" t="str">
        <f>"B20230502206"</f>
        <v>B20230502206</v>
      </c>
      <c r="C4613" s="2" t="str">
        <f t="shared" si="1203"/>
        <v>男</v>
      </c>
      <c r="D4613" s="2" t="str">
        <f t="shared" si="1187"/>
        <v>7</v>
      </c>
      <c r="E4613" s="2" t="str">
        <f>"生物与化学工程学院"</f>
        <v>生物与化学工程学院</v>
      </c>
    </row>
    <row r="4614" ht="13.5" hidden="1" spans="1:5">
      <c r="A4614" s="2" t="str">
        <f>"布姆"</f>
        <v>布姆</v>
      </c>
      <c r="B4614" s="2" t="str">
        <f>"B20210702132"</f>
        <v>B20210702132</v>
      </c>
      <c r="C4614" s="2" t="str">
        <f t="shared" si="1204"/>
        <v>女</v>
      </c>
      <c r="D4614" s="2" t="str">
        <f t="shared" si="1187"/>
        <v>7</v>
      </c>
      <c r="E4614" s="2" t="str">
        <f>"马栏山新媒体学院"</f>
        <v>马栏山新媒体学院</v>
      </c>
    </row>
    <row r="4615" ht="13.5" hidden="1" spans="1:5">
      <c r="A4615" s="2" t="str">
        <f>"路明轩"</f>
        <v>路明轩</v>
      </c>
      <c r="B4615" s="2" t="str">
        <f>"B20231001310"</f>
        <v>B20231001310</v>
      </c>
      <c r="C4615" s="2" t="str">
        <f t="shared" ref="C4615:C4619" si="1205">"男"</f>
        <v>男</v>
      </c>
      <c r="D4615" s="2" t="str">
        <f t="shared" si="1187"/>
        <v>7</v>
      </c>
      <c r="E4615" s="2" t="str">
        <f>"艺术设计学院"</f>
        <v>艺术设计学院</v>
      </c>
    </row>
    <row r="4616" customHeight="1" spans="1:5">
      <c r="A4616" s="6" t="str">
        <f>"王港"</f>
        <v>王港</v>
      </c>
      <c r="B4616" s="6" t="str">
        <f>"B20210307223"</f>
        <v>B20210307223</v>
      </c>
      <c r="C4616" s="6" t="str">
        <f t="shared" si="1205"/>
        <v>男</v>
      </c>
      <c r="D4616" s="7" t="str">
        <f>"3"</f>
        <v>3</v>
      </c>
      <c r="E4616" s="6" t="str">
        <f>"计算机科学与工程学院"</f>
        <v>计算机科学与工程学院</v>
      </c>
    </row>
    <row r="4617" ht="13.5" hidden="1" spans="1:5">
      <c r="A4617" s="2" t="str">
        <f>"刘杨杰"</f>
        <v>刘杨杰</v>
      </c>
      <c r="B4617" s="2" t="str">
        <f>"B20220202215"</f>
        <v>B20220202215</v>
      </c>
      <c r="C4617" s="2" t="str">
        <f t="shared" si="1205"/>
        <v>男</v>
      </c>
      <c r="D4617" s="2" t="str">
        <f t="shared" si="1187"/>
        <v>7</v>
      </c>
      <c r="E4617" s="2" t="str">
        <f>"机电工程学院"</f>
        <v>机电工程学院</v>
      </c>
    </row>
    <row r="4618" ht="13.5" hidden="1" spans="1:5">
      <c r="A4618" s="2" t="str">
        <f>"陈玥君"</f>
        <v>陈玥君</v>
      </c>
      <c r="B4618" s="2" t="str">
        <f>"B20210903218"</f>
        <v>B20210903218</v>
      </c>
      <c r="C4618" s="2" t="str">
        <f t="shared" ref="C4616:C4623" si="1206">"女"</f>
        <v>女</v>
      </c>
      <c r="D4618" s="2" t="str">
        <f t="shared" si="1187"/>
        <v>7</v>
      </c>
      <c r="E4618" s="2" t="str">
        <f>"经济与管理学院"</f>
        <v>经济与管理学院</v>
      </c>
    </row>
    <row r="4619" ht="13.5" hidden="1" spans="1:5">
      <c r="A4619" s="2" t="str">
        <f>"伍浪"</f>
        <v>伍浪</v>
      </c>
      <c r="B4619" s="2" t="str">
        <f>"B20210906146"</f>
        <v>B20210906146</v>
      </c>
      <c r="C4619" s="2" t="str">
        <f t="shared" si="1205"/>
        <v>男</v>
      </c>
      <c r="D4619" s="2" t="str">
        <f t="shared" si="1187"/>
        <v>7</v>
      </c>
      <c r="E4619" s="2" t="str">
        <f>"经济与管理学院"</f>
        <v>经济与管理学院</v>
      </c>
    </row>
    <row r="4620" ht="13.5" hidden="1" spans="1:5">
      <c r="A4620" s="2" t="str">
        <f>"李源苹"</f>
        <v>李源苹</v>
      </c>
      <c r="B4620" s="2" t="str">
        <f>"B20220402229"</f>
        <v>B20220402229</v>
      </c>
      <c r="C4620" s="2" t="str">
        <f t="shared" si="1206"/>
        <v>女</v>
      </c>
      <c r="D4620" s="2" t="str">
        <f t="shared" si="1187"/>
        <v>7</v>
      </c>
      <c r="E4620" s="2" t="str">
        <f>"电子信息与电气工程学院"</f>
        <v>电子信息与电气工程学院</v>
      </c>
    </row>
    <row r="4621" ht="13.5" hidden="1" spans="1:5">
      <c r="A4621" s="2" t="str">
        <f>"杨彬倩"</f>
        <v>杨彬倩</v>
      </c>
      <c r="B4621" s="2" t="str">
        <f>"B20211001113"</f>
        <v>B20211001113</v>
      </c>
      <c r="C4621" s="2" t="str">
        <f t="shared" si="1206"/>
        <v>女</v>
      </c>
      <c r="D4621" s="2" t="str">
        <f t="shared" si="1187"/>
        <v>7</v>
      </c>
      <c r="E4621" s="2" t="str">
        <f>"艺术设计学院"</f>
        <v>艺术设计学院</v>
      </c>
    </row>
    <row r="4622" ht="13.5" hidden="1" spans="1:5">
      <c r="A4622" s="2" t="str">
        <f>"李绪燕"</f>
        <v>李绪燕</v>
      </c>
      <c r="B4622" s="2" t="str">
        <f>"B20231001312"</f>
        <v>B20231001312</v>
      </c>
      <c r="C4622" s="2" t="str">
        <f t="shared" si="1206"/>
        <v>女</v>
      </c>
      <c r="D4622" s="2" t="str">
        <f t="shared" si="1187"/>
        <v>7</v>
      </c>
      <c r="E4622" s="2" t="str">
        <f>"艺术设计学院"</f>
        <v>艺术设计学院</v>
      </c>
    </row>
    <row r="4623" ht="13.5" hidden="1" spans="1:5">
      <c r="A4623" s="2" t="str">
        <f>"李晓凡"</f>
        <v>李晓凡</v>
      </c>
      <c r="B4623" s="2" t="str">
        <f>"B20230802223"</f>
        <v>B20230802223</v>
      </c>
      <c r="C4623" s="2" t="str">
        <f t="shared" si="1206"/>
        <v>女</v>
      </c>
      <c r="D4623" s="2" t="str">
        <f t="shared" ref="D4623:D4686" si="1207">"7"</f>
        <v>7</v>
      </c>
      <c r="E4623" s="2" t="str">
        <f>"外国语学院"</f>
        <v>外国语学院</v>
      </c>
    </row>
    <row r="4624" ht="13.5" hidden="1" spans="1:5">
      <c r="A4624" s="2" t="str">
        <f>"崔亚彬"</f>
        <v>崔亚彬</v>
      </c>
      <c r="B4624" s="2" t="str">
        <f>"B20210202229"</f>
        <v>B20210202229</v>
      </c>
      <c r="C4624" s="2" t="str">
        <f>"男"</f>
        <v>男</v>
      </c>
      <c r="D4624" s="2" t="str">
        <f t="shared" si="1207"/>
        <v>7</v>
      </c>
      <c r="E4624" s="2" t="str">
        <f>"机电工程学院"</f>
        <v>机电工程学院</v>
      </c>
    </row>
    <row r="4625" ht="13.5" hidden="1" spans="1:5">
      <c r="A4625" s="2" t="str">
        <f>"陈锦华"</f>
        <v>陈锦华</v>
      </c>
      <c r="B4625" s="2" t="str">
        <f>"B20200801107"</f>
        <v>B20200801107</v>
      </c>
      <c r="C4625" s="2" t="str">
        <f t="shared" ref="C4625:C4627" si="1208">"女"</f>
        <v>女</v>
      </c>
      <c r="D4625" s="2" t="str">
        <f t="shared" si="1207"/>
        <v>7</v>
      </c>
      <c r="E4625" s="2" t="str">
        <f t="shared" ref="E4625:E4630" si="1209">"外国语学院"</f>
        <v>外国语学院</v>
      </c>
    </row>
    <row r="4626" ht="13.5" hidden="1" spans="1:5">
      <c r="A4626" s="2" t="str">
        <f>"李丽娟"</f>
        <v>李丽娟</v>
      </c>
      <c r="B4626" s="2" t="str">
        <f>"B20230905101"</f>
        <v>B20230905101</v>
      </c>
      <c r="C4626" s="2" t="str">
        <f t="shared" si="1208"/>
        <v>女</v>
      </c>
      <c r="D4626" s="2" t="str">
        <f t="shared" si="1207"/>
        <v>7</v>
      </c>
      <c r="E4626" s="2" t="str">
        <f>"经济与管理学院"</f>
        <v>经济与管理学院</v>
      </c>
    </row>
    <row r="4627" ht="13.5" hidden="1" spans="1:5">
      <c r="A4627" s="2" t="str">
        <f>"赖燕凤"</f>
        <v>赖燕凤</v>
      </c>
      <c r="B4627" s="2" t="str">
        <f>"B20210704423"</f>
        <v>B20210704423</v>
      </c>
      <c r="C4627" s="2" t="str">
        <f t="shared" si="1208"/>
        <v>女</v>
      </c>
      <c r="D4627" s="2" t="str">
        <f t="shared" si="1207"/>
        <v>7</v>
      </c>
      <c r="E4627" s="2" t="str">
        <f>"马栏山新媒体学院"</f>
        <v>马栏山新媒体学院</v>
      </c>
    </row>
    <row r="4628" ht="13.5" hidden="1" spans="1:5">
      <c r="A4628" s="2" t="str">
        <f>"沈俊璠"</f>
        <v>沈俊璠</v>
      </c>
      <c r="B4628" s="2" t="str">
        <f>"B20230502106"</f>
        <v>B20230502106</v>
      </c>
      <c r="C4628" s="2" t="str">
        <f t="shared" ref="C4628:C4633" si="1210">"男"</f>
        <v>男</v>
      </c>
      <c r="D4628" s="2" t="str">
        <f t="shared" si="1207"/>
        <v>7</v>
      </c>
      <c r="E4628" s="2" t="str">
        <f>"生物与化学工程学院"</f>
        <v>生物与化学工程学院</v>
      </c>
    </row>
    <row r="4629" ht="13.5" hidden="1" spans="1:5">
      <c r="A4629" s="2" t="str">
        <f>"申心妍"</f>
        <v>申心妍</v>
      </c>
      <c r="B4629" s="2" t="str">
        <f>"B20200801314"</f>
        <v>B20200801314</v>
      </c>
      <c r="C4629" s="2" t="str">
        <f t="shared" ref="C4629:C4632" si="1211">"女"</f>
        <v>女</v>
      </c>
      <c r="D4629" s="2" t="str">
        <f t="shared" si="1207"/>
        <v>7</v>
      </c>
      <c r="E4629" s="2" t="str">
        <f t="shared" si="1209"/>
        <v>外国语学院</v>
      </c>
    </row>
    <row r="4630" ht="13.5" hidden="1" spans="1:5">
      <c r="A4630" s="2" t="str">
        <f>"周璐璐"</f>
        <v>周璐璐</v>
      </c>
      <c r="B4630" s="2" t="str">
        <f>"B20210802309"</f>
        <v>B20210802309</v>
      </c>
      <c r="C4630" s="2" t="str">
        <f t="shared" si="1211"/>
        <v>女</v>
      </c>
      <c r="D4630" s="2" t="str">
        <f t="shared" si="1207"/>
        <v>7</v>
      </c>
      <c r="E4630" s="2" t="str">
        <f t="shared" si="1209"/>
        <v>外国语学院</v>
      </c>
    </row>
    <row r="4631" ht="13.5" hidden="1" spans="1:5">
      <c r="A4631" s="2" t="str">
        <f>"罗俊杰"</f>
        <v>罗俊杰</v>
      </c>
      <c r="B4631" s="2" t="str">
        <f>"B20220404109"</f>
        <v>B20220404109</v>
      </c>
      <c r="C4631" s="2" t="str">
        <f t="shared" si="1210"/>
        <v>男</v>
      </c>
      <c r="D4631" s="2" t="str">
        <f t="shared" si="1207"/>
        <v>7</v>
      </c>
      <c r="E4631" s="2" t="str">
        <f>"电子信息与电气工程学院"</f>
        <v>电子信息与电气工程学院</v>
      </c>
    </row>
    <row r="4632" customHeight="1" spans="1:5">
      <c r="A4632" s="6" t="str">
        <f>"袁伟"</f>
        <v>袁伟</v>
      </c>
      <c r="B4632" s="6" t="str">
        <f>"B20210307224"</f>
        <v>B20210307224</v>
      </c>
      <c r="C4632" s="6" t="str">
        <f t="shared" si="1210"/>
        <v>男</v>
      </c>
      <c r="D4632" s="7" t="str">
        <f>"5"</f>
        <v>5</v>
      </c>
      <c r="E4632" s="6" t="str">
        <f>"计算机科学与工程学院"</f>
        <v>计算机科学与工程学院</v>
      </c>
    </row>
    <row r="4633" ht="13.5" hidden="1" spans="1:5">
      <c r="A4633" s="2" t="str">
        <f>"侯明鑫"</f>
        <v>侯明鑫</v>
      </c>
      <c r="B4633" s="2" t="str">
        <f>"B20230601319"</f>
        <v>B20230601319</v>
      </c>
      <c r="C4633" s="2" t="str">
        <f t="shared" si="1210"/>
        <v>男</v>
      </c>
      <c r="D4633" s="2" t="str">
        <f t="shared" si="1207"/>
        <v>7</v>
      </c>
      <c r="E4633" s="2" t="str">
        <f>"法学院"</f>
        <v>法学院</v>
      </c>
    </row>
    <row r="4634" ht="13.5" hidden="1" spans="1:5">
      <c r="A4634" s="2" t="str">
        <f>"曾家贤"</f>
        <v>曾家贤</v>
      </c>
      <c r="B4634" s="2" t="str">
        <f>"B20201101209"</f>
        <v>B20201101209</v>
      </c>
      <c r="C4634" s="2" t="str">
        <f t="shared" ref="C4634:C4637" si="1212">"女"</f>
        <v>女</v>
      </c>
      <c r="D4634" s="2" t="str">
        <f t="shared" si="1207"/>
        <v>7</v>
      </c>
      <c r="E4634" s="2" t="str">
        <f>"音乐学院"</f>
        <v>音乐学院</v>
      </c>
    </row>
    <row r="4635" ht="13.5" hidden="1" spans="1:5">
      <c r="A4635" s="2" t="str">
        <f>"黄玉年"</f>
        <v>黄玉年</v>
      </c>
      <c r="B4635" s="2" t="str">
        <f>"B20220403231"</f>
        <v>B20220403231</v>
      </c>
      <c r="C4635" s="2" t="str">
        <f t="shared" si="1212"/>
        <v>女</v>
      </c>
      <c r="D4635" s="2" t="str">
        <f t="shared" si="1207"/>
        <v>7</v>
      </c>
      <c r="E4635" s="2" t="str">
        <f>"电子信息与电气工程学院"</f>
        <v>电子信息与电气工程学院</v>
      </c>
    </row>
    <row r="4636" ht="13.5" hidden="1" spans="1:5">
      <c r="A4636" s="2" t="str">
        <f>"黄立夫"</f>
        <v>黄立夫</v>
      </c>
      <c r="B4636" s="2" t="str">
        <f>"B20230103116"</f>
        <v>B20230103116</v>
      </c>
      <c r="C4636" s="2" t="str">
        <f>"男"</f>
        <v>男</v>
      </c>
      <c r="D4636" s="2" t="str">
        <f t="shared" si="1207"/>
        <v>7</v>
      </c>
      <c r="E4636" s="2" t="str">
        <f>"土木工程学院"</f>
        <v>土木工程学院</v>
      </c>
    </row>
    <row r="4637" ht="13.5" hidden="1" spans="1:5">
      <c r="A4637" s="2" t="str">
        <f>"王沁"</f>
        <v>王沁</v>
      </c>
      <c r="B4637" s="2" t="str">
        <f>"B20200803229"</f>
        <v>B20200803229</v>
      </c>
      <c r="C4637" s="2" t="str">
        <f t="shared" si="1212"/>
        <v>女</v>
      </c>
      <c r="D4637" s="2" t="str">
        <f t="shared" si="1207"/>
        <v>7</v>
      </c>
      <c r="E4637" s="2" t="str">
        <f>"外国语学院"</f>
        <v>外国语学院</v>
      </c>
    </row>
    <row r="4638" ht="13.5" hidden="1" spans="1:5">
      <c r="A4638" s="2" t="str">
        <f>"刘棋"</f>
        <v>刘棋</v>
      </c>
      <c r="B4638" s="2" t="str">
        <f>"B20231002218"</f>
        <v>B20231002218</v>
      </c>
      <c r="C4638" s="2" t="str">
        <f>"男"</f>
        <v>男</v>
      </c>
      <c r="D4638" s="2" t="str">
        <f t="shared" si="1207"/>
        <v>7</v>
      </c>
      <c r="E4638" s="2" t="str">
        <f>"艺术设计学院"</f>
        <v>艺术设计学院</v>
      </c>
    </row>
    <row r="4639" ht="13.5" hidden="1" spans="1:5">
      <c r="A4639" s="2" t="str">
        <f>"韩美舟"</f>
        <v>韩美舟</v>
      </c>
      <c r="B4639" s="2" t="str">
        <f>"B20221302436"</f>
        <v>B20221302436</v>
      </c>
      <c r="C4639" s="2" t="str">
        <f t="shared" ref="C4639:C4641" si="1213">"女"</f>
        <v>女</v>
      </c>
      <c r="D4639" s="2" t="str">
        <f t="shared" si="1207"/>
        <v>7</v>
      </c>
      <c r="E4639" s="2" t="str">
        <f>"材料与环境工程学院"</f>
        <v>材料与环境工程学院</v>
      </c>
    </row>
    <row r="4640" ht="13.5" hidden="1" spans="1:5">
      <c r="A4640" s="2" t="str">
        <f>"钟恒"</f>
        <v>钟恒</v>
      </c>
      <c r="B4640" s="2" t="str">
        <f>"B20220901116"</f>
        <v>B20220901116</v>
      </c>
      <c r="C4640" s="2" t="str">
        <f t="shared" si="1213"/>
        <v>女</v>
      </c>
      <c r="D4640" s="2" t="str">
        <f t="shared" si="1207"/>
        <v>7</v>
      </c>
      <c r="E4640" s="2" t="str">
        <f t="shared" ref="E4640:E4642" si="1214">"经济与管理学院"</f>
        <v>经济与管理学院</v>
      </c>
    </row>
    <row r="4641" ht="13.5" hidden="1" spans="1:5">
      <c r="A4641" s="2" t="str">
        <f>"杨露慧子"</f>
        <v>杨露慧子</v>
      </c>
      <c r="B4641" s="2" t="str">
        <f>"B20220905235"</f>
        <v>B20220905235</v>
      </c>
      <c r="C4641" s="2" t="str">
        <f t="shared" si="1213"/>
        <v>女</v>
      </c>
      <c r="D4641" s="2" t="str">
        <f t="shared" si="1207"/>
        <v>7</v>
      </c>
      <c r="E4641" s="2" t="str">
        <f t="shared" si="1214"/>
        <v>经济与管理学院</v>
      </c>
    </row>
    <row r="4642" ht="13.5" hidden="1" spans="1:5">
      <c r="A4642" s="2" t="str">
        <f>"王睿"</f>
        <v>王睿</v>
      </c>
      <c r="B4642" s="2" t="str">
        <f>"B20230904201"</f>
        <v>B20230904201</v>
      </c>
      <c r="C4642" s="2" t="str">
        <f t="shared" ref="C4642:C4647" si="1215">"男"</f>
        <v>男</v>
      </c>
      <c r="D4642" s="2" t="str">
        <f t="shared" si="1207"/>
        <v>7</v>
      </c>
      <c r="E4642" s="2" t="str">
        <f t="shared" si="1214"/>
        <v>经济与管理学院</v>
      </c>
    </row>
    <row r="4643" ht="13.5" hidden="1" spans="1:5">
      <c r="A4643" s="2" t="str">
        <f>"郭子璇"</f>
        <v>郭子璇</v>
      </c>
      <c r="B4643" s="2" t="str">
        <f>"B20201002320"</f>
        <v>B20201002320</v>
      </c>
      <c r="C4643" s="2" t="str">
        <f t="shared" ref="C4643:C4648" si="1216">"女"</f>
        <v>女</v>
      </c>
      <c r="D4643" s="2" t="str">
        <f t="shared" si="1207"/>
        <v>7</v>
      </c>
      <c r="E4643" s="2" t="str">
        <f>"艺术设计学院"</f>
        <v>艺术设计学院</v>
      </c>
    </row>
    <row r="4644" ht="13.5" hidden="1" spans="1:5">
      <c r="A4644" s="2" t="str">
        <f>"晏军"</f>
        <v>晏军</v>
      </c>
      <c r="B4644" s="2" t="str">
        <f>"B20210402318"</f>
        <v>B20210402318</v>
      </c>
      <c r="C4644" s="2" t="str">
        <f t="shared" si="1215"/>
        <v>男</v>
      </c>
      <c r="D4644" s="2" t="str">
        <f t="shared" si="1207"/>
        <v>7</v>
      </c>
      <c r="E4644" s="2" t="str">
        <f>"电子信息与电气工程学院"</f>
        <v>电子信息与电气工程学院</v>
      </c>
    </row>
    <row r="4645" ht="13.5" hidden="1" spans="1:5">
      <c r="A4645" s="2" t="str">
        <f>"李虹佼"</f>
        <v>李虹佼</v>
      </c>
      <c r="B4645" s="2" t="str">
        <f>"B20210904223"</f>
        <v>B20210904223</v>
      </c>
      <c r="C4645" s="2" t="str">
        <f t="shared" si="1216"/>
        <v>女</v>
      </c>
      <c r="D4645" s="2" t="str">
        <f t="shared" si="1207"/>
        <v>7</v>
      </c>
      <c r="E4645" s="2" t="str">
        <f>"经济与管理学院"</f>
        <v>经济与管理学院</v>
      </c>
    </row>
    <row r="4646" customHeight="1" spans="1:5">
      <c r="A4646" s="6" t="str">
        <f>"陈屹涛"</f>
        <v>陈屹涛</v>
      </c>
      <c r="B4646" s="6" t="str">
        <f>"B20210307225"</f>
        <v>B20210307225</v>
      </c>
      <c r="C4646" s="6" t="str">
        <f>"男"</f>
        <v>男</v>
      </c>
      <c r="D4646" s="7" t="str">
        <f>"12"</f>
        <v>12</v>
      </c>
      <c r="E4646" s="6" t="str">
        <f>"计算机科学与工程学院"</f>
        <v>计算机科学与工程学院</v>
      </c>
    </row>
    <row r="4647" ht="13.5" hidden="1" spans="1:5">
      <c r="A4647" s="2" t="str">
        <f>"王子健"</f>
        <v>王子健</v>
      </c>
      <c r="B4647" s="2" t="str">
        <f>"B20230703306"</f>
        <v>B20230703306</v>
      </c>
      <c r="C4647" s="2" t="str">
        <f t="shared" si="1215"/>
        <v>男</v>
      </c>
      <c r="D4647" s="2" t="str">
        <f t="shared" si="1207"/>
        <v>7</v>
      </c>
      <c r="E4647" s="2" t="str">
        <f>"马栏山新媒体学院"</f>
        <v>马栏山新媒体学院</v>
      </c>
    </row>
    <row r="4648" ht="13.5" hidden="1" spans="1:5">
      <c r="A4648" s="2" t="str">
        <f>"陈哲雯"</f>
        <v>陈哲雯</v>
      </c>
      <c r="B4648" s="2" t="str">
        <f>"B20230801325"</f>
        <v>B20230801325</v>
      </c>
      <c r="C4648" s="2" t="str">
        <f t="shared" si="1216"/>
        <v>女</v>
      </c>
      <c r="D4648" s="2" t="str">
        <f t="shared" si="1207"/>
        <v>7</v>
      </c>
      <c r="E4648" s="2" t="str">
        <f>"外国语学院"</f>
        <v>外国语学院</v>
      </c>
    </row>
    <row r="4649" ht="13.5" hidden="1" spans="1:5">
      <c r="A4649" s="2" t="str">
        <f>"诸葛甲钰"</f>
        <v>诸葛甲钰</v>
      </c>
      <c r="B4649" s="2" t="str">
        <f>"B20200103118"</f>
        <v>B20200103118</v>
      </c>
      <c r="C4649" s="2" t="str">
        <f t="shared" ref="C4649:C4652" si="1217">"男"</f>
        <v>男</v>
      </c>
      <c r="D4649" s="2" t="str">
        <f t="shared" si="1207"/>
        <v>7</v>
      </c>
      <c r="E4649" s="2" t="str">
        <f>"土木工程学院"</f>
        <v>土木工程学院</v>
      </c>
    </row>
    <row r="4650" ht="13.5" hidden="1" spans="1:5">
      <c r="A4650" s="2" t="str">
        <f>"胡鹏"</f>
        <v>胡鹏</v>
      </c>
      <c r="B4650" s="2" t="str">
        <f>"B20230103209"</f>
        <v>B20230103209</v>
      </c>
      <c r="C4650" s="2" t="str">
        <f t="shared" si="1217"/>
        <v>男</v>
      </c>
      <c r="D4650" s="2" t="str">
        <f t="shared" si="1207"/>
        <v>7</v>
      </c>
      <c r="E4650" s="2" t="str">
        <f>"土木工程学院"</f>
        <v>土木工程学院</v>
      </c>
    </row>
    <row r="4651" ht="13.5" hidden="1" spans="1:5">
      <c r="A4651" s="2" t="str">
        <f>"徐丹怡"</f>
        <v>徐丹怡</v>
      </c>
      <c r="B4651" s="2" t="str">
        <f>"B20230701121"</f>
        <v>B20230701121</v>
      </c>
      <c r="C4651" s="2" t="str">
        <f t="shared" ref="C4651:C4656" si="1218">"女"</f>
        <v>女</v>
      </c>
      <c r="D4651" s="2" t="str">
        <f t="shared" si="1207"/>
        <v>7</v>
      </c>
      <c r="E4651" s="2" t="str">
        <f>"马栏山新媒体学院"</f>
        <v>马栏山新媒体学院</v>
      </c>
    </row>
    <row r="4652" customHeight="1" spans="1:5">
      <c r="A4652" s="6" t="str">
        <f>"罗国权"</f>
        <v>罗国权</v>
      </c>
      <c r="B4652" s="6" t="str">
        <f>"B20210307226"</f>
        <v>B20210307226</v>
      </c>
      <c r="C4652" s="6" t="str">
        <f>"男"</f>
        <v>男</v>
      </c>
      <c r="D4652" s="7" t="str">
        <f>"2"</f>
        <v>2</v>
      </c>
      <c r="E4652" s="6" t="str">
        <f>"计算机科学与工程学院"</f>
        <v>计算机科学与工程学院</v>
      </c>
    </row>
    <row r="4653" ht="13.5" hidden="1" spans="1:5">
      <c r="A4653" s="2" t="str">
        <f>"黄亚男"</f>
        <v>黄亚男</v>
      </c>
      <c r="B4653" s="2" t="str">
        <f>"B20221101106"</f>
        <v>B20221101106</v>
      </c>
      <c r="C4653" s="2" t="str">
        <f t="shared" si="1218"/>
        <v>女</v>
      </c>
      <c r="D4653" s="2" t="str">
        <f t="shared" si="1207"/>
        <v>7</v>
      </c>
      <c r="E4653" s="2" t="str">
        <f>"音乐学院"</f>
        <v>音乐学院</v>
      </c>
    </row>
    <row r="4654" ht="13.5" hidden="1" spans="1:5">
      <c r="A4654" s="2" t="str">
        <f>"王冉冉"</f>
        <v>王冉冉</v>
      </c>
      <c r="B4654" s="2" t="str">
        <f>"B20230905236"</f>
        <v>B20230905236</v>
      </c>
      <c r="C4654" s="2" t="str">
        <f t="shared" si="1218"/>
        <v>女</v>
      </c>
      <c r="D4654" s="2" t="str">
        <f t="shared" si="1207"/>
        <v>7</v>
      </c>
      <c r="E4654" s="2" t="str">
        <f>"经济与管理学院"</f>
        <v>经济与管理学院</v>
      </c>
    </row>
    <row r="4655" ht="13.5" hidden="1" spans="1:5">
      <c r="A4655" s="2" t="str">
        <f>"洪佳宜"</f>
        <v>洪佳宜</v>
      </c>
      <c r="B4655" s="2" t="str">
        <f>"B20230601327"</f>
        <v>B20230601327</v>
      </c>
      <c r="C4655" s="2" t="str">
        <f t="shared" si="1218"/>
        <v>女</v>
      </c>
      <c r="D4655" s="2" t="str">
        <f t="shared" si="1207"/>
        <v>7</v>
      </c>
      <c r="E4655" s="2" t="str">
        <f>"法学院"</f>
        <v>法学院</v>
      </c>
    </row>
    <row r="4656" ht="13.5" hidden="1" spans="1:5">
      <c r="A4656" s="2" t="str">
        <f>"秦语棋"</f>
        <v>秦语棋</v>
      </c>
      <c r="B4656" s="2" t="str">
        <f>"B20230704423"</f>
        <v>B20230704423</v>
      </c>
      <c r="C4656" s="2" t="str">
        <f t="shared" si="1218"/>
        <v>女</v>
      </c>
      <c r="D4656" s="2" t="str">
        <f t="shared" si="1207"/>
        <v>7</v>
      </c>
      <c r="E4656" s="2" t="str">
        <f t="shared" ref="E4656:E4660" si="1219">"马栏山新媒体学院"</f>
        <v>马栏山新媒体学院</v>
      </c>
    </row>
    <row r="4657" ht="13.5" hidden="1" spans="1:5">
      <c r="A4657" s="2" t="str">
        <f>"孙俊"</f>
        <v>孙俊</v>
      </c>
      <c r="B4657" s="2" t="str">
        <f>"B20220101326"</f>
        <v>B20220101326</v>
      </c>
      <c r="C4657" s="2" t="str">
        <f>"男"</f>
        <v>男</v>
      </c>
      <c r="D4657" s="2" t="str">
        <f t="shared" si="1207"/>
        <v>7</v>
      </c>
      <c r="E4657" s="2" t="str">
        <f>"土木工程学院"</f>
        <v>土木工程学院</v>
      </c>
    </row>
    <row r="4658" ht="13.5" hidden="1" spans="1:5">
      <c r="A4658" s="2" t="str">
        <f>"曹雅琳"</f>
        <v>曹雅琳</v>
      </c>
      <c r="B4658" s="2" t="str">
        <f>"B20200702201"</f>
        <v>B20200702201</v>
      </c>
      <c r="C4658" s="2" t="str">
        <f t="shared" ref="C4658:C4661" si="1220">"女"</f>
        <v>女</v>
      </c>
      <c r="D4658" s="2" t="str">
        <f t="shared" si="1207"/>
        <v>7</v>
      </c>
      <c r="E4658" s="2" t="str">
        <f t="shared" si="1219"/>
        <v>马栏山新媒体学院</v>
      </c>
    </row>
    <row r="4659" ht="13.5" hidden="1" spans="1:5">
      <c r="A4659" s="2" t="str">
        <f>"王睿"</f>
        <v>王睿</v>
      </c>
      <c r="B4659" s="2" t="str">
        <f>"B20200402312"</f>
        <v>B20200402312</v>
      </c>
      <c r="C4659" s="2" t="str">
        <f t="shared" si="1220"/>
        <v>女</v>
      </c>
      <c r="D4659" s="2" t="str">
        <f t="shared" si="1207"/>
        <v>7</v>
      </c>
      <c r="E4659" s="2" t="str">
        <f>"电子信息与电气工程学院"</f>
        <v>电子信息与电气工程学院</v>
      </c>
    </row>
    <row r="4660" ht="13.5" hidden="1" spans="1:5">
      <c r="A4660" s="2" t="str">
        <f>"龙轩滢"</f>
        <v>龙轩滢</v>
      </c>
      <c r="B4660" s="2" t="str">
        <f>"B20230704118"</f>
        <v>B20230704118</v>
      </c>
      <c r="C4660" s="2" t="str">
        <f t="shared" si="1220"/>
        <v>女</v>
      </c>
      <c r="D4660" s="2" t="str">
        <f t="shared" si="1207"/>
        <v>7</v>
      </c>
      <c r="E4660" s="2" t="str">
        <f t="shared" si="1219"/>
        <v>马栏山新媒体学院</v>
      </c>
    </row>
    <row r="4661" ht="13.5" hidden="1" spans="1:5">
      <c r="A4661" s="2" t="str">
        <f>"陈慧辉"</f>
        <v>陈慧辉</v>
      </c>
      <c r="B4661" s="2" t="str">
        <f>"B20220803117"</f>
        <v>B20220803117</v>
      </c>
      <c r="C4661" s="2" t="str">
        <f t="shared" si="1220"/>
        <v>女</v>
      </c>
      <c r="D4661" s="2" t="str">
        <f t="shared" si="1207"/>
        <v>7</v>
      </c>
      <c r="E4661" s="2" t="str">
        <f>"外国语学院"</f>
        <v>外国语学院</v>
      </c>
    </row>
    <row r="4662" ht="13.5" hidden="1" spans="1:5">
      <c r="A4662" s="2" t="str">
        <f>"颜志圣"</f>
        <v>颜志圣</v>
      </c>
      <c r="B4662" s="2" t="str">
        <f>"B20230901119"</f>
        <v>B20230901119</v>
      </c>
      <c r="C4662" s="2" t="str">
        <f t="shared" ref="C4662:C4665" si="1221">"男"</f>
        <v>男</v>
      </c>
      <c r="D4662" s="2" t="str">
        <f t="shared" si="1207"/>
        <v>7</v>
      </c>
      <c r="E4662" s="2" t="str">
        <f>"经济与管理学院"</f>
        <v>经济与管理学院</v>
      </c>
    </row>
    <row r="4663" ht="13.5" hidden="1" spans="1:5">
      <c r="A4663" s="2" t="str">
        <f>"胥仕杰"</f>
        <v>胥仕杰</v>
      </c>
      <c r="B4663" s="2" t="str">
        <f>"B20200505138"</f>
        <v>B20200505138</v>
      </c>
      <c r="C4663" s="2" t="str">
        <f t="shared" si="1221"/>
        <v>男</v>
      </c>
      <c r="D4663" s="2" t="str">
        <f t="shared" si="1207"/>
        <v>7</v>
      </c>
      <c r="E4663" s="2" t="str">
        <f>"生物与环境工程学院"</f>
        <v>生物与环境工程学院</v>
      </c>
    </row>
    <row r="4664" ht="13.5" hidden="1" spans="1:5">
      <c r="A4664" s="2" t="str">
        <f>"周杰"</f>
        <v>周杰</v>
      </c>
      <c r="B4664" s="2" t="str">
        <f>"B20230504234"</f>
        <v>B20230504234</v>
      </c>
      <c r="C4664" s="2" t="str">
        <f t="shared" si="1221"/>
        <v>男</v>
      </c>
      <c r="D4664" s="2" t="str">
        <f t="shared" si="1207"/>
        <v>7</v>
      </c>
      <c r="E4664" s="2" t="str">
        <f>"生物与化学工程学院"</f>
        <v>生物与化学工程学院</v>
      </c>
    </row>
    <row r="4665" customHeight="1" spans="1:5">
      <c r="A4665" s="6" t="str">
        <f>"黎子文"</f>
        <v>黎子文</v>
      </c>
      <c r="B4665" s="6" t="str">
        <f>"B20210307227"</f>
        <v>B20210307227</v>
      </c>
      <c r="C4665" s="6" t="str">
        <f t="shared" si="1221"/>
        <v>男</v>
      </c>
      <c r="D4665" s="7" t="str">
        <f>"3"</f>
        <v>3</v>
      </c>
      <c r="E4665" s="6" t="str">
        <f>"计算机科学与工程学院"</f>
        <v>计算机科学与工程学院</v>
      </c>
    </row>
    <row r="4666" ht="13.5" hidden="1" spans="1:5">
      <c r="A4666" s="2" t="str">
        <f>"倪凯莹"</f>
        <v>倪凯莹</v>
      </c>
      <c r="B4666" s="2" t="str">
        <f>"B20201003221"</f>
        <v>B20201003221</v>
      </c>
      <c r="C4666" s="2" t="str">
        <f t="shared" ref="C4665:C4668" si="1222">"女"</f>
        <v>女</v>
      </c>
      <c r="D4666" s="2" t="str">
        <f t="shared" si="1207"/>
        <v>7</v>
      </c>
      <c r="E4666" s="2" t="str">
        <f>"艺术设计学院"</f>
        <v>艺术设计学院</v>
      </c>
    </row>
    <row r="4667" customHeight="1" spans="1:5">
      <c r="A4667" s="6" t="str">
        <f>"陈超"</f>
        <v>陈超</v>
      </c>
      <c r="B4667" s="6" t="str">
        <f>"B20210307228"</f>
        <v>B20210307228</v>
      </c>
      <c r="C4667" s="6" t="str">
        <f>"男"</f>
        <v>男</v>
      </c>
      <c r="D4667" s="7" t="str">
        <f>"3"</f>
        <v>3</v>
      </c>
      <c r="E4667" s="6" t="str">
        <f>"计算机科学与工程学院"</f>
        <v>计算机科学与工程学院</v>
      </c>
    </row>
    <row r="4668" ht="13.5" hidden="1" spans="1:5">
      <c r="A4668" s="2" t="str">
        <f>"龚璇"</f>
        <v>龚璇</v>
      </c>
      <c r="B4668" s="2" t="str">
        <f>"B20230504130"</f>
        <v>B20230504130</v>
      </c>
      <c r="C4668" s="2" t="str">
        <f t="shared" si="1222"/>
        <v>女</v>
      </c>
      <c r="D4668" s="2" t="str">
        <f t="shared" si="1207"/>
        <v>7</v>
      </c>
      <c r="E4668" s="2" t="str">
        <f>"生物与化学工程学院"</f>
        <v>生物与化学工程学院</v>
      </c>
    </row>
    <row r="4669" ht="13.5" hidden="1" spans="1:5">
      <c r="A4669" s="2" t="str">
        <f>"夏涛"</f>
        <v>夏涛</v>
      </c>
      <c r="B4669" s="2" t="str">
        <f>"B20200101125"</f>
        <v>B20200101125</v>
      </c>
      <c r="C4669" s="2" t="str">
        <f t="shared" ref="C4669:C4672" si="1223">"男"</f>
        <v>男</v>
      </c>
      <c r="D4669" s="2" t="str">
        <f t="shared" si="1207"/>
        <v>7</v>
      </c>
      <c r="E4669" s="2" t="str">
        <f>"外国语学院"</f>
        <v>外国语学院</v>
      </c>
    </row>
    <row r="4670" ht="13.5" hidden="1" spans="1:5">
      <c r="A4670" s="2" t="str">
        <f>"朱新月"</f>
        <v>朱新月</v>
      </c>
      <c r="B4670" s="2" t="str">
        <f>"B20221101220"</f>
        <v>B20221101220</v>
      </c>
      <c r="C4670" s="2" t="str">
        <f t="shared" ref="C4670:C4674" si="1224">"女"</f>
        <v>女</v>
      </c>
      <c r="D4670" s="2" t="str">
        <f t="shared" si="1207"/>
        <v>7</v>
      </c>
      <c r="E4670" s="2" t="str">
        <f>"音乐学院"</f>
        <v>音乐学院</v>
      </c>
    </row>
    <row r="4671" ht="13.5" hidden="1" spans="1:5">
      <c r="A4671" s="2" t="str">
        <f>"周理"</f>
        <v>周理</v>
      </c>
      <c r="B4671" s="2" t="str">
        <f>"B20200201428"</f>
        <v>B20200201428</v>
      </c>
      <c r="C4671" s="2" t="str">
        <f t="shared" si="1223"/>
        <v>男</v>
      </c>
      <c r="D4671" s="2" t="str">
        <f t="shared" si="1207"/>
        <v>7</v>
      </c>
      <c r="E4671" s="2" t="str">
        <f>"机电工程学院"</f>
        <v>机电工程学院</v>
      </c>
    </row>
    <row r="4672" ht="13.5" hidden="1" spans="1:5">
      <c r="A4672" s="2" t="str">
        <f>"邓熙堂"</f>
        <v>邓熙堂</v>
      </c>
      <c r="B4672" s="2" t="str">
        <f>"B20210204125"</f>
        <v>B20210204125</v>
      </c>
      <c r="C4672" s="2" t="str">
        <f t="shared" si="1223"/>
        <v>男</v>
      </c>
      <c r="D4672" s="2" t="str">
        <f t="shared" si="1207"/>
        <v>7</v>
      </c>
      <c r="E4672" s="2" t="str">
        <f>"机电工程学院"</f>
        <v>机电工程学院</v>
      </c>
    </row>
    <row r="4673" ht="13.5" hidden="1" spans="1:5">
      <c r="A4673" s="2" t="str">
        <f>"吴彬彬"</f>
        <v>吴彬彬</v>
      </c>
      <c r="B4673" s="2" t="str">
        <f>"B20210902232"</f>
        <v>B20210902232</v>
      </c>
      <c r="C4673" s="2" t="str">
        <f t="shared" si="1224"/>
        <v>女</v>
      </c>
      <c r="D4673" s="2" t="str">
        <f t="shared" si="1207"/>
        <v>7</v>
      </c>
      <c r="E4673" s="2" t="str">
        <f>"经济与管理学院"</f>
        <v>经济与管理学院</v>
      </c>
    </row>
    <row r="4674" ht="13.5" hidden="1" spans="1:5">
      <c r="A4674" s="2" t="str">
        <f>"王智莹"</f>
        <v>王智莹</v>
      </c>
      <c r="B4674" s="2" t="str">
        <f>"B20220402133"</f>
        <v>B20220402133</v>
      </c>
      <c r="C4674" s="2" t="str">
        <f t="shared" si="1224"/>
        <v>女</v>
      </c>
      <c r="D4674" s="2" t="str">
        <f t="shared" si="1207"/>
        <v>7</v>
      </c>
      <c r="E4674" s="2" t="str">
        <f>"电子信息与电气工程学院"</f>
        <v>电子信息与电气工程学院</v>
      </c>
    </row>
    <row r="4675" ht="13.5" hidden="1" spans="1:5">
      <c r="A4675" s="2" t="str">
        <f>"李炜"</f>
        <v>李炜</v>
      </c>
      <c r="B4675" s="2" t="str">
        <f>"B20220401131"</f>
        <v>B20220401131</v>
      </c>
      <c r="C4675" s="2" t="str">
        <f>"男"</f>
        <v>男</v>
      </c>
      <c r="D4675" s="2" t="str">
        <f t="shared" si="1207"/>
        <v>7</v>
      </c>
      <c r="E4675" s="2" t="str">
        <f>"电子信息与电气工程学院"</f>
        <v>电子信息与电气工程学院</v>
      </c>
    </row>
    <row r="4676" ht="13.5" hidden="1" spans="1:5">
      <c r="A4676" s="2" t="str">
        <f>"杨玉娴"</f>
        <v>杨玉娴</v>
      </c>
      <c r="B4676" s="2" t="str">
        <f>"B20210905238"</f>
        <v>B20210905238</v>
      </c>
      <c r="C4676" s="2" t="str">
        <f t="shared" ref="C4676:C4680" si="1225">"女"</f>
        <v>女</v>
      </c>
      <c r="D4676" s="2" t="str">
        <f t="shared" si="1207"/>
        <v>7</v>
      </c>
      <c r="E4676" s="2" t="str">
        <f>"经济与管理学院"</f>
        <v>经济与管理学院</v>
      </c>
    </row>
    <row r="4677" ht="13.5" hidden="1" spans="1:5">
      <c r="A4677" s="2" t="str">
        <f>"侯梦轲"</f>
        <v>侯梦轲</v>
      </c>
      <c r="B4677" s="2" t="str">
        <f>"B20200501135"</f>
        <v>B20200501135</v>
      </c>
      <c r="C4677" s="2" t="str">
        <f t="shared" si="1225"/>
        <v>女</v>
      </c>
      <c r="D4677" s="2" t="str">
        <f t="shared" si="1207"/>
        <v>7</v>
      </c>
      <c r="E4677" s="2" t="str">
        <f>"生物与环境工程学院"</f>
        <v>生物与环境工程学院</v>
      </c>
    </row>
    <row r="4678" customHeight="1" spans="1:5">
      <c r="A4678" s="6" t="str">
        <f>"邱宇"</f>
        <v>邱宇</v>
      </c>
      <c r="B4678" s="6" t="str">
        <f>"B20210404122"</f>
        <v>B20210404122</v>
      </c>
      <c r="C4678" s="6" t="str">
        <f>"男"</f>
        <v>男</v>
      </c>
      <c r="D4678" s="7" t="str">
        <f>"6"</f>
        <v>6</v>
      </c>
      <c r="E4678" s="6" t="str">
        <f>"计算机科学与工程学院"</f>
        <v>计算机科学与工程学院</v>
      </c>
    </row>
    <row r="4679" ht="13.5" hidden="1" spans="1:5">
      <c r="A4679" s="2" t="str">
        <f>"莫月玲"</f>
        <v>莫月玲</v>
      </c>
      <c r="B4679" s="2" t="str">
        <f>"B20230802124"</f>
        <v>B20230802124</v>
      </c>
      <c r="C4679" s="2" t="str">
        <f t="shared" si="1225"/>
        <v>女</v>
      </c>
      <c r="D4679" s="2" t="str">
        <f t="shared" si="1207"/>
        <v>7</v>
      </c>
      <c r="E4679" s="2" t="str">
        <f>"外国语学院"</f>
        <v>外国语学院</v>
      </c>
    </row>
    <row r="4680" ht="13.5" hidden="1" spans="1:5">
      <c r="A4680" s="2" t="str">
        <f>"张渲芸"</f>
        <v>张渲芸</v>
      </c>
      <c r="B4680" s="2" t="str">
        <f>"B20230901314"</f>
        <v>B20230901314</v>
      </c>
      <c r="C4680" s="2" t="str">
        <f t="shared" si="1225"/>
        <v>女</v>
      </c>
      <c r="D4680" s="2" t="str">
        <f t="shared" si="1207"/>
        <v>7</v>
      </c>
      <c r="E4680" s="2" t="str">
        <f t="shared" ref="E4680:E4685" si="1226">"经济与管理学院"</f>
        <v>经济与管理学院</v>
      </c>
    </row>
    <row r="4681" ht="13.5" hidden="1" spans="1:5">
      <c r="A4681" s="2" t="str">
        <f>"李培凡"</f>
        <v>李培凡</v>
      </c>
      <c r="B4681" s="2" t="str">
        <f>"B20220403210"</f>
        <v>B20220403210</v>
      </c>
      <c r="C4681" s="2" t="str">
        <f t="shared" ref="C4681:C4689" si="1227">"男"</f>
        <v>男</v>
      </c>
      <c r="D4681" s="2" t="str">
        <f t="shared" si="1207"/>
        <v>7</v>
      </c>
      <c r="E4681" s="2" t="str">
        <f t="shared" ref="E4681:E4686" si="1228">"电子信息与电气工程学院"</f>
        <v>电子信息与电气工程学院</v>
      </c>
    </row>
    <row r="4682" ht="13.5" hidden="1" spans="1:5">
      <c r="A4682" s="2" t="str">
        <f>"李超"</f>
        <v>李超</v>
      </c>
      <c r="B4682" s="2" t="str">
        <f>"B20230402105"</f>
        <v>B20230402105</v>
      </c>
      <c r="C4682" s="2" t="str">
        <f t="shared" si="1227"/>
        <v>男</v>
      </c>
      <c r="D4682" s="2" t="str">
        <f t="shared" si="1207"/>
        <v>7</v>
      </c>
      <c r="E4682" s="2" t="str">
        <f t="shared" si="1228"/>
        <v>电子信息与电气工程学院</v>
      </c>
    </row>
    <row r="4683" ht="13.5" hidden="1" spans="1:5">
      <c r="A4683" s="2" t="str">
        <f>"邵慧菲"</f>
        <v>邵慧菲</v>
      </c>
      <c r="B4683" s="2" t="str">
        <f>"B20210906237"</f>
        <v>B20210906237</v>
      </c>
      <c r="C4683" s="2" t="str">
        <f t="shared" ref="C4683:C4685" si="1229">"女"</f>
        <v>女</v>
      </c>
      <c r="D4683" s="2" t="str">
        <f t="shared" si="1207"/>
        <v>7</v>
      </c>
      <c r="E4683" s="2" t="str">
        <f t="shared" si="1226"/>
        <v>经济与管理学院</v>
      </c>
    </row>
    <row r="4684" ht="13.5" hidden="1" spans="1:5">
      <c r="A4684" s="2" t="str">
        <f>"张雨晴"</f>
        <v>张雨晴</v>
      </c>
      <c r="B4684" s="2" t="str">
        <f>"B20230901128"</f>
        <v>B20230901128</v>
      </c>
      <c r="C4684" s="2" t="str">
        <f t="shared" si="1229"/>
        <v>女</v>
      </c>
      <c r="D4684" s="2" t="str">
        <f t="shared" si="1207"/>
        <v>7</v>
      </c>
      <c r="E4684" s="2" t="str">
        <f t="shared" si="1226"/>
        <v>经济与管理学院</v>
      </c>
    </row>
    <row r="4685" ht="13.5" hidden="1" spans="1:5">
      <c r="A4685" s="2" t="str">
        <f>"唐嘉怡"</f>
        <v>唐嘉怡</v>
      </c>
      <c r="B4685" s="2" t="str">
        <f>"B20200901225"</f>
        <v>B20200901225</v>
      </c>
      <c r="C4685" s="2" t="str">
        <f t="shared" si="1229"/>
        <v>女</v>
      </c>
      <c r="D4685" s="2" t="str">
        <f t="shared" si="1207"/>
        <v>7</v>
      </c>
      <c r="E4685" s="2" t="str">
        <f t="shared" si="1226"/>
        <v>经济与管理学院</v>
      </c>
    </row>
    <row r="4686" ht="13.5" hidden="1" spans="1:5">
      <c r="A4686" s="2" t="str">
        <f>"陶金峰"</f>
        <v>陶金峰</v>
      </c>
      <c r="B4686" s="2" t="str">
        <f>"B20210401210"</f>
        <v>B20210401210</v>
      </c>
      <c r="C4686" s="2" t="str">
        <f t="shared" si="1227"/>
        <v>男</v>
      </c>
      <c r="D4686" s="2" t="str">
        <f t="shared" si="1207"/>
        <v>7</v>
      </c>
      <c r="E4686" s="2" t="str">
        <f t="shared" si="1228"/>
        <v>电子信息与电气工程学院</v>
      </c>
    </row>
    <row r="4687" ht="13.5" hidden="1" spans="1:5">
      <c r="A4687" s="2" t="str">
        <f>"王卓林"</f>
        <v>王卓林</v>
      </c>
      <c r="B4687" s="2" t="str">
        <f>"B20210101532"</f>
        <v>B20210101532</v>
      </c>
      <c r="C4687" s="2" t="str">
        <f t="shared" si="1227"/>
        <v>男</v>
      </c>
      <c r="D4687" s="2" t="str">
        <f t="shared" ref="D4687:D4750" si="1230">"7"</f>
        <v>7</v>
      </c>
      <c r="E4687" s="2" t="str">
        <f>"土木工程学院"</f>
        <v>土木工程学院</v>
      </c>
    </row>
    <row r="4688" ht="13.5" hidden="1" spans="1:5">
      <c r="A4688" s="2" t="str">
        <f>"任明宇"</f>
        <v>任明宇</v>
      </c>
      <c r="B4688" s="2" t="str">
        <f>"B20230205301"</f>
        <v>B20230205301</v>
      </c>
      <c r="C4688" s="2" t="str">
        <f t="shared" si="1227"/>
        <v>男</v>
      </c>
      <c r="D4688" s="2" t="str">
        <f t="shared" si="1230"/>
        <v>7</v>
      </c>
      <c r="E4688" s="2" t="str">
        <f>"机电工程学院"</f>
        <v>机电工程学院</v>
      </c>
    </row>
    <row r="4689" ht="13.5" hidden="1" spans="1:5">
      <c r="A4689" s="2" t="str">
        <f>"朱政"</f>
        <v>朱政</v>
      </c>
      <c r="B4689" s="2" t="str">
        <f>"B20210401112"</f>
        <v>B20210401112</v>
      </c>
      <c r="C4689" s="2" t="str">
        <f t="shared" si="1227"/>
        <v>男</v>
      </c>
      <c r="D4689" s="2" t="str">
        <f t="shared" si="1230"/>
        <v>7</v>
      </c>
      <c r="E4689" s="2" t="str">
        <f>"电子信息与电气工程学院"</f>
        <v>电子信息与电气工程学院</v>
      </c>
    </row>
    <row r="4690" ht="13.5" hidden="1" spans="1:5">
      <c r="A4690" s="2" t="str">
        <f>"陈伶俐"</f>
        <v>陈伶俐</v>
      </c>
      <c r="B4690" s="2" t="str">
        <f>"B20230901327"</f>
        <v>B20230901327</v>
      </c>
      <c r="C4690" s="2" t="str">
        <f t="shared" ref="C4690:C4694" si="1231">"女"</f>
        <v>女</v>
      </c>
      <c r="D4690" s="2" t="str">
        <f t="shared" si="1230"/>
        <v>7</v>
      </c>
      <c r="E4690" s="2" t="str">
        <f>"经济与管理学院"</f>
        <v>经济与管理学院</v>
      </c>
    </row>
    <row r="4691" ht="13.5" hidden="1" spans="1:5">
      <c r="A4691" s="2" t="str">
        <f>"胡梦婷"</f>
        <v>胡梦婷</v>
      </c>
      <c r="B4691" s="2" t="str">
        <f>"B20210801202"</f>
        <v>B20210801202</v>
      </c>
      <c r="C4691" s="2" t="str">
        <f t="shared" si="1231"/>
        <v>女</v>
      </c>
      <c r="D4691" s="2" t="str">
        <f t="shared" si="1230"/>
        <v>7</v>
      </c>
      <c r="E4691" s="2" t="str">
        <f>"外国语学院"</f>
        <v>外国语学院</v>
      </c>
    </row>
    <row r="4692" ht="13.5" hidden="1" spans="1:5">
      <c r="A4692" s="2" t="str">
        <f>"王俊石"</f>
        <v>王俊石</v>
      </c>
      <c r="B4692" s="2" t="str">
        <f>"B20230202101"</f>
        <v>B20230202101</v>
      </c>
      <c r="C4692" s="2" t="str">
        <f>"男"</f>
        <v>男</v>
      </c>
      <c r="D4692" s="2" t="str">
        <f t="shared" si="1230"/>
        <v>7</v>
      </c>
      <c r="E4692" s="2" t="str">
        <f>"机电工程学院"</f>
        <v>机电工程学院</v>
      </c>
    </row>
    <row r="4693" ht="13.5" hidden="1" spans="1:5">
      <c r="A4693" s="2" t="str">
        <f>"李林"</f>
        <v>李林</v>
      </c>
      <c r="B4693" s="2" t="str">
        <f>"B20231002403"</f>
        <v>B20231002403</v>
      </c>
      <c r="C4693" s="2" t="str">
        <f t="shared" si="1231"/>
        <v>女</v>
      </c>
      <c r="D4693" s="2" t="str">
        <f t="shared" si="1230"/>
        <v>7</v>
      </c>
      <c r="E4693" s="2" t="str">
        <f>"艺术设计学院"</f>
        <v>艺术设计学院</v>
      </c>
    </row>
    <row r="4694" ht="13.5" hidden="1" spans="1:5">
      <c r="A4694" s="2" t="str">
        <f>"朱孜"</f>
        <v>朱孜</v>
      </c>
      <c r="B4694" s="2" t="str">
        <f>"B20230802203"</f>
        <v>B20230802203</v>
      </c>
      <c r="C4694" s="2" t="str">
        <f t="shared" si="1231"/>
        <v>女</v>
      </c>
      <c r="D4694" s="2" t="str">
        <f t="shared" si="1230"/>
        <v>7</v>
      </c>
      <c r="E4694" s="2" t="str">
        <f>"外国语学院"</f>
        <v>外国语学院</v>
      </c>
    </row>
    <row r="4695" ht="13.5" hidden="1" spans="1:5">
      <c r="A4695" s="2" t="str">
        <f>"夏子杨"</f>
        <v>夏子杨</v>
      </c>
      <c r="B4695" s="2" t="str">
        <f>"B20221101310"</f>
        <v>B20221101310</v>
      </c>
      <c r="C4695" s="2" t="str">
        <f>"男"</f>
        <v>男</v>
      </c>
      <c r="D4695" s="2" t="str">
        <f t="shared" si="1230"/>
        <v>7</v>
      </c>
      <c r="E4695" s="2" t="str">
        <f>"音乐学院"</f>
        <v>音乐学院</v>
      </c>
    </row>
    <row r="4696" ht="13.5" hidden="1" spans="1:5">
      <c r="A4696" s="2" t="str">
        <f>"乔昕怡"</f>
        <v>乔昕怡</v>
      </c>
      <c r="B4696" s="2" t="str">
        <f>"B20230703304"</f>
        <v>B20230703304</v>
      </c>
      <c r="C4696" s="2" t="str">
        <f t="shared" ref="C4696:C4699" si="1232">"女"</f>
        <v>女</v>
      </c>
      <c r="D4696" s="2" t="str">
        <f t="shared" si="1230"/>
        <v>7</v>
      </c>
      <c r="E4696" s="2" t="str">
        <f>"马栏山新媒体学院"</f>
        <v>马栏山新媒体学院</v>
      </c>
    </row>
    <row r="4697" ht="13.5" hidden="1" spans="1:5">
      <c r="A4697" s="2" t="str">
        <f>"李银"</f>
        <v>李银</v>
      </c>
      <c r="B4697" s="2" t="str">
        <f>"B20210401309"</f>
        <v>B20210401309</v>
      </c>
      <c r="C4697" s="2" t="str">
        <f t="shared" si="1232"/>
        <v>女</v>
      </c>
      <c r="D4697" s="2" t="str">
        <f t="shared" si="1230"/>
        <v>7</v>
      </c>
      <c r="E4697" s="2" t="str">
        <f>"电子信息与电气工程学院"</f>
        <v>电子信息与电气工程学院</v>
      </c>
    </row>
    <row r="4698" ht="13.5" hidden="1" spans="1:5">
      <c r="A4698" s="2" t="str">
        <f>"贺子娟"</f>
        <v>贺子娟</v>
      </c>
      <c r="B4698" s="2" t="str">
        <f>"B20210701328"</f>
        <v>B20210701328</v>
      </c>
      <c r="C4698" s="2" t="str">
        <f t="shared" si="1232"/>
        <v>女</v>
      </c>
      <c r="D4698" s="2" t="str">
        <f t="shared" si="1230"/>
        <v>7</v>
      </c>
      <c r="E4698" s="2" t="str">
        <f>"马栏山新媒体学院"</f>
        <v>马栏山新媒体学院</v>
      </c>
    </row>
    <row r="4699" ht="13.5" hidden="1" spans="1:5">
      <c r="A4699" s="2" t="str">
        <f>"彭邱梦"</f>
        <v>彭邱梦</v>
      </c>
      <c r="B4699" s="2" t="str">
        <f>"B20220903229"</f>
        <v>B20220903229</v>
      </c>
      <c r="C4699" s="2" t="str">
        <f t="shared" si="1232"/>
        <v>女</v>
      </c>
      <c r="D4699" s="2" t="str">
        <f t="shared" si="1230"/>
        <v>7</v>
      </c>
      <c r="E4699" s="2" t="str">
        <f>"经济与管理学院"</f>
        <v>经济与管理学院</v>
      </c>
    </row>
    <row r="4700" ht="13.5" hidden="1" spans="1:5">
      <c r="A4700" s="2" t="str">
        <f>"曹鲜斌"</f>
        <v>曹鲜斌</v>
      </c>
      <c r="B4700" s="2" t="str">
        <f>"B20230201406"</f>
        <v>B20230201406</v>
      </c>
      <c r="C4700" s="2" t="str">
        <f t="shared" ref="C4700:C4703" si="1233">"男"</f>
        <v>男</v>
      </c>
      <c r="D4700" s="2" t="str">
        <f t="shared" si="1230"/>
        <v>7</v>
      </c>
      <c r="E4700" s="2" t="str">
        <f>"机电工程学院"</f>
        <v>机电工程学院</v>
      </c>
    </row>
    <row r="4701" ht="13.5" hidden="1" spans="1:5">
      <c r="A4701" s="2" t="str">
        <f>"孙乾恒"</f>
        <v>孙乾恒</v>
      </c>
      <c r="B4701" s="2" t="str">
        <f>"B20220201224"</f>
        <v>B20220201224</v>
      </c>
      <c r="C4701" s="2" t="str">
        <f t="shared" si="1233"/>
        <v>男</v>
      </c>
      <c r="D4701" s="2" t="str">
        <f t="shared" si="1230"/>
        <v>7</v>
      </c>
      <c r="E4701" s="2" t="str">
        <f>"机电工程学院"</f>
        <v>机电工程学院</v>
      </c>
    </row>
    <row r="4702" ht="13.5" hidden="1" spans="1:5">
      <c r="A4702" s="2" t="str">
        <f>"李潮杰"</f>
        <v>李潮杰</v>
      </c>
      <c r="B4702" s="2" t="str">
        <f>"B20220404222"</f>
        <v>B20220404222</v>
      </c>
      <c r="C4702" s="2" t="str">
        <f t="shared" si="1233"/>
        <v>男</v>
      </c>
      <c r="D4702" s="2" t="str">
        <f t="shared" si="1230"/>
        <v>7</v>
      </c>
      <c r="E4702" s="2" t="str">
        <f>"电子信息与电气工程学院"</f>
        <v>电子信息与电气工程学院</v>
      </c>
    </row>
    <row r="4703" ht="13.5" hidden="1" spans="1:5">
      <c r="A4703" s="2" t="str">
        <f>"李勇"</f>
        <v>李勇</v>
      </c>
      <c r="B4703" s="2" t="str">
        <f>"B20230104216"</f>
        <v>B20230104216</v>
      </c>
      <c r="C4703" s="2" t="str">
        <f t="shared" si="1233"/>
        <v>男</v>
      </c>
      <c r="D4703" s="2" t="str">
        <f t="shared" si="1230"/>
        <v>7</v>
      </c>
      <c r="E4703" s="2" t="str">
        <f>"土木工程学院"</f>
        <v>土木工程学院</v>
      </c>
    </row>
    <row r="4704" ht="13.5" hidden="1" spans="1:5">
      <c r="A4704" s="2" t="str">
        <f>"马梦婷"</f>
        <v>马梦婷</v>
      </c>
      <c r="B4704" s="2" t="str">
        <f>"B20200901433"</f>
        <v>B20200901433</v>
      </c>
      <c r="C4704" s="2" t="str">
        <f t="shared" ref="C4704:C4708" si="1234">"女"</f>
        <v>女</v>
      </c>
      <c r="D4704" s="2" t="str">
        <f t="shared" si="1230"/>
        <v>7</v>
      </c>
      <c r="E4704" s="2" t="str">
        <f t="shared" ref="E4704:E4707" si="1235">"经济与管理学院"</f>
        <v>经济与管理学院</v>
      </c>
    </row>
    <row r="4705" ht="13.5" hidden="1" spans="1:5">
      <c r="A4705" s="2" t="str">
        <f>"黄涵"</f>
        <v>黄涵</v>
      </c>
      <c r="B4705" s="2" t="str">
        <f>"B20210901119"</f>
        <v>B20210901119</v>
      </c>
      <c r="C4705" s="2" t="str">
        <f t="shared" si="1234"/>
        <v>女</v>
      </c>
      <c r="D4705" s="2" t="str">
        <f t="shared" si="1230"/>
        <v>7</v>
      </c>
      <c r="E4705" s="2" t="str">
        <f t="shared" si="1235"/>
        <v>经济与管理学院</v>
      </c>
    </row>
    <row r="4706" ht="13.5" hidden="1" spans="1:5">
      <c r="A4706" s="2" t="str">
        <f>"张人健"</f>
        <v>张人健</v>
      </c>
      <c r="B4706" s="2" t="str">
        <f>"B20230205125"</f>
        <v>B20230205125</v>
      </c>
      <c r="C4706" s="2" t="str">
        <f>"男"</f>
        <v>男</v>
      </c>
      <c r="D4706" s="2" t="str">
        <f t="shared" si="1230"/>
        <v>7</v>
      </c>
      <c r="E4706" s="2" t="str">
        <f>"机电工程学院"</f>
        <v>机电工程学院</v>
      </c>
    </row>
    <row r="4707" ht="13.5" hidden="1" spans="1:5">
      <c r="A4707" s="2" t="str">
        <f>"宋昆倩"</f>
        <v>宋昆倩</v>
      </c>
      <c r="B4707" s="2" t="str">
        <f>"B20210902421"</f>
        <v>B20210902421</v>
      </c>
      <c r="C4707" s="2" t="str">
        <f t="shared" si="1234"/>
        <v>女</v>
      </c>
      <c r="D4707" s="2" t="str">
        <f t="shared" si="1230"/>
        <v>7</v>
      </c>
      <c r="E4707" s="2" t="str">
        <f t="shared" si="1235"/>
        <v>经济与管理学院</v>
      </c>
    </row>
    <row r="4708" customHeight="1" spans="1:5">
      <c r="A4708" s="6" t="str">
        <f>"黄鉴琳"</f>
        <v>黄鉴琳</v>
      </c>
      <c r="B4708" s="6" t="str">
        <f>"B20210404202"</f>
        <v>B20210404202</v>
      </c>
      <c r="C4708" s="6" t="str">
        <f t="shared" si="1234"/>
        <v>女</v>
      </c>
      <c r="D4708" s="7" t="str">
        <f t="shared" si="1230"/>
        <v>7</v>
      </c>
      <c r="E4708" s="6" t="str">
        <f>"计算机科学与工程学院"</f>
        <v>计算机科学与工程学院</v>
      </c>
    </row>
    <row r="4709" ht="13.5" hidden="1" spans="1:5">
      <c r="A4709" s="2" t="str">
        <f>"孟可欣"</f>
        <v>孟可欣</v>
      </c>
      <c r="B4709" s="2" t="str">
        <f>"B20220704113"</f>
        <v>B20220704113</v>
      </c>
      <c r="C4709" s="2" t="str">
        <f t="shared" ref="C4709:C4713" si="1236">"女"</f>
        <v>女</v>
      </c>
      <c r="D4709" s="2" t="str">
        <f t="shared" si="1230"/>
        <v>7</v>
      </c>
      <c r="E4709" s="2" t="str">
        <f>"马栏山新媒体学院"</f>
        <v>马栏山新媒体学院</v>
      </c>
    </row>
    <row r="4710" ht="13.5" hidden="1" spans="1:5">
      <c r="A4710" s="2" t="str">
        <f>"秦文倩"</f>
        <v>秦文倩</v>
      </c>
      <c r="B4710" s="2" t="str">
        <f>"B20220504419"</f>
        <v>B20220504419</v>
      </c>
      <c r="C4710" s="2" t="str">
        <f t="shared" si="1236"/>
        <v>女</v>
      </c>
      <c r="D4710" s="2" t="str">
        <f t="shared" si="1230"/>
        <v>7</v>
      </c>
      <c r="E4710" s="2" t="str">
        <f>"生物与化学工程学院"</f>
        <v>生物与化学工程学院</v>
      </c>
    </row>
    <row r="4711" customHeight="1" spans="1:5">
      <c r="A4711" s="6" t="str">
        <f>"王雅茹"</f>
        <v>王雅茹</v>
      </c>
      <c r="B4711" s="6" t="str">
        <f>"B20210405125"</f>
        <v>B20210405125</v>
      </c>
      <c r="C4711" s="6" t="str">
        <f t="shared" si="1236"/>
        <v>女</v>
      </c>
      <c r="D4711" s="7" t="str">
        <f>"2"</f>
        <v>2</v>
      </c>
      <c r="E4711" s="6" t="str">
        <f>"计算机科学与工程学院"</f>
        <v>计算机科学与工程学院</v>
      </c>
    </row>
    <row r="4712" ht="13.5" hidden="1" spans="1:5">
      <c r="A4712" s="2" t="str">
        <f>"魏哲源"</f>
        <v>魏哲源</v>
      </c>
      <c r="B4712" s="2" t="str">
        <f>"B20230404209"</f>
        <v>B20230404209</v>
      </c>
      <c r="C4712" s="2" t="str">
        <f>"男"</f>
        <v>男</v>
      </c>
      <c r="D4712" s="2" t="str">
        <f t="shared" si="1230"/>
        <v>7</v>
      </c>
      <c r="E4712" s="2" t="str">
        <f t="shared" ref="E4712:E4717" si="1237">"电子信息与电气工程学院"</f>
        <v>电子信息与电气工程学院</v>
      </c>
    </row>
    <row r="4713" ht="13.5" hidden="1" spans="1:5">
      <c r="A4713" s="2" t="str">
        <f>"张艳"</f>
        <v>张艳</v>
      </c>
      <c r="B4713" s="2" t="str">
        <f>"B20221111120"</f>
        <v>B20221111120</v>
      </c>
      <c r="C4713" s="2" t="str">
        <f t="shared" si="1236"/>
        <v>女</v>
      </c>
      <c r="D4713" s="2" t="str">
        <f t="shared" si="1230"/>
        <v>7</v>
      </c>
      <c r="E4713" s="2" t="str">
        <f>"音乐学院"</f>
        <v>音乐学院</v>
      </c>
    </row>
    <row r="4714" ht="13.5" hidden="1" spans="1:5">
      <c r="A4714" s="2" t="str">
        <f>"唐毅"</f>
        <v>唐毅</v>
      </c>
      <c r="B4714" s="2" t="str">
        <f>"B20210402328"</f>
        <v>B20210402328</v>
      </c>
      <c r="C4714" s="2" t="str">
        <f>"男"</f>
        <v>男</v>
      </c>
      <c r="D4714" s="2" t="str">
        <f t="shared" si="1230"/>
        <v>7</v>
      </c>
      <c r="E4714" s="2" t="str">
        <f t="shared" si="1237"/>
        <v>电子信息与电气工程学院</v>
      </c>
    </row>
    <row r="4715" ht="13.5" hidden="1" spans="1:5">
      <c r="A4715" s="2" t="str">
        <f>"曾佳好"</f>
        <v>曾佳好</v>
      </c>
      <c r="B4715" s="2" t="str">
        <f>"B20220904213"</f>
        <v>B20220904213</v>
      </c>
      <c r="C4715" s="2" t="str">
        <f t="shared" ref="C4715:C4717" si="1238">"女"</f>
        <v>女</v>
      </c>
      <c r="D4715" s="2" t="str">
        <f t="shared" si="1230"/>
        <v>7</v>
      </c>
      <c r="E4715" s="2" t="str">
        <f>"经济与管理学院"</f>
        <v>经济与管理学院</v>
      </c>
    </row>
    <row r="4716" ht="13.5" hidden="1" spans="1:5">
      <c r="A4716" s="2" t="str">
        <f>"徐靖涵"</f>
        <v>徐靖涵</v>
      </c>
      <c r="B4716" s="2" t="str">
        <f>"B20230802221"</f>
        <v>B20230802221</v>
      </c>
      <c r="C4716" s="2" t="str">
        <f t="shared" si="1238"/>
        <v>女</v>
      </c>
      <c r="D4716" s="2" t="str">
        <f t="shared" si="1230"/>
        <v>7</v>
      </c>
      <c r="E4716" s="2" t="str">
        <f>"外国语学院"</f>
        <v>外国语学院</v>
      </c>
    </row>
    <row r="4717" ht="13.5" hidden="1" spans="1:5">
      <c r="A4717" s="2" t="str">
        <f>"曾清"</f>
        <v>曾清</v>
      </c>
      <c r="B4717" s="2" t="str">
        <f>"B20220403127"</f>
        <v>B20220403127</v>
      </c>
      <c r="C4717" s="2" t="str">
        <f t="shared" si="1238"/>
        <v>女</v>
      </c>
      <c r="D4717" s="2" t="str">
        <f t="shared" si="1230"/>
        <v>7</v>
      </c>
      <c r="E4717" s="2" t="str">
        <f t="shared" si="1237"/>
        <v>电子信息与电气工程学院</v>
      </c>
    </row>
    <row r="4718" ht="13.5" hidden="1" spans="1:5">
      <c r="A4718" s="2" t="str">
        <f>"肖海"</f>
        <v>肖海</v>
      </c>
      <c r="B4718" s="2" t="str">
        <f>"B20230102127"</f>
        <v>B20230102127</v>
      </c>
      <c r="C4718" s="2" t="str">
        <f>"男"</f>
        <v>男</v>
      </c>
      <c r="D4718" s="2" t="str">
        <f t="shared" si="1230"/>
        <v>7</v>
      </c>
      <c r="E4718" s="2" t="str">
        <f>"土木工程学院"</f>
        <v>土木工程学院</v>
      </c>
    </row>
    <row r="4719" ht="13.5" hidden="1" spans="1:5">
      <c r="A4719" s="2" t="str">
        <f>"卢文焱"</f>
        <v>卢文焱</v>
      </c>
      <c r="B4719" s="2" t="str">
        <f>"B20220901217"</f>
        <v>B20220901217</v>
      </c>
      <c r="C4719" s="2" t="str">
        <f t="shared" ref="C4719:C4722" si="1239">"女"</f>
        <v>女</v>
      </c>
      <c r="D4719" s="2" t="str">
        <f t="shared" si="1230"/>
        <v>7</v>
      </c>
      <c r="E4719" s="2" t="str">
        <f>"经济与管理学院"</f>
        <v>经济与管理学院</v>
      </c>
    </row>
    <row r="4720" ht="13.5" hidden="1" spans="1:5">
      <c r="A4720" s="2" t="str">
        <f>"李晞语"</f>
        <v>李晞语</v>
      </c>
      <c r="B4720" s="2" t="str">
        <f>"B20200104134"</f>
        <v>B20200104134</v>
      </c>
      <c r="C4720" s="2" t="str">
        <f t="shared" si="1239"/>
        <v>女</v>
      </c>
      <c r="D4720" s="2" t="str">
        <f t="shared" si="1230"/>
        <v>7</v>
      </c>
      <c r="E4720" s="2" t="str">
        <f>"土木工程学院"</f>
        <v>土木工程学院</v>
      </c>
    </row>
    <row r="4721" ht="13.5" hidden="1" spans="1:5">
      <c r="A4721" s="2" t="str">
        <f>"张振雨"</f>
        <v>张振雨</v>
      </c>
      <c r="B4721" s="2" t="str">
        <f>"B20230904311"</f>
        <v>B20230904311</v>
      </c>
      <c r="C4721" s="2" t="str">
        <f>"男"</f>
        <v>男</v>
      </c>
      <c r="D4721" s="2" t="str">
        <f t="shared" si="1230"/>
        <v>7</v>
      </c>
      <c r="E4721" s="2" t="str">
        <f>"经济与管理学院"</f>
        <v>经济与管理学院</v>
      </c>
    </row>
    <row r="4722" ht="13.5" hidden="1" spans="1:5">
      <c r="A4722" s="2" t="str">
        <f>"姚丽群"</f>
        <v>姚丽群</v>
      </c>
      <c r="B4722" s="2" t="str">
        <f>"B20231101109"</f>
        <v>B20231101109</v>
      </c>
      <c r="C4722" s="2" t="str">
        <f t="shared" si="1239"/>
        <v>女</v>
      </c>
      <c r="D4722" s="2" t="str">
        <f t="shared" si="1230"/>
        <v>7</v>
      </c>
      <c r="E4722" s="2" t="str">
        <f>"音乐学院"</f>
        <v>音乐学院</v>
      </c>
    </row>
    <row r="4723" customHeight="1" spans="1:5">
      <c r="A4723" s="6" t="str">
        <f>"方挺钢"</f>
        <v>方挺钢</v>
      </c>
      <c r="B4723" s="6" t="str">
        <f>"B20210405127"</f>
        <v>B20210405127</v>
      </c>
      <c r="C4723" s="6" t="str">
        <f>"男"</f>
        <v>男</v>
      </c>
      <c r="D4723" s="7" t="str">
        <f>"3"</f>
        <v>3</v>
      </c>
      <c r="E4723" s="6" t="str">
        <f>"计算机科学与工程学院"</f>
        <v>计算机科学与工程学院</v>
      </c>
    </row>
    <row r="4724" ht="13.5" hidden="1" spans="1:5">
      <c r="A4724" s="2" t="str">
        <f>"何溪"</f>
        <v>何溪</v>
      </c>
      <c r="B4724" s="2" t="str">
        <f>"B20220704307"</f>
        <v>B20220704307</v>
      </c>
      <c r="C4724" s="2" t="str">
        <f>"女"</f>
        <v>女</v>
      </c>
      <c r="D4724" s="2" t="str">
        <f t="shared" si="1230"/>
        <v>7</v>
      </c>
      <c r="E4724" s="2" t="str">
        <f>"马栏山新媒体学院"</f>
        <v>马栏山新媒体学院</v>
      </c>
    </row>
    <row r="4725" ht="13.5" hidden="1" spans="1:5">
      <c r="A4725" s="2" t="str">
        <f>"刘美丹"</f>
        <v>刘美丹</v>
      </c>
      <c r="B4725" s="2" t="str">
        <f>"B20210501136"</f>
        <v>B20210501136</v>
      </c>
      <c r="C4725" s="2" t="str">
        <f>"女"</f>
        <v>女</v>
      </c>
      <c r="D4725" s="2" t="str">
        <f>"10"</f>
        <v>10</v>
      </c>
      <c r="E4725" s="2" t="str">
        <f>"数学学院"</f>
        <v>数学学院</v>
      </c>
    </row>
    <row r="4726" ht="13.5" hidden="1" spans="1:5">
      <c r="A4726" s="2" t="str">
        <f>"李俊"</f>
        <v>李俊</v>
      </c>
      <c r="B4726" s="2" t="str">
        <f>"B20230202208"</f>
        <v>B20230202208</v>
      </c>
      <c r="C4726" s="2" t="str">
        <f t="shared" ref="C4726:C4728" si="1240">"男"</f>
        <v>男</v>
      </c>
      <c r="D4726" s="2" t="str">
        <f t="shared" si="1230"/>
        <v>7</v>
      </c>
      <c r="E4726" s="2" t="str">
        <f>"机电工程学院"</f>
        <v>机电工程学院</v>
      </c>
    </row>
    <row r="4727" ht="13.5" hidden="1" spans="1:5">
      <c r="A4727" s="2" t="str">
        <f>"毛晟"</f>
        <v>毛晟</v>
      </c>
      <c r="B4727" s="2" t="str">
        <f>"B20231302236"</f>
        <v>B20231302236</v>
      </c>
      <c r="C4727" s="2" t="str">
        <f t="shared" si="1240"/>
        <v>男</v>
      </c>
      <c r="D4727" s="2" t="str">
        <f t="shared" si="1230"/>
        <v>7</v>
      </c>
      <c r="E4727" s="2" t="str">
        <f>"材料与环境工程学院"</f>
        <v>材料与环境工程学院</v>
      </c>
    </row>
    <row r="4728" ht="13.5" hidden="1" spans="1:5">
      <c r="A4728" s="2" t="str">
        <f>"王猛"</f>
        <v>王猛</v>
      </c>
      <c r="B4728" s="2" t="str">
        <f>"B20221301236"</f>
        <v>B20221301236</v>
      </c>
      <c r="C4728" s="2" t="str">
        <f t="shared" si="1240"/>
        <v>男</v>
      </c>
      <c r="D4728" s="2" t="str">
        <f t="shared" si="1230"/>
        <v>7</v>
      </c>
      <c r="E4728" s="2" t="str">
        <f>"材料与环境工程学院"</f>
        <v>材料与环境工程学院</v>
      </c>
    </row>
    <row r="4729" ht="13.5" hidden="1" spans="1:5">
      <c r="A4729" s="2" t="str">
        <f>"郑家阳"</f>
        <v>郑家阳</v>
      </c>
      <c r="B4729" s="2" t="str">
        <f>"B20231002216"</f>
        <v>B20231002216</v>
      </c>
      <c r="C4729" s="2" t="str">
        <f>"女"</f>
        <v>女</v>
      </c>
      <c r="D4729" s="2" t="str">
        <f t="shared" si="1230"/>
        <v>7</v>
      </c>
      <c r="E4729" s="2" t="str">
        <f>"艺术设计学院"</f>
        <v>艺术设计学院</v>
      </c>
    </row>
    <row r="4730" ht="13.5" hidden="1" spans="1:5">
      <c r="A4730" s="2" t="str">
        <f>"涂自豪"</f>
        <v>涂自豪</v>
      </c>
      <c r="B4730" s="2" t="str">
        <f>"B20230204204"</f>
        <v>B20230204204</v>
      </c>
      <c r="C4730" s="2" t="str">
        <f>"男"</f>
        <v>男</v>
      </c>
      <c r="D4730" s="2" t="str">
        <f t="shared" si="1230"/>
        <v>7</v>
      </c>
      <c r="E4730" s="2" t="str">
        <f>"机电工程学院"</f>
        <v>机电工程学院</v>
      </c>
    </row>
    <row r="4731" ht="13.5" hidden="1" spans="1:5">
      <c r="A4731" s="2" t="str">
        <f>"向艺榕"</f>
        <v>向艺榕</v>
      </c>
      <c r="B4731" s="2" t="str">
        <f>"B20230901306"</f>
        <v>B20230901306</v>
      </c>
      <c r="C4731" s="2" t="str">
        <f t="shared" ref="C4731:C4738" si="1241">"女"</f>
        <v>女</v>
      </c>
      <c r="D4731" s="2" t="str">
        <f t="shared" si="1230"/>
        <v>7</v>
      </c>
      <c r="E4731" s="2" t="str">
        <f>"经济与管理学院"</f>
        <v>经济与管理学院</v>
      </c>
    </row>
    <row r="4732" customHeight="1" spans="1:5">
      <c r="A4732" s="6" t="str">
        <f>"熊思嘉"</f>
        <v>熊思嘉</v>
      </c>
      <c r="B4732" s="6" t="str">
        <f>"B20210502122"</f>
        <v>B20210502122</v>
      </c>
      <c r="C4732" s="6" t="str">
        <f t="shared" si="1241"/>
        <v>女</v>
      </c>
      <c r="D4732" s="7" t="str">
        <f>"4"</f>
        <v>4</v>
      </c>
      <c r="E4732" s="6" t="str">
        <f>"计算机科学与工程学院"</f>
        <v>计算机科学与工程学院</v>
      </c>
    </row>
    <row r="4733" ht="13.5" hidden="1" spans="1:5">
      <c r="A4733" s="2" t="str">
        <f>"李波"</f>
        <v>李波</v>
      </c>
      <c r="B4733" s="2" t="str">
        <f>"B20230504334"</f>
        <v>B20230504334</v>
      </c>
      <c r="C4733" s="2" t="str">
        <f>"男"</f>
        <v>男</v>
      </c>
      <c r="D4733" s="2" t="str">
        <f t="shared" si="1230"/>
        <v>7</v>
      </c>
      <c r="E4733" s="2" t="str">
        <f>"生物与化学工程学院"</f>
        <v>生物与化学工程学院</v>
      </c>
    </row>
    <row r="4734" ht="13.5" hidden="1" spans="1:5">
      <c r="A4734" s="2" t="str">
        <f>"胡娣凡"</f>
        <v>胡娣凡</v>
      </c>
      <c r="B4734" s="2" t="str">
        <f>"B20230601107"</f>
        <v>B20230601107</v>
      </c>
      <c r="C4734" s="2" t="str">
        <f t="shared" si="1241"/>
        <v>女</v>
      </c>
      <c r="D4734" s="2" t="str">
        <f t="shared" si="1230"/>
        <v>7</v>
      </c>
      <c r="E4734" s="2" t="str">
        <f>"法学院"</f>
        <v>法学院</v>
      </c>
    </row>
    <row r="4735" ht="13.5" hidden="1" spans="1:5">
      <c r="A4735" s="2" t="str">
        <f>"钟思琪"</f>
        <v>钟思琪</v>
      </c>
      <c r="B4735" s="2" t="str">
        <f>"B20210201208"</f>
        <v>B20210201208</v>
      </c>
      <c r="C4735" s="2" t="str">
        <f t="shared" si="1241"/>
        <v>女</v>
      </c>
      <c r="D4735" s="2" t="str">
        <f t="shared" si="1230"/>
        <v>7</v>
      </c>
      <c r="E4735" s="2" t="str">
        <f>"机电工程学院"</f>
        <v>机电工程学院</v>
      </c>
    </row>
    <row r="4736" ht="13.5" hidden="1" spans="1:5">
      <c r="A4736" s="2" t="str">
        <f>"刘璇"</f>
        <v>刘璇</v>
      </c>
      <c r="B4736" s="2" t="str">
        <f>"B20230901310"</f>
        <v>B20230901310</v>
      </c>
      <c r="C4736" s="2" t="str">
        <f t="shared" si="1241"/>
        <v>女</v>
      </c>
      <c r="D4736" s="2" t="str">
        <f t="shared" si="1230"/>
        <v>7</v>
      </c>
      <c r="E4736" s="2" t="str">
        <f t="shared" ref="E4736:E4740" si="1242">"经济与管理学院"</f>
        <v>经济与管理学院</v>
      </c>
    </row>
    <row r="4737" ht="13.5" hidden="1" spans="1:5">
      <c r="A4737" s="2" t="str">
        <f>"罗洁"</f>
        <v>罗洁</v>
      </c>
      <c r="B4737" s="2" t="str">
        <f>"B20210905214"</f>
        <v>B20210905214</v>
      </c>
      <c r="C4737" s="2" t="str">
        <f t="shared" si="1241"/>
        <v>女</v>
      </c>
      <c r="D4737" s="2" t="str">
        <f t="shared" si="1230"/>
        <v>7</v>
      </c>
      <c r="E4737" s="2" t="str">
        <f t="shared" si="1242"/>
        <v>经济与管理学院</v>
      </c>
    </row>
    <row r="4738" ht="13.5" hidden="1" spans="1:5">
      <c r="A4738" s="2" t="str">
        <f>"沈莉芳"</f>
        <v>沈莉芳</v>
      </c>
      <c r="B4738" s="2" t="str">
        <f>"B20211004119"</f>
        <v>B20211004119</v>
      </c>
      <c r="C4738" s="2" t="str">
        <f t="shared" si="1241"/>
        <v>女</v>
      </c>
      <c r="D4738" s="2" t="str">
        <f t="shared" si="1230"/>
        <v>7</v>
      </c>
      <c r="E4738" s="2" t="str">
        <f>"艺术设计学院"</f>
        <v>艺术设计学院</v>
      </c>
    </row>
    <row r="4739" ht="13.5" hidden="1" spans="1:5">
      <c r="A4739" s="2" t="str">
        <f>"向坦燃"</f>
        <v>向坦燃</v>
      </c>
      <c r="B4739" s="2" t="str">
        <f>"B20230101306"</f>
        <v>B20230101306</v>
      </c>
      <c r="C4739" s="2" t="str">
        <f t="shared" ref="C4739:C4744" si="1243">"男"</f>
        <v>男</v>
      </c>
      <c r="D4739" s="2" t="str">
        <f t="shared" si="1230"/>
        <v>7</v>
      </c>
      <c r="E4739" s="2" t="str">
        <f>"土木工程学院"</f>
        <v>土木工程学院</v>
      </c>
    </row>
    <row r="4740" ht="13.5" hidden="1" spans="1:5">
      <c r="A4740" s="2" t="str">
        <f>"易珍妮"</f>
        <v>易珍妮</v>
      </c>
      <c r="B4740" s="2" t="str">
        <f>"B20230906233"</f>
        <v>B20230906233</v>
      </c>
      <c r="C4740" s="2" t="str">
        <f t="shared" ref="C4740:C4746" si="1244">"女"</f>
        <v>女</v>
      </c>
      <c r="D4740" s="2" t="str">
        <f t="shared" si="1230"/>
        <v>7</v>
      </c>
      <c r="E4740" s="2" t="str">
        <f t="shared" si="1242"/>
        <v>经济与管理学院</v>
      </c>
    </row>
    <row r="4741" ht="13.5" hidden="1" spans="1:5">
      <c r="A4741" s="2" t="str">
        <f>"谭磊"</f>
        <v>谭磊</v>
      </c>
      <c r="B4741" s="2" t="str">
        <f>"B20210503230"</f>
        <v>B20210503230</v>
      </c>
      <c r="C4741" s="2" t="str">
        <f t="shared" si="1243"/>
        <v>男</v>
      </c>
      <c r="D4741" s="2" t="str">
        <f t="shared" si="1230"/>
        <v>7</v>
      </c>
      <c r="E4741" s="2" t="str">
        <f>"材料与环境工程学院"</f>
        <v>材料与环境工程学院</v>
      </c>
    </row>
    <row r="4742" customHeight="1" spans="1:5">
      <c r="A4742" s="6" t="str">
        <f>"高楷皓"</f>
        <v>高楷皓</v>
      </c>
      <c r="B4742" s="6" t="str">
        <f>"B20210502235"</f>
        <v>B20210502235</v>
      </c>
      <c r="C4742" s="6" t="str">
        <f t="shared" si="1243"/>
        <v>男</v>
      </c>
      <c r="D4742" s="7" t="str">
        <f>"18"</f>
        <v>18</v>
      </c>
      <c r="E4742" s="6" t="str">
        <f>"计算机科学与工程学院"</f>
        <v>计算机科学与工程学院</v>
      </c>
    </row>
    <row r="4743" ht="13.5" hidden="1" spans="1:5">
      <c r="A4743" s="2" t="str">
        <f>"南昊江"</f>
        <v>南昊江</v>
      </c>
      <c r="B4743" s="2" t="str">
        <f>"B20230504233"</f>
        <v>B20230504233</v>
      </c>
      <c r="C4743" s="2" t="str">
        <f t="shared" si="1243"/>
        <v>男</v>
      </c>
      <c r="D4743" s="2" t="str">
        <f t="shared" si="1230"/>
        <v>7</v>
      </c>
      <c r="E4743" s="2" t="str">
        <f t="shared" ref="E4743:E4747" si="1245">"生物与化学工程学院"</f>
        <v>生物与化学工程学院</v>
      </c>
    </row>
    <row r="4744" ht="13.5" hidden="1" spans="1:5">
      <c r="A4744" s="2" t="str">
        <f>"罗昇"</f>
        <v>罗昇</v>
      </c>
      <c r="B4744" s="2" t="str">
        <f>"B20210403225"</f>
        <v>B20210403225</v>
      </c>
      <c r="C4744" s="2" t="str">
        <f t="shared" si="1243"/>
        <v>男</v>
      </c>
      <c r="D4744" s="2" t="str">
        <f t="shared" si="1230"/>
        <v>7</v>
      </c>
      <c r="E4744" s="2" t="str">
        <f>"电子信息与电气工程学院"</f>
        <v>电子信息与电气工程学院</v>
      </c>
    </row>
    <row r="4745" ht="13.5" hidden="1" spans="1:5">
      <c r="A4745" s="2" t="str">
        <f>"徐乐"</f>
        <v>徐乐</v>
      </c>
      <c r="B4745" s="2" t="str">
        <f>"B20210504224"</f>
        <v>B20210504224</v>
      </c>
      <c r="C4745" s="2" t="str">
        <f t="shared" si="1244"/>
        <v>女</v>
      </c>
      <c r="D4745" s="2" t="str">
        <f t="shared" si="1230"/>
        <v>7</v>
      </c>
      <c r="E4745" s="2" t="str">
        <f t="shared" si="1245"/>
        <v>生物与化学工程学院</v>
      </c>
    </row>
    <row r="4746" ht="13.5" hidden="1" spans="1:5">
      <c r="A4746" s="2" t="str">
        <f>"邝京欢"</f>
        <v>邝京欢</v>
      </c>
      <c r="B4746" s="2" t="str">
        <f>"B20221001212"</f>
        <v>B20221001212</v>
      </c>
      <c r="C4746" s="2" t="str">
        <f t="shared" si="1244"/>
        <v>女</v>
      </c>
      <c r="D4746" s="2" t="str">
        <f t="shared" si="1230"/>
        <v>7</v>
      </c>
      <c r="E4746" s="2" t="str">
        <f>"艺术设计学院"</f>
        <v>艺术设计学院</v>
      </c>
    </row>
    <row r="4747" ht="13.5" hidden="1" spans="1:5">
      <c r="A4747" s="2" t="str">
        <f>"谭伟杰"</f>
        <v>谭伟杰</v>
      </c>
      <c r="B4747" s="2" t="str">
        <f>"B20230504111"</f>
        <v>B20230504111</v>
      </c>
      <c r="C4747" s="2" t="str">
        <f t="shared" ref="C4747:C4752" si="1246">"男"</f>
        <v>男</v>
      </c>
      <c r="D4747" s="2" t="str">
        <f t="shared" si="1230"/>
        <v>7</v>
      </c>
      <c r="E4747" s="2" t="str">
        <f t="shared" si="1245"/>
        <v>生物与化学工程学院</v>
      </c>
    </row>
    <row r="4748" ht="13.5" hidden="1" spans="1:5">
      <c r="A4748" s="2" t="str">
        <f>"刘雯莉"</f>
        <v>刘雯莉</v>
      </c>
      <c r="B4748" s="2" t="str">
        <f>"B20201003223"</f>
        <v>B20201003223</v>
      </c>
      <c r="C4748" s="2" t="str">
        <f t="shared" ref="C4748:C4751" si="1247">"女"</f>
        <v>女</v>
      </c>
      <c r="D4748" s="2" t="str">
        <f t="shared" si="1230"/>
        <v>7</v>
      </c>
      <c r="E4748" s="2" t="str">
        <f>"艺术设计学院"</f>
        <v>艺术设计学院</v>
      </c>
    </row>
    <row r="4749" ht="13.5" hidden="1" spans="1:5">
      <c r="A4749" s="2" t="str">
        <f>"魏文斌"</f>
        <v>魏文斌</v>
      </c>
      <c r="B4749" s="2" t="str">
        <f>"B20230502117"</f>
        <v>B20230502117</v>
      </c>
      <c r="C4749" s="2" t="str">
        <f t="shared" si="1246"/>
        <v>男</v>
      </c>
      <c r="D4749" s="2" t="str">
        <f t="shared" si="1230"/>
        <v>7</v>
      </c>
      <c r="E4749" s="2" t="str">
        <f>"生物与化学工程学院"</f>
        <v>生物与化学工程学院</v>
      </c>
    </row>
    <row r="4750" customHeight="1" spans="1:5">
      <c r="A4750" s="6" t="str">
        <f>"戴泽楷"</f>
        <v>戴泽楷</v>
      </c>
      <c r="B4750" s="6" t="str">
        <f>"B20210503107"</f>
        <v>B20210503107</v>
      </c>
      <c r="C4750" s="6" t="str">
        <f t="shared" si="1246"/>
        <v>男</v>
      </c>
      <c r="D4750" s="7" t="str">
        <f>"4"</f>
        <v>4</v>
      </c>
      <c r="E4750" s="6" t="str">
        <f>"计算机科学与工程学院"</f>
        <v>计算机科学与工程学院</v>
      </c>
    </row>
    <row r="4751" ht="13.5" hidden="1" spans="1:5">
      <c r="A4751" s="2" t="str">
        <f>"李湘"</f>
        <v>李湘</v>
      </c>
      <c r="B4751" s="2" t="str">
        <f>"B20200901441"</f>
        <v>B20200901441</v>
      </c>
      <c r="C4751" s="2" t="str">
        <f t="shared" si="1247"/>
        <v>女</v>
      </c>
      <c r="D4751" s="2" t="str">
        <f t="shared" ref="D4751:D4757" si="1248">"7"</f>
        <v>7</v>
      </c>
      <c r="E4751" s="2" t="str">
        <f>"经济与管理学院"</f>
        <v>经济与管理学院</v>
      </c>
    </row>
    <row r="4752" ht="13.5" hidden="1" spans="1:5">
      <c r="A4752" s="2" t="str">
        <f>"肖明宇"</f>
        <v>肖明宇</v>
      </c>
      <c r="B4752" s="2" t="str">
        <f>"B20200201417"</f>
        <v>B20200201417</v>
      </c>
      <c r="C4752" s="2" t="str">
        <f t="shared" si="1246"/>
        <v>男</v>
      </c>
      <c r="D4752" s="2" t="str">
        <f t="shared" si="1248"/>
        <v>7</v>
      </c>
      <c r="E4752" s="2" t="str">
        <f>"机电工程学院"</f>
        <v>机电工程学院</v>
      </c>
    </row>
    <row r="4753" ht="13.5" hidden="1" spans="1:5">
      <c r="A4753" s="2" t="str">
        <f>"陈婧婧"</f>
        <v>陈婧婧</v>
      </c>
      <c r="B4753" s="2" t="str">
        <f>"B20220101208"</f>
        <v>B20220101208</v>
      </c>
      <c r="C4753" s="2" t="str">
        <f t="shared" ref="C4753:C4757" si="1249">"女"</f>
        <v>女</v>
      </c>
      <c r="D4753" s="2" t="str">
        <f t="shared" si="1248"/>
        <v>7</v>
      </c>
      <c r="E4753" s="2" t="str">
        <f>"土木工程学院"</f>
        <v>土木工程学院</v>
      </c>
    </row>
    <row r="4754" ht="13.5" hidden="1" spans="1:5">
      <c r="A4754" s="2" t="str">
        <f>"邹顶琴"</f>
        <v>邹顶琴</v>
      </c>
      <c r="B4754" s="2" t="str">
        <f>"B20220902333"</f>
        <v>B20220902333</v>
      </c>
      <c r="C4754" s="2" t="str">
        <f t="shared" ref="C4754:C4760" si="1250">"男"</f>
        <v>男</v>
      </c>
      <c r="D4754" s="2" t="str">
        <f t="shared" si="1248"/>
        <v>7</v>
      </c>
      <c r="E4754" s="2" t="str">
        <f>"经济与管理学院"</f>
        <v>经济与管理学院</v>
      </c>
    </row>
    <row r="4755" ht="13.5" hidden="1" spans="1:5">
      <c r="A4755" s="2" t="str">
        <f>"肖军霞"</f>
        <v>肖军霞</v>
      </c>
      <c r="B4755" s="2" t="str">
        <f>"B20201002117"</f>
        <v>B20201002117</v>
      </c>
      <c r="C4755" s="2" t="str">
        <f t="shared" si="1249"/>
        <v>女</v>
      </c>
      <c r="D4755" s="2" t="str">
        <f t="shared" si="1248"/>
        <v>7</v>
      </c>
      <c r="E4755" s="2" t="str">
        <f>"艺术设计学院"</f>
        <v>艺术设计学院</v>
      </c>
    </row>
    <row r="4756" ht="13.5" hidden="1" spans="1:5">
      <c r="A4756" s="2" t="str">
        <f>"杨安睿"</f>
        <v>杨安睿</v>
      </c>
      <c r="B4756" s="2" t="str">
        <f>"B20200402327"</f>
        <v>B20200402327</v>
      </c>
      <c r="C4756" s="2" t="str">
        <f t="shared" si="1250"/>
        <v>男</v>
      </c>
      <c r="D4756" s="2" t="str">
        <f t="shared" si="1248"/>
        <v>7</v>
      </c>
      <c r="E4756" s="2" t="str">
        <f>"电子信息与电气工程学院"</f>
        <v>电子信息与电气工程学院</v>
      </c>
    </row>
    <row r="4757" ht="13.5" hidden="1" spans="1:5">
      <c r="A4757" s="2" t="str">
        <f>"邬瑕"</f>
        <v>邬瑕</v>
      </c>
      <c r="B4757" s="2" t="str">
        <f>"B20200802110"</f>
        <v>B20200802110</v>
      </c>
      <c r="C4757" s="2" t="str">
        <f t="shared" si="1249"/>
        <v>女</v>
      </c>
      <c r="D4757" s="2" t="str">
        <f t="shared" si="1248"/>
        <v>7</v>
      </c>
      <c r="E4757" s="2" t="str">
        <f>"外国语学院"</f>
        <v>外国语学院</v>
      </c>
    </row>
    <row r="4758" ht="13.5" hidden="1" spans="1:5">
      <c r="A4758" s="2" t="str">
        <f>"吕艺博"</f>
        <v>吕艺博</v>
      </c>
      <c r="B4758" s="2" t="str">
        <f>"B20210904134"</f>
        <v>B20210904134</v>
      </c>
      <c r="C4758" s="2" t="str">
        <f t="shared" si="1250"/>
        <v>男</v>
      </c>
      <c r="D4758" s="2" t="str">
        <f t="shared" ref="D4758:D4821" si="1251">"6"</f>
        <v>6</v>
      </c>
      <c r="E4758" s="2" t="str">
        <f>"经济与管理学院"</f>
        <v>经济与管理学院</v>
      </c>
    </row>
    <row r="4759" customHeight="1" spans="1:5">
      <c r="A4759" s="6" t="str">
        <f>"徐运彪"</f>
        <v>徐运彪</v>
      </c>
      <c r="B4759" s="6" t="str">
        <f>"B20210503116"</f>
        <v>B20210503116</v>
      </c>
      <c r="C4759" s="6" t="str">
        <f t="shared" si="1250"/>
        <v>男</v>
      </c>
      <c r="D4759" s="7" t="str">
        <f>"5"</f>
        <v>5</v>
      </c>
      <c r="E4759" s="6" t="str">
        <f>"计算机科学与工程学院"</f>
        <v>计算机科学与工程学院</v>
      </c>
    </row>
    <row r="4760" ht="13.5" hidden="1" spans="1:5">
      <c r="A4760" s="2" t="str">
        <f>"杨睿"</f>
        <v>杨睿</v>
      </c>
      <c r="B4760" s="2" t="str">
        <f>"B20230101538"</f>
        <v>B20230101538</v>
      </c>
      <c r="C4760" s="2" t="str">
        <f t="shared" si="1250"/>
        <v>男</v>
      </c>
      <c r="D4760" s="2" t="str">
        <f t="shared" si="1251"/>
        <v>6</v>
      </c>
      <c r="E4760" s="2" t="str">
        <f>"土木工程学院"</f>
        <v>土木工程学院</v>
      </c>
    </row>
    <row r="4761" ht="13.5" hidden="1" spans="1:5">
      <c r="A4761" s="2" t="str">
        <f>"扶昭乐"</f>
        <v>扶昭乐</v>
      </c>
      <c r="B4761" s="2" t="str">
        <f>"B20210202202"</f>
        <v>B20210202202</v>
      </c>
      <c r="C4761" s="2" t="str">
        <f>"女"</f>
        <v>女</v>
      </c>
      <c r="D4761" s="2" t="str">
        <f t="shared" si="1251"/>
        <v>6</v>
      </c>
      <c r="E4761" s="2" t="str">
        <f>"机电工程学院"</f>
        <v>机电工程学院</v>
      </c>
    </row>
    <row r="4762" customHeight="1" spans="1:5">
      <c r="A4762" s="6" t="str">
        <f>"秦梦瑶"</f>
        <v>秦梦瑶</v>
      </c>
      <c r="B4762" s="6" t="str">
        <f>"B20210503203"</f>
        <v>B20210503203</v>
      </c>
      <c r="C4762" s="6" t="str">
        <f>"女"</f>
        <v>女</v>
      </c>
      <c r="D4762" s="7" t="str">
        <f>"11"</f>
        <v>11</v>
      </c>
      <c r="E4762" s="6" t="str">
        <f>"计算机科学与工程学院"</f>
        <v>计算机科学与工程学院</v>
      </c>
    </row>
    <row r="4763" ht="13.5" hidden="1" spans="1:5">
      <c r="A4763" s="2" t="str">
        <f>"洪艺华"</f>
        <v>洪艺华</v>
      </c>
      <c r="B4763" s="2" t="str">
        <f>"B20221111229"</f>
        <v>B20221111229</v>
      </c>
      <c r="C4763" s="2" t="str">
        <f>"女"</f>
        <v>女</v>
      </c>
      <c r="D4763" s="2" t="str">
        <f t="shared" si="1251"/>
        <v>6</v>
      </c>
      <c r="E4763" s="2" t="str">
        <f>"音乐学院"</f>
        <v>音乐学院</v>
      </c>
    </row>
    <row r="4764" ht="13.5" hidden="1" spans="1:5">
      <c r="A4764" s="2" t="str">
        <f>"周子皓"</f>
        <v>周子皓</v>
      </c>
      <c r="B4764" s="2" t="str">
        <f>"B20220101533"</f>
        <v>B20220101533</v>
      </c>
      <c r="C4764" s="2" t="str">
        <f t="shared" ref="C4762:C4767" si="1252">"男"</f>
        <v>男</v>
      </c>
      <c r="D4764" s="2" t="str">
        <f t="shared" si="1251"/>
        <v>6</v>
      </c>
      <c r="E4764" s="2" t="str">
        <f t="shared" ref="E4764:E4768" si="1253">"土木工程学院"</f>
        <v>土木工程学院</v>
      </c>
    </row>
    <row r="4765" ht="13.5" hidden="1" spans="1:5">
      <c r="A4765" s="2" t="str">
        <f>"钟旭"</f>
        <v>钟旭</v>
      </c>
      <c r="B4765" s="2" t="str">
        <f>"B20221302203"</f>
        <v>B20221302203</v>
      </c>
      <c r="C4765" s="2" t="str">
        <f t="shared" si="1252"/>
        <v>男</v>
      </c>
      <c r="D4765" s="2" t="str">
        <f t="shared" si="1251"/>
        <v>6</v>
      </c>
      <c r="E4765" s="2" t="str">
        <f>"材料与环境工程学院"</f>
        <v>材料与环境工程学院</v>
      </c>
    </row>
    <row r="4766" ht="13.5" hidden="1" spans="1:5">
      <c r="A4766" s="2" t="str">
        <f>"邓子乐"</f>
        <v>邓子乐</v>
      </c>
      <c r="B4766" s="2" t="str">
        <f>"B20230103206"</f>
        <v>B20230103206</v>
      </c>
      <c r="C4766" s="2" t="str">
        <f t="shared" si="1252"/>
        <v>男</v>
      </c>
      <c r="D4766" s="2" t="str">
        <f t="shared" si="1251"/>
        <v>6</v>
      </c>
      <c r="E4766" s="2" t="str">
        <f t="shared" si="1253"/>
        <v>土木工程学院</v>
      </c>
    </row>
    <row r="4767" ht="13.5" hidden="1" spans="1:5">
      <c r="A4767" s="2" t="str">
        <f>"谢翱"</f>
        <v>谢翱</v>
      </c>
      <c r="B4767" s="2" t="str">
        <f>"B20230403306"</f>
        <v>B20230403306</v>
      </c>
      <c r="C4767" s="2" t="str">
        <f t="shared" si="1252"/>
        <v>男</v>
      </c>
      <c r="D4767" s="2" t="str">
        <f t="shared" si="1251"/>
        <v>6</v>
      </c>
      <c r="E4767" s="2" t="str">
        <f>"电子信息与电气工程学院"</f>
        <v>电子信息与电气工程学院</v>
      </c>
    </row>
    <row r="4768" ht="13.5" hidden="1" spans="1:5">
      <c r="A4768" s="2" t="str">
        <f>"易咏欣"</f>
        <v>易咏欣</v>
      </c>
      <c r="B4768" s="2" t="str">
        <f>"B20230103131"</f>
        <v>B20230103131</v>
      </c>
      <c r="C4768" s="2" t="str">
        <f>"女"</f>
        <v>女</v>
      </c>
      <c r="D4768" s="2" t="str">
        <f t="shared" si="1251"/>
        <v>6</v>
      </c>
      <c r="E4768" s="2" t="str">
        <f t="shared" si="1253"/>
        <v>土木工程学院</v>
      </c>
    </row>
    <row r="4769" ht="13.5" hidden="1" spans="1:5">
      <c r="A4769" s="2" t="str">
        <f>"廖诗语"</f>
        <v>廖诗语</v>
      </c>
      <c r="B4769" s="2" t="str">
        <f>"B20221101301"</f>
        <v>B20221101301</v>
      </c>
      <c r="C4769" s="2" t="str">
        <f>"女"</f>
        <v>女</v>
      </c>
      <c r="D4769" s="2" t="str">
        <f t="shared" si="1251"/>
        <v>6</v>
      </c>
      <c r="E4769" s="2" t="str">
        <f>"音乐学院"</f>
        <v>音乐学院</v>
      </c>
    </row>
    <row r="4770" ht="13.5" hidden="1" spans="1:5">
      <c r="A4770" s="2" t="str">
        <f>"罗嘉俊"</f>
        <v>罗嘉俊</v>
      </c>
      <c r="B4770" s="2" t="str">
        <f>"B20210505108"</f>
        <v>B20210505108</v>
      </c>
      <c r="C4770" s="2" t="str">
        <f t="shared" ref="C4770:C4774" si="1254">"男"</f>
        <v>男</v>
      </c>
      <c r="D4770" s="2" t="str">
        <f t="shared" si="1251"/>
        <v>6</v>
      </c>
      <c r="E4770" s="2" t="str">
        <f>"材料与环境工程学院"</f>
        <v>材料与环境工程学院</v>
      </c>
    </row>
    <row r="4771" ht="13.5" hidden="1" spans="1:5">
      <c r="A4771" s="2" t="str">
        <f>"魏子洋"</f>
        <v>魏子洋</v>
      </c>
      <c r="B4771" s="2" t="str">
        <f>"B20230504329"</f>
        <v>B20230504329</v>
      </c>
      <c r="C4771" s="2" t="str">
        <f t="shared" si="1254"/>
        <v>男</v>
      </c>
      <c r="D4771" s="2" t="str">
        <f t="shared" si="1251"/>
        <v>6</v>
      </c>
      <c r="E4771" s="2" t="str">
        <f>"生物与化学工程学院"</f>
        <v>生物与化学工程学院</v>
      </c>
    </row>
    <row r="4772" ht="13.5" hidden="1" spans="1:5">
      <c r="A4772" s="2" t="str">
        <f>"曹家旺"</f>
        <v>曹家旺</v>
      </c>
      <c r="B4772" s="2" t="str">
        <f>"B20230502115"</f>
        <v>B20230502115</v>
      </c>
      <c r="C4772" s="2" t="str">
        <f t="shared" si="1254"/>
        <v>男</v>
      </c>
      <c r="D4772" s="2" t="str">
        <f t="shared" si="1251"/>
        <v>6</v>
      </c>
      <c r="E4772" s="2" t="str">
        <f>"生物与化学工程学院"</f>
        <v>生物与化学工程学院</v>
      </c>
    </row>
    <row r="4773" ht="13.5" hidden="1" spans="1:5">
      <c r="A4773" s="2" t="str">
        <f>"吴佳玮"</f>
        <v>吴佳玮</v>
      </c>
      <c r="B4773" s="2" t="str">
        <f>"B20200201108"</f>
        <v>B20200201108</v>
      </c>
      <c r="C4773" s="2" t="str">
        <f t="shared" si="1254"/>
        <v>男</v>
      </c>
      <c r="D4773" s="2" t="str">
        <f t="shared" si="1251"/>
        <v>6</v>
      </c>
      <c r="E4773" s="2" t="str">
        <f t="shared" ref="E4773:E4778" si="1255">"机电工程学院"</f>
        <v>机电工程学院</v>
      </c>
    </row>
    <row r="4774" ht="13.5" hidden="1" spans="1:5">
      <c r="A4774" s="2" t="str">
        <f>"周泳俊"</f>
        <v>周泳俊</v>
      </c>
      <c r="B4774" s="2" t="str">
        <f>"B20210203223"</f>
        <v>B20210203223</v>
      </c>
      <c r="C4774" s="2" t="str">
        <f t="shared" si="1254"/>
        <v>男</v>
      </c>
      <c r="D4774" s="2" t="str">
        <f t="shared" si="1251"/>
        <v>6</v>
      </c>
      <c r="E4774" s="2" t="str">
        <f t="shared" si="1255"/>
        <v>机电工程学院</v>
      </c>
    </row>
    <row r="4775" ht="13.5" hidden="1" spans="1:5">
      <c r="A4775" s="2" t="str">
        <f>"李红锦"</f>
        <v>李红锦</v>
      </c>
      <c r="B4775" s="2" t="str">
        <f>"B20210801617"</f>
        <v>B20210801617</v>
      </c>
      <c r="C4775" s="2" t="str">
        <f t="shared" ref="C4775:C4780" si="1256">"女"</f>
        <v>女</v>
      </c>
      <c r="D4775" s="2" t="str">
        <f t="shared" si="1251"/>
        <v>6</v>
      </c>
      <c r="E4775" s="2" t="str">
        <f>"外国语学院"</f>
        <v>外国语学院</v>
      </c>
    </row>
    <row r="4776" ht="13.5" hidden="1" spans="1:5">
      <c r="A4776" s="2" t="str">
        <f>"朱碧雪"</f>
        <v>朱碧雪</v>
      </c>
      <c r="B4776" s="2" t="str">
        <f>"B20210802307"</f>
        <v>B20210802307</v>
      </c>
      <c r="C4776" s="2" t="str">
        <f t="shared" si="1256"/>
        <v>女</v>
      </c>
      <c r="D4776" s="2" t="str">
        <f>"14"</f>
        <v>14</v>
      </c>
      <c r="E4776" s="2" t="str">
        <f>"数学学院"</f>
        <v>数学学院</v>
      </c>
    </row>
    <row r="4777" ht="13.5" hidden="1" spans="1:5">
      <c r="A4777" s="2" t="str">
        <f>"孟振宇"</f>
        <v>孟振宇</v>
      </c>
      <c r="B4777" s="2" t="str">
        <f>"B20230101520"</f>
        <v>B20230101520</v>
      </c>
      <c r="C4777" s="2" t="str">
        <f t="shared" ref="C4776:C4778" si="1257">"男"</f>
        <v>男</v>
      </c>
      <c r="D4777" s="2" t="str">
        <f t="shared" si="1251"/>
        <v>6</v>
      </c>
      <c r="E4777" s="2" t="str">
        <f>"土木工程学院"</f>
        <v>土木工程学院</v>
      </c>
    </row>
    <row r="4778" ht="13.5" hidden="1" spans="1:5">
      <c r="A4778" s="2" t="str">
        <f>"宋欣宇"</f>
        <v>宋欣宇</v>
      </c>
      <c r="B4778" s="2" t="str">
        <f>"B20220201320"</f>
        <v>B20220201320</v>
      </c>
      <c r="C4778" s="2" t="str">
        <f t="shared" si="1257"/>
        <v>男</v>
      </c>
      <c r="D4778" s="2" t="str">
        <f t="shared" si="1251"/>
        <v>6</v>
      </c>
      <c r="E4778" s="2" t="str">
        <f t="shared" si="1255"/>
        <v>机电工程学院</v>
      </c>
    </row>
    <row r="4779" ht="13.5" hidden="1" spans="1:5">
      <c r="A4779" s="2" t="str">
        <f>"唐诗妍"</f>
        <v>唐诗妍</v>
      </c>
      <c r="B4779" s="2" t="str">
        <f>"B20231111204"</f>
        <v>B20231111204</v>
      </c>
      <c r="C4779" s="2" t="str">
        <f t="shared" si="1256"/>
        <v>女</v>
      </c>
      <c r="D4779" s="2" t="str">
        <f t="shared" si="1251"/>
        <v>6</v>
      </c>
      <c r="E4779" s="2" t="str">
        <f>"音乐学院"</f>
        <v>音乐学院</v>
      </c>
    </row>
    <row r="4780" ht="13.5" hidden="1" spans="1:5">
      <c r="A4780" s="2" t="str">
        <f>"毛梦洁"</f>
        <v>毛梦洁</v>
      </c>
      <c r="B4780" s="2" t="str">
        <f>"B20201003218"</f>
        <v>B20201003218</v>
      </c>
      <c r="C4780" s="2" t="str">
        <f t="shared" si="1256"/>
        <v>女</v>
      </c>
      <c r="D4780" s="2" t="str">
        <f t="shared" si="1251"/>
        <v>6</v>
      </c>
      <c r="E4780" s="2" t="str">
        <f>"艺术设计学院"</f>
        <v>艺术设计学院</v>
      </c>
    </row>
    <row r="4781" ht="13.5" hidden="1" spans="1:5">
      <c r="A4781" s="2" t="str">
        <f>"毛康宇"</f>
        <v>毛康宇</v>
      </c>
      <c r="B4781" s="2" t="str">
        <f>"B20221302432"</f>
        <v>B20221302432</v>
      </c>
      <c r="C4781" s="2" t="str">
        <f t="shared" ref="C4781:C4784" si="1258">"男"</f>
        <v>男</v>
      </c>
      <c r="D4781" s="2" t="str">
        <f t="shared" si="1251"/>
        <v>6</v>
      </c>
      <c r="E4781" s="2" t="str">
        <f>"材料与环境工程学院"</f>
        <v>材料与环境工程学院</v>
      </c>
    </row>
    <row r="4782" ht="13.5" hidden="1" spans="1:5">
      <c r="A4782" s="2" t="str">
        <f>"林丛"</f>
        <v>林丛</v>
      </c>
      <c r="B4782" s="2" t="str">
        <f>"B20210702103"</f>
        <v>B20210702103</v>
      </c>
      <c r="C4782" s="2" t="str">
        <f>"女"</f>
        <v>女</v>
      </c>
      <c r="D4782" s="2" t="str">
        <f t="shared" si="1251"/>
        <v>6</v>
      </c>
      <c r="E4782" s="2" t="str">
        <f>"马栏山新媒体学院"</f>
        <v>马栏山新媒体学院</v>
      </c>
    </row>
    <row r="4783" ht="13.5" hidden="1" spans="1:5">
      <c r="A4783" s="2" t="str">
        <f>"王旭鹏"</f>
        <v>王旭鹏</v>
      </c>
      <c r="B4783" s="2" t="str">
        <f>"B20200102112"</f>
        <v>B20200102112</v>
      </c>
      <c r="C4783" s="2" t="str">
        <f t="shared" si="1258"/>
        <v>男</v>
      </c>
      <c r="D4783" s="2" t="str">
        <f t="shared" si="1251"/>
        <v>6</v>
      </c>
      <c r="E4783" s="2" t="str">
        <f>"土木工程学院"</f>
        <v>土木工程学院</v>
      </c>
    </row>
    <row r="4784" ht="13.5" hidden="1" spans="1:5">
      <c r="A4784" s="2" t="str">
        <f>"蔡涵"</f>
        <v>蔡涵</v>
      </c>
      <c r="B4784" s="2" t="str">
        <f>"B20230205216"</f>
        <v>B20230205216</v>
      </c>
      <c r="C4784" s="2" t="str">
        <f t="shared" si="1258"/>
        <v>男</v>
      </c>
      <c r="D4784" s="2" t="str">
        <f t="shared" si="1251"/>
        <v>6</v>
      </c>
      <c r="E4784" s="2" t="str">
        <f>"机电工程学院"</f>
        <v>机电工程学院</v>
      </c>
    </row>
    <row r="4785" ht="13.5" hidden="1" spans="1:5">
      <c r="A4785" s="2" t="str">
        <f>"阳珊"</f>
        <v>阳珊</v>
      </c>
      <c r="B4785" s="2" t="str">
        <f>"B20220702121"</f>
        <v>B20220702121</v>
      </c>
      <c r="C4785" s="2" t="str">
        <f>"女"</f>
        <v>女</v>
      </c>
      <c r="D4785" s="2" t="str">
        <f t="shared" si="1251"/>
        <v>6</v>
      </c>
      <c r="E4785" s="2" t="str">
        <f>"马栏山新媒体学院"</f>
        <v>马栏山新媒体学院</v>
      </c>
    </row>
    <row r="4786" ht="13.5" hidden="1" spans="1:5">
      <c r="A4786" s="2" t="str">
        <f>"何雨威"</f>
        <v>何雨威</v>
      </c>
      <c r="B4786" s="2" t="str">
        <f>"B20210401420"</f>
        <v>B20210401420</v>
      </c>
      <c r="C4786" s="2" t="str">
        <f t="shared" ref="C4786:C4789" si="1259">"男"</f>
        <v>男</v>
      </c>
      <c r="D4786" s="2" t="str">
        <f t="shared" si="1251"/>
        <v>6</v>
      </c>
      <c r="E4786" s="2" t="str">
        <f>"电子信息与电气工程学院"</f>
        <v>电子信息与电气工程学院</v>
      </c>
    </row>
    <row r="4787" ht="13.5" hidden="1" spans="1:5">
      <c r="A4787" s="2" t="str">
        <f>"汤锐"</f>
        <v>汤锐</v>
      </c>
      <c r="B4787" s="2" t="str">
        <f>"B20210201408"</f>
        <v>B20210201408</v>
      </c>
      <c r="C4787" s="2" t="str">
        <f t="shared" si="1259"/>
        <v>男</v>
      </c>
      <c r="D4787" s="2" t="str">
        <f t="shared" si="1251"/>
        <v>6</v>
      </c>
      <c r="E4787" s="2" t="str">
        <f>"机电工程学院"</f>
        <v>机电工程学院</v>
      </c>
    </row>
    <row r="4788" ht="13.5" hidden="1" spans="1:5">
      <c r="A4788" s="2" t="str">
        <f>"谢文涛"</f>
        <v>谢文涛</v>
      </c>
      <c r="B4788" s="2" t="str">
        <f>"B20231302302"</f>
        <v>B20231302302</v>
      </c>
      <c r="C4788" s="2" t="str">
        <f t="shared" si="1259"/>
        <v>男</v>
      </c>
      <c r="D4788" s="2" t="str">
        <f t="shared" si="1251"/>
        <v>6</v>
      </c>
      <c r="E4788" s="2" t="str">
        <f>"材料与环境工程学院"</f>
        <v>材料与环境工程学院</v>
      </c>
    </row>
    <row r="4789" ht="13.5" hidden="1" spans="1:5">
      <c r="A4789" s="2" t="str">
        <f>"李月伟"</f>
        <v>李月伟</v>
      </c>
      <c r="B4789" s="2" t="str">
        <f>"B20231001422"</f>
        <v>B20231001422</v>
      </c>
      <c r="C4789" s="2" t="str">
        <f t="shared" si="1259"/>
        <v>男</v>
      </c>
      <c r="D4789" s="2" t="str">
        <f t="shared" si="1251"/>
        <v>6</v>
      </c>
      <c r="E4789" s="2" t="str">
        <f>"艺术设计学院"</f>
        <v>艺术设计学院</v>
      </c>
    </row>
    <row r="4790" ht="13.5" hidden="1" spans="1:5">
      <c r="A4790" s="2" t="str">
        <f>"熊浛霏"</f>
        <v>熊浛霏</v>
      </c>
      <c r="B4790" s="2" t="str">
        <f>"B20230704121"</f>
        <v>B20230704121</v>
      </c>
      <c r="C4790" s="2" t="str">
        <f>"女"</f>
        <v>女</v>
      </c>
      <c r="D4790" s="2" t="str">
        <f t="shared" si="1251"/>
        <v>6</v>
      </c>
      <c r="E4790" s="2" t="str">
        <f>"马栏山新媒体学院"</f>
        <v>马栏山新媒体学院</v>
      </c>
    </row>
    <row r="4791" customHeight="1" spans="1:5">
      <c r="A4791" s="6" t="str">
        <f>"刘嘉璐"</f>
        <v>刘嘉璐</v>
      </c>
      <c r="B4791" s="6" t="str">
        <f>"B20210906220"</f>
        <v>B20210906220</v>
      </c>
      <c r="C4791" s="6" t="str">
        <f>"女"</f>
        <v>女</v>
      </c>
      <c r="D4791" s="7" t="str">
        <f t="shared" si="1251"/>
        <v>6</v>
      </c>
      <c r="E4791" s="6" t="str">
        <f>"计算机科学与工程学院"</f>
        <v>计算机科学与工程学院</v>
      </c>
    </row>
    <row r="4792" ht="13.5" hidden="1" spans="1:5">
      <c r="A4792" s="2" t="str">
        <f>"胡广欢"</f>
        <v>胡广欢</v>
      </c>
      <c r="B4792" s="2" t="str">
        <f>"B20230404105"</f>
        <v>B20230404105</v>
      </c>
      <c r="C4792" s="2" t="str">
        <f>"男"</f>
        <v>男</v>
      </c>
      <c r="D4792" s="2" t="str">
        <f t="shared" si="1251"/>
        <v>6</v>
      </c>
      <c r="E4792" s="2" t="str">
        <f>"电子信息与电气工程学院"</f>
        <v>电子信息与电气工程学院</v>
      </c>
    </row>
    <row r="4793" ht="13.5" hidden="1" spans="1:5">
      <c r="A4793" s="2" t="str">
        <f>"汤术涛"</f>
        <v>汤术涛</v>
      </c>
      <c r="B4793" s="2" t="str">
        <f>"B20230504403"</f>
        <v>B20230504403</v>
      </c>
      <c r="C4793" s="2" t="str">
        <f>"男"</f>
        <v>男</v>
      </c>
      <c r="D4793" s="2" t="str">
        <f>"6"</f>
        <v>6</v>
      </c>
      <c r="E4793" s="2" t="str">
        <f>"生物与化学工程学院"</f>
        <v>生物与化学工程学院</v>
      </c>
    </row>
    <row r="4794" ht="13.5" hidden="1" spans="1:5">
      <c r="A4794" s="2" t="str">
        <f>"肖倩"</f>
        <v>肖倩</v>
      </c>
      <c r="B4794" s="2" t="str">
        <f>"B20220502117"</f>
        <v>B20220502117</v>
      </c>
      <c r="C4794" s="2" t="str">
        <f>"女"</f>
        <v>女</v>
      </c>
      <c r="D4794" s="2" t="str">
        <f>"6"</f>
        <v>6</v>
      </c>
      <c r="E4794" s="2" t="str">
        <f>"生物与化学工程学院"</f>
        <v>生物与化学工程学院</v>
      </c>
    </row>
    <row r="4795" ht="13.5" hidden="1" spans="1:5">
      <c r="A4795" s="2" t="str">
        <f>"贾睿杰"</f>
        <v>贾睿杰</v>
      </c>
      <c r="B4795" s="2" t="str">
        <f>"B20220104134"</f>
        <v>B20220104134</v>
      </c>
      <c r="C4795" s="2" t="str">
        <f>"女"</f>
        <v>女</v>
      </c>
      <c r="D4795" s="2" t="str">
        <f>"6"</f>
        <v>6</v>
      </c>
      <c r="E4795" s="2" t="str">
        <f>"土木工程学院"</f>
        <v>土木工程学院</v>
      </c>
    </row>
    <row r="4796" ht="13.5" hidden="1" spans="1:5">
      <c r="A4796" s="2" t="str">
        <f>"单广"</f>
        <v>单广</v>
      </c>
      <c r="B4796" s="2" t="str">
        <f>"B20220101416"</f>
        <v>B20220101416</v>
      </c>
      <c r="C4796" s="2" t="str">
        <f>"男"</f>
        <v>男</v>
      </c>
      <c r="D4796" s="2" t="str">
        <f>"6"</f>
        <v>6</v>
      </c>
      <c r="E4796" s="2" t="str">
        <f>"土木工程学院"</f>
        <v>土木工程学院</v>
      </c>
    </row>
    <row r="4797" ht="13.5" hidden="1" spans="1:5">
      <c r="A4797" s="2" t="str">
        <f>"李玉寒"</f>
        <v>李玉寒</v>
      </c>
      <c r="B4797" s="2" t="str">
        <f>"B20220504417"</f>
        <v>B20220504417</v>
      </c>
      <c r="C4797" s="2" t="str">
        <f>"女"</f>
        <v>女</v>
      </c>
      <c r="D4797" s="2" t="str">
        <f>"6"</f>
        <v>6</v>
      </c>
      <c r="E4797" s="2" t="str">
        <f>"生物与化学工程学院"</f>
        <v>生物与化学工程学院</v>
      </c>
    </row>
    <row r="4798" ht="13.5" hidden="1" spans="1:5">
      <c r="A4798" s="2" t="str">
        <f>"刘奕翾"</f>
        <v>刘奕翾</v>
      </c>
      <c r="B4798" s="2" t="str">
        <f>"B20230703316"</f>
        <v>B20230703316</v>
      </c>
      <c r="C4798" s="2" t="str">
        <f>"女"</f>
        <v>女</v>
      </c>
      <c r="D4798" s="2" t="str">
        <f>"6"</f>
        <v>6</v>
      </c>
      <c r="E4798" s="2" t="str">
        <f>"马栏山新媒体学院"</f>
        <v>马栏山新媒体学院</v>
      </c>
    </row>
    <row r="4799" ht="13.5" hidden="1" spans="1:5">
      <c r="A4799" s="2" t="str">
        <f>"胡天野"</f>
        <v>胡天野</v>
      </c>
      <c r="B4799" s="2" t="str">
        <f>"B20200904110"</f>
        <v>B20200904110</v>
      </c>
      <c r="C4799" s="2" t="str">
        <f>"女"</f>
        <v>女</v>
      </c>
      <c r="D4799" s="2" t="str">
        <f>"6"</f>
        <v>6</v>
      </c>
      <c r="E4799" s="2" t="str">
        <f>"法学院"</f>
        <v>法学院</v>
      </c>
    </row>
    <row r="4800" ht="13.5" hidden="1" spans="1:5">
      <c r="A4800" s="2" t="str">
        <f>"陈佳圆"</f>
        <v>陈佳圆</v>
      </c>
      <c r="B4800" s="2" t="str">
        <f>"B20231401227"</f>
        <v>B20231401227</v>
      </c>
      <c r="C4800" s="2" t="str">
        <f>"女"</f>
        <v>女</v>
      </c>
      <c r="D4800" s="2" t="str">
        <f>"6"</f>
        <v>6</v>
      </c>
      <c r="E4800" s="2" t="str">
        <f>"马克思主义学院"</f>
        <v>马克思主义学院</v>
      </c>
    </row>
    <row r="4801" ht="13.5" hidden="1" spans="1:5">
      <c r="A4801" s="2" t="str">
        <f>"岑权龙"</f>
        <v>岑权龙</v>
      </c>
      <c r="B4801" s="2" t="str">
        <f>"B20230205313"</f>
        <v>B20230205313</v>
      </c>
      <c r="C4801" s="2" t="str">
        <f>"男"</f>
        <v>男</v>
      </c>
      <c r="D4801" s="2" t="str">
        <f>"6"</f>
        <v>6</v>
      </c>
      <c r="E4801" s="2" t="str">
        <f>"机电工程学院"</f>
        <v>机电工程学院</v>
      </c>
    </row>
    <row r="4802" ht="13.5" hidden="1" spans="1:5">
      <c r="A4802" s="2" t="str">
        <f>"黄明"</f>
        <v>黄明</v>
      </c>
      <c r="B4802" s="2" t="str">
        <f>"B20220904126"</f>
        <v>B20220904126</v>
      </c>
      <c r="C4802" s="2" t="str">
        <f t="shared" ref="C4802:C4805" si="1260">"女"</f>
        <v>女</v>
      </c>
      <c r="D4802" s="2" t="str">
        <f>"6"</f>
        <v>6</v>
      </c>
      <c r="E4802" s="2" t="str">
        <f>"经济与管理学院"</f>
        <v>经济与管理学院</v>
      </c>
    </row>
    <row r="4803" ht="13.5" hidden="1" spans="1:5">
      <c r="A4803" s="2" t="str">
        <f>"唐永嘉"</f>
        <v>唐永嘉</v>
      </c>
      <c r="B4803" s="2" t="str">
        <f>"B20230201110"</f>
        <v>B20230201110</v>
      </c>
      <c r="C4803" s="2" t="str">
        <f>"男"</f>
        <v>男</v>
      </c>
      <c r="D4803" s="2" t="str">
        <f>"6"</f>
        <v>6</v>
      </c>
      <c r="E4803" s="2" t="str">
        <f>"机电工程学院"</f>
        <v>机电工程学院</v>
      </c>
    </row>
    <row r="4804" ht="13.5" hidden="1" spans="1:5">
      <c r="A4804" s="2" t="str">
        <f>"许湘"</f>
        <v>许湘</v>
      </c>
      <c r="B4804" s="2" t="str">
        <f>"B20221111205"</f>
        <v>B20221111205</v>
      </c>
      <c r="C4804" s="2" t="str">
        <f t="shared" si="1260"/>
        <v>女</v>
      </c>
      <c r="D4804" s="2" t="str">
        <f>"6"</f>
        <v>6</v>
      </c>
      <c r="E4804" s="2" t="str">
        <f>"音乐学院"</f>
        <v>音乐学院</v>
      </c>
    </row>
    <row r="4805" ht="13.5" hidden="1" spans="1:5">
      <c r="A4805" s="2" t="str">
        <f>"盛文慧"</f>
        <v>盛文慧</v>
      </c>
      <c r="B4805" s="2" t="str">
        <f>"B20210904137"</f>
        <v>B20210904137</v>
      </c>
      <c r="C4805" s="2" t="str">
        <f t="shared" si="1260"/>
        <v>女</v>
      </c>
      <c r="D4805" s="2" t="str">
        <f>"6"</f>
        <v>6</v>
      </c>
      <c r="E4805" s="2" t="str">
        <f>"经济与管理学院"</f>
        <v>经济与管理学院</v>
      </c>
    </row>
    <row r="4806" ht="13.5" hidden="1" spans="1:5">
      <c r="A4806" s="2" t="str">
        <f>"朱羽"</f>
        <v>朱羽</v>
      </c>
      <c r="B4806" s="2" t="str">
        <f>"B20200802109"</f>
        <v>B20200802109</v>
      </c>
      <c r="C4806" s="2" t="str">
        <f>"女"</f>
        <v>女</v>
      </c>
      <c r="D4806" s="2" t="str">
        <f>"6"</f>
        <v>6</v>
      </c>
      <c r="E4806" s="2" t="str">
        <f>"外国语学院"</f>
        <v>外国语学院</v>
      </c>
    </row>
    <row r="4807" ht="13.5" hidden="1" spans="1:5">
      <c r="A4807" s="2" t="str">
        <f>"沈宁远"</f>
        <v>沈宁远</v>
      </c>
      <c r="B4807" s="2" t="str">
        <f>"B20230504122"</f>
        <v>B20230504122</v>
      </c>
      <c r="C4807" s="2" t="str">
        <f>"男"</f>
        <v>男</v>
      </c>
      <c r="D4807" s="2" t="str">
        <f>"6"</f>
        <v>6</v>
      </c>
      <c r="E4807" s="2" t="str">
        <f>"生物与化学工程学院"</f>
        <v>生物与化学工程学院</v>
      </c>
    </row>
    <row r="4808" ht="13.5" hidden="1" spans="1:5">
      <c r="A4808" s="2" t="str">
        <f>"何焱辉"</f>
        <v>何焱辉</v>
      </c>
      <c r="B4808" s="2" t="str">
        <f>"B20230202224"</f>
        <v>B20230202224</v>
      </c>
      <c r="C4808" s="2" t="str">
        <f>"男"</f>
        <v>男</v>
      </c>
      <c r="D4808" s="2" t="str">
        <f>"6"</f>
        <v>6</v>
      </c>
      <c r="E4808" s="2" t="str">
        <f>"机电工程学院"</f>
        <v>机电工程学院</v>
      </c>
    </row>
    <row r="4809" ht="13.5" hidden="1" spans="1:5">
      <c r="A4809" s="2" t="str">
        <f>"蔡卓霖"</f>
        <v>蔡卓霖</v>
      </c>
      <c r="B4809" s="2" t="str">
        <f>"B20230501107"</f>
        <v>B20230501107</v>
      </c>
      <c r="C4809" s="2" t="str">
        <f t="shared" ref="C4809:C4812" si="1261">"男"</f>
        <v>男</v>
      </c>
      <c r="D4809" s="2" t="str">
        <f>"6"</f>
        <v>6</v>
      </c>
      <c r="E4809" s="2" t="str">
        <f>"生物与化学工程学院"</f>
        <v>生物与化学工程学院</v>
      </c>
    </row>
    <row r="4810" ht="13.5" hidden="1" spans="1:5">
      <c r="A4810" s="2" t="str">
        <f>"贺威"</f>
        <v>贺威</v>
      </c>
      <c r="B4810" s="2" t="str">
        <f>"B20220401417"</f>
        <v>B20220401417</v>
      </c>
      <c r="C4810" s="2" t="str">
        <f t="shared" si="1261"/>
        <v>男</v>
      </c>
      <c r="D4810" s="2" t="str">
        <f>"6"</f>
        <v>6</v>
      </c>
      <c r="E4810" s="2" t="str">
        <f t="shared" ref="E4810:E4814" si="1262">"电子信息与电气工程学院"</f>
        <v>电子信息与电气工程学院</v>
      </c>
    </row>
    <row r="4811" ht="13.5" hidden="1" spans="1:5">
      <c r="A4811" s="2" t="str">
        <f>"李芳玲"</f>
        <v>李芳玲</v>
      </c>
      <c r="B4811" s="2" t="str">
        <f>"B20220904232"</f>
        <v>B20220904232</v>
      </c>
      <c r="C4811" s="2" t="str">
        <f>"女"</f>
        <v>女</v>
      </c>
      <c r="D4811" s="2" t="str">
        <f>"6"</f>
        <v>6</v>
      </c>
      <c r="E4811" s="2" t="str">
        <f>"经济与管理学院"</f>
        <v>经济与管理学院</v>
      </c>
    </row>
    <row r="4812" ht="13.5" hidden="1" spans="1:5">
      <c r="A4812" s="2" t="str">
        <f>"唐祁峰"</f>
        <v>唐祁峰</v>
      </c>
      <c r="B4812" s="2" t="str">
        <f>"B20230402309"</f>
        <v>B20230402309</v>
      </c>
      <c r="C4812" s="2" t="str">
        <f t="shared" si="1261"/>
        <v>男</v>
      </c>
      <c r="D4812" s="2" t="str">
        <f>"6"</f>
        <v>6</v>
      </c>
      <c r="E4812" s="2" t="str">
        <f t="shared" si="1262"/>
        <v>电子信息与电气工程学院</v>
      </c>
    </row>
    <row r="4813" ht="13.5" hidden="1" spans="1:5">
      <c r="A4813" s="2" t="str">
        <f>"潘柃晔"</f>
        <v>潘柃晔</v>
      </c>
      <c r="B4813" s="2" t="str">
        <f>"B20211002408"</f>
        <v>B20211002408</v>
      </c>
      <c r="C4813" s="2" t="str">
        <f>"女"</f>
        <v>女</v>
      </c>
      <c r="D4813" s="2" t="str">
        <f>"6"</f>
        <v>6</v>
      </c>
      <c r="E4813" s="2" t="str">
        <f>"艺术设计学院"</f>
        <v>艺术设计学院</v>
      </c>
    </row>
    <row r="4814" ht="13.5" hidden="1" spans="1:5">
      <c r="A4814" s="2" t="str">
        <f>"雷浩"</f>
        <v>雷浩</v>
      </c>
      <c r="B4814" s="2" t="str">
        <f>"B20220402315"</f>
        <v>B20220402315</v>
      </c>
      <c r="C4814" s="2" t="str">
        <f t="shared" ref="C4814:C4824" si="1263">"男"</f>
        <v>男</v>
      </c>
      <c r="D4814" s="2" t="str">
        <f>"6"</f>
        <v>6</v>
      </c>
      <c r="E4814" s="2" t="str">
        <f t="shared" si="1262"/>
        <v>电子信息与电气工程学院</v>
      </c>
    </row>
    <row r="4815" ht="13.5" hidden="1" spans="1:5">
      <c r="A4815" s="2" t="str">
        <f>"李帆"</f>
        <v>李帆</v>
      </c>
      <c r="B4815" s="2" t="str">
        <f>"B20230902314"</f>
        <v>B20230902314</v>
      </c>
      <c r="C4815" s="2" t="str">
        <f>"女"</f>
        <v>女</v>
      </c>
      <c r="D4815" s="2" t="str">
        <f>"6"</f>
        <v>6</v>
      </c>
      <c r="E4815" s="2" t="str">
        <f>"经济与管理学院"</f>
        <v>经济与管理学院</v>
      </c>
    </row>
    <row r="4816" ht="13.5" hidden="1" spans="1:5">
      <c r="A4816" s="2" t="str">
        <f>"刘少华"</f>
        <v>刘少华</v>
      </c>
      <c r="B4816" s="2" t="str">
        <f>"B20211002210"</f>
        <v>B20211002210</v>
      </c>
      <c r="C4816" s="2" t="str">
        <f>"女"</f>
        <v>女</v>
      </c>
      <c r="D4816" s="2" t="str">
        <f>"6"</f>
        <v>6</v>
      </c>
      <c r="E4816" s="2" t="str">
        <f>"艺术设计学院"</f>
        <v>艺术设计学院</v>
      </c>
    </row>
    <row r="4817" ht="13.5" hidden="1" spans="1:5">
      <c r="A4817" s="2" t="str">
        <f>"滕志远"</f>
        <v>滕志远</v>
      </c>
      <c r="B4817" s="2" t="str">
        <f>"B20210103125"</f>
        <v>B20210103125</v>
      </c>
      <c r="C4817" s="2" t="str">
        <f t="shared" si="1263"/>
        <v>男</v>
      </c>
      <c r="D4817" s="2" t="str">
        <f>"6"</f>
        <v>6</v>
      </c>
      <c r="E4817" s="2" t="str">
        <f>"土木工程学院"</f>
        <v>土木工程学院</v>
      </c>
    </row>
    <row r="4818" ht="13.5" hidden="1" spans="1:5">
      <c r="A4818" s="2" t="str">
        <f>"马志翔"</f>
        <v>马志翔</v>
      </c>
      <c r="B4818" s="2" t="str">
        <f>"B20230403226"</f>
        <v>B20230403226</v>
      </c>
      <c r="C4818" s="2" t="str">
        <f t="shared" si="1263"/>
        <v>男</v>
      </c>
      <c r="D4818" s="2" t="str">
        <f>"6"</f>
        <v>6</v>
      </c>
      <c r="E4818" s="2" t="str">
        <f t="shared" ref="E4818:E4822" si="1264">"电子信息与电气工程学院"</f>
        <v>电子信息与电气工程学院</v>
      </c>
    </row>
    <row r="4819" ht="13.5" hidden="1" spans="1:5">
      <c r="A4819" s="2" t="str">
        <f>"李晋豫"</f>
        <v>李晋豫</v>
      </c>
      <c r="B4819" s="2" t="str">
        <f>"B20210203132"</f>
        <v>B20210203132</v>
      </c>
      <c r="C4819" s="2" t="str">
        <f t="shared" si="1263"/>
        <v>男</v>
      </c>
      <c r="D4819" s="2" t="str">
        <f>"6"</f>
        <v>6</v>
      </c>
      <c r="E4819" s="2" t="str">
        <f>"机电工程学院"</f>
        <v>机电工程学院</v>
      </c>
    </row>
    <row r="4820" ht="13.5" hidden="1" spans="1:5">
      <c r="A4820" s="2" t="str">
        <f>"陈云垚"</f>
        <v>陈云垚</v>
      </c>
      <c r="B4820" s="2" t="str">
        <f>"B20200401407"</f>
        <v>B20200401407</v>
      </c>
      <c r="C4820" s="2" t="str">
        <f t="shared" si="1263"/>
        <v>男</v>
      </c>
      <c r="D4820" s="2" t="str">
        <f>"6"</f>
        <v>6</v>
      </c>
      <c r="E4820" s="2" t="str">
        <f t="shared" si="1264"/>
        <v>电子信息与电气工程学院</v>
      </c>
    </row>
    <row r="4821" ht="13.5" hidden="1" spans="1:5">
      <c r="A4821" s="2" t="str">
        <f>"黄斌"</f>
        <v>黄斌</v>
      </c>
      <c r="B4821" s="2" t="str">
        <f>"B20230905113"</f>
        <v>B20230905113</v>
      </c>
      <c r="C4821" s="2" t="str">
        <f t="shared" si="1263"/>
        <v>男</v>
      </c>
      <c r="D4821" s="2" t="str">
        <f>"6"</f>
        <v>6</v>
      </c>
      <c r="E4821" s="2" t="str">
        <f>"经济与管理学院"</f>
        <v>经济与管理学院</v>
      </c>
    </row>
    <row r="4822" ht="13.5" hidden="1" spans="1:5">
      <c r="A4822" s="2" t="str">
        <f>"姜子栋"</f>
        <v>姜子栋</v>
      </c>
      <c r="B4822" s="2" t="str">
        <f>"B20220401127"</f>
        <v>B20220401127</v>
      </c>
      <c r="C4822" s="2" t="str">
        <f t="shared" si="1263"/>
        <v>男</v>
      </c>
      <c r="D4822" s="2" t="str">
        <f>"6"</f>
        <v>6</v>
      </c>
      <c r="E4822" s="2" t="str">
        <f t="shared" si="1264"/>
        <v>电子信息与电气工程学院</v>
      </c>
    </row>
    <row r="4823" ht="13.5" hidden="1" spans="1:5">
      <c r="A4823" s="2" t="str">
        <f>"周奇"</f>
        <v>周奇</v>
      </c>
      <c r="B4823" s="2" t="str">
        <f>"B20210903118"</f>
        <v>B20210903118</v>
      </c>
      <c r="C4823" s="2" t="str">
        <f t="shared" si="1263"/>
        <v>男</v>
      </c>
      <c r="D4823" s="2" t="str">
        <f>"6"</f>
        <v>6</v>
      </c>
      <c r="E4823" s="2" t="str">
        <f>"经济与管理学院"</f>
        <v>经济与管理学院</v>
      </c>
    </row>
    <row r="4824" ht="13.5" hidden="1" spans="1:5">
      <c r="A4824" s="2" t="str">
        <f>"李元凯"</f>
        <v>李元凯</v>
      </c>
      <c r="B4824" s="2" t="str">
        <f>"B20230402231"</f>
        <v>B20230402231</v>
      </c>
      <c r="C4824" s="2" t="str">
        <f t="shared" si="1263"/>
        <v>男</v>
      </c>
      <c r="D4824" s="2" t="str">
        <f>"6"</f>
        <v>6</v>
      </c>
      <c r="E4824" s="2" t="str">
        <f>"电子信息与电气工程学院"</f>
        <v>电子信息与电气工程学院</v>
      </c>
    </row>
    <row r="4825" ht="13.5" hidden="1" spans="1:5">
      <c r="A4825" s="2" t="str">
        <f>"王萍"</f>
        <v>王萍</v>
      </c>
      <c r="B4825" s="2" t="str">
        <f>"B20230801402"</f>
        <v>B20230801402</v>
      </c>
      <c r="C4825" s="2" t="str">
        <f t="shared" ref="C4825:C4830" si="1265">"女"</f>
        <v>女</v>
      </c>
      <c r="D4825" s="2" t="str">
        <f>"6"</f>
        <v>6</v>
      </c>
      <c r="E4825" s="2" t="str">
        <f>"外国语学院"</f>
        <v>外国语学院</v>
      </c>
    </row>
    <row r="4826" ht="13.5" hidden="1" spans="1:5">
      <c r="A4826" s="2" t="str">
        <f>"罗坚"</f>
        <v>罗坚</v>
      </c>
      <c r="B4826" s="2" t="str">
        <f>"B20200101624"</f>
        <v>B20200101624</v>
      </c>
      <c r="C4826" s="2" t="str">
        <f t="shared" ref="C4826:C4829" si="1266">"男"</f>
        <v>男</v>
      </c>
      <c r="D4826" s="2" t="str">
        <f>"6"</f>
        <v>6</v>
      </c>
      <c r="E4826" s="2" t="str">
        <f>"土木工程学院"</f>
        <v>土木工程学院</v>
      </c>
    </row>
    <row r="4827" ht="13.5" hidden="1" spans="1:5">
      <c r="A4827" s="2" t="str">
        <f>"龙吉财"</f>
        <v>龙吉财</v>
      </c>
      <c r="B4827" s="2" t="str">
        <f>"B20200504115"</f>
        <v>B20200504115</v>
      </c>
      <c r="C4827" s="2" t="str">
        <f t="shared" si="1266"/>
        <v>男</v>
      </c>
      <c r="D4827" s="2" t="str">
        <f>"6"</f>
        <v>6</v>
      </c>
      <c r="E4827" s="2" t="str">
        <f>"生物与环境工程学院"</f>
        <v>生物与环境工程学院</v>
      </c>
    </row>
    <row r="4828" ht="13.5" hidden="1" spans="1:5">
      <c r="A4828" s="2" t="str">
        <f>"陈婷"</f>
        <v>陈婷</v>
      </c>
      <c r="B4828" s="2" t="str">
        <f>"B20230901328"</f>
        <v>B20230901328</v>
      </c>
      <c r="C4828" s="2" t="str">
        <f t="shared" si="1265"/>
        <v>女</v>
      </c>
      <c r="D4828" s="2" t="str">
        <f>"6"</f>
        <v>6</v>
      </c>
      <c r="E4828" s="2" t="str">
        <f t="shared" ref="E4828:E4832" si="1267">"经济与管理学院"</f>
        <v>经济与管理学院</v>
      </c>
    </row>
    <row r="4829" ht="13.5" hidden="1" spans="1:5">
      <c r="A4829" s="2" t="str">
        <f>"谢加足"</f>
        <v>谢加足</v>
      </c>
      <c r="B4829" s="2" t="str">
        <f>"B20210104228"</f>
        <v>B20210104228</v>
      </c>
      <c r="C4829" s="2" t="str">
        <f t="shared" si="1266"/>
        <v>男</v>
      </c>
      <c r="D4829" s="2" t="str">
        <f>"6"</f>
        <v>6</v>
      </c>
      <c r="E4829" s="2" t="str">
        <f>"土木工程学院"</f>
        <v>土木工程学院</v>
      </c>
    </row>
    <row r="4830" ht="13.5" hidden="1" spans="1:5">
      <c r="A4830" s="2" t="str">
        <f>"谢慧娟"</f>
        <v>谢慧娟</v>
      </c>
      <c r="B4830" s="2" t="str">
        <f>"B20230601202"</f>
        <v>B20230601202</v>
      </c>
      <c r="C4830" s="2" t="str">
        <f t="shared" si="1265"/>
        <v>女</v>
      </c>
      <c r="D4830" s="2" t="str">
        <f>"6"</f>
        <v>6</v>
      </c>
      <c r="E4830" s="2" t="str">
        <f>"法学院"</f>
        <v>法学院</v>
      </c>
    </row>
    <row r="4831" ht="13.5" hidden="1" spans="1:5">
      <c r="A4831" s="2" t="str">
        <f>"陈羽灿"</f>
        <v>陈羽灿</v>
      </c>
      <c r="B4831" s="2" t="str">
        <f>"B20230906218"</f>
        <v>B20230906218</v>
      </c>
      <c r="C4831" s="2" t="str">
        <f t="shared" ref="C4831:C4834" si="1268">"男"</f>
        <v>男</v>
      </c>
      <c r="D4831" s="2" t="str">
        <f>"6"</f>
        <v>6</v>
      </c>
      <c r="E4831" s="2" t="str">
        <f t="shared" si="1267"/>
        <v>经济与管理学院</v>
      </c>
    </row>
    <row r="4832" ht="13.5" hidden="1" spans="1:5">
      <c r="A4832" s="2" t="str">
        <f>"刘英"</f>
        <v>刘英</v>
      </c>
      <c r="B4832" s="2" t="str">
        <f>"B20230901218"</f>
        <v>B20230901218</v>
      </c>
      <c r="C4832" s="2" t="str">
        <f t="shared" ref="C4832:C4836" si="1269">"女"</f>
        <v>女</v>
      </c>
      <c r="D4832" s="2" t="str">
        <f>"6"</f>
        <v>6</v>
      </c>
      <c r="E4832" s="2" t="str">
        <f t="shared" si="1267"/>
        <v>经济与管理学院</v>
      </c>
    </row>
    <row r="4833" ht="13.5" hidden="1" spans="1:5">
      <c r="A4833" s="2" t="str">
        <f>"曹贤祺"</f>
        <v>曹贤祺</v>
      </c>
      <c r="B4833" s="2" t="str">
        <f>"B20230403319"</f>
        <v>B20230403319</v>
      </c>
      <c r="C4833" s="2" t="str">
        <f t="shared" si="1268"/>
        <v>男</v>
      </c>
      <c r="D4833" s="2" t="str">
        <f>"6"</f>
        <v>6</v>
      </c>
      <c r="E4833" s="2" t="str">
        <f>"电子信息与电气工程学院"</f>
        <v>电子信息与电气工程学院</v>
      </c>
    </row>
    <row r="4834" ht="13.5" hidden="1" spans="1:5">
      <c r="A4834" s="2" t="str">
        <f>"钱羽星"</f>
        <v>钱羽星</v>
      </c>
      <c r="B4834" s="2" t="str">
        <f>"B20230403221"</f>
        <v>B20230403221</v>
      </c>
      <c r="C4834" s="2" t="str">
        <f t="shared" si="1268"/>
        <v>男</v>
      </c>
      <c r="D4834" s="2" t="str">
        <f>"6"</f>
        <v>6</v>
      </c>
      <c r="E4834" s="2" t="str">
        <f>"电子信息与电气工程学院"</f>
        <v>电子信息与电气工程学院</v>
      </c>
    </row>
    <row r="4835" ht="13.5" hidden="1" spans="1:5">
      <c r="A4835" s="2" t="str">
        <f>"刘娅轩"</f>
        <v>刘娅轩</v>
      </c>
      <c r="B4835" s="2" t="str">
        <f>"B20220801317"</f>
        <v>B20220801317</v>
      </c>
      <c r="C4835" s="2" t="str">
        <f t="shared" si="1269"/>
        <v>女</v>
      </c>
      <c r="D4835" s="2" t="str">
        <f>"6"</f>
        <v>6</v>
      </c>
      <c r="E4835" s="2" t="str">
        <f>"外国语学院"</f>
        <v>外国语学院</v>
      </c>
    </row>
    <row r="4836" ht="13.5" hidden="1" spans="1:5">
      <c r="A4836" s="2" t="str">
        <f>"周怡萍"</f>
        <v>周怡萍</v>
      </c>
      <c r="B4836" s="2" t="str">
        <f>"B20210906221"</f>
        <v>B20210906221</v>
      </c>
      <c r="C4836" s="2" t="str">
        <f t="shared" si="1269"/>
        <v>女</v>
      </c>
      <c r="D4836" s="2" t="str">
        <f>"6"</f>
        <v>6</v>
      </c>
      <c r="E4836" s="2" t="str">
        <f>"经济与管理学院"</f>
        <v>经济与管理学院</v>
      </c>
    </row>
    <row r="4837" ht="13.5" hidden="1" spans="1:5">
      <c r="A4837" s="2" t="str">
        <f>"胡恒"</f>
        <v>胡恒</v>
      </c>
      <c r="B4837" s="2" t="str">
        <f>"B20231302233"</f>
        <v>B20231302233</v>
      </c>
      <c r="C4837" s="2" t="str">
        <f>"男"</f>
        <v>男</v>
      </c>
      <c r="D4837" s="2" t="str">
        <f>"6"</f>
        <v>6</v>
      </c>
      <c r="E4837" s="2" t="str">
        <f>"材料与环境工程学院"</f>
        <v>材料与环境工程学院</v>
      </c>
    </row>
    <row r="4838" ht="13.5" hidden="1" spans="1:5">
      <c r="A4838" s="2" t="str">
        <f>"易璐"</f>
        <v>易璐</v>
      </c>
      <c r="B4838" s="2" t="str">
        <f>"B20210903115"</f>
        <v>B20210903115</v>
      </c>
      <c r="C4838" s="2" t="str">
        <f t="shared" ref="C4838:C4842" si="1270">"女"</f>
        <v>女</v>
      </c>
      <c r="D4838" s="2" t="str">
        <f>"6"</f>
        <v>6</v>
      </c>
      <c r="E4838" s="2" t="str">
        <f>"经济与管理学院"</f>
        <v>经济与管理学院</v>
      </c>
    </row>
    <row r="4839" ht="13.5" hidden="1" spans="1:5">
      <c r="A4839" s="2" t="str">
        <f>"田萱"</f>
        <v>田萱</v>
      </c>
      <c r="B4839" s="2" t="str">
        <f>"B20230403325"</f>
        <v>B20230403325</v>
      </c>
      <c r="C4839" s="2" t="str">
        <f t="shared" si="1270"/>
        <v>女</v>
      </c>
      <c r="D4839" s="2" t="str">
        <f>"6"</f>
        <v>6</v>
      </c>
      <c r="E4839" s="2" t="str">
        <f>"电子信息与电气工程学院"</f>
        <v>电子信息与电气工程学院</v>
      </c>
    </row>
    <row r="4840" ht="13.5" hidden="1" spans="1:5">
      <c r="A4840" s="2" t="str">
        <f>"文语涵"</f>
        <v>文语涵</v>
      </c>
      <c r="B4840" s="2" t="str">
        <f>"B20230403333"</f>
        <v>B20230403333</v>
      </c>
      <c r="C4840" s="2" t="str">
        <f t="shared" si="1270"/>
        <v>女</v>
      </c>
      <c r="D4840" s="2" t="str">
        <f>"6"</f>
        <v>6</v>
      </c>
      <c r="E4840" s="2" t="str">
        <f>"电子信息与电气工程学院"</f>
        <v>电子信息与电气工程学院</v>
      </c>
    </row>
    <row r="4841" ht="13.5" hidden="1" spans="1:5">
      <c r="A4841" s="2" t="str">
        <f>"谢灵"</f>
        <v>谢灵</v>
      </c>
      <c r="B4841" s="2" t="str">
        <f>"B20230704201"</f>
        <v>B20230704201</v>
      </c>
      <c r="C4841" s="2" t="str">
        <f t="shared" si="1270"/>
        <v>女</v>
      </c>
      <c r="D4841" s="2" t="str">
        <f>"6"</f>
        <v>6</v>
      </c>
      <c r="E4841" s="2" t="str">
        <f>"马栏山新媒体学院"</f>
        <v>马栏山新媒体学院</v>
      </c>
    </row>
    <row r="4842" ht="13.5" hidden="1" spans="1:5">
      <c r="A4842" s="2" t="str">
        <f>"蒋宇婷"</f>
        <v>蒋宇婷</v>
      </c>
      <c r="B4842" s="2" t="str">
        <f>"B20230906117"</f>
        <v>B20230906117</v>
      </c>
      <c r="C4842" s="2" t="str">
        <f t="shared" si="1270"/>
        <v>女</v>
      </c>
      <c r="D4842" s="2" t="str">
        <f>"6"</f>
        <v>6</v>
      </c>
      <c r="E4842" s="2" t="str">
        <f>"经济与管理学院"</f>
        <v>经济与管理学院</v>
      </c>
    </row>
    <row r="4843" ht="13.5" hidden="1" spans="1:5">
      <c r="A4843" s="2" t="str">
        <f>"刘欢"</f>
        <v>刘欢</v>
      </c>
      <c r="B4843" s="2" t="str">
        <f>"B20230504427"</f>
        <v>B20230504427</v>
      </c>
      <c r="C4843" s="2" t="str">
        <f>"男"</f>
        <v>男</v>
      </c>
      <c r="D4843" s="2" t="str">
        <f>"6"</f>
        <v>6</v>
      </c>
      <c r="E4843" s="2" t="str">
        <f>"生物与化学工程学院"</f>
        <v>生物与化学工程学院</v>
      </c>
    </row>
    <row r="4844" ht="13.5" hidden="1" spans="1:5">
      <c r="A4844" s="2" t="str">
        <f>"成倩滢"</f>
        <v>成倩滢</v>
      </c>
      <c r="B4844" s="2" t="str">
        <f>"B20230802211"</f>
        <v>B20230802211</v>
      </c>
      <c r="C4844" s="2" t="str">
        <f>"女"</f>
        <v>女</v>
      </c>
      <c r="D4844" s="2" t="str">
        <f>"6"</f>
        <v>6</v>
      </c>
      <c r="E4844" s="2" t="str">
        <f>"外国语学院"</f>
        <v>外国语学院</v>
      </c>
    </row>
    <row r="4845" ht="13.5" hidden="1" spans="1:5">
      <c r="A4845" s="2" t="str">
        <f>"邓依雯"</f>
        <v>邓依雯</v>
      </c>
      <c r="B4845" s="2" t="str">
        <f>"B20200701127"</f>
        <v>B20200701127</v>
      </c>
      <c r="C4845" s="2" t="str">
        <f>"女"</f>
        <v>女</v>
      </c>
      <c r="D4845" s="2" t="str">
        <f>"6"</f>
        <v>6</v>
      </c>
      <c r="E4845" s="2" t="str">
        <f>"马栏山新媒体学院"</f>
        <v>马栏山新媒体学院</v>
      </c>
    </row>
    <row r="4846" ht="13.5" hidden="1" spans="1:5">
      <c r="A4846" s="2" t="str">
        <f>"肖诺婕"</f>
        <v>肖诺婕</v>
      </c>
      <c r="B4846" s="2" t="str">
        <f>"B20200801424"</f>
        <v>B20200801424</v>
      </c>
      <c r="C4846" s="2" t="str">
        <f>"女"</f>
        <v>女</v>
      </c>
      <c r="D4846" s="2" t="str">
        <f>"6"</f>
        <v>6</v>
      </c>
      <c r="E4846" s="2" t="str">
        <f>"外国语学院"</f>
        <v>外国语学院</v>
      </c>
    </row>
    <row r="4847" ht="13.5" hidden="1" spans="1:5">
      <c r="A4847" s="2" t="str">
        <f>"欧宇辰"</f>
        <v>欧宇辰</v>
      </c>
      <c r="B4847" s="2" t="str">
        <f>"B20210505214"</f>
        <v>B20210505214</v>
      </c>
      <c r="C4847" s="2" t="str">
        <f>"男"</f>
        <v>男</v>
      </c>
      <c r="D4847" s="2" t="str">
        <f>"6"</f>
        <v>6</v>
      </c>
      <c r="E4847" s="2" t="str">
        <f>"材料与环境工程学院"</f>
        <v>材料与环境工程学院</v>
      </c>
    </row>
    <row r="4848" ht="13.5" hidden="1" spans="1:5">
      <c r="A4848" s="2" t="str">
        <f>"刘佳骏"</f>
        <v>刘佳骏</v>
      </c>
      <c r="B4848" s="2" t="str">
        <f>"B20230802123"</f>
        <v>B20230802123</v>
      </c>
      <c r="C4848" s="2" t="str">
        <f>"男"</f>
        <v>男</v>
      </c>
      <c r="D4848" s="2" t="str">
        <f>"6"</f>
        <v>6</v>
      </c>
      <c r="E4848" s="2" t="str">
        <f>"外国语学院"</f>
        <v>外国语学院</v>
      </c>
    </row>
    <row r="4849" ht="13.5" hidden="1" spans="1:5">
      <c r="A4849" s="2" t="str">
        <f>"彭达"</f>
        <v>彭达</v>
      </c>
      <c r="B4849" s="2" t="str">
        <f>"B20200503105"</f>
        <v>B20200503105</v>
      </c>
      <c r="C4849" s="2" t="str">
        <f>"男"</f>
        <v>男</v>
      </c>
      <c r="D4849" s="2" t="str">
        <f>"6"</f>
        <v>6</v>
      </c>
      <c r="E4849" s="2" t="str">
        <f>"生物与环境工程学院"</f>
        <v>生物与环境工程学院</v>
      </c>
    </row>
    <row r="4850" ht="13.5" hidden="1" spans="1:5">
      <c r="A4850" s="2" t="str">
        <f>"刘锋"</f>
        <v>刘锋</v>
      </c>
      <c r="B4850" s="2" t="str">
        <f>"B20200204231"</f>
        <v>B20200204231</v>
      </c>
      <c r="C4850" s="2" t="str">
        <f>"男"</f>
        <v>男</v>
      </c>
      <c r="D4850" s="2" t="str">
        <f>"6"</f>
        <v>6</v>
      </c>
      <c r="E4850" s="2" t="str">
        <f>"机电工程学院"</f>
        <v>机电工程学院</v>
      </c>
    </row>
    <row r="4851" ht="13.5" hidden="1" spans="1:5">
      <c r="A4851" s="2" t="str">
        <f>"陈璇"</f>
        <v>陈璇</v>
      </c>
      <c r="B4851" s="2" t="str">
        <f>"B20230504406"</f>
        <v>B20230504406</v>
      </c>
      <c r="C4851" s="2" t="str">
        <f t="shared" ref="C4851:C4854" si="1271">"女"</f>
        <v>女</v>
      </c>
      <c r="D4851" s="2" t="str">
        <f>"6"</f>
        <v>6</v>
      </c>
      <c r="E4851" s="2" t="str">
        <f t="shared" ref="E4851:E4854" si="1272">"生物与化学工程学院"</f>
        <v>生物与化学工程学院</v>
      </c>
    </row>
    <row r="4852" ht="13.5" hidden="1" spans="1:5">
      <c r="A4852" s="2" t="str">
        <f>"谭蓓"</f>
        <v>谭蓓</v>
      </c>
      <c r="B4852" s="2" t="str">
        <f>"B20230504407"</f>
        <v>B20230504407</v>
      </c>
      <c r="C4852" s="2" t="str">
        <f t="shared" si="1271"/>
        <v>女</v>
      </c>
      <c r="D4852" s="2" t="str">
        <f>"6"</f>
        <v>6</v>
      </c>
      <c r="E4852" s="2" t="str">
        <f t="shared" si="1272"/>
        <v>生物与化学工程学院</v>
      </c>
    </row>
    <row r="4853" ht="13.5" hidden="1" spans="1:5">
      <c r="A4853" s="2" t="str">
        <f>"方容"</f>
        <v>方容</v>
      </c>
      <c r="B4853" s="2" t="str">
        <f>"B20230905115"</f>
        <v>B20230905115</v>
      </c>
      <c r="C4853" s="2" t="str">
        <f t="shared" si="1271"/>
        <v>女</v>
      </c>
      <c r="D4853" s="2" t="str">
        <f>"6"</f>
        <v>6</v>
      </c>
      <c r="E4853" s="2" t="str">
        <f>"经济与管理学院"</f>
        <v>经济与管理学院</v>
      </c>
    </row>
    <row r="4854" ht="13.5" hidden="1" spans="1:5">
      <c r="A4854" s="2" t="str">
        <f>"赵喜"</f>
        <v>赵喜</v>
      </c>
      <c r="B4854" s="2" t="str">
        <f>"B20230504303"</f>
        <v>B20230504303</v>
      </c>
      <c r="C4854" s="2" t="str">
        <f t="shared" si="1271"/>
        <v>女</v>
      </c>
      <c r="D4854" s="2" t="str">
        <f>"6"</f>
        <v>6</v>
      </c>
      <c r="E4854" s="2" t="str">
        <f t="shared" si="1272"/>
        <v>生物与化学工程学院</v>
      </c>
    </row>
    <row r="4855" ht="13.5" hidden="1" spans="1:5">
      <c r="A4855" s="2" t="str">
        <f>"徐熙"</f>
        <v>徐熙</v>
      </c>
      <c r="B4855" s="2" t="str">
        <f>"B20210204109"</f>
        <v>B20210204109</v>
      </c>
      <c r="C4855" s="2" t="str">
        <f>"男"</f>
        <v>男</v>
      </c>
      <c r="D4855" s="2" t="str">
        <f>"6"</f>
        <v>6</v>
      </c>
      <c r="E4855" s="2" t="str">
        <f>"机电工程学院"</f>
        <v>机电工程学院</v>
      </c>
    </row>
    <row r="4856" ht="13.5" hidden="1" spans="1:5">
      <c r="A4856" s="2" t="str">
        <f>"阳扬"</f>
        <v>阳扬</v>
      </c>
      <c r="B4856" s="2" t="str">
        <f>"B20230205121"</f>
        <v>B20230205121</v>
      </c>
      <c r="C4856" s="2" t="str">
        <f>"男"</f>
        <v>男</v>
      </c>
      <c r="D4856" s="2" t="str">
        <f>"6"</f>
        <v>6</v>
      </c>
      <c r="E4856" s="2" t="str">
        <f>"机电工程学院"</f>
        <v>机电工程学院</v>
      </c>
    </row>
    <row r="4857" ht="13.5" hidden="1" spans="1:5">
      <c r="A4857" s="2" t="str">
        <f>"易乐琴"</f>
        <v>易乐琴</v>
      </c>
      <c r="B4857" s="2" t="str">
        <f>"B20200904218"</f>
        <v>B20200904218</v>
      </c>
      <c r="C4857" s="2" t="str">
        <f>"女"</f>
        <v>女</v>
      </c>
      <c r="D4857" s="2" t="str">
        <f>"6"</f>
        <v>6</v>
      </c>
      <c r="E4857" s="2" t="str">
        <f>"经济与管理学院"</f>
        <v>经济与管理学院</v>
      </c>
    </row>
    <row r="4858" ht="13.5" hidden="1" spans="1:5">
      <c r="A4858" s="2" t="str">
        <f>"吴梓塬"</f>
        <v>吴梓塬</v>
      </c>
      <c r="B4858" s="2" t="str">
        <f>"B20210103203"</f>
        <v>B20210103203</v>
      </c>
      <c r="C4858" s="2" t="str">
        <f>"男"</f>
        <v>男</v>
      </c>
      <c r="D4858" s="2" t="str">
        <f>"6"</f>
        <v>6</v>
      </c>
      <c r="E4858" s="2" t="str">
        <f>"土木工程学院"</f>
        <v>土木工程学院</v>
      </c>
    </row>
    <row r="4859" ht="13.5" hidden="1" spans="1:5">
      <c r="A4859" s="2" t="str">
        <f>"余杰"</f>
        <v>余杰</v>
      </c>
      <c r="B4859" s="2" t="str">
        <f>"B20200404108"</f>
        <v>B20200404108</v>
      </c>
      <c r="C4859" s="2" t="str">
        <f>"男"</f>
        <v>男</v>
      </c>
      <c r="D4859" s="2" t="str">
        <f>"6"</f>
        <v>6</v>
      </c>
      <c r="E4859" s="2" t="str">
        <f>"电子信息与电气工程学院"</f>
        <v>电子信息与电气工程学院</v>
      </c>
    </row>
    <row r="4860" ht="13.5" hidden="1" spans="1:5">
      <c r="A4860" s="2" t="str">
        <f>"罗锦玉"</f>
        <v>罗锦玉</v>
      </c>
      <c r="B4860" s="2" t="str">
        <f>"B20200402314"</f>
        <v>B20200402314</v>
      </c>
      <c r="C4860" s="2" t="str">
        <f>"男"</f>
        <v>男</v>
      </c>
      <c r="D4860" s="2" t="str">
        <f>"6"</f>
        <v>6</v>
      </c>
      <c r="E4860" s="2" t="str">
        <f>"电子信息与电气工程学院"</f>
        <v>电子信息与电气工程学院</v>
      </c>
    </row>
    <row r="4861" ht="13.5" hidden="1" spans="1:5">
      <c r="A4861" s="2" t="str">
        <f>"景奥淳"</f>
        <v>景奥淳</v>
      </c>
      <c r="B4861" s="2" t="str">
        <f>"B20200902126"</f>
        <v>B20200902126</v>
      </c>
      <c r="C4861" s="2" t="str">
        <f t="shared" ref="C4861:C4863" si="1273">"女"</f>
        <v>女</v>
      </c>
      <c r="D4861" s="2" t="str">
        <f>"6"</f>
        <v>6</v>
      </c>
      <c r="E4861" s="2" t="str">
        <f>"经济与管理学院"</f>
        <v>经济与管理学院</v>
      </c>
    </row>
    <row r="4862" ht="13.5" hidden="1" spans="1:5">
      <c r="A4862" s="2" t="str">
        <f>"何雨萱"</f>
        <v>何雨萱</v>
      </c>
      <c r="B4862" s="2" t="str">
        <f>"B20221111225"</f>
        <v>B20221111225</v>
      </c>
      <c r="C4862" s="2" t="str">
        <f t="shared" si="1273"/>
        <v>女</v>
      </c>
      <c r="D4862" s="2" t="str">
        <f>"6"</f>
        <v>6</v>
      </c>
      <c r="E4862" s="2" t="str">
        <f>"音乐学院"</f>
        <v>音乐学院</v>
      </c>
    </row>
    <row r="4863" ht="13.5" hidden="1" spans="1:5">
      <c r="A4863" s="2" t="str">
        <f>"黄婷"</f>
        <v>黄婷</v>
      </c>
      <c r="B4863" s="2" t="str">
        <f>"B20210801614"</f>
        <v>B20210801614</v>
      </c>
      <c r="C4863" s="2" t="str">
        <f t="shared" si="1273"/>
        <v>女</v>
      </c>
      <c r="D4863" s="2" t="str">
        <f>"6"</f>
        <v>6</v>
      </c>
      <c r="E4863" s="2" t="str">
        <f>"外国语学院"</f>
        <v>外国语学院</v>
      </c>
    </row>
    <row r="4864" ht="13.5" hidden="1" spans="1:5">
      <c r="A4864" s="2" t="str">
        <f>"倪郅玮"</f>
        <v>倪郅玮</v>
      </c>
      <c r="B4864" s="2" t="str">
        <f>"B20200202202"</f>
        <v>B20200202202</v>
      </c>
      <c r="C4864" s="2" t="str">
        <f>"男"</f>
        <v>男</v>
      </c>
      <c r="D4864" s="2" t="str">
        <f>"6"</f>
        <v>6</v>
      </c>
      <c r="E4864" s="2" t="str">
        <f>"机电工程学院"</f>
        <v>机电工程学院</v>
      </c>
    </row>
    <row r="4865" ht="13.5" hidden="1" spans="1:5">
      <c r="A4865" s="2" t="str">
        <f>"夏鑫悦"</f>
        <v>夏鑫悦</v>
      </c>
      <c r="B4865" s="2" t="str">
        <f>"B20210601324"</f>
        <v>B20210601324</v>
      </c>
      <c r="C4865" s="2" t="str">
        <f>"女"</f>
        <v>女</v>
      </c>
      <c r="D4865" s="2" t="str">
        <f>"6"</f>
        <v>6</v>
      </c>
      <c r="E4865" s="2" t="str">
        <f>"法学院"</f>
        <v>法学院</v>
      </c>
    </row>
    <row r="4866" ht="13.5" hidden="1" spans="1:5">
      <c r="A4866" s="2" t="str">
        <f>"孙伊彤"</f>
        <v>孙伊彤</v>
      </c>
      <c r="B4866" s="2" t="str">
        <f>"B20220501221"</f>
        <v>B20220501221</v>
      </c>
      <c r="C4866" s="2" t="str">
        <f>"女"</f>
        <v>女</v>
      </c>
      <c r="D4866" s="2" t="str">
        <f>"6"</f>
        <v>6</v>
      </c>
      <c r="E4866" s="2" t="str">
        <f>"生物与化学工程学院"</f>
        <v>生物与化学工程学院</v>
      </c>
    </row>
    <row r="4867" ht="13.5" hidden="1" spans="1:5">
      <c r="A4867" s="2" t="str">
        <f>"欧颖"</f>
        <v>欧颖</v>
      </c>
      <c r="B4867" s="2" t="str">
        <f>"B20210102214"</f>
        <v>B20210102214</v>
      </c>
      <c r="C4867" s="2" t="str">
        <f>"男"</f>
        <v>男</v>
      </c>
      <c r="D4867" s="2" t="str">
        <f>"6"</f>
        <v>6</v>
      </c>
      <c r="E4867" s="2" t="str">
        <f>"土木工程学院"</f>
        <v>土木工程学院</v>
      </c>
    </row>
    <row r="4868" ht="13.5" hidden="1" spans="1:5">
      <c r="A4868" s="2" t="str">
        <f>"周昊玥"</f>
        <v>周昊玥</v>
      </c>
      <c r="B4868" s="2" t="str">
        <f>"B20220103212"</f>
        <v>B20220103212</v>
      </c>
      <c r="C4868" s="2" t="str">
        <f>"男"</f>
        <v>男</v>
      </c>
      <c r="D4868" s="2" t="str">
        <f>"6"</f>
        <v>6</v>
      </c>
      <c r="E4868" s="2" t="str">
        <f>"土木工程学院"</f>
        <v>土木工程学院</v>
      </c>
    </row>
    <row r="4869" ht="13.5" hidden="1" spans="1:5">
      <c r="A4869" s="2" t="str">
        <f>"任司昱"</f>
        <v>任司昱</v>
      </c>
      <c r="B4869" s="2" t="str">
        <f>"B20220803115"</f>
        <v>B20220803115</v>
      </c>
      <c r="C4869" s="2" t="str">
        <f>"女"</f>
        <v>女</v>
      </c>
      <c r="D4869" s="2" t="str">
        <f>"6"</f>
        <v>6</v>
      </c>
      <c r="E4869" s="2" t="str">
        <f>"外国语学院"</f>
        <v>外国语学院</v>
      </c>
    </row>
    <row r="4870" ht="13.5" hidden="1" spans="1:5">
      <c r="A4870" s="2" t="str">
        <f>"吴嘉旋"</f>
        <v>吴嘉旋</v>
      </c>
      <c r="B4870" s="2" t="str">
        <f>"B20231111121"</f>
        <v>B20231111121</v>
      </c>
      <c r="C4870" s="2" t="str">
        <f>"女"</f>
        <v>女</v>
      </c>
      <c r="D4870" s="2" t="str">
        <f>"6"</f>
        <v>6</v>
      </c>
      <c r="E4870" s="2" t="str">
        <f>"音乐学院"</f>
        <v>音乐学院</v>
      </c>
    </row>
    <row r="4871" ht="13.5" hidden="1" spans="1:5">
      <c r="A4871" s="2" t="str">
        <f>"王靖"</f>
        <v>王靖</v>
      </c>
      <c r="B4871" s="2" t="str">
        <f>"B20210201119"</f>
        <v>B20210201119</v>
      </c>
      <c r="C4871" s="2" t="str">
        <f t="shared" ref="C4871:C4877" si="1274">"男"</f>
        <v>男</v>
      </c>
      <c r="D4871" s="2" t="str">
        <f>"6"</f>
        <v>6</v>
      </c>
      <c r="E4871" s="2" t="str">
        <f>"机电工程学院"</f>
        <v>机电工程学院</v>
      </c>
    </row>
    <row r="4872" ht="13.5" hidden="1" spans="1:5">
      <c r="A4872" s="2" t="str">
        <f>"成日煌"</f>
        <v>成日煌</v>
      </c>
      <c r="B4872" s="2" t="str">
        <f>"B20210801404"</f>
        <v>B20210801404</v>
      </c>
      <c r="C4872" s="2" t="str">
        <f t="shared" si="1274"/>
        <v>男</v>
      </c>
      <c r="D4872" s="2" t="str">
        <f>"6"</f>
        <v>6</v>
      </c>
      <c r="E4872" s="2" t="str">
        <f>"外国语学院"</f>
        <v>外国语学院</v>
      </c>
    </row>
    <row r="4873" ht="13.5" hidden="1" spans="1:5">
      <c r="A4873" s="2" t="str">
        <f>"唐玉娇"</f>
        <v>唐玉娇</v>
      </c>
      <c r="B4873" s="2" t="str">
        <f>"B20220402201"</f>
        <v>B20220402201</v>
      </c>
      <c r="C4873" s="2" t="str">
        <f t="shared" ref="C4873:C4875" si="1275">"女"</f>
        <v>女</v>
      </c>
      <c r="D4873" s="2" t="str">
        <f>"6"</f>
        <v>6</v>
      </c>
      <c r="E4873" s="2" t="str">
        <f>"电子信息与电气工程学院"</f>
        <v>电子信息与电气工程学院</v>
      </c>
    </row>
    <row r="4874" ht="13.5" hidden="1" spans="1:5">
      <c r="A4874" s="2" t="str">
        <f>"史慧歌"</f>
        <v>史慧歌</v>
      </c>
      <c r="B4874" s="2" t="str">
        <f>"B20210502234"</f>
        <v>B20210502234</v>
      </c>
      <c r="C4874" s="2" t="str">
        <f t="shared" si="1275"/>
        <v>女</v>
      </c>
      <c r="D4874" s="2" t="str">
        <f>"6"</f>
        <v>6</v>
      </c>
      <c r="E4874" s="2" t="str">
        <f>"生物与化学工程学院"</f>
        <v>生物与化学工程学院</v>
      </c>
    </row>
    <row r="4875" ht="13.5" hidden="1" spans="1:5">
      <c r="A4875" s="2" t="str">
        <f>"彭可心"</f>
        <v>彭可心</v>
      </c>
      <c r="B4875" s="2" t="str">
        <f>"B20230902224"</f>
        <v>B20230902224</v>
      </c>
      <c r="C4875" s="2" t="str">
        <f t="shared" si="1275"/>
        <v>女</v>
      </c>
      <c r="D4875" s="2" t="str">
        <f>"6"</f>
        <v>6</v>
      </c>
      <c r="E4875" s="2" t="str">
        <f>"经济与管理学院"</f>
        <v>经济与管理学院</v>
      </c>
    </row>
    <row r="4876" ht="13.5" hidden="1" spans="1:5">
      <c r="A4876" s="2" t="str">
        <f>"陆代念"</f>
        <v>陆代念</v>
      </c>
      <c r="B4876" s="2" t="str">
        <f>"B20231401122"</f>
        <v>B20231401122</v>
      </c>
      <c r="C4876" s="2" t="str">
        <f t="shared" si="1274"/>
        <v>男</v>
      </c>
      <c r="D4876" s="2" t="str">
        <f>"6"</f>
        <v>6</v>
      </c>
      <c r="E4876" s="2" t="str">
        <f>"马克思主义学院"</f>
        <v>马克思主义学院</v>
      </c>
    </row>
    <row r="4877" ht="13.5" hidden="1" spans="1:5">
      <c r="A4877" s="2" t="str">
        <f>"杨志豪"</f>
        <v>杨志豪</v>
      </c>
      <c r="B4877" s="2" t="str">
        <f>"B20210101208"</f>
        <v>B20210101208</v>
      </c>
      <c r="C4877" s="2" t="str">
        <f t="shared" si="1274"/>
        <v>男</v>
      </c>
      <c r="D4877" s="2" t="str">
        <f>"6"</f>
        <v>6</v>
      </c>
      <c r="E4877" s="2" t="str">
        <f>"土木工程学院"</f>
        <v>土木工程学院</v>
      </c>
    </row>
    <row r="4878" ht="13.5" hidden="1" spans="1:5">
      <c r="A4878" s="2" t="str">
        <f>"周伊瑞"</f>
        <v>周伊瑞</v>
      </c>
      <c r="B4878" s="2" t="str">
        <f>"B20220702320"</f>
        <v>B20220702320</v>
      </c>
      <c r="C4878" s="2" t="str">
        <f t="shared" ref="C4878:C4881" si="1276">"女"</f>
        <v>女</v>
      </c>
      <c r="D4878" s="2" t="str">
        <f>"6"</f>
        <v>6</v>
      </c>
      <c r="E4878" s="2" t="str">
        <f>"马栏山新媒体学院"</f>
        <v>马栏山新媒体学院</v>
      </c>
    </row>
    <row r="4879" ht="13.5" hidden="1" spans="1:5">
      <c r="A4879" s="2" t="str">
        <f>"张怡韦"</f>
        <v>张怡韦</v>
      </c>
      <c r="B4879" s="2" t="str">
        <f>"B20220803230"</f>
        <v>B20220803230</v>
      </c>
      <c r="C4879" s="2" t="str">
        <f t="shared" si="1276"/>
        <v>女</v>
      </c>
      <c r="D4879" s="2" t="str">
        <f>"6"</f>
        <v>6</v>
      </c>
      <c r="E4879" s="2" t="str">
        <f>"外国语学院"</f>
        <v>外国语学院</v>
      </c>
    </row>
    <row r="4880" ht="13.5" hidden="1" spans="1:5">
      <c r="A4880" s="2" t="str">
        <f>"曾发亮"</f>
        <v>曾发亮</v>
      </c>
      <c r="B4880" s="2" t="str">
        <f>"B20210504110"</f>
        <v>B20210504110</v>
      </c>
      <c r="C4880" s="2" t="str">
        <f t="shared" ref="C4880:C4885" si="1277">"男"</f>
        <v>男</v>
      </c>
      <c r="D4880" s="2" t="str">
        <f>"6"</f>
        <v>6</v>
      </c>
      <c r="E4880" s="2" t="str">
        <f>"生物与化学工程学院"</f>
        <v>生物与化学工程学院</v>
      </c>
    </row>
    <row r="4881" ht="13.5" hidden="1" spans="1:5">
      <c r="A4881" s="2" t="str">
        <f>"李佳欣"</f>
        <v>李佳欣</v>
      </c>
      <c r="B4881" s="2" t="str">
        <f>"B20201001214"</f>
        <v>B20201001214</v>
      </c>
      <c r="C4881" s="2" t="str">
        <f t="shared" si="1276"/>
        <v>女</v>
      </c>
      <c r="D4881" s="2" t="str">
        <f>"6"</f>
        <v>6</v>
      </c>
      <c r="E4881" s="2" t="str">
        <f>"艺术设计学院"</f>
        <v>艺术设计学院</v>
      </c>
    </row>
    <row r="4882" ht="13.5" hidden="1" spans="1:5">
      <c r="A4882" s="2" t="str">
        <f>"段祖旸"</f>
        <v>段祖旸</v>
      </c>
      <c r="B4882" s="2" t="str">
        <f>"B20230101422"</f>
        <v>B20230101422</v>
      </c>
      <c r="C4882" s="2" t="str">
        <f t="shared" si="1277"/>
        <v>男</v>
      </c>
      <c r="D4882" s="2" t="str">
        <f>"6"</f>
        <v>6</v>
      </c>
      <c r="E4882" s="2" t="str">
        <f>"土木工程学院"</f>
        <v>土木工程学院</v>
      </c>
    </row>
    <row r="4883" ht="13.5" hidden="1" spans="1:5">
      <c r="A4883" s="2" t="str">
        <f>"于昊"</f>
        <v>于昊</v>
      </c>
      <c r="B4883" s="2" t="str">
        <f>"B20220801202"</f>
        <v>B20220801202</v>
      </c>
      <c r="C4883" s="2" t="str">
        <f>"女"</f>
        <v>女</v>
      </c>
      <c r="D4883" s="2" t="str">
        <f>"6"</f>
        <v>6</v>
      </c>
      <c r="E4883" s="2" t="str">
        <f>"外国语学院"</f>
        <v>外国语学院</v>
      </c>
    </row>
    <row r="4884" ht="13.5" hidden="1" spans="1:5">
      <c r="A4884" s="2" t="str">
        <f>"詹雅妮"</f>
        <v>詹雅妮</v>
      </c>
      <c r="B4884" s="2" t="str">
        <f>"B20231003212"</f>
        <v>B20231003212</v>
      </c>
      <c r="C4884" s="2" t="str">
        <f>"女"</f>
        <v>女</v>
      </c>
      <c r="D4884" s="2" t="str">
        <f>"6"</f>
        <v>6</v>
      </c>
      <c r="E4884" s="2" t="str">
        <f>"艺术设计学院"</f>
        <v>艺术设计学院</v>
      </c>
    </row>
    <row r="4885" ht="13.5" hidden="1" spans="1:5">
      <c r="A4885" s="2" t="str">
        <f>"邓晓东"</f>
        <v>邓晓东</v>
      </c>
      <c r="B4885" s="2" t="str">
        <f>"B20230204107"</f>
        <v>B20230204107</v>
      </c>
      <c r="C4885" s="2" t="str">
        <f t="shared" si="1277"/>
        <v>男</v>
      </c>
      <c r="D4885" s="2" t="str">
        <f>"6"</f>
        <v>6</v>
      </c>
      <c r="E4885" s="2" t="str">
        <f>"机电工程学院"</f>
        <v>机电工程学院</v>
      </c>
    </row>
    <row r="4886" ht="13.5" hidden="1" spans="1:5">
      <c r="A4886" s="2" t="str">
        <f>"解蕴聪"</f>
        <v>解蕴聪</v>
      </c>
      <c r="B4886" s="2" t="str">
        <f>"B20211002211"</f>
        <v>B20211002211</v>
      </c>
      <c r="C4886" s="2" t="str">
        <f>"女"</f>
        <v>女</v>
      </c>
      <c r="D4886" s="2" t="str">
        <f>"6"</f>
        <v>6</v>
      </c>
      <c r="E4886" s="2" t="str">
        <f>"艺术设计学院"</f>
        <v>艺术设计学院</v>
      </c>
    </row>
    <row r="4887" ht="13.5" hidden="1" spans="1:5">
      <c r="A4887" s="2" t="str">
        <f>"唐瀚豪"</f>
        <v>唐瀚豪</v>
      </c>
      <c r="B4887" s="2" t="str">
        <f>"B20210803205"</f>
        <v>B20210803205</v>
      </c>
      <c r="C4887" s="2" t="str">
        <f>"女"</f>
        <v>女</v>
      </c>
      <c r="D4887" s="2" t="str">
        <f>"6"</f>
        <v>6</v>
      </c>
      <c r="E4887" s="2" t="str">
        <f t="shared" ref="E4887:E4890" si="1278">"外国语学院"</f>
        <v>外国语学院</v>
      </c>
    </row>
    <row r="4888" ht="13.5" hidden="1" spans="1:5">
      <c r="A4888" s="2" t="str">
        <f>"蔺淞"</f>
        <v>蔺淞</v>
      </c>
      <c r="B4888" s="2" t="str">
        <f>"B20230801326"</f>
        <v>B20230801326</v>
      </c>
      <c r="C4888" s="2" t="str">
        <f t="shared" ref="C4888:C4896" si="1279">"男"</f>
        <v>男</v>
      </c>
      <c r="D4888" s="2" t="str">
        <f>"6"</f>
        <v>6</v>
      </c>
      <c r="E4888" s="2" t="str">
        <f t="shared" si="1278"/>
        <v>外国语学院</v>
      </c>
    </row>
    <row r="4889" ht="13.5" hidden="1" spans="1:5">
      <c r="A4889" s="2" t="str">
        <f>"张俊杰"</f>
        <v>张俊杰</v>
      </c>
      <c r="B4889" s="2" t="str">
        <f>"B20200403110"</f>
        <v>B20200403110</v>
      </c>
      <c r="C4889" s="2" t="str">
        <f t="shared" si="1279"/>
        <v>男</v>
      </c>
      <c r="D4889" s="2" t="str">
        <f>"6"</f>
        <v>6</v>
      </c>
      <c r="E4889" s="2" t="str">
        <f t="shared" ref="E4889:E4893" si="1280">"电子信息与电气工程学院"</f>
        <v>电子信息与电气工程学院</v>
      </c>
    </row>
    <row r="4890" ht="13.5" hidden="1" spans="1:5">
      <c r="A4890" s="2" t="str">
        <f>"朱一鸣"</f>
        <v>朱一鸣</v>
      </c>
      <c r="B4890" s="2" t="str">
        <f>"B20210801418"</f>
        <v>B20210801418</v>
      </c>
      <c r="C4890" s="2" t="str">
        <f>"女"</f>
        <v>女</v>
      </c>
      <c r="D4890" s="2" t="str">
        <f>"6"</f>
        <v>6</v>
      </c>
      <c r="E4890" s="2" t="str">
        <f t="shared" si="1278"/>
        <v>外国语学院</v>
      </c>
    </row>
    <row r="4891" ht="13.5" hidden="1" spans="1:5">
      <c r="A4891" s="2" t="str">
        <f>"刘伟涛"</f>
        <v>刘伟涛</v>
      </c>
      <c r="B4891" s="2" t="str">
        <f>"B20231101105"</f>
        <v>B20231101105</v>
      </c>
      <c r="C4891" s="2" t="str">
        <f t="shared" si="1279"/>
        <v>男</v>
      </c>
      <c r="D4891" s="2" t="str">
        <f>"6"</f>
        <v>6</v>
      </c>
      <c r="E4891" s="2" t="str">
        <f>"音乐学院"</f>
        <v>音乐学院</v>
      </c>
    </row>
    <row r="4892" ht="13.5" hidden="1" spans="1:5">
      <c r="A4892" s="2" t="str">
        <f>"孙海龙"</f>
        <v>孙海龙</v>
      </c>
      <c r="B4892" s="2" t="str">
        <f>"B20210401429"</f>
        <v>B20210401429</v>
      </c>
      <c r="C4892" s="2" t="str">
        <f t="shared" si="1279"/>
        <v>男</v>
      </c>
      <c r="D4892" s="2" t="str">
        <f>"6"</f>
        <v>6</v>
      </c>
      <c r="E4892" s="2" t="str">
        <f t="shared" si="1280"/>
        <v>电子信息与电气工程学院</v>
      </c>
    </row>
    <row r="4893" ht="13.5" hidden="1" spans="1:5">
      <c r="A4893" s="2" t="str">
        <f>"周敬瑜"</f>
        <v>周敬瑜</v>
      </c>
      <c r="B4893" s="2" t="str">
        <f>"B20220404214"</f>
        <v>B20220404214</v>
      </c>
      <c r="C4893" s="2" t="str">
        <f t="shared" si="1279"/>
        <v>男</v>
      </c>
      <c r="D4893" s="2" t="str">
        <f>"6"</f>
        <v>6</v>
      </c>
      <c r="E4893" s="2" t="str">
        <f t="shared" si="1280"/>
        <v>电子信息与电气工程学院</v>
      </c>
    </row>
    <row r="4894" ht="13.5" hidden="1" spans="1:5">
      <c r="A4894" s="2" t="str">
        <f>"文俊康"</f>
        <v>文俊康</v>
      </c>
      <c r="B4894" s="2" t="str">
        <f>"B20230202216"</f>
        <v>B20230202216</v>
      </c>
      <c r="C4894" s="2" t="str">
        <f t="shared" si="1279"/>
        <v>男</v>
      </c>
      <c r="D4894" s="2" t="str">
        <f>"6"</f>
        <v>6</v>
      </c>
      <c r="E4894" s="2" t="str">
        <f>"机电工程学院"</f>
        <v>机电工程学院</v>
      </c>
    </row>
    <row r="4895" ht="13.5" hidden="1" spans="1:5">
      <c r="A4895" s="2" t="str">
        <f>"李昊伦"</f>
        <v>李昊伦</v>
      </c>
      <c r="B4895" s="2" t="str">
        <f>"B20220201215"</f>
        <v>B20220201215</v>
      </c>
      <c r="C4895" s="2" t="str">
        <f t="shared" si="1279"/>
        <v>男</v>
      </c>
      <c r="D4895" s="2" t="str">
        <f>"6"</f>
        <v>6</v>
      </c>
      <c r="E4895" s="2" t="str">
        <f>"机电工程学院"</f>
        <v>机电工程学院</v>
      </c>
    </row>
    <row r="4896" ht="13.5" hidden="1" spans="1:5">
      <c r="A4896" s="2" t="str">
        <f>"徐阳光"</f>
        <v>徐阳光</v>
      </c>
      <c r="B4896" s="2" t="str">
        <f>"B20210103117"</f>
        <v>B20210103117</v>
      </c>
      <c r="C4896" s="2" t="str">
        <f t="shared" si="1279"/>
        <v>男</v>
      </c>
      <c r="D4896" s="2" t="str">
        <f>"6"</f>
        <v>6</v>
      </c>
      <c r="E4896" s="2" t="str">
        <f>"土木工程学院"</f>
        <v>土木工程学院</v>
      </c>
    </row>
    <row r="4897" ht="13.5" hidden="1" spans="1:5">
      <c r="A4897" s="2" t="str">
        <f>"李佳妮"</f>
        <v>李佳妮</v>
      </c>
      <c r="B4897" s="2" t="str">
        <f>"B20230801316"</f>
        <v>B20230801316</v>
      </c>
      <c r="C4897" s="2" t="str">
        <f t="shared" ref="C4897:C4900" si="1281">"女"</f>
        <v>女</v>
      </c>
      <c r="D4897" s="2" t="str">
        <f>"6"</f>
        <v>6</v>
      </c>
      <c r="E4897" s="2" t="str">
        <f>"外国语学院"</f>
        <v>外国语学院</v>
      </c>
    </row>
    <row r="4898" ht="13.5" hidden="1" spans="1:5">
      <c r="A4898" s="2" t="str">
        <f>"贺东璇"</f>
        <v>贺东璇</v>
      </c>
      <c r="B4898" s="2" t="str">
        <f>"B20210902235"</f>
        <v>B20210902235</v>
      </c>
      <c r="C4898" s="2" t="str">
        <f t="shared" si="1281"/>
        <v>女</v>
      </c>
      <c r="D4898" s="2" t="str">
        <f>"6"</f>
        <v>6</v>
      </c>
      <c r="E4898" s="2" t="str">
        <f>"经济与管理学院"</f>
        <v>经济与管理学院</v>
      </c>
    </row>
    <row r="4899" ht="13.5" hidden="1" spans="1:5">
      <c r="A4899" s="2" t="str">
        <f>"谭晓峰"</f>
        <v>谭晓峰</v>
      </c>
      <c r="B4899" s="2" t="str">
        <f>"B20200101602"</f>
        <v>B20200101602</v>
      </c>
      <c r="C4899" s="2" t="str">
        <f>"男"</f>
        <v>男</v>
      </c>
      <c r="D4899" s="2" t="str">
        <f>"6"</f>
        <v>6</v>
      </c>
      <c r="E4899" s="2" t="str">
        <f>"土木工程学院"</f>
        <v>土木工程学院</v>
      </c>
    </row>
    <row r="4900" ht="13.5" hidden="1" spans="1:5">
      <c r="A4900" s="2" t="str">
        <f>"朱艳"</f>
        <v>朱艳</v>
      </c>
      <c r="B4900" s="2" t="str">
        <f>"B20220702219"</f>
        <v>B20220702219</v>
      </c>
      <c r="C4900" s="2" t="str">
        <f t="shared" si="1281"/>
        <v>女</v>
      </c>
      <c r="D4900" s="2" t="str">
        <f>"6"</f>
        <v>6</v>
      </c>
      <c r="E4900" s="2" t="str">
        <f>"马栏山新媒体学院"</f>
        <v>马栏山新媒体学院</v>
      </c>
    </row>
    <row r="4901" ht="13.5" hidden="1" spans="1:5">
      <c r="A4901" s="2" t="str">
        <f>"汪恒远"</f>
        <v>汪恒远</v>
      </c>
      <c r="B4901" s="2" t="str">
        <f>"B20230703209"</f>
        <v>B20230703209</v>
      </c>
      <c r="C4901" s="2" t="str">
        <f>"男"</f>
        <v>男</v>
      </c>
      <c r="D4901" s="2" t="str">
        <f>"6"</f>
        <v>6</v>
      </c>
      <c r="E4901" s="2" t="str">
        <f>"马栏山新媒体学院"</f>
        <v>马栏山新媒体学院</v>
      </c>
    </row>
    <row r="4902" ht="13.5" hidden="1" spans="1:5">
      <c r="A4902" s="2" t="str">
        <f>"祝佳豪"</f>
        <v>祝佳豪</v>
      </c>
      <c r="B4902" s="2" t="str">
        <f>"B20230803104"</f>
        <v>B20230803104</v>
      </c>
      <c r="C4902" s="2" t="str">
        <f>"男"</f>
        <v>男</v>
      </c>
      <c r="D4902" s="2" t="str">
        <f>"6"</f>
        <v>6</v>
      </c>
      <c r="E4902" s="2" t="str">
        <f>"外国语学院"</f>
        <v>外国语学院</v>
      </c>
    </row>
    <row r="4903" ht="13.5" hidden="1" spans="1:5">
      <c r="A4903" s="2" t="str">
        <f>"何婧"</f>
        <v>何婧</v>
      </c>
      <c r="B4903" s="2" t="str">
        <f>"B20210903130"</f>
        <v>B20210903130</v>
      </c>
      <c r="C4903" s="2" t="str">
        <f t="shared" ref="C4903:C4906" si="1282">"女"</f>
        <v>女</v>
      </c>
      <c r="D4903" s="2" t="str">
        <f t="shared" ref="D4903:D4918" si="1283">"6"</f>
        <v>6</v>
      </c>
      <c r="E4903" s="2" t="str">
        <f t="shared" ref="E4903:E4908" si="1284">"经济与管理学院"</f>
        <v>经济与管理学院</v>
      </c>
    </row>
    <row r="4904" ht="13.5" hidden="1" spans="1:5">
      <c r="A4904" s="2" t="str">
        <f>"洪清泽"</f>
        <v>洪清泽</v>
      </c>
      <c r="B4904" s="2" t="str">
        <f>"B20220802132"</f>
        <v>B20220802132</v>
      </c>
      <c r="C4904" s="2" t="str">
        <f t="shared" ref="C4904:C4908" si="1285">"男"</f>
        <v>男</v>
      </c>
      <c r="D4904" s="2" t="str">
        <f t="shared" si="1283"/>
        <v>6</v>
      </c>
      <c r="E4904" s="2" t="str">
        <f>"外国语学院"</f>
        <v>外国语学院</v>
      </c>
    </row>
    <row r="4905" ht="13.5" hidden="1" spans="1:5">
      <c r="A4905" s="2" t="str">
        <f>"王雪"</f>
        <v>王雪</v>
      </c>
      <c r="B4905" s="2" t="str">
        <f>"B20230405116"</f>
        <v>B20230405116</v>
      </c>
      <c r="C4905" s="2" t="str">
        <f t="shared" si="1282"/>
        <v>女</v>
      </c>
      <c r="D4905" s="2" t="str">
        <f t="shared" si="1283"/>
        <v>6</v>
      </c>
      <c r="E4905" s="2" t="str">
        <f>"电子信息与电气工程学院"</f>
        <v>电子信息与电气工程学院</v>
      </c>
    </row>
    <row r="4906" ht="13.5" hidden="1" spans="1:5">
      <c r="A4906" s="2" t="str">
        <f>"胡海燕"</f>
        <v>胡海燕</v>
      </c>
      <c r="B4906" s="2" t="str">
        <f>"B20220904130"</f>
        <v>B20220904130</v>
      </c>
      <c r="C4906" s="2" t="str">
        <f t="shared" si="1282"/>
        <v>女</v>
      </c>
      <c r="D4906" s="2" t="str">
        <f t="shared" si="1283"/>
        <v>6</v>
      </c>
      <c r="E4906" s="2" t="str">
        <f t="shared" si="1284"/>
        <v>经济与管理学院</v>
      </c>
    </row>
    <row r="4907" ht="13.5" hidden="1" spans="1:5">
      <c r="A4907" s="2" t="str">
        <f>"张梽威"</f>
        <v>张梽威</v>
      </c>
      <c r="B4907" s="2" t="str">
        <f>"B20230102202"</f>
        <v>B20230102202</v>
      </c>
      <c r="C4907" s="2" t="str">
        <f t="shared" si="1285"/>
        <v>男</v>
      </c>
      <c r="D4907" s="2" t="str">
        <f t="shared" si="1283"/>
        <v>6</v>
      </c>
      <c r="E4907" s="2" t="str">
        <f>"土木工程学院"</f>
        <v>土木工程学院</v>
      </c>
    </row>
    <row r="4908" ht="13.5" hidden="1" spans="1:5">
      <c r="A4908" s="2" t="str">
        <f>"邓卓林"</f>
        <v>邓卓林</v>
      </c>
      <c r="B4908" s="2" t="str">
        <f>"B20200906227"</f>
        <v>B20200906227</v>
      </c>
      <c r="C4908" s="2" t="str">
        <f t="shared" si="1285"/>
        <v>男</v>
      </c>
      <c r="D4908" s="2" t="str">
        <f t="shared" si="1283"/>
        <v>6</v>
      </c>
      <c r="E4908" s="2" t="str">
        <f t="shared" si="1284"/>
        <v>经济与管理学院</v>
      </c>
    </row>
    <row r="4909" ht="13.5" hidden="1" spans="1:5">
      <c r="A4909" s="2" t="str">
        <f>"黄程伊"</f>
        <v>黄程伊</v>
      </c>
      <c r="B4909" s="2" t="str">
        <f>"B20230801425"</f>
        <v>B20230801425</v>
      </c>
      <c r="C4909" s="2" t="str">
        <f>"女"</f>
        <v>女</v>
      </c>
      <c r="D4909" s="2" t="str">
        <f t="shared" si="1283"/>
        <v>6</v>
      </c>
      <c r="E4909" s="2" t="str">
        <f>"外国语学院"</f>
        <v>外国语学院</v>
      </c>
    </row>
    <row r="4910" ht="13.5" hidden="1" spans="1:5">
      <c r="A4910" s="2" t="str">
        <f>"曹森涛"</f>
        <v>曹森涛</v>
      </c>
      <c r="B4910" s="2" t="str">
        <f>"B20220202411"</f>
        <v>B20220202411</v>
      </c>
      <c r="C4910" s="2" t="str">
        <f t="shared" ref="C4910:C4914" si="1286">"男"</f>
        <v>男</v>
      </c>
      <c r="D4910" s="2" t="str">
        <f t="shared" si="1283"/>
        <v>6</v>
      </c>
      <c r="E4910" s="2" t="str">
        <f>"机电工程学院"</f>
        <v>机电工程学院</v>
      </c>
    </row>
    <row r="4911" ht="13.5" hidden="1" spans="1:5">
      <c r="A4911" s="2" t="str">
        <f>"邹家旭"</f>
        <v>邹家旭</v>
      </c>
      <c r="B4911" s="2" t="str">
        <f>"B20230403116"</f>
        <v>B20230403116</v>
      </c>
      <c r="C4911" s="2" t="str">
        <f t="shared" si="1286"/>
        <v>男</v>
      </c>
      <c r="D4911" s="2" t="str">
        <f t="shared" si="1283"/>
        <v>6</v>
      </c>
      <c r="E4911" s="2" t="str">
        <f>"电子信息与电气工程学院"</f>
        <v>电子信息与电气工程学院</v>
      </c>
    </row>
    <row r="4912" ht="13.5" hidden="1" spans="1:5">
      <c r="A4912" s="2" t="str">
        <f>"李家琪"</f>
        <v>李家琪</v>
      </c>
      <c r="B4912" s="2" t="str">
        <f>"B20210702215"</f>
        <v>B20210702215</v>
      </c>
      <c r="C4912" s="2" t="str">
        <f t="shared" ref="C4912:C4916" si="1287">"女"</f>
        <v>女</v>
      </c>
      <c r="D4912" s="2" t="str">
        <f t="shared" si="1283"/>
        <v>6</v>
      </c>
      <c r="E4912" s="2" t="str">
        <f>"马栏山新媒体学院"</f>
        <v>马栏山新媒体学院</v>
      </c>
    </row>
    <row r="4913" ht="13.5" hidden="1" spans="1:5">
      <c r="A4913" s="2" t="str">
        <f>"江志鹏"</f>
        <v>江志鹏</v>
      </c>
      <c r="B4913" s="2" t="str">
        <f>"B20210204108"</f>
        <v>B20210204108</v>
      </c>
      <c r="C4913" s="2" t="str">
        <f t="shared" si="1286"/>
        <v>男</v>
      </c>
      <c r="D4913" s="2" t="str">
        <f t="shared" si="1283"/>
        <v>6</v>
      </c>
      <c r="E4913" s="2" t="str">
        <f t="shared" ref="E4913:E4918" si="1288">"机电工程学院"</f>
        <v>机电工程学院</v>
      </c>
    </row>
    <row r="4914" ht="13.5" hidden="1" spans="1:5">
      <c r="A4914" s="2" t="str">
        <f>"段奇"</f>
        <v>段奇</v>
      </c>
      <c r="B4914" s="2" t="str">
        <f>"B20220403220"</f>
        <v>B20220403220</v>
      </c>
      <c r="C4914" s="2" t="str">
        <f t="shared" si="1286"/>
        <v>男</v>
      </c>
      <c r="D4914" s="2" t="str">
        <f t="shared" si="1283"/>
        <v>6</v>
      </c>
      <c r="E4914" s="2" t="str">
        <f>"电子信息与电气工程学院"</f>
        <v>电子信息与电气工程学院</v>
      </c>
    </row>
    <row r="4915" ht="13.5" hidden="1" spans="1:5">
      <c r="A4915" s="2" t="str">
        <f>"邓树玲"</f>
        <v>邓树玲</v>
      </c>
      <c r="B4915" s="2" t="str">
        <f>"B20230901225"</f>
        <v>B20230901225</v>
      </c>
      <c r="C4915" s="2" t="str">
        <f t="shared" si="1287"/>
        <v>女</v>
      </c>
      <c r="D4915" s="2" t="str">
        <f t="shared" si="1283"/>
        <v>6</v>
      </c>
      <c r="E4915" s="2" t="str">
        <f>"经济与管理学院"</f>
        <v>经济与管理学院</v>
      </c>
    </row>
    <row r="4916" ht="13.5" hidden="1" spans="1:5">
      <c r="A4916" s="2" t="str">
        <f>"覃琴"</f>
        <v>覃琴</v>
      </c>
      <c r="B4916" s="2" t="str">
        <f>"B20220902101"</f>
        <v>B20220902101</v>
      </c>
      <c r="C4916" s="2" t="str">
        <f t="shared" si="1287"/>
        <v>女</v>
      </c>
      <c r="D4916" s="2" t="str">
        <f t="shared" si="1283"/>
        <v>6</v>
      </c>
      <c r="E4916" s="2" t="str">
        <f>"经济与管理学院"</f>
        <v>经济与管理学院</v>
      </c>
    </row>
    <row r="4917" ht="13.5" hidden="1" spans="1:5">
      <c r="A4917" s="2" t="str">
        <f>"李嘉琪"</f>
        <v>李嘉琪</v>
      </c>
      <c r="B4917" s="2" t="str">
        <f>"B20200203213"</f>
        <v>B20200203213</v>
      </c>
      <c r="C4917" s="2" t="str">
        <f>"男"</f>
        <v>男</v>
      </c>
      <c r="D4917" s="2" t="str">
        <f t="shared" si="1283"/>
        <v>6</v>
      </c>
      <c r="E4917" s="2" t="str">
        <f t="shared" si="1288"/>
        <v>机电工程学院</v>
      </c>
    </row>
    <row r="4918" ht="13.5" hidden="1" spans="1:5">
      <c r="A4918" s="2" t="str">
        <f>"刘张凯"</f>
        <v>刘张凯</v>
      </c>
      <c r="B4918" s="2" t="str">
        <f>"B20230204112"</f>
        <v>B20230204112</v>
      </c>
      <c r="C4918" s="2" t="str">
        <f>"男"</f>
        <v>男</v>
      </c>
      <c r="D4918" s="2" t="str">
        <f t="shared" si="1283"/>
        <v>6</v>
      </c>
      <c r="E4918" s="2" t="str">
        <f t="shared" si="1288"/>
        <v>机电工程学院</v>
      </c>
    </row>
    <row r="4919" ht="13.5" hidden="1" spans="1:5">
      <c r="A4919" s="2" t="str">
        <f>"杨智钱"</f>
        <v>杨智钱</v>
      </c>
      <c r="B4919" s="2" t="str">
        <f>"B20210401206"</f>
        <v>B20210401206</v>
      </c>
      <c r="C4919" s="2" t="str">
        <f>"男"</f>
        <v>男</v>
      </c>
      <c r="D4919" s="2" t="str">
        <f>"6"</f>
        <v>6</v>
      </c>
      <c r="E4919" s="2" t="str">
        <f>"电子信息与电气工程学院"</f>
        <v>电子信息与电气工程学院</v>
      </c>
    </row>
    <row r="4920" ht="13.5" hidden="1" spans="1:5">
      <c r="A4920" s="2" t="str">
        <f>"盛博文"</f>
        <v>盛博文</v>
      </c>
      <c r="B4920" s="2" t="str">
        <f>"B20230103212"</f>
        <v>B20230103212</v>
      </c>
      <c r="C4920" s="2" t="str">
        <f>"男"</f>
        <v>男</v>
      </c>
      <c r="D4920" s="2" t="str">
        <f>"6"</f>
        <v>6</v>
      </c>
      <c r="E4920" s="2" t="str">
        <f>"土木工程学院"</f>
        <v>土木工程学院</v>
      </c>
    </row>
    <row r="4921" ht="13.5" hidden="1" spans="1:5">
      <c r="A4921" s="2" t="str">
        <f>"胡心珂"</f>
        <v>胡心珂</v>
      </c>
      <c r="B4921" s="2" t="str">
        <f>"B20230601223"</f>
        <v>B20230601223</v>
      </c>
      <c r="C4921" s="2" t="str">
        <f>"女"</f>
        <v>女</v>
      </c>
      <c r="D4921" s="2" t="str">
        <f>"6"</f>
        <v>6</v>
      </c>
      <c r="E4921" s="2" t="str">
        <f>"法学院"</f>
        <v>法学院</v>
      </c>
    </row>
    <row r="4922" ht="13.5" hidden="1" spans="1:5">
      <c r="A4922" s="2" t="str">
        <f>"罗茵"</f>
        <v>罗茵</v>
      </c>
      <c r="B4922" s="2" t="str">
        <f>"B20230904205"</f>
        <v>B20230904205</v>
      </c>
      <c r="C4922" s="2" t="str">
        <f>"女"</f>
        <v>女</v>
      </c>
      <c r="D4922" s="2" t="str">
        <f>"6"</f>
        <v>6</v>
      </c>
      <c r="E4922" s="2" t="str">
        <f>"经济与管理学院"</f>
        <v>经济与管理学院</v>
      </c>
    </row>
    <row r="4923" ht="13.5" hidden="1" spans="1:5">
      <c r="A4923" s="2" t="str">
        <f>"王迹"</f>
        <v>王迹</v>
      </c>
      <c r="B4923" s="2" t="str">
        <f>"B20210402304"</f>
        <v>B20210402304</v>
      </c>
      <c r="C4923" s="2" t="str">
        <f>"女"</f>
        <v>女</v>
      </c>
      <c r="D4923" s="2" t="str">
        <f>"6"</f>
        <v>6</v>
      </c>
      <c r="E4923" s="2" t="str">
        <f>"电子信息与电气工程学院"</f>
        <v>电子信息与电气工程学院</v>
      </c>
    </row>
    <row r="4924" ht="13.5" hidden="1" spans="1:5">
      <c r="A4924" s="2" t="str">
        <f>"苏子宇"</f>
        <v>苏子宇</v>
      </c>
      <c r="B4924" s="2" t="str">
        <f>"B20210203206"</f>
        <v>B20210203206</v>
      </c>
      <c r="C4924" s="2" t="str">
        <f>"男"</f>
        <v>男</v>
      </c>
      <c r="D4924" s="2" t="str">
        <f>"6"</f>
        <v>6</v>
      </c>
      <c r="E4924" s="2" t="str">
        <f>"机电工程学院"</f>
        <v>机电工程学院</v>
      </c>
    </row>
    <row r="4925" ht="13.5" hidden="1" spans="1:5">
      <c r="A4925" s="2" t="str">
        <f>"潘茵"</f>
        <v>潘茵</v>
      </c>
      <c r="B4925" s="2" t="str">
        <f>"B20230801420"</f>
        <v>B20230801420</v>
      </c>
      <c r="C4925" s="2" t="str">
        <f t="shared" ref="C4925:C4929" si="1289">"女"</f>
        <v>女</v>
      </c>
      <c r="D4925" s="2" t="str">
        <f>"6"</f>
        <v>6</v>
      </c>
      <c r="E4925" s="2" t="str">
        <f>"外国语学院"</f>
        <v>外国语学院</v>
      </c>
    </row>
    <row r="4926" ht="13.5" hidden="1" spans="1:5">
      <c r="A4926" s="2" t="str">
        <f>"姚文浩"</f>
        <v>姚文浩</v>
      </c>
      <c r="B4926" s="2" t="str">
        <f>"B20230901309"</f>
        <v>B20230901309</v>
      </c>
      <c r="C4926" s="2" t="str">
        <f>"男"</f>
        <v>男</v>
      </c>
      <c r="D4926" s="2" t="str">
        <f>"6"</f>
        <v>6</v>
      </c>
      <c r="E4926" s="2" t="str">
        <f t="shared" ref="E4926:E4931" si="1290">"经济与管理学院"</f>
        <v>经济与管理学院</v>
      </c>
    </row>
    <row r="4927" ht="13.5" hidden="1" spans="1:5">
      <c r="A4927" s="2" t="str">
        <f>"高尚荣"</f>
        <v>高尚荣</v>
      </c>
      <c r="B4927" s="2" t="str">
        <f>"B20210201325"</f>
        <v>B20210201325</v>
      </c>
      <c r="C4927" s="2" t="str">
        <f>"男"</f>
        <v>男</v>
      </c>
      <c r="D4927" s="2" t="str">
        <f>"6"</f>
        <v>6</v>
      </c>
      <c r="E4927" s="2" t="str">
        <f>"机电工程学院"</f>
        <v>机电工程学院</v>
      </c>
    </row>
    <row r="4928" ht="13.5" hidden="1" spans="1:5">
      <c r="A4928" s="2" t="str">
        <f>"张涵"</f>
        <v>张涵</v>
      </c>
      <c r="B4928" s="2" t="str">
        <f>"B20231001414"</f>
        <v>B20231001414</v>
      </c>
      <c r="C4928" s="2" t="str">
        <f t="shared" si="1289"/>
        <v>女</v>
      </c>
      <c r="D4928" s="2" t="str">
        <f>"6"</f>
        <v>6</v>
      </c>
      <c r="E4928" s="2" t="str">
        <f>"艺术设计学院"</f>
        <v>艺术设计学院</v>
      </c>
    </row>
    <row r="4929" ht="13.5" hidden="1" spans="1:5">
      <c r="A4929" s="2" t="str">
        <f>"李佳丽"</f>
        <v>李佳丽</v>
      </c>
      <c r="B4929" s="2" t="str">
        <f>"B20210902214"</f>
        <v>B20210902214</v>
      </c>
      <c r="C4929" s="2" t="str">
        <f t="shared" si="1289"/>
        <v>女</v>
      </c>
      <c r="D4929" s="2" t="str">
        <f>"6"</f>
        <v>6</v>
      </c>
      <c r="E4929" s="2" t="str">
        <f t="shared" si="1290"/>
        <v>经济与管理学院</v>
      </c>
    </row>
    <row r="4930" ht="13.5" hidden="1" spans="1:5">
      <c r="A4930" s="2" t="str">
        <f>"任一鸣"</f>
        <v>任一鸣</v>
      </c>
      <c r="B4930" s="2" t="str">
        <f>"B20230401213"</f>
        <v>B20230401213</v>
      </c>
      <c r="C4930" s="2" t="str">
        <f>"男"</f>
        <v>男</v>
      </c>
      <c r="D4930" s="2" t="str">
        <f>"6"</f>
        <v>6</v>
      </c>
      <c r="E4930" s="2" t="str">
        <f>"电子信息与电气工程学院"</f>
        <v>电子信息与电气工程学院</v>
      </c>
    </row>
    <row r="4931" ht="13.5" hidden="1" spans="1:5">
      <c r="A4931" s="2" t="str">
        <f>"温媛"</f>
        <v>温媛</v>
      </c>
      <c r="B4931" s="2" t="str">
        <f>"B20220904201"</f>
        <v>B20220904201</v>
      </c>
      <c r="C4931" s="2" t="str">
        <f>"女"</f>
        <v>女</v>
      </c>
      <c r="D4931" s="2" t="str">
        <f>"6"</f>
        <v>6</v>
      </c>
      <c r="E4931" s="2" t="str">
        <f t="shared" si="1290"/>
        <v>经济与管理学院</v>
      </c>
    </row>
    <row r="4932" ht="13.5" hidden="1" spans="1:5">
      <c r="A4932" s="2" t="str">
        <f>"沈悦"</f>
        <v>沈悦</v>
      </c>
      <c r="B4932" s="2" t="str">
        <f>"B20230803218"</f>
        <v>B20230803218</v>
      </c>
      <c r="C4932" s="2" t="str">
        <f>"女"</f>
        <v>女</v>
      </c>
      <c r="D4932" s="2" t="str">
        <f>"6"</f>
        <v>6</v>
      </c>
      <c r="E4932" s="2" t="str">
        <f t="shared" ref="E4932:E4934" si="1291">"外国语学院"</f>
        <v>外国语学院</v>
      </c>
    </row>
    <row r="4933" ht="13.5" hidden="1" spans="1:5">
      <c r="A4933" s="2" t="str">
        <f>"袁雅婷"</f>
        <v>袁雅婷</v>
      </c>
      <c r="B4933" s="2" t="str">
        <f>"B20230803211"</f>
        <v>B20230803211</v>
      </c>
      <c r="C4933" s="2" t="str">
        <f>"女"</f>
        <v>女</v>
      </c>
      <c r="D4933" s="2" t="str">
        <f>"6"</f>
        <v>6</v>
      </c>
      <c r="E4933" s="2" t="str">
        <f t="shared" si="1291"/>
        <v>外国语学院</v>
      </c>
    </row>
    <row r="4934" ht="13.5" hidden="1" spans="1:5">
      <c r="A4934" s="2" t="str">
        <f>"史晴"</f>
        <v>史晴</v>
      </c>
      <c r="B4934" s="2" t="str">
        <f>"B20210802119"</f>
        <v>B20210802119</v>
      </c>
      <c r="C4934" s="2" t="str">
        <f>"女"</f>
        <v>女</v>
      </c>
      <c r="D4934" s="2" t="str">
        <f>"6"</f>
        <v>6</v>
      </c>
      <c r="E4934" s="2" t="str">
        <f t="shared" si="1291"/>
        <v>外国语学院</v>
      </c>
    </row>
    <row r="4935" ht="13.5" hidden="1" spans="1:5">
      <c r="A4935" s="2" t="str">
        <f>"刘玫萱"</f>
        <v>刘玫萱</v>
      </c>
      <c r="B4935" s="2" t="str">
        <f>"B20210906219"</f>
        <v>B20210906219</v>
      </c>
      <c r="C4935" s="2" t="str">
        <f>"女"</f>
        <v>女</v>
      </c>
      <c r="D4935" s="2" t="str">
        <f>"6"</f>
        <v>6</v>
      </c>
      <c r="E4935" s="2" t="str">
        <f t="shared" ref="E4935:E4940" si="1292">"经济与管理学院"</f>
        <v>经济与管理学院</v>
      </c>
    </row>
    <row r="4936" ht="13.5" hidden="1" spans="1:5">
      <c r="A4936" s="2" t="str">
        <f>"何可杰"</f>
        <v>何可杰</v>
      </c>
      <c r="B4936" s="2" t="str">
        <f>"B20230205128"</f>
        <v>B20230205128</v>
      </c>
      <c r="C4936" s="2" t="str">
        <f t="shared" ref="C4936:C4941" si="1293">"男"</f>
        <v>男</v>
      </c>
      <c r="D4936" s="2" t="str">
        <f>"6"</f>
        <v>6</v>
      </c>
      <c r="E4936" s="2" t="str">
        <f>"机电工程学院"</f>
        <v>机电工程学院</v>
      </c>
    </row>
    <row r="4937" ht="13.5" hidden="1" spans="1:5">
      <c r="A4937" s="2" t="str">
        <f>"李燕"</f>
        <v>李燕</v>
      </c>
      <c r="B4937" s="2" t="str">
        <f>"B20230901312"</f>
        <v>B20230901312</v>
      </c>
      <c r="C4937" s="2" t="str">
        <f t="shared" ref="C4937:C4939" si="1294">"女"</f>
        <v>女</v>
      </c>
      <c r="D4937" s="2" t="str">
        <f>"6"</f>
        <v>6</v>
      </c>
      <c r="E4937" s="2" t="str">
        <f t="shared" si="1292"/>
        <v>经济与管理学院</v>
      </c>
    </row>
    <row r="4938" ht="13.5" hidden="1" spans="1:5">
      <c r="A4938" s="2" t="str">
        <f>"胡鸾娇"</f>
        <v>胡鸾娇</v>
      </c>
      <c r="B4938" s="2" t="str">
        <f>"B20220902229"</f>
        <v>B20220902229</v>
      </c>
      <c r="C4938" s="2" t="str">
        <f t="shared" si="1294"/>
        <v>女</v>
      </c>
      <c r="D4938" s="2" t="str">
        <f>"6"</f>
        <v>6</v>
      </c>
      <c r="E4938" s="2" t="str">
        <f t="shared" si="1292"/>
        <v>经济与管理学院</v>
      </c>
    </row>
    <row r="4939" ht="13.5" hidden="1" spans="1:5">
      <c r="A4939" s="2" t="str">
        <f>"汤慧祺"</f>
        <v>汤慧祺</v>
      </c>
      <c r="B4939" s="2" t="str">
        <f>"B20230901116"</f>
        <v>B20230901116</v>
      </c>
      <c r="C4939" s="2" t="str">
        <f t="shared" si="1294"/>
        <v>女</v>
      </c>
      <c r="D4939" s="2" t="str">
        <f>"6"</f>
        <v>6</v>
      </c>
      <c r="E4939" s="2" t="str">
        <f t="shared" si="1292"/>
        <v>经济与管理学院</v>
      </c>
    </row>
    <row r="4940" ht="13.5" hidden="1" spans="1:5">
      <c r="A4940" s="2" t="str">
        <f>"黎子彬"</f>
        <v>黎子彬</v>
      </c>
      <c r="B4940" s="2" t="str">
        <f>"B20210905124"</f>
        <v>B20210905124</v>
      </c>
      <c r="C4940" s="2" t="str">
        <f t="shared" si="1293"/>
        <v>男</v>
      </c>
      <c r="D4940" s="2" t="str">
        <f>"6"</f>
        <v>6</v>
      </c>
      <c r="E4940" s="2" t="str">
        <f t="shared" si="1292"/>
        <v>经济与管理学院</v>
      </c>
    </row>
    <row r="4941" ht="13.5" hidden="1" spans="1:5">
      <c r="A4941" s="2" t="str">
        <f>"梁晟"</f>
        <v>梁晟</v>
      </c>
      <c r="B4941" s="2" t="str">
        <f>"B20210402121"</f>
        <v>B20210402121</v>
      </c>
      <c r="C4941" s="2" t="str">
        <f t="shared" si="1293"/>
        <v>男</v>
      </c>
      <c r="D4941" s="2" t="str">
        <f>"6"</f>
        <v>6</v>
      </c>
      <c r="E4941" s="2" t="str">
        <f>"电子信息与电气工程学院"</f>
        <v>电子信息与电气工程学院</v>
      </c>
    </row>
    <row r="4942" ht="13.5" hidden="1" spans="1:5">
      <c r="A4942" s="2" t="str">
        <f>"赵欣"</f>
        <v>赵欣</v>
      </c>
      <c r="B4942" s="2" t="str">
        <f>"B20220905105"</f>
        <v>B20220905105</v>
      </c>
      <c r="C4942" s="2" t="str">
        <f t="shared" ref="C4942:C4945" si="1295">"女"</f>
        <v>女</v>
      </c>
      <c r="D4942" s="2" t="str">
        <f>"6"</f>
        <v>6</v>
      </c>
      <c r="E4942" s="2" t="str">
        <f>"经济与管理学院"</f>
        <v>经济与管理学院</v>
      </c>
    </row>
    <row r="4943" ht="13.5" hidden="1" spans="1:5">
      <c r="A4943" s="2" t="str">
        <f>"董颖泉"</f>
        <v>董颖泉</v>
      </c>
      <c r="B4943" s="2" t="str">
        <f>"B20200101333"</f>
        <v>B20200101333</v>
      </c>
      <c r="C4943" s="2" t="str">
        <f>"男"</f>
        <v>男</v>
      </c>
      <c r="D4943" s="2" t="str">
        <f>"6"</f>
        <v>6</v>
      </c>
      <c r="E4943" s="2" t="str">
        <f>"土木工程学院"</f>
        <v>土木工程学院</v>
      </c>
    </row>
    <row r="4944" ht="13.5" hidden="1" spans="1:5">
      <c r="A4944" s="2" t="str">
        <f>"李莹莹"</f>
        <v>李莹莹</v>
      </c>
      <c r="B4944" s="2" t="str">
        <f>"B20230904230"</f>
        <v>B20230904230</v>
      </c>
      <c r="C4944" s="2" t="str">
        <f t="shared" si="1295"/>
        <v>女</v>
      </c>
      <c r="D4944" s="2" t="str">
        <f>"6"</f>
        <v>6</v>
      </c>
      <c r="E4944" s="2" t="str">
        <f>"经济与管理学院"</f>
        <v>经济与管理学院</v>
      </c>
    </row>
    <row r="4945" ht="13.5" hidden="1" spans="1:5">
      <c r="A4945" s="2" t="str">
        <f>"李嘉仪"</f>
        <v>李嘉仪</v>
      </c>
      <c r="B4945" s="2" t="str">
        <f>"B20220702210"</f>
        <v>B20220702210</v>
      </c>
      <c r="C4945" s="2" t="str">
        <f t="shared" si="1295"/>
        <v>女</v>
      </c>
      <c r="D4945" s="2" t="str">
        <f>"6"</f>
        <v>6</v>
      </c>
      <c r="E4945" s="2" t="str">
        <f>"马栏山新媒体学院"</f>
        <v>马栏山新媒体学院</v>
      </c>
    </row>
    <row r="4946" ht="13.5" hidden="1" spans="1:5">
      <c r="A4946" s="2" t="str">
        <f>"王生宏"</f>
        <v>王生宏</v>
      </c>
      <c r="B4946" s="2" t="str">
        <f>"B20230202132"</f>
        <v>B20230202132</v>
      </c>
      <c r="C4946" s="2" t="str">
        <f>"男"</f>
        <v>男</v>
      </c>
      <c r="D4946" s="2" t="str">
        <f>"6"</f>
        <v>6</v>
      </c>
      <c r="E4946" s="2" t="str">
        <f>"机电工程学院"</f>
        <v>机电工程学院</v>
      </c>
    </row>
    <row r="4947" ht="13.5" hidden="1" spans="1:5">
      <c r="A4947" s="2" t="str">
        <f>"魏烨"</f>
        <v>魏烨</v>
      </c>
      <c r="B4947" s="2" t="str">
        <f>"B20230601309"</f>
        <v>B20230601309</v>
      </c>
      <c r="C4947" s="2" t="str">
        <f t="shared" ref="C4947:C4950" si="1296">"女"</f>
        <v>女</v>
      </c>
      <c r="D4947" s="2" t="str">
        <f>"6"</f>
        <v>6</v>
      </c>
      <c r="E4947" s="2" t="str">
        <f>"法学院"</f>
        <v>法学院</v>
      </c>
    </row>
    <row r="4948" ht="13.5" hidden="1" spans="1:5">
      <c r="A4948" s="2" t="str">
        <f>"彭丫菲"</f>
        <v>彭丫菲</v>
      </c>
      <c r="B4948" s="2" t="str">
        <f>"B20230601303"</f>
        <v>B20230601303</v>
      </c>
      <c r="C4948" s="2" t="str">
        <f t="shared" si="1296"/>
        <v>女</v>
      </c>
      <c r="D4948" s="2" t="str">
        <f>"6"</f>
        <v>6</v>
      </c>
      <c r="E4948" s="2" t="str">
        <f>"法学院"</f>
        <v>法学院</v>
      </c>
    </row>
    <row r="4949" ht="13.5" hidden="1" spans="1:5">
      <c r="A4949" s="2" t="str">
        <f>"童洁雅"</f>
        <v>童洁雅</v>
      </c>
      <c r="B4949" s="2" t="str">
        <f>"B20220502225"</f>
        <v>B20220502225</v>
      </c>
      <c r="C4949" s="2" t="str">
        <f t="shared" si="1296"/>
        <v>女</v>
      </c>
      <c r="D4949" s="2" t="str">
        <f>"6"</f>
        <v>6</v>
      </c>
      <c r="E4949" s="2" t="str">
        <f>"生物与化学工程学院"</f>
        <v>生物与化学工程学院</v>
      </c>
    </row>
    <row r="4950" ht="13.5" hidden="1" spans="1:5">
      <c r="A4950" s="2" t="str">
        <f>"鲍妍"</f>
        <v>鲍妍</v>
      </c>
      <c r="B4950" s="2" t="str">
        <f>"B20200102232"</f>
        <v>B20200102232</v>
      </c>
      <c r="C4950" s="2" t="str">
        <f t="shared" si="1296"/>
        <v>女</v>
      </c>
      <c r="D4950" s="2" t="str">
        <f>"6"</f>
        <v>6</v>
      </c>
      <c r="E4950" s="2" t="str">
        <f>"土木工程学院"</f>
        <v>土木工程学院</v>
      </c>
    </row>
    <row r="4951" ht="13.5" hidden="1" spans="1:5">
      <c r="A4951" s="2" t="str">
        <f>"刘李奇"</f>
        <v>刘李奇</v>
      </c>
      <c r="B4951" s="2" t="str">
        <f>"B20210201407"</f>
        <v>B20210201407</v>
      </c>
      <c r="C4951" s="2" t="str">
        <f>"男"</f>
        <v>男</v>
      </c>
      <c r="D4951" s="2" t="str">
        <f>"6"</f>
        <v>6</v>
      </c>
      <c r="E4951" s="2" t="str">
        <f>"机电工程学院"</f>
        <v>机电工程学院</v>
      </c>
    </row>
    <row r="4952" ht="13.5" hidden="1" spans="1:5">
      <c r="A4952" s="2" t="str">
        <f>"刘嘉莹"</f>
        <v>刘嘉莹</v>
      </c>
      <c r="B4952" s="2" t="str">
        <f>"B20210601306"</f>
        <v>B20210601306</v>
      </c>
      <c r="C4952" s="2" t="str">
        <f>"女"</f>
        <v>女</v>
      </c>
      <c r="D4952" s="2" t="str">
        <f>"6"</f>
        <v>6</v>
      </c>
      <c r="E4952" s="2" t="str">
        <f>"法学院"</f>
        <v>法学院</v>
      </c>
    </row>
    <row r="4953" ht="13.5" hidden="1" spans="1:5">
      <c r="A4953" s="2" t="str">
        <f>"胡博雅"</f>
        <v>胡博雅</v>
      </c>
      <c r="B4953" s="2" t="str">
        <f>"B20210903207"</f>
        <v>B20210903207</v>
      </c>
      <c r="C4953" s="2" t="str">
        <f>"女"</f>
        <v>女</v>
      </c>
      <c r="D4953" s="2" t="str">
        <f>"6"</f>
        <v>6</v>
      </c>
      <c r="E4953" s="2" t="str">
        <f>"经济与管理学院"</f>
        <v>经济与管理学院</v>
      </c>
    </row>
    <row r="4954" ht="13.5" hidden="1" spans="1:5">
      <c r="A4954" s="2" t="str">
        <f>"陈雨彤"</f>
        <v>陈雨彤</v>
      </c>
      <c r="B4954" s="2" t="str">
        <f>"B20211002112"</f>
        <v>B20211002112</v>
      </c>
      <c r="C4954" s="2" t="str">
        <f>"女"</f>
        <v>女</v>
      </c>
      <c r="D4954" s="2" t="str">
        <f>"6"</f>
        <v>6</v>
      </c>
      <c r="E4954" s="2" t="str">
        <f>"艺术设计学院"</f>
        <v>艺术设计学院</v>
      </c>
    </row>
    <row r="4955" ht="13.5" hidden="1" spans="1:5">
      <c r="A4955" s="2" t="str">
        <f>"刘欣桢"</f>
        <v>刘欣桢</v>
      </c>
      <c r="B4955" s="2" t="str">
        <f>"B20220903130"</f>
        <v>B20220903130</v>
      </c>
      <c r="C4955" s="2" t="str">
        <f>"女"</f>
        <v>女</v>
      </c>
      <c r="D4955" s="2" t="str">
        <f>"6"</f>
        <v>6</v>
      </c>
      <c r="E4955" s="2" t="str">
        <f>"经济与管理学院"</f>
        <v>经济与管理学院</v>
      </c>
    </row>
    <row r="4956" ht="13.5" hidden="1" spans="1:5">
      <c r="A4956" s="2" t="str">
        <f>"周洋"</f>
        <v>周洋</v>
      </c>
      <c r="B4956" s="2" t="str">
        <f>"B20230101527"</f>
        <v>B20230101527</v>
      </c>
      <c r="C4956" s="2" t="str">
        <f>"男"</f>
        <v>男</v>
      </c>
      <c r="D4956" s="2" t="str">
        <f>"6"</f>
        <v>6</v>
      </c>
      <c r="E4956" s="2" t="str">
        <f>"土木工程学院"</f>
        <v>土木工程学院</v>
      </c>
    </row>
    <row r="4957" ht="13.5" hidden="1" spans="1:5">
      <c r="A4957" s="2" t="str">
        <f>"曾浩"</f>
        <v>曾浩</v>
      </c>
      <c r="B4957" s="2" t="str">
        <f>"B20230401433"</f>
        <v>B20230401433</v>
      </c>
      <c r="C4957" s="2" t="str">
        <f>"男"</f>
        <v>男</v>
      </c>
      <c r="D4957" s="2" t="str">
        <f>"6"</f>
        <v>6</v>
      </c>
      <c r="E4957" s="2" t="str">
        <f>"电子信息与电气工程学院"</f>
        <v>电子信息与电气工程学院</v>
      </c>
    </row>
    <row r="4958" ht="13.5" hidden="1" spans="1:5">
      <c r="A4958" s="2" t="str">
        <f>"谭蕾"</f>
        <v>谭蕾</v>
      </c>
      <c r="B4958" s="2" t="str">
        <f>"B20220701402"</f>
        <v>B20220701402</v>
      </c>
      <c r="C4958" s="2" t="str">
        <f>"女"</f>
        <v>女</v>
      </c>
      <c r="D4958" s="2" t="str">
        <f>"6"</f>
        <v>6</v>
      </c>
      <c r="E4958" s="2" t="str">
        <f>"马栏山新媒体学院"</f>
        <v>马栏山新媒体学院</v>
      </c>
    </row>
    <row r="4959" ht="13.5" hidden="1" spans="1:5">
      <c r="A4959" s="2" t="str">
        <f>"孙艺"</f>
        <v>孙艺</v>
      </c>
      <c r="B4959" s="2" t="str">
        <f>"B20201003217"</f>
        <v>B20201003217</v>
      </c>
      <c r="C4959" s="2" t="str">
        <f>"女"</f>
        <v>女</v>
      </c>
      <c r="D4959" s="2" t="str">
        <f>"6"</f>
        <v>6</v>
      </c>
      <c r="E4959" s="2" t="str">
        <f>"艺术设计学院"</f>
        <v>艺术设计学院</v>
      </c>
    </row>
    <row r="4960" ht="13.5" hidden="1" spans="1:5">
      <c r="A4960" s="2" t="str">
        <f>"孟文迪"</f>
        <v>孟文迪</v>
      </c>
      <c r="B4960" s="2" t="str">
        <f>"B20230901336"</f>
        <v>B20230901336</v>
      </c>
      <c r="C4960" s="2" t="str">
        <f>"女"</f>
        <v>女</v>
      </c>
      <c r="D4960" s="2" t="str">
        <f>"6"</f>
        <v>6</v>
      </c>
      <c r="E4960" s="2" t="str">
        <f>"经济与管理学院"</f>
        <v>经济与管理学院</v>
      </c>
    </row>
    <row r="4961" ht="13.5" hidden="1" spans="1:5">
      <c r="A4961" s="2" t="str">
        <f>"刘文洛"</f>
        <v>刘文洛</v>
      </c>
      <c r="B4961" s="2" t="str">
        <f>"B20230401118"</f>
        <v>B20230401118</v>
      </c>
      <c r="C4961" s="2" t="str">
        <f t="shared" ref="C4961:C4965" si="1297">"女"</f>
        <v>女</v>
      </c>
      <c r="D4961" s="2" t="str">
        <f>"6"</f>
        <v>6</v>
      </c>
      <c r="E4961" s="2" t="str">
        <f>"电子信息与电气工程学院"</f>
        <v>电子信息与电气工程学院</v>
      </c>
    </row>
    <row r="4962" ht="13.5" hidden="1" spans="1:5">
      <c r="A4962" s="2" t="str">
        <f>"彭宜斌"</f>
        <v>彭宜斌</v>
      </c>
      <c r="B4962" s="2" t="str">
        <f>"B20230202125"</f>
        <v>B20230202125</v>
      </c>
      <c r="C4962" s="2" t="str">
        <f t="shared" ref="C4962:C4967" si="1298">"男"</f>
        <v>男</v>
      </c>
      <c r="D4962" s="2" t="str">
        <f>"6"</f>
        <v>6</v>
      </c>
      <c r="E4962" s="2" t="str">
        <f t="shared" ref="E4962:E4967" si="1299">"机电工程学院"</f>
        <v>机电工程学院</v>
      </c>
    </row>
    <row r="4963" ht="13.5" hidden="1" spans="1:5">
      <c r="A4963" s="2" t="str">
        <f>"罗湘莲"</f>
        <v>罗湘莲</v>
      </c>
      <c r="B4963" s="2" t="str">
        <f>"B20220902307"</f>
        <v>B20220902307</v>
      </c>
      <c r="C4963" s="2" t="str">
        <f t="shared" si="1297"/>
        <v>女</v>
      </c>
      <c r="D4963" s="2" t="str">
        <f>"6"</f>
        <v>6</v>
      </c>
      <c r="E4963" s="2" t="str">
        <f>"经济与管理学院"</f>
        <v>经济与管理学院</v>
      </c>
    </row>
    <row r="4964" ht="13.5" hidden="1" spans="1:5">
      <c r="A4964" s="2" t="str">
        <f>"刘依萍"</f>
        <v>刘依萍</v>
      </c>
      <c r="B4964" s="2" t="str">
        <f>"B20220906134"</f>
        <v>B20220906134</v>
      </c>
      <c r="C4964" s="2" t="str">
        <f t="shared" si="1297"/>
        <v>女</v>
      </c>
      <c r="D4964" s="2" t="str">
        <f>"6"</f>
        <v>6</v>
      </c>
      <c r="E4964" s="2" t="str">
        <f>"经济与管理学院"</f>
        <v>经济与管理学院</v>
      </c>
    </row>
    <row r="4965" ht="13.5" hidden="1" spans="1:5">
      <c r="A4965" s="2" t="str">
        <f>"洪熳"</f>
        <v>洪熳</v>
      </c>
      <c r="B4965" s="2" t="str">
        <f>"B20200203208"</f>
        <v>B20200203208</v>
      </c>
      <c r="C4965" s="2" t="str">
        <f t="shared" si="1297"/>
        <v>女</v>
      </c>
      <c r="D4965" s="2" t="str">
        <f>"6"</f>
        <v>6</v>
      </c>
      <c r="E4965" s="2" t="str">
        <f t="shared" si="1299"/>
        <v>机电工程学院</v>
      </c>
    </row>
    <row r="4966" ht="13.5" hidden="1" spans="1:5">
      <c r="A4966" s="2" t="str">
        <f>"徐浚逸"</f>
        <v>徐浚逸</v>
      </c>
      <c r="B4966" s="2" t="str">
        <f>"B20220704301"</f>
        <v>B20220704301</v>
      </c>
      <c r="C4966" s="2" t="str">
        <f t="shared" si="1298"/>
        <v>男</v>
      </c>
      <c r="D4966" s="2" t="str">
        <f>"6"</f>
        <v>6</v>
      </c>
      <c r="E4966" s="2" t="str">
        <f>"马栏山新媒体学院"</f>
        <v>马栏山新媒体学院</v>
      </c>
    </row>
    <row r="4967" ht="13.5" hidden="1" spans="1:5">
      <c r="A4967" s="2" t="str">
        <f>"杜京泽"</f>
        <v>杜京泽</v>
      </c>
      <c r="B4967" s="2" t="str">
        <f>"B20230204212"</f>
        <v>B20230204212</v>
      </c>
      <c r="C4967" s="2" t="str">
        <f t="shared" si="1298"/>
        <v>男</v>
      </c>
      <c r="D4967" s="2" t="str">
        <f>"6"</f>
        <v>6</v>
      </c>
      <c r="E4967" s="2" t="str">
        <f t="shared" si="1299"/>
        <v>机电工程学院</v>
      </c>
    </row>
    <row r="4968" ht="13.5" hidden="1" spans="1:5">
      <c r="A4968" s="2" t="str">
        <f>"丁进林"</f>
        <v>丁进林</v>
      </c>
      <c r="B4968" s="2" t="str">
        <f>"B20220802228"</f>
        <v>B20220802228</v>
      </c>
      <c r="C4968" s="2" t="str">
        <f>"女"</f>
        <v>女</v>
      </c>
      <c r="D4968" s="2" t="str">
        <f>"6"</f>
        <v>6</v>
      </c>
      <c r="E4968" s="2" t="str">
        <f>"外国语学院"</f>
        <v>外国语学院</v>
      </c>
    </row>
    <row r="4969" ht="13.5" hidden="1" spans="1:5">
      <c r="A4969" s="2" t="str">
        <f>"贺仕顾"</f>
        <v>贺仕顾</v>
      </c>
      <c r="B4969" s="2" t="str">
        <f>"B20230201103"</f>
        <v>B20230201103</v>
      </c>
      <c r="C4969" s="2" t="str">
        <f>"男"</f>
        <v>男</v>
      </c>
      <c r="D4969" s="2" t="str">
        <f>"6"</f>
        <v>6</v>
      </c>
      <c r="E4969" s="2" t="str">
        <f>"机电工程学院"</f>
        <v>机电工程学院</v>
      </c>
    </row>
    <row r="4970" ht="13.5" hidden="1" spans="1:5">
      <c r="A4970" s="2" t="str">
        <f>"汤庆博"</f>
        <v>汤庆博</v>
      </c>
      <c r="B4970" s="2" t="str">
        <f>"B20231002217"</f>
        <v>B20231002217</v>
      </c>
      <c r="C4970" s="2" t="str">
        <f>"男"</f>
        <v>男</v>
      </c>
      <c r="D4970" s="2" t="str">
        <f>"6"</f>
        <v>6</v>
      </c>
      <c r="E4970" s="2" t="str">
        <f>"艺术设计学院"</f>
        <v>艺术设计学院</v>
      </c>
    </row>
    <row r="4971" ht="13.5" hidden="1" spans="1:5">
      <c r="A4971" s="2" t="str">
        <f>"董夏墨"</f>
        <v>董夏墨</v>
      </c>
      <c r="B4971" s="2" t="str">
        <f>"B20221004213"</f>
        <v>B20221004213</v>
      </c>
      <c r="C4971" s="2" t="str">
        <f>"女"</f>
        <v>女</v>
      </c>
      <c r="D4971" s="2" t="str">
        <f>"6"</f>
        <v>6</v>
      </c>
      <c r="E4971" s="2" t="str">
        <f>"艺术设计学院"</f>
        <v>艺术设计学院</v>
      </c>
    </row>
    <row r="4972" ht="13.5" hidden="1" spans="1:5">
      <c r="A4972" s="2" t="str">
        <f>"康俊韩"</f>
        <v>康俊韩</v>
      </c>
      <c r="B4972" s="2" t="str">
        <f>"B20220901208"</f>
        <v>B20220901208</v>
      </c>
      <c r="C4972" s="2" t="str">
        <f>"男"</f>
        <v>男</v>
      </c>
      <c r="D4972" s="2" t="str">
        <f>"6"</f>
        <v>6</v>
      </c>
      <c r="E4972" s="2" t="str">
        <f>"经济与管理学院"</f>
        <v>经济与管理学院</v>
      </c>
    </row>
    <row r="4973" ht="13.5" hidden="1" spans="1:5">
      <c r="A4973" s="2" t="str">
        <f>"陈婧"</f>
        <v>陈婧</v>
      </c>
      <c r="B4973" s="2" t="str">
        <f>"B20230902308"</f>
        <v>B20230902308</v>
      </c>
      <c r="C4973" s="2" t="str">
        <f>"女"</f>
        <v>女</v>
      </c>
      <c r="D4973" s="2" t="str">
        <f>"6"</f>
        <v>6</v>
      </c>
      <c r="E4973" s="2" t="str">
        <f>"经济与管理学院"</f>
        <v>经济与管理学院</v>
      </c>
    </row>
    <row r="4974" ht="13.5" hidden="1" spans="1:5">
      <c r="A4974" s="2" t="str">
        <f>"周立为"</f>
        <v>周立为</v>
      </c>
      <c r="B4974" s="2" t="str">
        <f>"B20221101126"</f>
        <v>B20221101126</v>
      </c>
      <c r="C4974" s="2" t="str">
        <f>"男"</f>
        <v>男</v>
      </c>
      <c r="D4974" s="2" t="str">
        <f>"6"</f>
        <v>6</v>
      </c>
      <c r="E4974" s="2" t="str">
        <f>"音乐学院"</f>
        <v>音乐学院</v>
      </c>
    </row>
    <row r="4975" ht="13.5" hidden="1" spans="1:5">
      <c r="A4975" s="2" t="str">
        <f>"李安琪"</f>
        <v>李安琪</v>
      </c>
      <c r="B4975" s="2" t="str">
        <f>"B20231301223"</f>
        <v>B20231301223</v>
      </c>
      <c r="C4975" s="2" t="str">
        <f>"女"</f>
        <v>女</v>
      </c>
      <c r="D4975" s="2" t="str">
        <f>"6"</f>
        <v>6</v>
      </c>
      <c r="E4975" s="2" t="str">
        <f>"材料与环境工程学院"</f>
        <v>材料与环境工程学院</v>
      </c>
    </row>
    <row r="4976" ht="13.5" hidden="1" spans="1:5">
      <c r="A4976" s="2" t="str">
        <f>"李攀"</f>
        <v>李攀</v>
      </c>
      <c r="B4976" s="2" t="str">
        <f>"B20210905217"</f>
        <v>B20210905217</v>
      </c>
      <c r="C4976" s="2" t="str">
        <f>"女"</f>
        <v>女</v>
      </c>
      <c r="D4976" s="2" t="str">
        <f>"6"</f>
        <v>6</v>
      </c>
      <c r="E4976" s="2" t="str">
        <f>"经济与管理学院"</f>
        <v>经济与管理学院</v>
      </c>
    </row>
    <row r="4977" ht="13.5" hidden="1" spans="1:5">
      <c r="A4977" s="2" t="str">
        <f>"杨佳馨"</f>
        <v>杨佳馨</v>
      </c>
      <c r="B4977" s="2" t="str">
        <f>"B20210903133"</f>
        <v>B20210903133</v>
      </c>
      <c r="C4977" s="2" t="str">
        <f>"女"</f>
        <v>女</v>
      </c>
      <c r="D4977" s="2" t="str">
        <f>"6"</f>
        <v>6</v>
      </c>
      <c r="E4977" s="2" t="str">
        <f>"经济与管理学院"</f>
        <v>经济与管理学院</v>
      </c>
    </row>
    <row r="4978" ht="13.5" hidden="1" spans="1:5">
      <c r="A4978" s="2" t="str">
        <f>"陈嘉欣"</f>
        <v>陈嘉欣</v>
      </c>
      <c r="B4978" s="2" t="str">
        <f>"B20230502231"</f>
        <v>B20230502231</v>
      </c>
      <c r="C4978" s="2" t="str">
        <f>"女"</f>
        <v>女</v>
      </c>
      <c r="D4978" s="2" t="str">
        <f>"6"</f>
        <v>6</v>
      </c>
      <c r="E4978" s="2" t="str">
        <f>"生物与化学工程学院"</f>
        <v>生物与化学工程学院</v>
      </c>
    </row>
    <row r="4979" ht="13.5" hidden="1" spans="1:5">
      <c r="A4979" s="2" t="str">
        <f>"何萱"</f>
        <v>何萱</v>
      </c>
      <c r="B4979" s="2" t="str">
        <f>"B20230702112"</f>
        <v>B20230702112</v>
      </c>
      <c r="C4979" s="2" t="str">
        <f>"女"</f>
        <v>女</v>
      </c>
      <c r="D4979" s="2" t="str">
        <f>"6"</f>
        <v>6</v>
      </c>
      <c r="E4979" s="2" t="str">
        <f>"马栏山新媒体学院"</f>
        <v>马栏山新媒体学院</v>
      </c>
    </row>
    <row r="4980" ht="13.5" hidden="1" spans="1:5">
      <c r="A4980" s="2" t="str">
        <f>"吴婷"</f>
        <v>吴婷</v>
      </c>
      <c r="B4980" s="2" t="str">
        <f>"B20210503233"</f>
        <v>B20210503233</v>
      </c>
      <c r="C4980" s="2" t="str">
        <f>"女"</f>
        <v>女</v>
      </c>
      <c r="D4980" s="2" t="str">
        <f>"6"</f>
        <v>6</v>
      </c>
      <c r="E4980" s="2" t="str">
        <f t="shared" ref="E4980:E4984" si="1300">"材料与环境工程学院"</f>
        <v>材料与环境工程学院</v>
      </c>
    </row>
    <row r="4981" ht="13.5" hidden="1" spans="1:5">
      <c r="A4981" s="2" t="str">
        <f>"唐宇宏"</f>
        <v>唐宇宏</v>
      </c>
      <c r="B4981" s="2" t="str">
        <f>"B20210505104"</f>
        <v>B20210505104</v>
      </c>
      <c r="C4981" s="2" t="str">
        <f>"男"</f>
        <v>男</v>
      </c>
      <c r="D4981" s="2" t="str">
        <f>"6"</f>
        <v>6</v>
      </c>
      <c r="E4981" s="2" t="str">
        <f>"电子信息与电气工程学院"</f>
        <v>电子信息与电气工程学院</v>
      </c>
    </row>
    <row r="4982" ht="13.5" hidden="1" spans="1:5">
      <c r="A4982" s="2" t="str">
        <f>"刘璨琦"</f>
        <v>刘璨琦</v>
      </c>
      <c r="B4982" s="2" t="str">
        <f>"B20220702427"</f>
        <v>B20220702427</v>
      </c>
      <c r="C4982" s="2" t="str">
        <f>"女"</f>
        <v>女</v>
      </c>
      <c r="D4982" s="2" t="str">
        <f>"6"</f>
        <v>6</v>
      </c>
      <c r="E4982" s="2" t="str">
        <f>"马栏山新媒体学院"</f>
        <v>马栏山新媒体学院</v>
      </c>
    </row>
    <row r="4983" ht="13.5" hidden="1" spans="1:5">
      <c r="A4983" s="2" t="str">
        <f>"王雨奇"</f>
        <v>王雨奇</v>
      </c>
      <c r="B4983" s="2" t="str">
        <f>"B20210503204"</f>
        <v>B20210503204</v>
      </c>
      <c r="C4983" s="2" t="str">
        <f>"男"</f>
        <v>男</v>
      </c>
      <c r="D4983" s="2" t="str">
        <f>"6"</f>
        <v>6</v>
      </c>
      <c r="E4983" s="2" t="str">
        <f t="shared" si="1300"/>
        <v>材料与环境工程学院</v>
      </c>
    </row>
    <row r="4984" ht="13.5" hidden="1" spans="1:5">
      <c r="A4984" s="2" t="str">
        <f>"王杰"</f>
        <v>王杰</v>
      </c>
      <c r="B4984" s="2" t="str">
        <f>"B20210505215"</f>
        <v>B20210505215</v>
      </c>
      <c r="C4984" s="2" t="str">
        <f>"男"</f>
        <v>男</v>
      </c>
      <c r="D4984" s="2" t="str">
        <f>"6"</f>
        <v>6</v>
      </c>
      <c r="E4984" s="2" t="str">
        <f t="shared" si="1300"/>
        <v>材料与环境工程学院</v>
      </c>
    </row>
    <row r="4985" ht="13.5" hidden="1" spans="1:5">
      <c r="A4985" s="2" t="str">
        <f>"易珺"</f>
        <v>易珺</v>
      </c>
      <c r="B4985" s="2" t="str">
        <f>"B20230801318"</f>
        <v>B20230801318</v>
      </c>
      <c r="C4985" s="2" t="str">
        <f>"女"</f>
        <v>女</v>
      </c>
      <c r="D4985" s="2" t="str">
        <f>"6"</f>
        <v>6</v>
      </c>
      <c r="E4985" s="2" t="str">
        <f>"外国语学院"</f>
        <v>外国语学院</v>
      </c>
    </row>
    <row r="4986" ht="13.5" hidden="1" spans="1:5">
      <c r="A4986" s="2" t="str">
        <f>"刘晶"</f>
        <v>刘晶</v>
      </c>
      <c r="B4986" s="2" t="str">
        <f>"B20230504231"</f>
        <v>B20230504231</v>
      </c>
      <c r="C4986" s="2" t="str">
        <f>"女"</f>
        <v>女</v>
      </c>
      <c r="D4986" s="2" t="str">
        <f>"6"</f>
        <v>6</v>
      </c>
      <c r="E4986" s="2" t="str">
        <f>"生物与化学工程学院"</f>
        <v>生物与化学工程学院</v>
      </c>
    </row>
    <row r="4987" ht="13.5" hidden="1" spans="1:5">
      <c r="A4987" s="2" t="str">
        <f>"马瀚霖"</f>
        <v>马瀚霖</v>
      </c>
      <c r="B4987" s="2" t="str">
        <f>"B20230204121"</f>
        <v>B20230204121</v>
      </c>
      <c r="C4987" s="2" t="str">
        <f>"男"</f>
        <v>男</v>
      </c>
      <c r="D4987" s="2" t="str">
        <f>"6"</f>
        <v>6</v>
      </c>
      <c r="E4987" s="2" t="str">
        <f>"机电工程学院"</f>
        <v>机电工程学院</v>
      </c>
    </row>
    <row r="4988" ht="13.5" hidden="1" spans="1:5">
      <c r="A4988" s="2" t="str">
        <f>"张滢方"</f>
        <v>张滢方</v>
      </c>
      <c r="B4988" s="2" t="str">
        <f>"B20230504414"</f>
        <v>B20230504414</v>
      </c>
      <c r="C4988" s="2" t="str">
        <f>"女"</f>
        <v>女</v>
      </c>
      <c r="D4988" s="2" t="str">
        <f>"6"</f>
        <v>6</v>
      </c>
      <c r="E4988" s="2" t="str">
        <f>"生物与化学工程学院"</f>
        <v>生物与化学工程学院</v>
      </c>
    </row>
    <row r="4989" ht="13.5" hidden="1" spans="1:5">
      <c r="A4989" s="2" t="str">
        <f>"谢子君"</f>
        <v>谢子君</v>
      </c>
      <c r="B4989" s="2" t="str">
        <f>"B20230205106"</f>
        <v>B20230205106</v>
      </c>
      <c r="C4989" s="2" t="str">
        <f>"男"</f>
        <v>男</v>
      </c>
      <c r="D4989" s="2" t="str">
        <f>"6"</f>
        <v>6</v>
      </c>
      <c r="E4989" s="2" t="str">
        <f>"机电工程学院"</f>
        <v>机电工程学院</v>
      </c>
    </row>
    <row r="4990" ht="13.5" hidden="1" spans="1:5">
      <c r="A4990" s="2" t="str">
        <f>"谢思盈"</f>
        <v>谢思盈</v>
      </c>
      <c r="B4990" s="2" t="str">
        <f>"B20230905119"</f>
        <v>B20230905119</v>
      </c>
      <c r="C4990" s="2" t="str">
        <f>"女"</f>
        <v>女</v>
      </c>
      <c r="D4990" s="2" t="str">
        <f>"6"</f>
        <v>6</v>
      </c>
      <c r="E4990" s="2" t="str">
        <f>"经济与管理学院"</f>
        <v>经济与管理学院</v>
      </c>
    </row>
    <row r="4991" ht="13.5" hidden="1" spans="1:5">
      <c r="A4991" s="2" t="str">
        <f>"邓宇涛"</f>
        <v>邓宇涛</v>
      </c>
      <c r="B4991" s="2" t="str">
        <f>"B20230504204"</f>
        <v>B20230504204</v>
      </c>
      <c r="C4991" s="2" t="str">
        <f>"男"</f>
        <v>男</v>
      </c>
      <c r="D4991" s="2" t="str">
        <f>"6"</f>
        <v>6</v>
      </c>
      <c r="E4991" s="2" t="str">
        <f>"生物与化学工程学院"</f>
        <v>生物与化学工程学院</v>
      </c>
    </row>
    <row r="4992" ht="13.5" hidden="1" spans="1:5">
      <c r="A4992" s="2" t="str">
        <f>"刘湘南"</f>
        <v>刘湘南</v>
      </c>
      <c r="B4992" s="2" t="str">
        <f>"B20230701210"</f>
        <v>B20230701210</v>
      </c>
      <c r="C4992" s="2" t="str">
        <f>"女"</f>
        <v>女</v>
      </c>
      <c r="D4992" s="2" t="str">
        <f>"6"</f>
        <v>6</v>
      </c>
      <c r="E4992" s="2" t="str">
        <f>"马栏山新媒体学院"</f>
        <v>马栏山新媒体学院</v>
      </c>
    </row>
    <row r="4993" ht="13.5" hidden="1" spans="1:5">
      <c r="A4993" s="2" t="str">
        <f>"郭宇哲"</f>
        <v>郭宇哲</v>
      </c>
      <c r="B4993" s="2" t="str">
        <f>"B20200201401"</f>
        <v>B20200201401</v>
      </c>
      <c r="C4993" s="2" t="str">
        <f>"男"</f>
        <v>男</v>
      </c>
      <c r="D4993" s="2" t="str">
        <f>"6"</f>
        <v>6</v>
      </c>
      <c r="E4993" s="2" t="str">
        <f>"机电工程学院"</f>
        <v>机电工程学院</v>
      </c>
    </row>
    <row r="4994" ht="13.5" hidden="1" spans="1:5">
      <c r="A4994" s="2" t="str">
        <f>"文莹"</f>
        <v>文莹</v>
      </c>
      <c r="B4994" s="2" t="str">
        <f>"B20200601112"</f>
        <v>B20200601112</v>
      </c>
      <c r="C4994" s="2" t="str">
        <f>"女"</f>
        <v>女</v>
      </c>
      <c r="D4994" s="2" t="str">
        <f>"6"</f>
        <v>6</v>
      </c>
      <c r="E4994" s="2" t="str">
        <f>"法学院"</f>
        <v>法学院</v>
      </c>
    </row>
    <row r="4995" ht="13.5" hidden="1" spans="1:5">
      <c r="A4995" s="2" t="str">
        <f>"杨雅"</f>
        <v>杨雅</v>
      </c>
      <c r="B4995" s="2" t="str">
        <f>"B20200103204"</f>
        <v>B20200103204</v>
      </c>
      <c r="C4995" s="2" t="str">
        <f>"女"</f>
        <v>女</v>
      </c>
      <c r="D4995" s="2" t="str">
        <f>"6"</f>
        <v>6</v>
      </c>
      <c r="E4995" s="2" t="str">
        <f>"土木工程学院"</f>
        <v>土木工程学院</v>
      </c>
    </row>
    <row r="4996" ht="13.5" hidden="1" spans="1:5">
      <c r="A4996" s="2" t="str">
        <f>"李雨桐"</f>
        <v>李雨桐</v>
      </c>
      <c r="B4996" s="2" t="str">
        <f>"B20220704119"</f>
        <v>B20220704119</v>
      </c>
      <c r="C4996" s="2" t="str">
        <f>"女"</f>
        <v>女</v>
      </c>
      <c r="D4996" s="2" t="str">
        <f>"6"</f>
        <v>6</v>
      </c>
      <c r="E4996" s="2" t="str">
        <f>"马栏山新媒体学院"</f>
        <v>马栏山新媒体学院</v>
      </c>
    </row>
    <row r="4997" ht="13.5" hidden="1" spans="1:5">
      <c r="A4997" s="2" t="str">
        <f>"盘飞鸿"</f>
        <v>盘飞鸿</v>
      </c>
      <c r="B4997" s="2" t="str">
        <f>"B20200401216"</f>
        <v>B20200401216</v>
      </c>
      <c r="C4997" s="2" t="str">
        <f>"男"</f>
        <v>男</v>
      </c>
      <c r="D4997" s="2" t="str">
        <f>"6"</f>
        <v>6</v>
      </c>
      <c r="E4997" s="2" t="str">
        <f>"电子信息与电气工程学院"</f>
        <v>电子信息与电气工程学院</v>
      </c>
    </row>
    <row r="4998" ht="13.5" hidden="1" spans="1:5">
      <c r="A4998" s="2" t="str">
        <f>"羊洋"</f>
        <v>羊洋</v>
      </c>
      <c r="B4998" s="2" t="str">
        <f>"B20200702224"</f>
        <v>B20200702224</v>
      </c>
      <c r="C4998" s="2" t="str">
        <f>"女"</f>
        <v>女</v>
      </c>
      <c r="D4998" s="2" t="str">
        <f>"6"</f>
        <v>6</v>
      </c>
      <c r="E4998" s="2" t="str">
        <f>"马栏山新媒体学院"</f>
        <v>马栏山新媒体学院</v>
      </c>
    </row>
    <row r="4999" ht="13.5" hidden="1" spans="1:5">
      <c r="A4999" s="2" t="str">
        <f>"彭万东"</f>
        <v>彭万东</v>
      </c>
      <c r="B4999" s="2" t="str">
        <f>"B20220601417"</f>
        <v>B20220601417</v>
      </c>
      <c r="C4999" s="2" t="str">
        <f>"男"</f>
        <v>男</v>
      </c>
      <c r="D4999" s="2" t="str">
        <f>"6"</f>
        <v>6</v>
      </c>
      <c r="E4999" s="2" t="str">
        <f>"法学院"</f>
        <v>法学院</v>
      </c>
    </row>
    <row r="5000" ht="13.5" hidden="1" spans="1:5">
      <c r="A5000" s="2" t="str">
        <f>"郭盈格"</f>
        <v>郭盈格</v>
      </c>
      <c r="B5000" s="2" t="str">
        <f>"B20200703122"</f>
        <v>B20200703122</v>
      </c>
      <c r="C5000" s="2" t="str">
        <f>"女"</f>
        <v>女</v>
      </c>
      <c r="D5000" s="2" t="str">
        <f t="shared" ref="D5000:D5026" si="1301">"6"</f>
        <v>6</v>
      </c>
      <c r="E5000" s="2" t="str">
        <f>"马栏山新媒体学院"</f>
        <v>马栏山新媒体学院</v>
      </c>
    </row>
    <row r="5001" ht="13.5" hidden="1" spans="1:5">
      <c r="A5001" s="2" t="str">
        <f>"李端"</f>
        <v>李端</v>
      </c>
      <c r="B5001" s="2" t="str">
        <f>"B20200704114"</f>
        <v>B20200704114</v>
      </c>
      <c r="C5001" s="2" t="str">
        <f>"女"</f>
        <v>女</v>
      </c>
      <c r="D5001" s="2" t="str">
        <f t="shared" si="1301"/>
        <v>6</v>
      </c>
      <c r="E5001" s="2" t="str">
        <f>"马栏山新媒体学院"</f>
        <v>马栏山新媒体学院</v>
      </c>
    </row>
    <row r="5002" ht="13.5" hidden="1" spans="1:5">
      <c r="A5002" s="2" t="str">
        <f>"曹苗苗"</f>
        <v>曹苗苗</v>
      </c>
      <c r="B5002" s="2" t="str">
        <f>"B20220801502"</f>
        <v>B20220801502</v>
      </c>
      <c r="C5002" s="2" t="str">
        <f>"女"</f>
        <v>女</v>
      </c>
      <c r="D5002" s="2" t="str">
        <f t="shared" si="1301"/>
        <v>6</v>
      </c>
      <c r="E5002" s="2" t="str">
        <f>"外国语学院"</f>
        <v>外国语学院</v>
      </c>
    </row>
    <row r="5003" ht="13.5" hidden="1" spans="1:5">
      <c r="A5003" s="2" t="str">
        <f>"陈雪鸿"</f>
        <v>陈雪鸿</v>
      </c>
      <c r="B5003" s="2" t="str">
        <f>"B20221003106"</f>
        <v>B20221003106</v>
      </c>
      <c r="C5003" s="2" t="str">
        <f>"女"</f>
        <v>女</v>
      </c>
      <c r="D5003" s="2" t="str">
        <f t="shared" si="1301"/>
        <v>6</v>
      </c>
      <c r="E5003" s="2" t="str">
        <f>"艺术设计学院"</f>
        <v>艺术设计学院</v>
      </c>
    </row>
    <row r="5004" ht="13.5" hidden="1" spans="1:5">
      <c r="A5004" s="2" t="str">
        <f>"柳世荣"</f>
        <v>柳世荣</v>
      </c>
      <c r="B5004" s="2" t="str">
        <f>"B20200704102"</f>
        <v>B20200704102</v>
      </c>
      <c r="C5004" s="2" t="str">
        <f t="shared" ref="C5004:C5009" si="1302">"男"</f>
        <v>男</v>
      </c>
      <c r="D5004" s="2" t="str">
        <f t="shared" si="1301"/>
        <v>6</v>
      </c>
      <c r="E5004" s="2" t="str">
        <f>"马栏山新媒体学院"</f>
        <v>马栏山新媒体学院</v>
      </c>
    </row>
    <row r="5005" ht="13.5" hidden="1" spans="1:5">
      <c r="A5005" s="2" t="str">
        <f>"张威彦"</f>
        <v>张威彦</v>
      </c>
      <c r="B5005" s="2" t="str">
        <f>"B20210101509"</f>
        <v>B20210101509</v>
      </c>
      <c r="C5005" s="2" t="str">
        <f t="shared" si="1302"/>
        <v>男</v>
      </c>
      <c r="D5005" s="2" t="str">
        <f t="shared" si="1301"/>
        <v>6</v>
      </c>
      <c r="E5005" s="2" t="str">
        <f t="shared" ref="E5005:E5009" si="1303">"土木工程学院"</f>
        <v>土木工程学院</v>
      </c>
    </row>
    <row r="5006" ht="13.5" hidden="1" spans="1:5">
      <c r="A5006" s="2" t="str">
        <f>"汪钊睿"</f>
        <v>汪钊睿</v>
      </c>
      <c r="B5006" s="2" t="str">
        <f>"B20210103104"</f>
        <v>B20210103104</v>
      </c>
      <c r="C5006" s="2" t="str">
        <f>"女"</f>
        <v>女</v>
      </c>
      <c r="D5006" s="2" t="str">
        <f t="shared" si="1301"/>
        <v>6</v>
      </c>
      <c r="E5006" s="2" t="str">
        <f t="shared" si="1303"/>
        <v>土木工程学院</v>
      </c>
    </row>
    <row r="5007" ht="13.5" hidden="1" spans="1:5">
      <c r="A5007" s="2" t="str">
        <f>"邵舒杨"</f>
        <v>邵舒杨</v>
      </c>
      <c r="B5007" s="2" t="str">
        <f>"B20210104124"</f>
        <v>B20210104124</v>
      </c>
      <c r="C5007" s="2" t="str">
        <f t="shared" si="1302"/>
        <v>男</v>
      </c>
      <c r="D5007" s="2" t="str">
        <f t="shared" si="1301"/>
        <v>6</v>
      </c>
      <c r="E5007" s="2" t="str">
        <f t="shared" si="1303"/>
        <v>土木工程学院</v>
      </c>
    </row>
    <row r="5008" ht="13.5" hidden="1" spans="1:5">
      <c r="A5008" s="2" t="str">
        <f>"丁稼林"</f>
        <v>丁稼林</v>
      </c>
      <c r="B5008" s="2" t="str">
        <f>"B20210101517"</f>
        <v>B20210101517</v>
      </c>
      <c r="C5008" s="2" t="str">
        <f t="shared" si="1302"/>
        <v>男</v>
      </c>
      <c r="D5008" s="2" t="str">
        <f t="shared" si="1301"/>
        <v>6</v>
      </c>
      <c r="E5008" s="2" t="str">
        <f t="shared" si="1303"/>
        <v>土木工程学院</v>
      </c>
    </row>
    <row r="5009" ht="13.5" hidden="1" spans="1:5">
      <c r="A5009" s="2" t="str">
        <f>"毛庆谊"</f>
        <v>毛庆谊</v>
      </c>
      <c r="B5009" s="2" t="str">
        <f>"B20210101231"</f>
        <v>B20210101231</v>
      </c>
      <c r="C5009" s="2" t="str">
        <f t="shared" si="1302"/>
        <v>男</v>
      </c>
      <c r="D5009" s="2" t="str">
        <f t="shared" si="1301"/>
        <v>6</v>
      </c>
      <c r="E5009" s="2" t="str">
        <f t="shared" si="1303"/>
        <v>土木工程学院</v>
      </c>
    </row>
    <row r="5010" ht="13.5" hidden="1" spans="1:5">
      <c r="A5010" s="2" t="str">
        <f>"刘越之"</f>
        <v>刘越之</v>
      </c>
      <c r="B5010" s="2" t="str">
        <f>"B20210902101"</f>
        <v>B20210902101</v>
      </c>
      <c r="C5010" s="2" t="str">
        <f t="shared" ref="C5010:C5016" si="1304">"女"</f>
        <v>女</v>
      </c>
      <c r="D5010" s="2" t="str">
        <f t="shared" si="1301"/>
        <v>6</v>
      </c>
      <c r="E5010" s="2" t="str">
        <f>"经济与管理学院"</f>
        <v>经济与管理学院</v>
      </c>
    </row>
    <row r="5011" ht="13.5" hidden="1" spans="1:5">
      <c r="A5011" s="2" t="str">
        <f>"胡伟"</f>
        <v>胡伟</v>
      </c>
      <c r="B5011" s="2" t="str">
        <f>"B20231302234"</f>
        <v>B20231302234</v>
      </c>
      <c r="C5011" s="2" t="str">
        <f t="shared" ref="C5011:C5014" si="1305">"男"</f>
        <v>男</v>
      </c>
      <c r="D5011" s="2" t="str">
        <f t="shared" si="1301"/>
        <v>6</v>
      </c>
      <c r="E5011" s="2" t="str">
        <f>"材料与环境工程学院"</f>
        <v>材料与环境工程学院</v>
      </c>
    </row>
    <row r="5012" ht="13.5" hidden="1" spans="1:5">
      <c r="A5012" s="2" t="str">
        <f>"刘江"</f>
        <v>刘江</v>
      </c>
      <c r="B5012" s="2" t="str">
        <f>"B20210204203"</f>
        <v>B20210204203</v>
      </c>
      <c r="C5012" s="2" t="str">
        <f t="shared" si="1305"/>
        <v>男</v>
      </c>
      <c r="D5012" s="2" t="str">
        <f t="shared" si="1301"/>
        <v>6</v>
      </c>
      <c r="E5012" s="2" t="str">
        <f>"机电工程学院"</f>
        <v>机电工程学院</v>
      </c>
    </row>
    <row r="5013" ht="13.5" hidden="1" spans="1:5">
      <c r="A5013" s="2" t="str">
        <f>"陈思彤"</f>
        <v>陈思彤</v>
      </c>
      <c r="B5013" s="2" t="str">
        <f>"B20230704322"</f>
        <v>B20230704322</v>
      </c>
      <c r="C5013" s="2" t="str">
        <f t="shared" si="1304"/>
        <v>女</v>
      </c>
      <c r="D5013" s="2" t="str">
        <f t="shared" si="1301"/>
        <v>6</v>
      </c>
      <c r="E5013" s="2" t="str">
        <f>"马栏山新媒体学院"</f>
        <v>马栏山新媒体学院</v>
      </c>
    </row>
    <row r="5014" ht="13.5" hidden="1" spans="1:5">
      <c r="A5014" s="2" t="str">
        <f>"王祁红"</f>
        <v>王祁红</v>
      </c>
      <c r="B5014" s="2" t="str">
        <f>"B20230403110"</f>
        <v>B20230403110</v>
      </c>
      <c r="C5014" s="2" t="str">
        <f t="shared" si="1305"/>
        <v>男</v>
      </c>
      <c r="D5014" s="2" t="str">
        <f t="shared" si="1301"/>
        <v>6</v>
      </c>
      <c r="E5014" s="2" t="str">
        <f>"电子信息与电气工程学院"</f>
        <v>电子信息与电气工程学院</v>
      </c>
    </row>
    <row r="5015" ht="13.5" hidden="1" spans="1:5">
      <c r="A5015" s="2" t="str">
        <f>"卢钰芸"</f>
        <v>卢钰芸</v>
      </c>
      <c r="B5015" s="2" t="str">
        <f>"B20231401221"</f>
        <v>B20231401221</v>
      </c>
      <c r="C5015" s="2" t="str">
        <f t="shared" si="1304"/>
        <v>女</v>
      </c>
      <c r="D5015" s="2" t="str">
        <f t="shared" si="1301"/>
        <v>6</v>
      </c>
      <c r="E5015" s="2" t="str">
        <f>"马克思主义学院"</f>
        <v>马克思主义学院</v>
      </c>
    </row>
    <row r="5016" ht="13.5" hidden="1" spans="1:5">
      <c r="A5016" s="2" t="str">
        <f>"何佳怡"</f>
        <v>何佳怡</v>
      </c>
      <c r="B5016" s="2" t="str">
        <f>"B20210902422"</f>
        <v>B20210902422</v>
      </c>
      <c r="C5016" s="2" t="str">
        <f t="shared" si="1304"/>
        <v>女</v>
      </c>
      <c r="D5016" s="2" t="str">
        <f t="shared" si="1301"/>
        <v>6</v>
      </c>
      <c r="E5016" s="2" t="str">
        <f>"经济与管理学院"</f>
        <v>经济与管理学院</v>
      </c>
    </row>
    <row r="5017" ht="13.5" hidden="1" spans="1:5">
      <c r="A5017" s="2" t="str">
        <f>"王佳义"</f>
        <v>王佳义</v>
      </c>
      <c r="B5017" s="2" t="str">
        <f>"B20230403218"</f>
        <v>B20230403218</v>
      </c>
      <c r="C5017" s="2" t="str">
        <f t="shared" ref="C5017:C5022" si="1306">"男"</f>
        <v>男</v>
      </c>
      <c r="D5017" s="2" t="str">
        <f t="shared" si="1301"/>
        <v>6</v>
      </c>
      <c r="E5017" s="2" t="str">
        <f>"电子信息与电气工程学院"</f>
        <v>电子信息与电气工程学院</v>
      </c>
    </row>
    <row r="5018" ht="13.5" hidden="1" spans="1:5">
      <c r="A5018" s="2" t="str">
        <f>"刘欣颖"</f>
        <v>刘欣颖</v>
      </c>
      <c r="B5018" s="2" t="str">
        <f>"B20230906210"</f>
        <v>B20230906210</v>
      </c>
      <c r="C5018" s="2" t="str">
        <f t="shared" ref="C5018:C5021" si="1307">"女"</f>
        <v>女</v>
      </c>
      <c r="D5018" s="2" t="str">
        <f t="shared" si="1301"/>
        <v>6</v>
      </c>
      <c r="E5018" s="2" t="str">
        <f>"经济与管理学院"</f>
        <v>经济与管理学院</v>
      </c>
    </row>
    <row r="5019" ht="13.5" hidden="1" spans="1:5">
      <c r="A5019" s="2" t="str">
        <f>"鲁振"</f>
        <v>鲁振</v>
      </c>
      <c r="B5019" s="2" t="str">
        <f>"B20231004215"</f>
        <v>B20231004215</v>
      </c>
      <c r="C5019" s="2" t="str">
        <f t="shared" si="1306"/>
        <v>男</v>
      </c>
      <c r="D5019" s="2" t="str">
        <f t="shared" si="1301"/>
        <v>6</v>
      </c>
      <c r="E5019" s="2" t="str">
        <f>"艺术设计学院"</f>
        <v>艺术设计学院</v>
      </c>
    </row>
    <row r="5020" ht="13.5" hidden="1" spans="1:5">
      <c r="A5020" s="2" t="str">
        <f>"李若瑜"</f>
        <v>李若瑜</v>
      </c>
      <c r="B5020" s="2" t="str">
        <f>"B20230801426"</f>
        <v>B20230801426</v>
      </c>
      <c r="C5020" s="2" t="str">
        <f t="shared" si="1307"/>
        <v>女</v>
      </c>
      <c r="D5020" s="2" t="str">
        <f t="shared" si="1301"/>
        <v>6</v>
      </c>
      <c r="E5020" s="2" t="str">
        <f>"外国语学院"</f>
        <v>外国语学院</v>
      </c>
    </row>
    <row r="5021" ht="13.5" hidden="1" spans="1:5">
      <c r="A5021" s="2" t="str">
        <f>"李佳燕"</f>
        <v>李佳燕</v>
      </c>
      <c r="B5021" s="2" t="str">
        <f>"B20220402331"</f>
        <v>B20220402331</v>
      </c>
      <c r="C5021" s="2" t="str">
        <f t="shared" si="1307"/>
        <v>女</v>
      </c>
      <c r="D5021" s="2" t="str">
        <f t="shared" si="1301"/>
        <v>6</v>
      </c>
      <c r="E5021" s="2" t="str">
        <f>"电子信息与电气工程学院"</f>
        <v>电子信息与电气工程学院</v>
      </c>
    </row>
    <row r="5022" ht="13.5" hidden="1" spans="1:5">
      <c r="A5022" s="2" t="str">
        <f>"谢佳亿"</f>
        <v>谢佳亿</v>
      </c>
      <c r="B5022" s="2" t="str">
        <f>"B20220201126"</f>
        <v>B20220201126</v>
      </c>
      <c r="C5022" s="2" t="str">
        <f t="shared" si="1306"/>
        <v>男</v>
      </c>
      <c r="D5022" s="2" t="str">
        <f t="shared" si="1301"/>
        <v>6</v>
      </c>
      <c r="E5022" s="2" t="str">
        <f>"机电工程学院"</f>
        <v>机电工程学院</v>
      </c>
    </row>
    <row r="5023" ht="13.5" hidden="1" spans="1:5">
      <c r="A5023" s="2" t="str">
        <f>"易玉婷"</f>
        <v>易玉婷</v>
      </c>
      <c r="B5023" s="2" t="str">
        <f>"B20220601403"</f>
        <v>B20220601403</v>
      </c>
      <c r="C5023" s="2" t="str">
        <f>"女"</f>
        <v>女</v>
      </c>
      <c r="D5023" s="2" t="str">
        <f t="shared" si="1301"/>
        <v>6</v>
      </c>
      <c r="E5023" s="2" t="str">
        <f>"法学院"</f>
        <v>法学院</v>
      </c>
    </row>
    <row r="5024" ht="13.5" hidden="1" spans="1:5">
      <c r="A5024" s="2" t="str">
        <f>"马江涛"</f>
        <v>马江涛</v>
      </c>
      <c r="B5024" s="2" t="str">
        <f>"B20201101213"</f>
        <v>B20201101213</v>
      </c>
      <c r="C5024" s="2" t="str">
        <f>"男"</f>
        <v>男</v>
      </c>
      <c r="D5024" s="2" t="str">
        <f t="shared" si="1301"/>
        <v>6</v>
      </c>
      <c r="E5024" s="2" t="str">
        <f>"音乐学院"</f>
        <v>音乐学院</v>
      </c>
    </row>
    <row r="5025" ht="13.5" hidden="1" spans="1:5">
      <c r="A5025" s="2" t="str">
        <f>"刘禹康"</f>
        <v>刘禹康</v>
      </c>
      <c r="B5025" s="2" t="str">
        <f>"B20210202227"</f>
        <v>B20210202227</v>
      </c>
      <c r="C5025" s="2" t="str">
        <f>"男"</f>
        <v>男</v>
      </c>
      <c r="D5025" s="2" t="str">
        <f t="shared" si="1301"/>
        <v>6</v>
      </c>
      <c r="E5025" s="2" t="str">
        <f>"机电工程学院"</f>
        <v>机电工程学院</v>
      </c>
    </row>
    <row r="5026" ht="13.5" hidden="1" spans="1:5">
      <c r="A5026" s="2" t="str">
        <f>"曹诗蕊"</f>
        <v>曹诗蕊</v>
      </c>
      <c r="B5026" s="2" t="str">
        <f>"B20230906201"</f>
        <v>B20230906201</v>
      </c>
      <c r="C5026" s="2" t="str">
        <f>"女"</f>
        <v>女</v>
      </c>
      <c r="D5026" s="2" t="str">
        <f t="shared" si="1301"/>
        <v>6</v>
      </c>
      <c r="E5026" s="2" t="str">
        <f>"经济与管理学院"</f>
        <v>经济与管理学院</v>
      </c>
    </row>
    <row r="5027" ht="13.5" hidden="1" spans="1:5">
      <c r="A5027" s="2" t="str">
        <f>"曾科文"</f>
        <v>曾科文</v>
      </c>
      <c r="B5027" s="2" t="str">
        <f>"B20230202201"</f>
        <v>B20230202201</v>
      </c>
      <c r="C5027" s="2" t="str">
        <f>"男"</f>
        <v>男</v>
      </c>
      <c r="D5027" s="2" t="str">
        <f>"6"</f>
        <v>6</v>
      </c>
      <c r="E5027" s="2" t="str">
        <f>"机电工程学院"</f>
        <v>机电工程学院</v>
      </c>
    </row>
    <row r="5028" ht="13.5" hidden="1" spans="1:5">
      <c r="A5028" s="2" t="str">
        <f>"杨倞"</f>
        <v>杨倞</v>
      </c>
      <c r="B5028" s="2" t="str">
        <f>"B20220201410"</f>
        <v>B20220201410</v>
      </c>
      <c r="C5028" s="2" t="str">
        <f>"男"</f>
        <v>男</v>
      </c>
      <c r="D5028" s="2" t="str">
        <f>"6"</f>
        <v>6</v>
      </c>
      <c r="E5028" s="2" t="str">
        <f>"机电工程学院"</f>
        <v>机电工程学院</v>
      </c>
    </row>
    <row r="5029" ht="13.5" hidden="1" spans="1:5">
      <c r="A5029" s="2" t="str">
        <f>"伍晨"</f>
        <v>伍晨</v>
      </c>
      <c r="B5029" s="2" t="str">
        <f>"B20220101130"</f>
        <v>B20220101130</v>
      </c>
      <c r="C5029" s="2" t="str">
        <f>"男"</f>
        <v>男</v>
      </c>
      <c r="D5029" s="2" t="str">
        <f>"6"</f>
        <v>6</v>
      </c>
      <c r="E5029" s="2" t="str">
        <f>"土木工程学院"</f>
        <v>土木工程学院</v>
      </c>
    </row>
    <row r="5030" ht="13.5" hidden="1" spans="1:5">
      <c r="A5030" s="2" t="str">
        <f>"叶好"</f>
        <v>叶好</v>
      </c>
      <c r="B5030" s="2" t="str">
        <f>"B20230906219"</f>
        <v>B20230906219</v>
      </c>
      <c r="C5030" s="2" t="str">
        <f>"女"</f>
        <v>女</v>
      </c>
      <c r="D5030" s="2" t="str">
        <f>"6"</f>
        <v>6</v>
      </c>
      <c r="E5030" s="2" t="str">
        <f>"经济与管理学院"</f>
        <v>经济与管理学院</v>
      </c>
    </row>
    <row r="5031" ht="13.5" hidden="1" spans="1:5">
      <c r="A5031" s="2" t="str">
        <f>"贺禹晰"</f>
        <v>贺禹晰</v>
      </c>
      <c r="B5031" s="2" t="str">
        <f>"B20210101503"</f>
        <v>B20210101503</v>
      </c>
      <c r="C5031" s="2" t="str">
        <f t="shared" ref="C5031:C5039" si="1308">"男"</f>
        <v>男</v>
      </c>
      <c r="D5031" s="2" t="str">
        <f>"6"</f>
        <v>6</v>
      </c>
      <c r="E5031" s="2" t="str">
        <f>"土木工程学院"</f>
        <v>土木工程学院</v>
      </c>
    </row>
    <row r="5032" ht="13.5" hidden="1" spans="1:5">
      <c r="A5032" s="2" t="str">
        <f>"欧阳杰"</f>
        <v>欧阳杰</v>
      </c>
      <c r="B5032" s="2" t="str">
        <f>"B20220204431"</f>
        <v>B20220204431</v>
      </c>
      <c r="C5032" s="2" t="str">
        <f t="shared" si="1308"/>
        <v>男</v>
      </c>
      <c r="D5032" s="2" t="str">
        <f>"6"</f>
        <v>6</v>
      </c>
      <c r="E5032" s="2" t="str">
        <f>"机电工程学院"</f>
        <v>机电工程学院</v>
      </c>
    </row>
    <row r="5033" ht="13.5" hidden="1" spans="1:5">
      <c r="A5033" s="2" t="str">
        <f>"李林锋"</f>
        <v>李林锋</v>
      </c>
      <c r="B5033" s="2" t="str">
        <f>"B20221302106"</f>
        <v>B20221302106</v>
      </c>
      <c r="C5033" s="2" t="str">
        <f t="shared" si="1308"/>
        <v>男</v>
      </c>
      <c r="D5033" s="2" t="str">
        <f>"6"</f>
        <v>6</v>
      </c>
      <c r="E5033" s="2" t="str">
        <f>"材料与环境工程学院"</f>
        <v>材料与环境工程学院</v>
      </c>
    </row>
    <row r="5034" ht="13.5" hidden="1" spans="1:5">
      <c r="A5034" s="2" t="str">
        <f>"龙天"</f>
        <v>龙天</v>
      </c>
      <c r="B5034" s="2" t="str">
        <f>"B20210801320"</f>
        <v>B20210801320</v>
      </c>
      <c r="C5034" s="2" t="str">
        <f t="shared" si="1308"/>
        <v>男</v>
      </c>
      <c r="D5034" s="2" t="str">
        <f>"6"</f>
        <v>6</v>
      </c>
      <c r="E5034" s="2" t="str">
        <f>"外国语学院"</f>
        <v>外国语学院</v>
      </c>
    </row>
    <row r="5035" ht="13.5" hidden="1" spans="1:5">
      <c r="A5035" s="2" t="str">
        <f>"梅益嘉"</f>
        <v>梅益嘉</v>
      </c>
      <c r="B5035" s="2" t="str">
        <f>"B20230403101"</f>
        <v>B20230403101</v>
      </c>
      <c r="C5035" s="2" t="str">
        <f t="shared" si="1308"/>
        <v>男</v>
      </c>
      <c r="D5035" s="2" t="str">
        <f>"6"</f>
        <v>6</v>
      </c>
      <c r="E5035" s="2" t="str">
        <f t="shared" ref="E5035:E5038" si="1309">"电子信息与电气工程学院"</f>
        <v>电子信息与电气工程学院</v>
      </c>
    </row>
    <row r="5036" ht="13.5" hidden="1" spans="1:5">
      <c r="A5036" s="2" t="str">
        <f>"闫笑乐"</f>
        <v>闫笑乐</v>
      </c>
      <c r="B5036" s="2" t="str">
        <f>"B20230402313"</f>
        <v>B20230402313</v>
      </c>
      <c r="C5036" s="2" t="str">
        <f t="shared" si="1308"/>
        <v>男</v>
      </c>
      <c r="D5036" s="2" t="str">
        <f>"6"</f>
        <v>6</v>
      </c>
      <c r="E5036" s="2" t="str">
        <f t="shared" si="1309"/>
        <v>电子信息与电气工程学院</v>
      </c>
    </row>
    <row r="5037" ht="13.5" hidden="1" spans="1:5">
      <c r="A5037" s="2" t="str">
        <f>"朱铭辉"</f>
        <v>朱铭辉</v>
      </c>
      <c r="B5037" s="2" t="str">
        <f>"B20210204101"</f>
        <v>B20210204101</v>
      </c>
      <c r="C5037" s="2" t="str">
        <f t="shared" si="1308"/>
        <v>男</v>
      </c>
      <c r="D5037" s="2" t="str">
        <f>"6"</f>
        <v>6</v>
      </c>
      <c r="E5037" s="2" t="str">
        <f t="shared" ref="E5037:E5041" si="1310">"机电工程学院"</f>
        <v>机电工程学院</v>
      </c>
    </row>
    <row r="5038" ht="13.5" hidden="1" spans="1:5">
      <c r="A5038" s="2" t="str">
        <f>"冯宇翔"</f>
        <v>冯宇翔</v>
      </c>
      <c r="B5038" s="2" t="str">
        <f>"B20220403114"</f>
        <v>B20220403114</v>
      </c>
      <c r="C5038" s="2" t="str">
        <f t="shared" si="1308"/>
        <v>男</v>
      </c>
      <c r="D5038" s="2" t="str">
        <f>"6"</f>
        <v>6</v>
      </c>
      <c r="E5038" s="2" t="str">
        <f t="shared" si="1309"/>
        <v>电子信息与电气工程学院</v>
      </c>
    </row>
    <row r="5039" ht="13.5" hidden="1" spans="1:5">
      <c r="A5039" s="2" t="str">
        <f>"何宇星"</f>
        <v>何宇星</v>
      </c>
      <c r="B5039" s="2" t="str">
        <f>"B20210202236"</f>
        <v>B20210202236</v>
      </c>
      <c r="C5039" s="2" t="str">
        <f t="shared" si="1308"/>
        <v>男</v>
      </c>
      <c r="D5039" s="2" t="str">
        <f>"6"</f>
        <v>6</v>
      </c>
      <c r="E5039" s="2" t="str">
        <f t="shared" si="1310"/>
        <v>机电工程学院</v>
      </c>
    </row>
    <row r="5040" ht="13.5" hidden="1" spans="1:5">
      <c r="A5040" s="2" t="str">
        <f>"邱潇雨"</f>
        <v>邱潇雨</v>
      </c>
      <c r="B5040" s="2" t="str">
        <f>"B20211001123"</f>
        <v>B20211001123</v>
      </c>
      <c r="C5040" s="2" t="str">
        <f>"女"</f>
        <v>女</v>
      </c>
      <c r="D5040" s="2" t="str">
        <f>"6"</f>
        <v>6</v>
      </c>
      <c r="E5040" s="2" t="str">
        <f>"艺术设计学院"</f>
        <v>艺术设计学院</v>
      </c>
    </row>
    <row r="5041" ht="13.5" hidden="1" spans="1:5">
      <c r="A5041" s="2" t="str">
        <f>"吴锦华"</f>
        <v>吴锦华</v>
      </c>
      <c r="B5041" s="2" t="str">
        <f>"B20230202107"</f>
        <v>B20230202107</v>
      </c>
      <c r="C5041" s="2" t="str">
        <f>"女"</f>
        <v>女</v>
      </c>
      <c r="D5041" s="2" t="str">
        <f>"6"</f>
        <v>6</v>
      </c>
      <c r="E5041" s="2" t="str">
        <f t="shared" si="1310"/>
        <v>机电工程学院</v>
      </c>
    </row>
    <row r="5042" ht="13.5" hidden="1" spans="1:5">
      <c r="A5042" s="2" t="str">
        <f>"赵志远"</f>
        <v>赵志远</v>
      </c>
      <c r="B5042" s="2" t="str">
        <f>"B20220904215"</f>
        <v>B20220904215</v>
      </c>
      <c r="C5042" s="2" t="str">
        <f t="shared" ref="C5042:C5045" si="1311">"男"</f>
        <v>男</v>
      </c>
      <c r="D5042" s="2" t="str">
        <f>"6"</f>
        <v>6</v>
      </c>
      <c r="E5042" s="2" t="str">
        <f>"经济与管理学院"</f>
        <v>经济与管理学院</v>
      </c>
    </row>
    <row r="5043" ht="13.5" hidden="1" spans="1:5">
      <c r="A5043" s="2" t="str">
        <f>"曹浩明"</f>
        <v>曹浩明</v>
      </c>
      <c r="B5043" s="2" t="str">
        <f>"B20220101638"</f>
        <v>B20220101638</v>
      </c>
      <c r="C5043" s="2" t="str">
        <f t="shared" si="1311"/>
        <v>男</v>
      </c>
      <c r="D5043" s="2" t="str">
        <f>"6"</f>
        <v>6</v>
      </c>
      <c r="E5043" s="2" t="str">
        <f>"土木工程学院"</f>
        <v>土木工程学院</v>
      </c>
    </row>
    <row r="5044" ht="13.5" hidden="1" spans="1:5">
      <c r="A5044" s="2" t="str">
        <f>"刘城之"</f>
        <v>刘城之</v>
      </c>
      <c r="B5044" s="2" t="str">
        <f>"B20230202111"</f>
        <v>B20230202111</v>
      </c>
      <c r="C5044" s="2" t="str">
        <f t="shared" si="1311"/>
        <v>男</v>
      </c>
      <c r="D5044" s="2" t="str">
        <f>"6"</f>
        <v>6</v>
      </c>
      <c r="E5044" s="2" t="str">
        <f>"机电工程学院"</f>
        <v>机电工程学院</v>
      </c>
    </row>
    <row r="5045" ht="13.5" hidden="1" spans="1:5">
      <c r="A5045" s="2" t="str">
        <f>"钟文杰"</f>
        <v>钟文杰</v>
      </c>
      <c r="B5045" s="2" t="str">
        <f>"B20230702316"</f>
        <v>B20230702316</v>
      </c>
      <c r="C5045" s="2" t="str">
        <f t="shared" si="1311"/>
        <v>男</v>
      </c>
      <c r="D5045" s="2" t="str">
        <f>"6"</f>
        <v>6</v>
      </c>
      <c r="E5045" s="2" t="str">
        <f>"马栏山新媒体学院"</f>
        <v>马栏山新媒体学院</v>
      </c>
    </row>
    <row r="5046" ht="13.5" hidden="1" spans="1:5">
      <c r="A5046" s="2" t="str">
        <f>"吴欣琦"</f>
        <v>吴欣琦</v>
      </c>
      <c r="B5046" s="2" t="str">
        <f>"B20220703107"</f>
        <v>B20220703107</v>
      </c>
      <c r="C5046" s="2" t="str">
        <f>"女"</f>
        <v>女</v>
      </c>
      <c r="D5046" s="2" t="str">
        <f>"6"</f>
        <v>6</v>
      </c>
      <c r="E5046" s="2" t="str">
        <f>"马栏山新媒体学院"</f>
        <v>马栏山新媒体学院</v>
      </c>
    </row>
    <row r="5047" ht="13.5" hidden="1" spans="1:5">
      <c r="A5047" s="2" t="str">
        <f>"彭晨"</f>
        <v>彭晨</v>
      </c>
      <c r="B5047" s="2" t="str">
        <f>"B20230504429"</f>
        <v>B20230504429</v>
      </c>
      <c r="C5047" s="2" t="str">
        <f>"女"</f>
        <v>女</v>
      </c>
      <c r="D5047" s="2" t="str">
        <f>"6"</f>
        <v>6</v>
      </c>
      <c r="E5047" s="2" t="str">
        <f>"生物与化学工程学院"</f>
        <v>生物与化学工程学院</v>
      </c>
    </row>
    <row r="5048" ht="13.5" hidden="1" spans="1:5">
      <c r="A5048" s="2" t="str">
        <f>"王豪谦"</f>
        <v>王豪谦</v>
      </c>
      <c r="B5048" s="2" t="str">
        <f>"B20200401202"</f>
        <v>B20200401202</v>
      </c>
      <c r="C5048" s="2" t="str">
        <f>"男"</f>
        <v>男</v>
      </c>
      <c r="D5048" s="2" t="str">
        <f>"6"</f>
        <v>6</v>
      </c>
      <c r="E5048" s="2" t="str">
        <f>"电子信息与电气工程学院"</f>
        <v>电子信息与电气工程学院</v>
      </c>
    </row>
    <row r="5049" ht="13.5" hidden="1" spans="1:5">
      <c r="A5049" s="2" t="str">
        <f>"颜茹玉"</f>
        <v>颜茹玉</v>
      </c>
      <c r="B5049" s="2" t="str">
        <f>"B20221004224"</f>
        <v>B20221004224</v>
      </c>
      <c r="C5049" s="2" t="str">
        <f>"女"</f>
        <v>女</v>
      </c>
      <c r="D5049" s="2" t="str">
        <f>"6"</f>
        <v>6</v>
      </c>
      <c r="E5049" s="2" t="str">
        <f>"艺术设计学院"</f>
        <v>艺术设计学院</v>
      </c>
    </row>
    <row r="5050" ht="13.5" hidden="1" spans="1:5">
      <c r="A5050" s="2" t="str">
        <f>"李展鹏"</f>
        <v>李展鹏</v>
      </c>
      <c r="B5050" s="2" t="str">
        <f>"B20200403211"</f>
        <v>B20200403211</v>
      </c>
      <c r="C5050" s="2" t="str">
        <f>"男"</f>
        <v>男</v>
      </c>
      <c r="D5050" s="2" t="str">
        <f>"6"</f>
        <v>6</v>
      </c>
      <c r="E5050" s="2" t="str">
        <f>"电子信息与电气工程学院"</f>
        <v>电子信息与电气工程学院</v>
      </c>
    </row>
    <row r="5051" ht="13.5" hidden="1" spans="1:5">
      <c r="A5051" s="2" t="str">
        <f>"贺耀乐"</f>
        <v>贺耀乐</v>
      </c>
      <c r="B5051" s="2" t="str">
        <f>"B20200801409"</f>
        <v>B20200801409</v>
      </c>
      <c r="C5051" s="2" t="str">
        <f>"女"</f>
        <v>女</v>
      </c>
      <c r="D5051" s="2" t="str">
        <f>"6"</f>
        <v>6</v>
      </c>
      <c r="E5051" s="2" t="str">
        <f>"外国语学院"</f>
        <v>外国语学院</v>
      </c>
    </row>
    <row r="5052" ht="13.5" hidden="1" spans="1:5">
      <c r="A5052" s="2" t="str">
        <f>"胡入文"</f>
        <v>胡入文</v>
      </c>
      <c r="B5052" s="2" t="str">
        <f>"B20230101121"</f>
        <v>B20230101121</v>
      </c>
      <c r="C5052" s="2" t="str">
        <f>"男"</f>
        <v>男</v>
      </c>
      <c r="D5052" s="2" t="str">
        <f>"6"</f>
        <v>6</v>
      </c>
      <c r="E5052" s="2" t="str">
        <f>"土木工程学院"</f>
        <v>土木工程学院</v>
      </c>
    </row>
    <row r="5053" ht="13.5" hidden="1" spans="1:5">
      <c r="A5053" s="2" t="str">
        <f>"曾荣斌"</f>
        <v>曾荣斌</v>
      </c>
      <c r="B5053" s="2" t="str">
        <f>"B20210503235"</f>
        <v>B20210503235</v>
      </c>
      <c r="C5053" s="2" t="str">
        <f>"男"</f>
        <v>男</v>
      </c>
      <c r="D5053" s="2" t="str">
        <f>"6"</f>
        <v>6</v>
      </c>
      <c r="E5053" s="2" t="str">
        <f>"材料与环境工程学院"</f>
        <v>材料与环境工程学院</v>
      </c>
    </row>
    <row r="5054" ht="13.5" hidden="1" spans="1:5">
      <c r="A5054" s="2" t="str">
        <f>"杨思煖"</f>
        <v>杨思煖</v>
      </c>
      <c r="B5054" s="2" t="str">
        <f>"B20210801319"</f>
        <v>B20210801319</v>
      </c>
      <c r="C5054" s="2" t="str">
        <f>"女"</f>
        <v>女</v>
      </c>
      <c r="D5054" s="2" t="str">
        <f>"6"</f>
        <v>6</v>
      </c>
      <c r="E5054" s="2" t="str">
        <f>"外国语学院"</f>
        <v>外国语学院</v>
      </c>
    </row>
    <row r="5055" ht="13.5" hidden="1" spans="1:5">
      <c r="A5055" s="2" t="str">
        <f>"李志军"</f>
        <v>李志军</v>
      </c>
      <c r="B5055" s="2" t="str">
        <f>"B20220404111"</f>
        <v>B20220404111</v>
      </c>
      <c r="C5055" s="2" t="str">
        <f>"男"</f>
        <v>男</v>
      </c>
      <c r="D5055" s="2" t="str">
        <f>"6"</f>
        <v>6</v>
      </c>
      <c r="E5055" s="2" t="str">
        <f>"电子信息与电气工程学院"</f>
        <v>电子信息与电气工程学院</v>
      </c>
    </row>
    <row r="5056" ht="13.5" hidden="1" spans="1:5">
      <c r="A5056" s="2" t="str">
        <f>"许思"</f>
        <v>许思</v>
      </c>
      <c r="B5056" s="2" t="str">
        <f>"B20200502108"</f>
        <v>B20200502108</v>
      </c>
      <c r="C5056" s="2" t="str">
        <f>"女"</f>
        <v>女</v>
      </c>
      <c r="D5056" s="2" t="str">
        <f>"6"</f>
        <v>6</v>
      </c>
      <c r="E5056" s="2" t="str">
        <f>"生物与环境工程学院"</f>
        <v>生物与环境工程学院</v>
      </c>
    </row>
    <row r="5057" ht="13.5" hidden="1" spans="1:5">
      <c r="A5057" s="2" t="str">
        <f>"高铄"</f>
        <v>高铄</v>
      </c>
      <c r="B5057" s="2" t="str">
        <f>"B20200101233"</f>
        <v>B20200101233</v>
      </c>
      <c r="C5057" s="2" t="str">
        <f>"男"</f>
        <v>男</v>
      </c>
      <c r="D5057" s="2" t="str">
        <f>"6"</f>
        <v>6</v>
      </c>
      <c r="E5057" s="2" t="str">
        <f>"土木工程学院"</f>
        <v>土木工程学院</v>
      </c>
    </row>
    <row r="5058" ht="13.5" hidden="1" spans="1:5">
      <c r="A5058" s="2" t="str">
        <f>"杨超群"</f>
        <v>杨超群</v>
      </c>
      <c r="B5058" s="2" t="str">
        <f>"B20230403203"</f>
        <v>B20230403203</v>
      </c>
      <c r="C5058" s="2" t="str">
        <f>"男"</f>
        <v>男</v>
      </c>
      <c r="D5058" s="2" t="str">
        <f>"6"</f>
        <v>6</v>
      </c>
      <c r="E5058" s="2" t="str">
        <f>"电子信息与电气工程学院"</f>
        <v>电子信息与电气工程学院</v>
      </c>
    </row>
    <row r="5059" ht="13.5" hidden="1" spans="1:5">
      <c r="A5059" s="2" t="str">
        <f>"赵问澜"</f>
        <v>赵问澜</v>
      </c>
      <c r="B5059" s="2" t="str">
        <f>"B20200703207"</f>
        <v>B20200703207</v>
      </c>
      <c r="C5059" s="2" t="str">
        <f>"女"</f>
        <v>女</v>
      </c>
      <c r="D5059" s="2" t="str">
        <f>"6"</f>
        <v>6</v>
      </c>
      <c r="E5059" s="2" t="str">
        <f>"马栏山新媒体学院"</f>
        <v>马栏山新媒体学院</v>
      </c>
    </row>
    <row r="5060" ht="13.5" hidden="1" spans="1:5">
      <c r="A5060" s="2" t="str">
        <f>"袁子康"</f>
        <v>袁子康</v>
      </c>
      <c r="B5060" s="2" t="str">
        <f>"B20210501114"</f>
        <v>B20210501114</v>
      </c>
      <c r="C5060" s="2" t="str">
        <f t="shared" ref="C5060:C5063" si="1312">"男"</f>
        <v>男</v>
      </c>
      <c r="D5060" s="2" t="str">
        <f>"6"</f>
        <v>6</v>
      </c>
      <c r="E5060" s="2" t="str">
        <f>"生物与化学工程学院"</f>
        <v>生物与化学工程学院</v>
      </c>
    </row>
    <row r="5061" ht="13.5" hidden="1" spans="1:5">
      <c r="A5061" s="2" t="str">
        <f>"杭泽旭"</f>
        <v>杭泽旭</v>
      </c>
      <c r="B5061" s="2" t="str">
        <f>"B20210904335"</f>
        <v>B20210904335</v>
      </c>
      <c r="C5061" s="2" t="str">
        <f t="shared" si="1312"/>
        <v>男</v>
      </c>
      <c r="D5061" s="2" t="str">
        <f>"6"</f>
        <v>6</v>
      </c>
      <c r="E5061" s="2" t="str">
        <f>"经济与管理学院"</f>
        <v>经济与管理学院</v>
      </c>
    </row>
    <row r="5062" ht="13.5" hidden="1" spans="1:5">
      <c r="A5062" s="2" t="str">
        <f>"蒋昊"</f>
        <v>蒋昊</v>
      </c>
      <c r="B5062" s="2" t="str">
        <f>"B20210202125"</f>
        <v>B20210202125</v>
      </c>
      <c r="C5062" s="2" t="str">
        <f t="shared" si="1312"/>
        <v>男</v>
      </c>
      <c r="D5062" s="2" t="str">
        <f>"6"</f>
        <v>6</v>
      </c>
      <c r="E5062" s="2" t="str">
        <f>"机电工程学院"</f>
        <v>机电工程学院</v>
      </c>
    </row>
    <row r="5063" ht="13.5" hidden="1" spans="1:5">
      <c r="A5063" s="2" t="str">
        <f>"唐无名"</f>
        <v>唐无名</v>
      </c>
      <c r="B5063" s="2" t="str">
        <f>"B20210203102"</f>
        <v>B20210203102</v>
      </c>
      <c r="C5063" s="2" t="str">
        <f t="shared" si="1312"/>
        <v>男</v>
      </c>
      <c r="D5063" s="2" t="str">
        <f>"6"</f>
        <v>6</v>
      </c>
      <c r="E5063" s="2" t="str">
        <f>"机电工程学院"</f>
        <v>机电工程学院</v>
      </c>
    </row>
    <row r="5064" ht="13.5" hidden="1" spans="1:5">
      <c r="A5064" s="2" t="str">
        <f>"尹安琪"</f>
        <v>尹安琪</v>
      </c>
      <c r="B5064" s="2" t="str">
        <f>"B20220903231"</f>
        <v>B20220903231</v>
      </c>
      <c r="C5064" s="2" t="str">
        <f>"女"</f>
        <v>女</v>
      </c>
      <c r="D5064" s="2" t="str">
        <f>"6"</f>
        <v>6</v>
      </c>
      <c r="E5064" s="2" t="str">
        <f>"经济与管理学院"</f>
        <v>经济与管理学院</v>
      </c>
    </row>
    <row r="5065" ht="13.5" hidden="1" spans="1:5">
      <c r="A5065" s="2" t="str">
        <f>"陈沁"</f>
        <v>陈沁</v>
      </c>
      <c r="B5065" s="2" t="str">
        <f>"B20230403103"</f>
        <v>B20230403103</v>
      </c>
      <c r="C5065" s="2" t="str">
        <f>"女"</f>
        <v>女</v>
      </c>
      <c r="D5065" s="2" t="str">
        <f>"6"</f>
        <v>6</v>
      </c>
      <c r="E5065" s="2" t="str">
        <f>"电子信息与电气工程学院"</f>
        <v>电子信息与电气工程学院</v>
      </c>
    </row>
    <row r="5066" ht="13.5" hidden="1" spans="1:5">
      <c r="A5066" s="2" t="str">
        <f>"林熠明"</f>
        <v>林熠明</v>
      </c>
      <c r="B5066" s="2" t="str">
        <f>"B20210202235"</f>
        <v>B20210202235</v>
      </c>
      <c r="C5066" s="2" t="str">
        <f>"男"</f>
        <v>男</v>
      </c>
      <c r="D5066" s="2" t="str">
        <f>"6"</f>
        <v>6</v>
      </c>
      <c r="E5066" s="2" t="str">
        <f>"机电工程学院"</f>
        <v>机电工程学院</v>
      </c>
    </row>
    <row r="5067" ht="13.5" hidden="1" spans="1:5">
      <c r="A5067" s="2" t="str">
        <f>"连嵩昊"</f>
        <v>连嵩昊</v>
      </c>
      <c r="B5067" s="2" t="str">
        <f>"B20230401423"</f>
        <v>B20230401423</v>
      </c>
      <c r="C5067" s="2" t="str">
        <f>"男"</f>
        <v>男</v>
      </c>
      <c r="D5067" s="2" t="str">
        <f>"6"</f>
        <v>6</v>
      </c>
      <c r="E5067" s="2" t="str">
        <f>"电子信息与电气工程学院"</f>
        <v>电子信息与电气工程学院</v>
      </c>
    </row>
    <row r="5068" ht="13.5" hidden="1" spans="1:5">
      <c r="A5068" s="2" t="str">
        <f>"武晨阳"</f>
        <v>武晨阳</v>
      </c>
      <c r="B5068" s="2" t="str">
        <f>"B20210902334"</f>
        <v>B20210902334</v>
      </c>
      <c r="C5068" s="2" t="str">
        <f>"女"</f>
        <v>女</v>
      </c>
      <c r="D5068" s="2" t="str">
        <f>"6"</f>
        <v>6</v>
      </c>
      <c r="E5068" s="2" t="str">
        <f>"经济与管理学院"</f>
        <v>经济与管理学院</v>
      </c>
    </row>
    <row r="5069" ht="13.5" hidden="1" spans="1:5">
      <c r="A5069" s="2" t="str">
        <f>"汪家乐"</f>
        <v>汪家乐</v>
      </c>
      <c r="B5069" s="2" t="str">
        <f>"B20230201132"</f>
        <v>B20230201132</v>
      </c>
      <c r="C5069" s="2" t="str">
        <f>"男"</f>
        <v>男</v>
      </c>
      <c r="D5069" s="2" t="str">
        <f t="shared" ref="D5069:D5077" si="1313">"6"</f>
        <v>6</v>
      </c>
      <c r="E5069" s="2" t="str">
        <f>"机电工程学院"</f>
        <v>机电工程学院</v>
      </c>
    </row>
    <row r="5070" ht="13.5" hidden="1" spans="1:5">
      <c r="A5070" s="2" t="str">
        <f>"黄承泽"</f>
        <v>黄承泽</v>
      </c>
      <c r="B5070" s="2" t="str">
        <f>"B20210401108"</f>
        <v>B20210401108</v>
      </c>
      <c r="C5070" s="2" t="str">
        <f>"男"</f>
        <v>男</v>
      </c>
      <c r="D5070" s="2" t="str">
        <f t="shared" si="1313"/>
        <v>6</v>
      </c>
      <c r="E5070" s="2" t="str">
        <f>"电子信息与电气工程学院"</f>
        <v>电子信息与电气工程学院</v>
      </c>
    </row>
    <row r="5071" ht="13.5" hidden="1" spans="1:5">
      <c r="A5071" s="2" t="str">
        <f>"奉蓝"</f>
        <v>奉蓝</v>
      </c>
      <c r="B5071" s="2" t="str">
        <f>"B20220504425"</f>
        <v>B20220504425</v>
      </c>
      <c r="C5071" s="2" t="str">
        <f t="shared" ref="C5071:C5074" si="1314">"女"</f>
        <v>女</v>
      </c>
      <c r="D5071" s="2" t="str">
        <f t="shared" si="1313"/>
        <v>6</v>
      </c>
      <c r="E5071" s="2" t="str">
        <f>"生物与化学工程学院"</f>
        <v>生物与化学工程学院</v>
      </c>
    </row>
    <row r="5072" ht="13.5" hidden="1" spans="1:5">
      <c r="A5072" s="2" t="str">
        <f>"王雨溪"</f>
        <v>王雨溪</v>
      </c>
      <c r="B5072" s="2" t="str">
        <f>"B20210801325"</f>
        <v>B20210801325</v>
      </c>
      <c r="C5072" s="2" t="str">
        <f t="shared" si="1314"/>
        <v>女</v>
      </c>
      <c r="D5072" s="2" t="str">
        <f t="shared" si="1313"/>
        <v>6</v>
      </c>
      <c r="E5072" s="2" t="str">
        <f>"外国语学院"</f>
        <v>外国语学院</v>
      </c>
    </row>
    <row r="5073" ht="13.5" hidden="1" spans="1:5">
      <c r="A5073" s="2" t="str">
        <f>"王新奥"</f>
        <v>王新奥</v>
      </c>
      <c r="B5073" s="2" t="str">
        <f>"B20200903122"</f>
        <v>B20200903122</v>
      </c>
      <c r="C5073" s="2" t="str">
        <f t="shared" ref="C5073:C5077" si="1315">"男"</f>
        <v>男</v>
      </c>
      <c r="D5073" s="2" t="str">
        <f t="shared" si="1313"/>
        <v>6</v>
      </c>
      <c r="E5073" s="2" t="str">
        <f>"经济与管理学院"</f>
        <v>经济与管理学院</v>
      </c>
    </row>
    <row r="5074" ht="13.5" hidden="1" spans="1:5">
      <c r="A5074" s="2" t="str">
        <f>"唐紫燕"</f>
        <v>唐紫燕</v>
      </c>
      <c r="B5074" s="2" t="str">
        <f>"B20210202426"</f>
        <v>B20210202426</v>
      </c>
      <c r="C5074" s="2" t="str">
        <f t="shared" si="1314"/>
        <v>女</v>
      </c>
      <c r="D5074" s="2" t="str">
        <f t="shared" si="1313"/>
        <v>6</v>
      </c>
      <c r="E5074" s="2" t="str">
        <f>"机电工程学院"</f>
        <v>机电工程学院</v>
      </c>
    </row>
    <row r="5075" ht="13.5" hidden="1" spans="1:5">
      <c r="A5075" s="2" t="str">
        <f>"赵锋"</f>
        <v>赵锋</v>
      </c>
      <c r="B5075" s="2" t="str">
        <f>"B20200101317"</f>
        <v>B20200101317</v>
      </c>
      <c r="C5075" s="2" t="str">
        <f t="shared" si="1315"/>
        <v>男</v>
      </c>
      <c r="D5075" s="2" t="str">
        <f t="shared" si="1313"/>
        <v>6</v>
      </c>
      <c r="E5075" s="2" t="str">
        <f>"土木工程学院"</f>
        <v>土木工程学院</v>
      </c>
    </row>
    <row r="5076" ht="13.5" hidden="1" spans="1:5">
      <c r="A5076" s="2" t="str">
        <f>"张文岳"</f>
        <v>张文岳</v>
      </c>
      <c r="B5076" s="2" t="str">
        <f>"B20220404232"</f>
        <v>B20220404232</v>
      </c>
      <c r="C5076" s="2" t="str">
        <f t="shared" si="1315"/>
        <v>男</v>
      </c>
      <c r="D5076" s="2" t="str">
        <f t="shared" si="1313"/>
        <v>6</v>
      </c>
      <c r="E5076" s="2" t="str">
        <f>"电子信息与电气工程学院"</f>
        <v>电子信息与电气工程学院</v>
      </c>
    </row>
    <row r="5077" ht="13.5" hidden="1" spans="1:5">
      <c r="A5077" s="2" t="str">
        <f>"石应杰"</f>
        <v>石应杰</v>
      </c>
      <c r="B5077" s="2" t="str">
        <f>"B20220401229"</f>
        <v>B20220401229</v>
      </c>
      <c r="C5077" s="2" t="str">
        <f t="shared" si="1315"/>
        <v>男</v>
      </c>
      <c r="D5077" s="2" t="str">
        <f t="shared" si="1313"/>
        <v>6</v>
      </c>
      <c r="E5077" s="2" t="str">
        <f>"电子信息与电气工程学院"</f>
        <v>电子信息与电气工程学院</v>
      </c>
    </row>
    <row r="5078" ht="13.5" hidden="1" spans="1:5">
      <c r="A5078" s="2" t="str">
        <f>"林忆"</f>
        <v>林忆</v>
      </c>
      <c r="B5078" s="2" t="str">
        <f>"B20210902420"</f>
        <v>B20210902420</v>
      </c>
      <c r="C5078" s="2" t="str">
        <f>"女"</f>
        <v>女</v>
      </c>
      <c r="D5078" s="2" t="str">
        <f>"6"</f>
        <v>6</v>
      </c>
      <c r="E5078" s="2" t="str">
        <f>"经济与管理学院"</f>
        <v>经济与管理学院</v>
      </c>
    </row>
    <row r="5079" ht="13.5" hidden="1" spans="1:5">
      <c r="A5079" s="2" t="str">
        <f>"刘威"</f>
        <v>刘威</v>
      </c>
      <c r="B5079" s="2" t="str">
        <f>"B20231111125"</f>
        <v>B20231111125</v>
      </c>
      <c r="C5079" s="2" t="str">
        <f>"男"</f>
        <v>男</v>
      </c>
      <c r="D5079" s="2" t="str">
        <f>"6"</f>
        <v>6</v>
      </c>
      <c r="E5079" s="2" t="str">
        <f>"音乐学院"</f>
        <v>音乐学院</v>
      </c>
    </row>
    <row r="5080" ht="13.5" hidden="1" spans="1:5">
      <c r="A5080" s="2" t="str">
        <f>"刘焕琪"</f>
        <v>刘焕琪</v>
      </c>
      <c r="B5080" s="2" t="str">
        <f>"B20221111204"</f>
        <v>B20221111204</v>
      </c>
      <c r="C5080" s="2" t="str">
        <f>"女"</f>
        <v>女</v>
      </c>
      <c r="D5080" s="2" t="str">
        <f>"6"</f>
        <v>6</v>
      </c>
      <c r="E5080" s="2" t="str">
        <f>"音乐学院"</f>
        <v>音乐学院</v>
      </c>
    </row>
    <row r="5081" ht="13.5" hidden="1" spans="1:5">
      <c r="A5081" s="2" t="str">
        <f>"刘怡纯"</f>
        <v>刘怡纯</v>
      </c>
      <c r="B5081" s="2" t="str">
        <f>"B20210404109"</f>
        <v>B20210404109</v>
      </c>
      <c r="C5081" s="2" t="str">
        <f>"女"</f>
        <v>女</v>
      </c>
      <c r="D5081" s="2" t="str">
        <f>"6"</f>
        <v>6</v>
      </c>
      <c r="E5081" s="2" t="str">
        <f>"电子信息与电气工程学院"</f>
        <v>电子信息与电气工程学院</v>
      </c>
    </row>
    <row r="5082" ht="13.5" hidden="1" spans="1:5">
      <c r="A5082" s="2" t="str">
        <f>"崔佳鑫"</f>
        <v>崔佳鑫</v>
      </c>
      <c r="B5082" s="2" t="str">
        <f>"B20210404103"</f>
        <v>B20210404103</v>
      </c>
      <c r="C5082" s="2" t="str">
        <f>"男"</f>
        <v>男</v>
      </c>
      <c r="D5082" s="2" t="str">
        <f>"6"</f>
        <v>6</v>
      </c>
      <c r="E5082" s="2" t="str">
        <f>"电子信息与电气工程学院"</f>
        <v>电子信息与电气工程学院</v>
      </c>
    </row>
    <row r="5083" ht="13.5" hidden="1" spans="1:5">
      <c r="A5083" s="2" t="str">
        <f>"贾婷婷"</f>
        <v>贾婷婷</v>
      </c>
      <c r="B5083" s="2" t="str">
        <f>"B20230705130"</f>
        <v>B20230705130</v>
      </c>
      <c r="C5083" s="2" t="str">
        <f>"女"</f>
        <v>女</v>
      </c>
      <c r="D5083" s="2" t="str">
        <f>"6"</f>
        <v>6</v>
      </c>
      <c r="E5083" s="2" t="str">
        <f>"马栏山新媒体学院"</f>
        <v>马栏山新媒体学院</v>
      </c>
    </row>
    <row r="5084" ht="13.5" hidden="1" spans="1:5">
      <c r="A5084" s="2" t="str">
        <f>"贺伊萍"</f>
        <v>贺伊萍</v>
      </c>
      <c r="B5084" s="2" t="str">
        <f>"B20230803101"</f>
        <v>B20230803101</v>
      </c>
      <c r="C5084" s="2" t="str">
        <f>"女"</f>
        <v>女</v>
      </c>
      <c r="D5084" s="2" t="str">
        <f>"6"</f>
        <v>6</v>
      </c>
      <c r="E5084" s="2" t="str">
        <f>"外国语学院"</f>
        <v>外国语学院</v>
      </c>
    </row>
    <row r="5085" ht="13.5" hidden="1" spans="1:5">
      <c r="A5085" s="2" t="str">
        <f>"任奔"</f>
        <v>任奔</v>
      </c>
      <c r="B5085" s="2" t="str">
        <f>"B20220401218"</f>
        <v>B20220401218</v>
      </c>
      <c r="C5085" s="2" t="str">
        <f>"男"</f>
        <v>男</v>
      </c>
      <c r="D5085" s="2" t="str">
        <f>"6"</f>
        <v>6</v>
      </c>
      <c r="E5085" s="2" t="str">
        <f>"电子信息与电气工程学院"</f>
        <v>电子信息与电气工程学院</v>
      </c>
    </row>
    <row r="5086" ht="13.5" hidden="1" spans="1:5">
      <c r="A5086" s="2" t="str">
        <f>"唐嘉成"</f>
        <v>唐嘉成</v>
      </c>
      <c r="B5086" s="2" t="str">
        <f>"B20230103213"</f>
        <v>B20230103213</v>
      </c>
      <c r="C5086" s="2" t="str">
        <f>"男"</f>
        <v>男</v>
      </c>
      <c r="D5086" s="2" t="str">
        <f>"6"</f>
        <v>6</v>
      </c>
      <c r="E5086" s="2" t="str">
        <f>"土木工程学院"</f>
        <v>土木工程学院</v>
      </c>
    </row>
    <row r="5087" ht="13.5" hidden="1" spans="1:5">
      <c r="A5087" s="2" t="str">
        <f>"文秀"</f>
        <v>文秀</v>
      </c>
      <c r="B5087" s="2" t="str">
        <f>"B20230903131"</f>
        <v>B20230903131</v>
      </c>
      <c r="C5087" s="2" t="str">
        <f>"女"</f>
        <v>女</v>
      </c>
      <c r="D5087" s="2" t="str">
        <f>"6"</f>
        <v>6</v>
      </c>
      <c r="E5087" s="2" t="str">
        <f>"经济与管理学院"</f>
        <v>经济与管理学院</v>
      </c>
    </row>
    <row r="5088" ht="13.5" hidden="1" spans="1:5">
      <c r="A5088" s="2" t="str">
        <f>"陈思思"</f>
        <v>陈思思</v>
      </c>
      <c r="B5088" s="2" t="str">
        <f>"B20220702302"</f>
        <v>B20220702302</v>
      </c>
      <c r="C5088" s="2" t="str">
        <f>"女"</f>
        <v>女</v>
      </c>
      <c r="D5088" s="2" t="str">
        <f>"6"</f>
        <v>6</v>
      </c>
      <c r="E5088" s="2" t="str">
        <f>"马栏山新媒体学院"</f>
        <v>马栏山新媒体学院</v>
      </c>
    </row>
    <row r="5089" ht="13.5" hidden="1" spans="1:5">
      <c r="A5089" s="2" t="str">
        <f>"谭添"</f>
        <v>谭添</v>
      </c>
      <c r="B5089" s="2" t="str">
        <f>"B20220104104"</f>
        <v>B20220104104</v>
      </c>
      <c r="C5089" s="2" t="str">
        <f>"男"</f>
        <v>男</v>
      </c>
      <c r="D5089" s="2" t="str">
        <f>"6"</f>
        <v>6</v>
      </c>
      <c r="E5089" s="2" t="str">
        <f>"土木工程学院"</f>
        <v>土木工程学院</v>
      </c>
    </row>
    <row r="5090" ht="13.5" hidden="1" spans="1:5">
      <c r="A5090" s="2" t="str">
        <f>"邓怀宇"</f>
        <v>邓怀宇</v>
      </c>
      <c r="B5090" s="2" t="str">
        <f>"B20231302324"</f>
        <v>B20231302324</v>
      </c>
      <c r="C5090" s="2" t="str">
        <f>"男"</f>
        <v>男</v>
      </c>
      <c r="D5090" s="2" t="str">
        <f>"6"</f>
        <v>6</v>
      </c>
      <c r="E5090" s="2" t="str">
        <f>"材料与环境工程学院"</f>
        <v>材料与环境工程学院</v>
      </c>
    </row>
    <row r="5091" ht="13.5" hidden="1" spans="1:5">
      <c r="A5091" s="2" t="str">
        <f>"周涵"</f>
        <v>周涵</v>
      </c>
      <c r="B5091" s="2" t="str">
        <f>"B20210601303"</f>
        <v>B20210601303</v>
      </c>
      <c r="C5091" s="2" t="str">
        <f>"女"</f>
        <v>女</v>
      </c>
      <c r="D5091" s="2" t="str">
        <f>"6"</f>
        <v>6</v>
      </c>
      <c r="E5091" s="2" t="str">
        <f>"法学院"</f>
        <v>法学院</v>
      </c>
    </row>
    <row r="5092" ht="13.5" hidden="1" spans="1:5">
      <c r="A5092" s="2" t="str">
        <f>"周梦锐"</f>
        <v>周梦锐</v>
      </c>
      <c r="B5092" s="2" t="str">
        <f>"B20210102136"</f>
        <v>B20210102136</v>
      </c>
      <c r="C5092" s="2" t="str">
        <f>"女"</f>
        <v>女</v>
      </c>
      <c r="D5092" s="2" t="str">
        <f>"6"</f>
        <v>6</v>
      </c>
      <c r="E5092" s="2" t="str">
        <f>"土木工程学院"</f>
        <v>土木工程学院</v>
      </c>
    </row>
    <row r="5093" ht="13.5" hidden="1" spans="1:5">
      <c r="A5093" s="2" t="str">
        <f>"刘宇"</f>
        <v>刘宇</v>
      </c>
      <c r="B5093" s="2" t="str">
        <f>"B20230202225"</f>
        <v>B20230202225</v>
      </c>
      <c r="C5093" s="2" t="str">
        <f t="shared" ref="C5093:C5098" si="1316">"男"</f>
        <v>男</v>
      </c>
      <c r="D5093" s="2" t="str">
        <f>"6"</f>
        <v>6</v>
      </c>
      <c r="E5093" s="2" t="str">
        <f>"机电工程学院"</f>
        <v>机电工程学院</v>
      </c>
    </row>
    <row r="5094" ht="13.5" hidden="1" spans="1:5">
      <c r="A5094" s="2" t="str">
        <f>"李先觉"</f>
        <v>李先觉</v>
      </c>
      <c r="B5094" s="2" t="str">
        <f>"B20230204221"</f>
        <v>B20230204221</v>
      </c>
      <c r="C5094" s="2" t="str">
        <f t="shared" si="1316"/>
        <v>男</v>
      </c>
      <c r="D5094" s="2" t="str">
        <f>"6"</f>
        <v>6</v>
      </c>
      <c r="E5094" s="2" t="str">
        <f>"机电工程学院"</f>
        <v>机电工程学院</v>
      </c>
    </row>
    <row r="5095" ht="13.5" hidden="1" spans="1:5">
      <c r="A5095" s="2" t="str">
        <f>"郝宇柔"</f>
        <v>郝宇柔</v>
      </c>
      <c r="B5095" s="2" t="str">
        <f>"B20230901127"</f>
        <v>B20230901127</v>
      </c>
      <c r="C5095" s="2" t="str">
        <f t="shared" ref="C5095:C5097" si="1317">"女"</f>
        <v>女</v>
      </c>
      <c r="D5095" s="2" t="str">
        <f>"6"</f>
        <v>6</v>
      </c>
      <c r="E5095" s="2" t="str">
        <f>"经济与管理学院"</f>
        <v>经济与管理学院</v>
      </c>
    </row>
    <row r="5096" ht="13.5" hidden="1" spans="1:5">
      <c r="A5096" s="2" t="str">
        <f>"赵旋"</f>
        <v>赵旋</v>
      </c>
      <c r="B5096" s="2" t="str">
        <f>"B20220802124"</f>
        <v>B20220802124</v>
      </c>
      <c r="C5096" s="2" t="str">
        <f t="shared" si="1317"/>
        <v>女</v>
      </c>
      <c r="D5096" s="2" t="str">
        <f>"6"</f>
        <v>6</v>
      </c>
      <c r="E5096" s="2" t="str">
        <f>"外国语学院"</f>
        <v>外国语学院</v>
      </c>
    </row>
    <row r="5097" ht="13.5" hidden="1" spans="1:5">
      <c r="A5097" s="2" t="str">
        <f>"乐小瑄"</f>
        <v>乐小瑄</v>
      </c>
      <c r="B5097" s="2" t="str">
        <f>"B20231401106"</f>
        <v>B20231401106</v>
      </c>
      <c r="C5097" s="2" t="str">
        <f t="shared" si="1317"/>
        <v>女</v>
      </c>
      <c r="D5097" s="2" t="str">
        <f>"6"</f>
        <v>6</v>
      </c>
      <c r="E5097" s="2" t="str">
        <f>"马克思主义学院"</f>
        <v>马克思主义学院</v>
      </c>
    </row>
    <row r="5098" ht="13.5" hidden="1" spans="1:5">
      <c r="A5098" s="2" t="str">
        <f>"佘宇航"</f>
        <v>佘宇航</v>
      </c>
      <c r="B5098" s="2" t="str">
        <f>"B20200504111"</f>
        <v>B20200504111</v>
      </c>
      <c r="C5098" s="2" t="str">
        <f t="shared" si="1316"/>
        <v>男</v>
      </c>
      <c r="D5098" s="2" t="str">
        <f>"6"</f>
        <v>6</v>
      </c>
      <c r="E5098" s="2" t="str">
        <f>"生物与环境工程学院"</f>
        <v>生物与环境工程学院</v>
      </c>
    </row>
    <row r="5099" ht="13.5" hidden="1" spans="1:5">
      <c r="A5099" s="2" t="str">
        <f>"曹培琪"</f>
        <v>曹培琪</v>
      </c>
      <c r="B5099" s="2" t="str">
        <f>"B20231111112"</f>
        <v>B20231111112</v>
      </c>
      <c r="C5099" s="2" t="str">
        <f>"女"</f>
        <v>女</v>
      </c>
      <c r="D5099" s="2" t="str">
        <f>"6"</f>
        <v>6</v>
      </c>
      <c r="E5099" s="2" t="str">
        <f>"音乐学院"</f>
        <v>音乐学院</v>
      </c>
    </row>
    <row r="5100" ht="13.5" hidden="1" spans="1:5">
      <c r="A5100" s="2" t="str">
        <f>"方心怡"</f>
        <v>方心怡</v>
      </c>
      <c r="B5100" s="2" t="str">
        <f>"B20220904122"</f>
        <v>B20220904122</v>
      </c>
      <c r="C5100" s="2" t="str">
        <f>"女"</f>
        <v>女</v>
      </c>
      <c r="D5100" s="2" t="str">
        <f>"6"</f>
        <v>6</v>
      </c>
      <c r="E5100" s="2" t="str">
        <f>"经济与管理学院"</f>
        <v>经济与管理学院</v>
      </c>
    </row>
    <row r="5101" ht="13.5" hidden="1" spans="1:5">
      <c r="A5101" s="2" t="str">
        <f>"杨文源"</f>
        <v>杨文源</v>
      </c>
      <c r="B5101" s="2" t="str">
        <f>"B20220703113"</f>
        <v>B20220703113</v>
      </c>
      <c r="C5101" s="2" t="str">
        <f>"女"</f>
        <v>女</v>
      </c>
      <c r="D5101" s="2" t="str">
        <f>"6"</f>
        <v>6</v>
      </c>
      <c r="E5101" s="2" t="str">
        <f>"马栏山新媒体学院"</f>
        <v>马栏山新媒体学院</v>
      </c>
    </row>
    <row r="5102" ht="13.5" hidden="1" spans="1:5">
      <c r="A5102" s="2" t="str">
        <f>"李金承"</f>
        <v>李金承</v>
      </c>
      <c r="B5102" s="2" t="str">
        <f>"B20230501211"</f>
        <v>B20230501211</v>
      </c>
      <c r="C5102" s="2" t="str">
        <f t="shared" ref="C5102:C5107" si="1318">"男"</f>
        <v>男</v>
      </c>
      <c r="D5102" s="2" t="str">
        <f>"6"</f>
        <v>6</v>
      </c>
      <c r="E5102" s="2" t="str">
        <f>"生物与化学工程学院"</f>
        <v>生物与化学工程学院</v>
      </c>
    </row>
    <row r="5103" ht="13.5" hidden="1" spans="1:5">
      <c r="A5103" s="2" t="str">
        <f>"王依灵"</f>
        <v>王依灵</v>
      </c>
      <c r="B5103" s="2" t="str">
        <f>"B20231004223"</f>
        <v>B20231004223</v>
      </c>
      <c r="C5103" s="2" t="str">
        <f>"女"</f>
        <v>女</v>
      </c>
      <c r="D5103" s="2" t="str">
        <f>"6"</f>
        <v>6</v>
      </c>
      <c r="E5103" s="2" t="str">
        <f>"艺术设计学院"</f>
        <v>艺术设计学院</v>
      </c>
    </row>
    <row r="5104" ht="13.5" hidden="1" spans="1:5">
      <c r="A5104" s="2" t="str">
        <f>"罗梓源"</f>
        <v>罗梓源</v>
      </c>
      <c r="B5104" s="2" t="str">
        <f>"B20231302129"</f>
        <v>B20231302129</v>
      </c>
      <c r="C5104" s="2" t="str">
        <f t="shared" si="1318"/>
        <v>男</v>
      </c>
      <c r="D5104" s="2" t="str">
        <f>"6"</f>
        <v>6</v>
      </c>
      <c r="E5104" s="2" t="str">
        <f>"材料与环境工程学院"</f>
        <v>材料与环境工程学院</v>
      </c>
    </row>
    <row r="5105" ht="13.5" hidden="1" spans="1:5">
      <c r="A5105" s="2" t="str">
        <f>"易振乐"</f>
        <v>易振乐</v>
      </c>
      <c r="B5105" s="2" t="str">
        <f>"B20200803213"</f>
        <v>B20200803213</v>
      </c>
      <c r="C5105" s="2" t="str">
        <f t="shared" si="1318"/>
        <v>男</v>
      </c>
      <c r="D5105" s="2" t="str">
        <f>"6"</f>
        <v>6</v>
      </c>
      <c r="E5105" s="2" t="str">
        <f>"外国语学院"</f>
        <v>外国语学院</v>
      </c>
    </row>
    <row r="5106" ht="13.5" hidden="1" spans="1:5">
      <c r="A5106" s="2" t="str">
        <f>"袁基洲"</f>
        <v>袁基洲</v>
      </c>
      <c r="B5106" s="2" t="str">
        <f>"B20200204230"</f>
        <v>B20200204230</v>
      </c>
      <c r="C5106" s="2" t="str">
        <f t="shared" si="1318"/>
        <v>男</v>
      </c>
      <c r="D5106" s="2" t="str">
        <f>"6"</f>
        <v>6</v>
      </c>
      <c r="E5106" s="2" t="str">
        <f>"机电工程学院"</f>
        <v>机电工程学院</v>
      </c>
    </row>
    <row r="5107" ht="13.5" hidden="1" spans="1:5">
      <c r="A5107" s="2" t="str">
        <f>"隆卓轩"</f>
        <v>隆卓轩</v>
      </c>
      <c r="B5107" s="2" t="str">
        <f>"B20230802109"</f>
        <v>B20230802109</v>
      </c>
      <c r="C5107" s="2" t="str">
        <f t="shared" si="1318"/>
        <v>男</v>
      </c>
      <c r="D5107" s="2" t="str">
        <f>"6"</f>
        <v>6</v>
      </c>
      <c r="E5107" s="2" t="str">
        <f>"外国语学院"</f>
        <v>外国语学院</v>
      </c>
    </row>
    <row r="5108" ht="13.5" hidden="1" spans="1:5">
      <c r="A5108" s="2" t="str">
        <f>"谢依茵"</f>
        <v>谢依茵</v>
      </c>
      <c r="B5108" s="2" t="str">
        <f>"B20230504232"</f>
        <v>B20230504232</v>
      </c>
      <c r="C5108" s="2" t="str">
        <f>"女"</f>
        <v>女</v>
      </c>
      <c r="D5108" s="2" t="str">
        <f>"6"</f>
        <v>6</v>
      </c>
      <c r="E5108" s="2" t="str">
        <f>"生物与化学工程学院"</f>
        <v>生物与化学工程学院</v>
      </c>
    </row>
    <row r="5109" ht="13.5" hidden="1" spans="1:5">
      <c r="A5109" s="2" t="str">
        <f>"周知洁"</f>
        <v>周知洁</v>
      </c>
      <c r="B5109" s="2" t="str">
        <f>"B20201001217"</f>
        <v>B20201001217</v>
      </c>
      <c r="C5109" s="2" t="str">
        <f>"女"</f>
        <v>女</v>
      </c>
      <c r="D5109" s="2" t="str">
        <f>"6"</f>
        <v>6</v>
      </c>
      <c r="E5109" s="2" t="str">
        <f>"艺术设计学院"</f>
        <v>艺术设计学院</v>
      </c>
    </row>
    <row r="5110" ht="13.5" hidden="1" spans="1:5">
      <c r="A5110" s="2" t="str">
        <f>"高英泽"</f>
        <v>高英泽</v>
      </c>
      <c r="B5110" s="2" t="str">
        <f>"B20230502134"</f>
        <v>B20230502134</v>
      </c>
      <c r="C5110" s="2" t="str">
        <f>"女"</f>
        <v>女</v>
      </c>
      <c r="D5110" s="2" t="str">
        <f>"6"</f>
        <v>6</v>
      </c>
      <c r="E5110" s="2" t="str">
        <f>"生物与化学工程学院"</f>
        <v>生物与化学工程学院</v>
      </c>
    </row>
    <row r="5111" ht="13.5" hidden="1" spans="1:5">
      <c r="A5111" s="2" t="str">
        <f>"陈佩婷"</f>
        <v>陈佩婷</v>
      </c>
      <c r="B5111" s="2" t="str">
        <f>"B20200904201"</f>
        <v>B20200904201</v>
      </c>
      <c r="C5111" s="2" t="str">
        <f>"女"</f>
        <v>女</v>
      </c>
      <c r="D5111" s="2" t="str">
        <f>"6"</f>
        <v>6</v>
      </c>
      <c r="E5111" s="2" t="str">
        <f>"经济与管理学院"</f>
        <v>经济与管理学院</v>
      </c>
    </row>
    <row r="5112" ht="13.5" hidden="1" spans="1:5">
      <c r="A5112" s="2" t="str">
        <f>"李东阳"</f>
        <v>李东阳</v>
      </c>
      <c r="B5112" s="2" t="str">
        <f>"B20210201311"</f>
        <v>B20210201311</v>
      </c>
      <c r="C5112" s="2" t="str">
        <f>"男"</f>
        <v>男</v>
      </c>
      <c r="D5112" s="2" t="str">
        <f>"6"</f>
        <v>6</v>
      </c>
      <c r="E5112" s="2" t="str">
        <f>"机电工程学院"</f>
        <v>机电工程学院</v>
      </c>
    </row>
    <row r="5113" ht="13.5" hidden="1" spans="1:5">
      <c r="A5113" s="2" t="str">
        <f>"彭巧芳"</f>
        <v>彭巧芳</v>
      </c>
      <c r="B5113" s="2" t="str">
        <f>"B20210703303"</f>
        <v>B20210703303</v>
      </c>
      <c r="C5113" s="2" t="str">
        <f>"女"</f>
        <v>女</v>
      </c>
      <c r="D5113" s="2" t="str">
        <f>"6"</f>
        <v>6</v>
      </c>
      <c r="E5113" s="2" t="str">
        <f>"马栏山新媒体学院"</f>
        <v>马栏山新媒体学院</v>
      </c>
    </row>
    <row r="5114" ht="13.5" hidden="1" spans="1:5">
      <c r="A5114" s="2" t="str">
        <f>"孟浩然"</f>
        <v>孟浩然</v>
      </c>
      <c r="B5114" s="2" t="str">
        <f>"B20220104132"</f>
        <v>B20220104132</v>
      </c>
      <c r="C5114" s="2" t="str">
        <f>"男"</f>
        <v>男</v>
      </c>
      <c r="D5114" s="2" t="str">
        <f>"6"</f>
        <v>6</v>
      </c>
      <c r="E5114" s="2" t="str">
        <f>"土木工程学院"</f>
        <v>土木工程学院</v>
      </c>
    </row>
    <row r="5115" ht="13.5" hidden="1" spans="1:5">
      <c r="A5115" s="2" t="str">
        <f>"童德祥"</f>
        <v>童德祥</v>
      </c>
      <c r="B5115" s="2" t="str">
        <f>"B20210404204"</f>
        <v>B20210404204</v>
      </c>
      <c r="C5115" s="2" t="str">
        <f>"男"</f>
        <v>男</v>
      </c>
      <c r="D5115" s="2" t="str">
        <f>"6"</f>
        <v>6</v>
      </c>
      <c r="E5115" s="2" t="str">
        <f>"电子信息与电气工程学院"</f>
        <v>电子信息与电气工程学院</v>
      </c>
    </row>
    <row r="5116" ht="13.5" hidden="1" spans="1:5">
      <c r="A5116" s="2" t="str">
        <f>"易圣月"</f>
        <v>易圣月</v>
      </c>
      <c r="B5116" s="2" t="str">
        <f>"B20210803128"</f>
        <v>B20210803128</v>
      </c>
      <c r="C5116" s="2" t="str">
        <f>"女"</f>
        <v>女</v>
      </c>
      <c r="D5116" s="2" t="str">
        <f>"6"</f>
        <v>6</v>
      </c>
      <c r="E5116" s="2" t="str">
        <f>"外国语学院"</f>
        <v>外国语学院</v>
      </c>
    </row>
    <row r="5117" ht="13.5" hidden="1" spans="1:5">
      <c r="A5117" s="2" t="str">
        <f>"孙建阳"</f>
        <v>孙建阳</v>
      </c>
      <c r="B5117" s="2" t="str">
        <f>"B20220204106"</f>
        <v>B20220204106</v>
      </c>
      <c r="C5117" s="2" t="str">
        <f t="shared" ref="C5117:C5123" si="1319">"男"</f>
        <v>男</v>
      </c>
      <c r="D5117" s="2" t="str">
        <f t="shared" ref="D5117:D5133" si="1320">"6"</f>
        <v>6</v>
      </c>
      <c r="E5117" s="2" t="str">
        <f>"机电工程学院"</f>
        <v>机电工程学院</v>
      </c>
    </row>
    <row r="5118" ht="13.5" hidden="1" spans="1:5">
      <c r="A5118" s="2" t="str">
        <f>"林佳怡"</f>
        <v>林佳怡</v>
      </c>
      <c r="B5118" s="2" t="str">
        <f>"B20210601430"</f>
        <v>B20210601430</v>
      </c>
      <c r="C5118" s="2" t="str">
        <f t="shared" ref="C5118:C5120" si="1321">"女"</f>
        <v>女</v>
      </c>
      <c r="D5118" s="2" t="str">
        <f t="shared" si="1320"/>
        <v>6</v>
      </c>
      <c r="E5118" s="2" t="str">
        <f>"法学院"</f>
        <v>法学院</v>
      </c>
    </row>
    <row r="5119" ht="13.5" hidden="1" spans="1:5">
      <c r="A5119" s="2" t="str">
        <f>"何玺萱"</f>
        <v>何玺萱</v>
      </c>
      <c r="B5119" s="2" t="str">
        <f>"B20210704320"</f>
        <v>B20210704320</v>
      </c>
      <c r="C5119" s="2" t="str">
        <f t="shared" si="1321"/>
        <v>女</v>
      </c>
      <c r="D5119" s="2" t="str">
        <f t="shared" si="1320"/>
        <v>6</v>
      </c>
      <c r="E5119" s="2" t="str">
        <f>"马栏山新媒体学院"</f>
        <v>马栏山新媒体学院</v>
      </c>
    </row>
    <row r="5120" ht="13.5" hidden="1" spans="1:5">
      <c r="A5120" s="2" t="str">
        <f>"欧胜蓝"</f>
        <v>欧胜蓝</v>
      </c>
      <c r="B5120" s="2" t="str">
        <f>"B20220504327"</f>
        <v>B20220504327</v>
      </c>
      <c r="C5120" s="2" t="str">
        <f t="shared" si="1321"/>
        <v>女</v>
      </c>
      <c r="D5120" s="2" t="str">
        <f t="shared" si="1320"/>
        <v>6</v>
      </c>
      <c r="E5120" s="2" t="str">
        <f>"生物与化学工程学院"</f>
        <v>生物与化学工程学院</v>
      </c>
    </row>
    <row r="5121" ht="13.5" hidden="1" spans="1:5">
      <c r="A5121" s="2" t="str">
        <f>"金石"</f>
        <v>金石</v>
      </c>
      <c r="B5121" s="2" t="str">
        <f>"B20220103229"</f>
        <v>B20220103229</v>
      </c>
      <c r="C5121" s="2" t="str">
        <f t="shared" si="1319"/>
        <v>男</v>
      </c>
      <c r="D5121" s="2" t="str">
        <f t="shared" si="1320"/>
        <v>6</v>
      </c>
      <c r="E5121" s="2" t="str">
        <f>"土木工程学院"</f>
        <v>土木工程学院</v>
      </c>
    </row>
    <row r="5122" ht="13.5" hidden="1" spans="1:5">
      <c r="A5122" s="2" t="str">
        <f>"郭耀星"</f>
        <v>郭耀星</v>
      </c>
      <c r="B5122" s="2" t="str">
        <f>"B20190202429"</f>
        <v>B20190202429</v>
      </c>
      <c r="C5122" s="2" t="str">
        <f t="shared" si="1319"/>
        <v>男</v>
      </c>
      <c r="D5122" s="2" t="str">
        <f t="shared" si="1320"/>
        <v>6</v>
      </c>
      <c r="E5122" s="2" t="str">
        <f>"机电工程学院"</f>
        <v>机电工程学院</v>
      </c>
    </row>
    <row r="5123" ht="13.5" hidden="1" spans="1:5">
      <c r="A5123" s="2" t="str">
        <f>"彭炫池"</f>
        <v>彭炫池</v>
      </c>
      <c r="B5123" s="2" t="str">
        <f>"B20230103119"</f>
        <v>B20230103119</v>
      </c>
      <c r="C5123" s="2" t="str">
        <f t="shared" si="1319"/>
        <v>男</v>
      </c>
      <c r="D5123" s="2" t="str">
        <f t="shared" si="1320"/>
        <v>6</v>
      </c>
      <c r="E5123" s="2" t="str">
        <f>"土木工程学院"</f>
        <v>土木工程学院</v>
      </c>
    </row>
    <row r="5124" ht="13.5" hidden="1" spans="1:5">
      <c r="A5124" s="2" t="str">
        <f>"苏子怡"</f>
        <v>苏子怡</v>
      </c>
      <c r="B5124" s="2" t="str">
        <f>"B20230902131"</f>
        <v>B20230902131</v>
      </c>
      <c r="C5124" s="2" t="str">
        <f>"女"</f>
        <v>女</v>
      </c>
      <c r="D5124" s="2" t="str">
        <f t="shared" si="1320"/>
        <v>6</v>
      </c>
      <c r="E5124" s="2" t="str">
        <f>"经济与管理学院"</f>
        <v>经济与管理学院</v>
      </c>
    </row>
    <row r="5125" ht="13.5" hidden="1" spans="1:5">
      <c r="A5125" s="2" t="str">
        <f>"廖君逸"</f>
        <v>廖君逸</v>
      </c>
      <c r="B5125" s="2" t="str">
        <f>"B20230403210"</f>
        <v>B20230403210</v>
      </c>
      <c r="C5125" s="2" t="str">
        <f t="shared" ref="C5125:C5127" si="1322">"男"</f>
        <v>男</v>
      </c>
      <c r="D5125" s="2" t="str">
        <f t="shared" si="1320"/>
        <v>6</v>
      </c>
      <c r="E5125" s="2" t="str">
        <f>"电子信息与电气工程学院"</f>
        <v>电子信息与电气工程学院</v>
      </c>
    </row>
    <row r="5126" ht="13.5" hidden="1" spans="1:5">
      <c r="A5126" s="2" t="str">
        <f>"刘洋"</f>
        <v>刘洋</v>
      </c>
      <c r="B5126" s="2" t="str">
        <f>"B20230202312"</f>
        <v>B20230202312</v>
      </c>
      <c r="C5126" s="2" t="str">
        <f t="shared" si="1322"/>
        <v>男</v>
      </c>
      <c r="D5126" s="2" t="str">
        <f t="shared" si="1320"/>
        <v>6</v>
      </c>
      <c r="E5126" s="2" t="str">
        <f>"机电工程学院"</f>
        <v>机电工程学院</v>
      </c>
    </row>
    <row r="5127" ht="13.5" hidden="1" spans="1:5">
      <c r="A5127" s="2" t="str">
        <f>"黄健"</f>
        <v>黄健</v>
      </c>
      <c r="B5127" s="2" t="str">
        <f>"B20220402206"</f>
        <v>B20220402206</v>
      </c>
      <c r="C5127" s="2" t="str">
        <f t="shared" si="1322"/>
        <v>男</v>
      </c>
      <c r="D5127" s="2" t="str">
        <f t="shared" si="1320"/>
        <v>6</v>
      </c>
      <c r="E5127" s="2" t="str">
        <f>"电子信息与电气工程学院"</f>
        <v>电子信息与电气工程学院</v>
      </c>
    </row>
    <row r="5128" ht="13.5" hidden="1" spans="1:5">
      <c r="A5128" s="2" t="str">
        <f>"马思思"</f>
        <v>马思思</v>
      </c>
      <c r="B5128" s="2" t="str">
        <f>"B20210801215"</f>
        <v>B20210801215</v>
      </c>
      <c r="C5128" s="2" t="str">
        <f t="shared" ref="C5128:C5133" si="1323">"女"</f>
        <v>女</v>
      </c>
      <c r="D5128" s="2" t="str">
        <f t="shared" si="1320"/>
        <v>6</v>
      </c>
      <c r="E5128" s="2" t="str">
        <f>"外国语学院"</f>
        <v>外国语学院</v>
      </c>
    </row>
    <row r="5129" ht="13.5" hidden="1" spans="1:5">
      <c r="A5129" s="2" t="str">
        <f>"康荣鹏"</f>
        <v>康荣鹏</v>
      </c>
      <c r="B5129" s="2" t="str">
        <f>"B20230102132"</f>
        <v>B20230102132</v>
      </c>
      <c r="C5129" s="2" t="str">
        <f t="shared" ref="C5129:C5132" si="1324">"男"</f>
        <v>男</v>
      </c>
      <c r="D5129" s="2" t="str">
        <f t="shared" si="1320"/>
        <v>6</v>
      </c>
      <c r="E5129" s="2" t="str">
        <f>"土木工程学院"</f>
        <v>土木工程学院</v>
      </c>
    </row>
    <row r="5130" ht="13.5" hidden="1" spans="1:5">
      <c r="A5130" s="2" t="str">
        <f>"朱强"</f>
        <v>朱强</v>
      </c>
      <c r="B5130" s="2" t="str">
        <f>"B20210901205"</f>
        <v>B20210901205</v>
      </c>
      <c r="C5130" s="2" t="str">
        <f t="shared" si="1324"/>
        <v>男</v>
      </c>
      <c r="D5130" s="2" t="str">
        <f t="shared" si="1320"/>
        <v>6</v>
      </c>
      <c r="E5130" s="2" t="str">
        <f>"经济与管理学院"</f>
        <v>经济与管理学院</v>
      </c>
    </row>
    <row r="5131" ht="13.5" hidden="1" spans="1:5">
      <c r="A5131" s="2" t="str">
        <f>"陈佳悦"</f>
        <v>陈佳悦</v>
      </c>
      <c r="B5131" s="2" t="str">
        <f>"B20231001212"</f>
        <v>B20231001212</v>
      </c>
      <c r="C5131" s="2" t="str">
        <f t="shared" si="1323"/>
        <v>女</v>
      </c>
      <c r="D5131" s="2" t="str">
        <f t="shared" si="1320"/>
        <v>6</v>
      </c>
      <c r="E5131" s="2" t="str">
        <f>"艺术设计学院"</f>
        <v>艺术设计学院</v>
      </c>
    </row>
    <row r="5132" ht="13.5" hidden="1" spans="1:5">
      <c r="A5132" s="2" t="str">
        <f>"周超群"</f>
        <v>周超群</v>
      </c>
      <c r="B5132" s="2" t="str">
        <f>"B20200101631"</f>
        <v>B20200101631</v>
      </c>
      <c r="C5132" s="2" t="str">
        <f t="shared" si="1324"/>
        <v>男</v>
      </c>
      <c r="D5132" s="2" t="str">
        <f t="shared" si="1320"/>
        <v>6</v>
      </c>
      <c r="E5132" s="2" t="str">
        <f>"土木工程学院"</f>
        <v>土木工程学院</v>
      </c>
    </row>
    <row r="5133" ht="13.5" hidden="1" spans="1:5">
      <c r="A5133" s="2" t="str">
        <f>"杨思懿"</f>
        <v>杨思懿</v>
      </c>
      <c r="B5133" s="2" t="str">
        <f>"B20220901216"</f>
        <v>B20220901216</v>
      </c>
      <c r="C5133" s="2" t="str">
        <f t="shared" si="1323"/>
        <v>女</v>
      </c>
      <c r="D5133" s="2" t="str">
        <f t="shared" si="1320"/>
        <v>6</v>
      </c>
      <c r="E5133" s="2" t="str">
        <f>"经济与管理学院"</f>
        <v>经济与管理学院</v>
      </c>
    </row>
    <row r="5134" ht="13.5" hidden="1" spans="1:5">
      <c r="A5134" s="2" t="str">
        <f>"戚瑞彪"</f>
        <v>戚瑞彪</v>
      </c>
      <c r="B5134" s="2" t="str">
        <f>"B20221301137"</f>
        <v>B20221301137</v>
      </c>
      <c r="C5134" s="2" t="str">
        <f>"男"</f>
        <v>男</v>
      </c>
      <c r="D5134" s="2" t="str">
        <f>"6"</f>
        <v>6</v>
      </c>
      <c r="E5134" s="2" t="str">
        <f>"材料与环境工程学院"</f>
        <v>材料与环境工程学院</v>
      </c>
    </row>
    <row r="5135" ht="13.5" hidden="1" spans="1:5">
      <c r="A5135" s="2" t="str">
        <f>"唐绍鑫"</f>
        <v>唐绍鑫</v>
      </c>
      <c r="B5135" s="2" t="str">
        <f>"B20230204116"</f>
        <v>B20230204116</v>
      </c>
      <c r="C5135" s="2" t="str">
        <f>"男"</f>
        <v>男</v>
      </c>
      <c r="D5135" s="2" t="str">
        <f>"6"</f>
        <v>6</v>
      </c>
      <c r="E5135" s="2" t="str">
        <f>"机电工程学院"</f>
        <v>机电工程学院</v>
      </c>
    </row>
    <row r="5136" ht="13.5" hidden="1" spans="1:5">
      <c r="A5136" s="2" t="str">
        <f>"谢佩希"</f>
        <v>谢佩希</v>
      </c>
      <c r="B5136" s="2" t="str">
        <f>"B20221111125"</f>
        <v>B20221111125</v>
      </c>
      <c r="C5136" s="2" t="str">
        <f>"女"</f>
        <v>女</v>
      </c>
      <c r="D5136" s="2" t="str">
        <f>"6"</f>
        <v>6</v>
      </c>
      <c r="E5136" s="2" t="str">
        <f>"音乐学院"</f>
        <v>音乐学院</v>
      </c>
    </row>
    <row r="5137" ht="13.5" hidden="1" spans="1:5">
      <c r="A5137" s="2" t="str">
        <f>"赵嘉豪"</f>
        <v>赵嘉豪</v>
      </c>
      <c r="B5137" s="2" t="str">
        <f>"B20210401411"</f>
        <v>B20210401411</v>
      </c>
      <c r="C5137" s="2" t="str">
        <f t="shared" ref="C5137:C5141" si="1325">"男"</f>
        <v>男</v>
      </c>
      <c r="D5137" s="2" t="str">
        <f>"6"</f>
        <v>6</v>
      </c>
      <c r="E5137" s="2" t="str">
        <f>"电子信息与电气工程学院"</f>
        <v>电子信息与电气工程学院</v>
      </c>
    </row>
    <row r="5138" ht="13.5" hidden="1" spans="1:5">
      <c r="A5138" s="2" t="str">
        <f>"蔡一鸣"</f>
        <v>蔡一鸣</v>
      </c>
      <c r="B5138" s="2" t="str">
        <f>"B20230703216"</f>
        <v>B20230703216</v>
      </c>
      <c r="C5138" s="2" t="str">
        <f t="shared" si="1325"/>
        <v>男</v>
      </c>
      <c r="D5138" s="2" t="str">
        <f>"6"</f>
        <v>6</v>
      </c>
      <c r="E5138" s="2" t="str">
        <f>"马栏山新媒体学院"</f>
        <v>马栏山新媒体学院</v>
      </c>
    </row>
    <row r="5139" ht="13.5" hidden="1" spans="1:5">
      <c r="A5139" s="2" t="str">
        <f>"肖凌宇"</f>
        <v>肖凌宇</v>
      </c>
      <c r="B5139" s="2" t="str">
        <f>"B20230102103"</f>
        <v>B20230102103</v>
      </c>
      <c r="C5139" s="2" t="str">
        <f t="shared" si="1325"/>
        <v>男</v>
      </c>
      <c r="D5139" s="2" t="str">
        <f>"6"</f>
        <v>6</v>
      </c>
      <c r="E5139" s="2" t="str">
        <f>"土木工程学院"</f>
        <v>土木工程学院</v>
      </c>
    </row>
    <row r="5140" ht="13.5" hidden="1" spans="1:5">
      <c r="A5140" s="2" t="str">
        <f>"李冠永"</f>
        <v>李冠永</v>
      </c>
      <c r="B5140" s="2" t="str">
        <f>"B20221101223"</f>
        <v>B20221101223</v>
      </c>
      <c r="C5140" s="2" t="str">
        <f t="shared" si="1325"/>
        <v>男</v>
      </c>
      <c r="D5140" s="2" t="str">
        <f>"6"</f>
        <v>6</v>
      </c>
      <c r="E5140" s="2" t="str">
        <f>"音乐学院"</f>
        <v>音乐学院</v>
      </c>
    </row>
    <row r="5141" ht="13.5" hidden="1" spans="1:5">
      <c r="A5141" s="2" t="str">
        <f>"王嘉聪"</f>
        <v>王嘉聪</v>
      </c>
      <c r="B5141" s="2" t="str">
        <f>"B20210401325"</f>
        <v>B20210401325</v>
      </c>
      <c r="C5141" s="2" t="str">
        <f t="shared" si="1325"/>
        <v>男</v>
      </c>
      <c r="D5141" s="2" t="str">
        <f>"6"</f>
        <v>6</v>
      </c>
      <c r="E5141" s="2" t="str">
        <f t="shared" ref="E5141:E5145" si="1326">"电子信息与电气工程学院"</f>
        <v>电子信息与电气工程学院</v>
      </c>
    </row>
    <row r="5142" ht="13.5" hidden="1" spans="1:5">
      <c r="A5142" s="2" t="str">
        <f>"陈宇欣"</f>
        <v>陈宇欣</v>
      </c>
      <c r="B5142" s="2" t="str">
        <f>"B20231401220"</f>
        <v>B20231401220</v>
      </c>
      <c r="C5142" s="2" t="str">
        <f>"女"</f>
        <v>女</v>
      </c>
      <c r="D5142" s="2" t="str">
        <f>"6"</f>
        <v>6</v>
      </c>
      <c r="E5142" s="2" t="str">
        <f>"马克思主义学院"</f>
        <v>马克思主义学院</v>
      </c>
    </row>
    <row r="5143" ht="13.5" hidden="1" spans="1:5">
      <c r="A5143" s="2" t="str">
        <f>"何林洋"</f>
        <v>何林洋</v>
      </c>
      <c r="B5143" s="2" t="str">
        <f>"B20210404225"</f>
        <v>B20210404225</v>
      </c>
      <c r="C5143" s="2" t="str">
        <f t="shared" ref="C5143:C5145" si="1327">"男"</f>
        <v>男</v>
      </c>
      <c r="D5143" s="2" t="str">
        <f>"6"</f>
        <v>6</v>
      </c>
      <c r="E5143" s="2" t="str">
        <f t="shared" si="1326"/>
        <v>电子信息与电气工程学院</v>
      </c>
    </row>
    <row r="5144" ht="13.5" hidden="1" spans="1:5">
      <c r="A5144" s="2" t="str">
        <f>"谌长军"</f>
        <v>谌长军</v>
      </c>
      <c r="B5144" s="2" t="str">
        <f>"B20230504318"</f>
        <v>B20230504318</v>
      </c>
      <c r="C5144" s="2" t="str">
        <f t="shared" si="1327"/>
        <v>男</v>
      </c>
      <c r="D5144" s="2" t="str">
        <f>"6"</f>
        <v>6</v>
      </c>
      <c r="E5144" s="2" t="str">
        <f>"生物与化学工程学院"</f>
        <v>生物与化学工程学院</v>
      </c>
    </row>
    <row r="5145" ht="13.5" hidden="1" spans="1:5">
      <c r="A5145" s="2" t="str">
        <f>"鲁哲成"</f>
        <v>鲁哲成</v>
      </c>
      <c r="B5145" s="2" t="str">
        <f>"B20210401403"</f>
        <v>B20210401403</v>
      </c>
      <c r="C5145" s="2" t="str">
        <f t="shared" si="1327"/>
        <v>男</v>
      </c>
      <c r="D5145" s="2" t="str">
        <f>"6"</f>
        <v>6</v>
      </c>
      <c r="E5145" s="2" t="str">
        <f t="shared" si="1326"/>
        <v>电子信息与电气工程学院</v>
      </c>
    </row>
    <row r="5146" ht="13.5" hidden="1" spans="1:5">
      <c r="A5146" s="2" t="str">
        <f>"杜莉雯"</f>
        <v>杜莉雯</v>
      </c>
      <c r="B5146" s="2" t="str">
        <f>"B20230704224"</f>
        <v>B20230704224</v>
      </c>
      <c r="C5146" s="2" t="str">
        <f t="shared" ref="C5146:C5151" si="1328">"女"</f>
        <v>女</v>
      </c>
      <c r="D5146" s="2" t="str">
        <f>"6"</f>
        <v>6</v>
      </c>
      <c r="E5146" s="2" t="str">
        <f>"马栏山新媒体学院"</f>
        <v>马栏山新媒体学院</v>
      </c>
    </row>
    <row r="5147" ht="13.5" hidden="1" spans="1:5">
      <c r="A5147" s="2" t="str">
        <f>"刘凯菂"</f>
        <v>刘凯菂</v>
      </c>
      <c r="B5147" s="2" t="str">
        <f>"B20230202220"</f>
        <v>B20230202220</v>
      </c>
      <c r="C5147" s="2" t="str">
        <f t="shared" ref="C5147:C5152" si="1329">"男"</f>
        <v>男</v>
      </c>
      <c r="D5147" s="2" t="str">
        <f>"6"</f>
        <v>6</v>
      </c>
      <c r="E5147" s="2" t="str">
        <f>"机电工程学院"</f>
        <v>机电工程学院</v>
      </c>
    </row>
    <row r="5148" ht="13.5" hidden="1" spans="1:5">
      <c r="A5148" s="2" t="str">
        <f>"张惠蓉"</f>
        <v>张惠蓉</v>
      </c>
      <c r="B5148" s="2" t="str">
        <f>"B20230902212"</f>
        <v>B20230902212</v>
      </c>
      <c r="C5148" s="2" t="str">
        <f t="shared" si="1328"/>
        <v>女</v>
      </c>
      <c r="D5148" s="2" t="str">
        <f>"6"</f>
        <v>6</v>
      </c>
      <c r="E5148" s="2" t="str">
        <f t="shared" ref="E5148:E5152" si="1330">"经济与管理学院"</f>
        <v>经济与管理学院</v>
      </c>
    </row>
    <row r="5149" ht="13.5" hidden="1" spans="1:5">
      <c r="A5149" s="2" t="str">
        <f>"王佳豪"</f>
        <v>王佳豪</v>
      </c>
      <c r="B5149" s="2" t="str">
        <f>"B20200101535"</f>
        <v>B20200101535</v>
      </c>
      <c r="C5149" s="2" t="str">
        <f t="shared" si="1329"/>
        <v>男</v>
      </c>
      <c r="D5149" s="2" t="str">
        <f>"6"</f>
        <v>6</v>
      </c>
      <c r="E5149" s="2" t="str">
        <f>"土木工程学院"</f>
        <v>土木工程学院</v>
      </c>
    </row>
    <row r="5150" ht="13.5" hidden="1" spans="1:5">
      <c r="A5150" s="2" t="str">
        <f>"熊心怡"</f>
        <v>熊心怡</v>
      </c>
      <c r="B5150" s="2" t="str">
        <f>"B20221302402"</f>
        <v>B20221302402</v>
      </c>
      <c r="C5150" s="2" t="str">
        <f t="shared" si="1328"/>
        <v>女</v>
      </c>
      <c r="D5150" s="2" t="str">
        <f>"6"</f>
        <v>6</v>
      </c>
      <c r="E5150" s="2" t="str">
        <f>"材料与环境工程学院"</f>
        <v>材料与环境工程学院</v>
      </c>
    </row>
    <row r="5151" ht="13.5" hidden="1" spans="1:5">
      <c r="A5151" s="2" t="str">
        <f>"贾欣怡"</f>
        <v>贾欣怡</v>
      </c>
      <c r="B5151" s="2" t="str">
        <f>"B20210906229"</f>
        <v>B20210906229</v>
      </c>
      <c r="C5151" s="2" t="str">
        <f t="shared" si="1328"/>
        <v>女</v>
      </c>
      <c r="D5151" s="2" t="str">
        <f>"6"</f>
        <v>6</v>
      </c>
      <c r="E5151" s="2" t="str">
        <f t="shared" si="1330"/>
        <v>经济与管理学院</v>
      </c>
    </row>
    <row r="5152" ht="13.5" hidden="1" spans="1:5">
      <c r="A5152" s="2" t="str">
        <f>"杨诗"</f>
        <v>杨诗</v>
      </c>
      <c r="B5152" s="2" t="str">
        <f>"B20220906233"</f>
        <v>B20220906233</v>
      </c>
      <c r="C5152" s="2" t="str">
        <f t="shared" si="1329"/>
        <v>男</v>
      </c>
      <c r="D5152" s="2" t="str">
        <f>"6"</f>
        <v>6</v>
      </c>
      <c r="E5152" s="2" t="str">
        <f t="shared" si="1330"/>
        <v>经济与管理学院</v>
      </c>
    </row>
    <row r="5153" ht="13.5" hidden="1" spans="1:5">
      <c r="A5153" s="2" t="str">
        <f>"周欣"</f>
        <v>周欣</v>
      </c>
      <c r="B5153" s="2" t="str">
        <f>"B20220601118"</f>
        <v>B20220601118</v>
      </c>
      <c r="C5153" s="2" t="str">
        <f t="shared" ref="C5153:C5156" si="1331">"女"</f>
        <v>女</v>
      </c>
      <c r="D5153" s="2" t="str">
        <f>"6"</f>
        <v>6</v>
      </c>
      <c r="E5153" s="2" t="str">
        <f>"法学院"</f>
        <v>法学院</v>
      </c>
    </row>
    <row r="5154" ht="13.5" hidden="1" spans="1:5">
      <c r="A5154" s="2" t="str">
        <f>"王俊程"</f>
        <v>王俊程</v>
      </c>
      <c r="B5154" s="2" t="str">
        <f>"B20230205203"</f>
        <v>B20230205203</v>
      </c>
      <c r="C5154" s="2" t="str">
        <f>"男"</f>
        <v>男</v>
      </c>
      <c r="D5154" s="2" t="str">
        <f>"6"</f>
        <v>6</v>
      </c>
      <c r="E5154" s="2" t="str">
        <f>"机电工程学院"</f>
        <v>机电工程学院</v>
      </c>
    </row>
    <row r="5155" ht="13.5" hidden="1" spans="1:5">
      <c r="A5155" s="2" t="str">
        <f>"昌靓"</f>
        <v>昌靓</v>
      </c>
      <c r="B5155" s="2" t="str">
        <f>"B20231401222"</f>
        <v>B20231401222</v>
      </c>
      <c r="C5155" s="2" t="str">
        <f t="shared" si="1331"/>
        <v>女</v>
      </c>
      <c r="D5155" s="2" t="str">
        <f>"6"</f>
        <v>6</v>
      </c>
      <c r="E5155" s="2" t="str">
        <f>"马克思主义学院"</f>
        <v>马克思主义学院</v>
      </c>
    </row>
    <row r="5156" ht="13.5" hidden="1" spans="1:5">
      <c r="A5156" s="2" t="str">
        <f>"蒋念美"</f>
        <v>蒋念美</v>
      </c>
      <c r="B5156" s="2" t="str">
        <f>"B20220202302"</f>
        <v>B20220202302</v>
      </c>
      <c r="C5156" s="2" t="str">
        <f t="shared" si="1331"/>
        <v>女</v>
      </c>
      <c r="D5156" s="2" t="str">
        <f>"6"</f>
        <v>6</v>
      </c>
      <c r="E5156" s="2" t="str">
        <f>"机电工程学院"</f>
        <v>机电工程学院</v>
      </c>
    </row>
    <row r="5157" ht="13.5" hidden="1" spans="1:5">
      <c r="A5157" s="2" t="str">
        <f>"刘坤煜"</f>
        <v>刘坤煜</v>
      </c>
      <c r="B5157" s="2" t="str">
        <f>"B20230404132"</f>
        <v>B20230404132</v>
      </c>
      <c r="C5157" s="2" t="str">
        <f>"男"</f>
        <v>男</v>
      </c>
      <c r="D5157" s="2" t="str">
        <f>"6"</f>
        <v>6</v>
      </c>
      <c r="E5157" s="2" t="str">
        <f>"电子信息与电气工程学院"</f>
        <v>电子信息与电气工程学院</v>
      </c>
    </row>
    <row r="5158" ht="13.5" hidden="1" spans="1:5">
      <c r="A5158" s="2" t="str">
        <f>"李晶"</f>
        <v>李晶</v>
      </c>
      <c r="B5158" s="2" t="str">
        <f>"B20220904103"</f>
        <v>B20220904103</v>
      </c>
      <c r="C5158" s="2" t="str">
        <f>"女"</f>
        <v>女</v>
      </c>
      <c r="D5158" s="2" t="str">
        <f>"6"</f>
        <v>6</v>
      </c>
      <c r="E5158" s="2" t="str">
        <f>"经济与管理学院"</f>
        <v>经济与管理学院</v>
      </c>
    </row>
    <row r="5159" ht="13.5" hidden="1" spans="1:5">
      <c r="A5159" s="2" t="str">
        <f>"曹翔"</f>
        <v>曹翔</v>
      </c>
      <c r="B5159" s="2" t="str">
        <f>"B20220202116"</f>
        <v>B20220202116</v>
      </c>
      <c r="C5159" s="2" t="str">
        <f>"男"</f>
        <v>男</v>
      </c>
      <c r="D5159" s="2" t="str">
        <f>"6"</f>
        <v>6</v>
      </c>
      <c r="E5159" s="2" t="str">
        <f>"机电工程学院"</f>
        <v>机电工程学院</v>
      </c>
    </row>
    <row r="5160" ht="13.5" hidden="1" spans="1:5">
      <c r="A5160" s="2" t="str">
        <f>"刘一菡"</f>
        <v>刘一菡</v>
      </c>
      <c r="B5160" s="2" t="str">
        <f>"B20200703209"</f>
        <v>B20200703209</v>
      </c>
      <c r="C5160" s="2" t="str">
        <f>"女"</f>
        <v>女</v>
      </c>
      <c r="D5160" s="2" t="str">
        <f>"6"</f>
        <v>6</v>
      </c>
      <c r="E5160" s="2" t="str">
        <f>"马栏山新媒体学院"</f>
        <v>马栏山新媒体学院</v>
      </c>
    </row>
    <row r="5161" ht="13.5" hidden="1" spans="1:5">
      <c r="A5161" s="2" t="str">
        <f>"廖新杰"</f>
        <v>廖新杰</v>
      </c>
      <c r="B5161" s="2" t="str">
        <f>"B20230904231"</f>
        <v>B20230904231</v>
      </c>
      <c r="C5161" s="2" t="str">
        <f>"男"</f>
        <v>男</v>
      </c>
      <c r="D5161" s="2" t="str">
        <f>"6"</f>
        <v>6</v>
      </c>
      <c r="E5161" s="2" t="str">
        <f>"经济与管理学院"</f>
        <v>经济与管理学院</v>
      </c>
    </row>
    <row r="5162" ht="13.5" hidden="1" spans="1:5">
      <c r="A5162" s="2" t="str">
        <f>"符慧源"</f>
        <v>符慧源</v>
      </c>
      <c r="B5162" s="2" t="str">
        <f>"B20230201125"</f>
        <v>B20230201125</v>
      </c>
      <c r="C5162" s="2" t="str">
        <f>"男"</f>
        <v>男</v>
      </c>
      <c r="D5162" s="2" t="str">
        <f>"6"</f>
        <v>6</v>
      </c>
      <c r="E5162" s="2" t="str">
        <f>"机电工程学院"</f>
        <v>机电工程学院</v>
      </c>
    </row>
    <row r="5163" ht="13.5" hidden="1" spans="1:5">
      <c r="A5163" s="2" t="str">
        <f>"谢豪"</f>
        <v>谢豪</v>
      </c>
      <c r="B5163" s="2" t="str">
        <f>"B20230402213"</f>
        <v>B20230402213</v>
      </c>
      <c r="C5163" s="2" t="str">
        <f>"男"</f>
        <v>男</v>
      </c>
      <c r="D5163" s="2" t="str">
        <f>"6"</f>
        <v>6</v>
      </c>
      <c r="E5163" s="2" t="str">
        <f>"电子信息与电气工程学院"</f>
        <v>电子信息与电气工程学院</v>
      </c>
    </row>
    <row r="5164" ht="13.5" hidden="1" spans="1:5">
      <c r="A5164" s="2" t="str">
        <f>"喻莉"</f>
        <v>喻莉</v>
      </c>
      <c r="B5164" s="2" t="str">
        <f>"B20210901107"</f>
        <v>B20210901107</v>
      </c>
      <c r="C5164" s="2" t="str">
        <f t="shared" ref="C5164:C5166" si="1332">"女"</f>
        <v>女</v>
      </c>
      <c r="D5164" s="2" t="str">
        <f>"6"</f>
        <v>6</v>
      </c>
      <c r="E5164" s="2" t="str">
        <f>"经济与管理学院"</f>
        <v>经济与管理学院</v>
      </c>
    </row>
    <row r="5165" ht="13.5" hidden="1" spans="1:5">
      <c r="A5165" s="2" t="str">
        <f>"唐嘉仪"</f>
        <v>唐嘉仪</v>
      </c>
      <c r="B5165" s="2" t="str">
        <f>"B20220704116"</f>
        <v>B20220704116</v>
      </c>
      <c r="C5165" s="2" t="str">
        <f t="shared" si="1332"/>
        <v>女</v>
      </c>
      <c r="D5165" s="2" t="str">
        <f>"6"</f>
        <v>6</v>
      </c>
      <c r="E5165" s="2" t="str">
        <f>"马栏山新媒体学院"</f>
        <v>马栏山新媒体学院</v>
      </c>
    </row>
    <row r="5166" ht="13.5" hidden="1" spans="1:5">
      <c r="A5166" s="2" t="str">
        <f>"葛庭萱"</f>
        <v>葛庭萱</v>
      </c>
      <c r="B5166" s="2" t="str">
        <f>"B20231002115"</f>
        <v>B20231002115</v>
      </c>
      <c r="C5166" s="2" t="str">
        <f t="shared" si="1332"/>
        <v>女</v>
      </c>
      <c r="D5166" s="2" t="str">
        <f>"6"</f>
        <v>6</v>
      </c>
      <c r="E5166" s="2" t="str">
        <f>"艺术设计学院"</f>
        <v>艺术设计学院</v>
      </c>
    </row>
    <row r="5167" ht="13.5" hidden="1" spans="1:5">
      <c r="A5167" s="2" t="str">
        <f>"张开平"</f>
        <v>张开平</v>
      </c>
      <c r="B5167" s="2" t="str">
        <f>"B20230201104"</f>
        <v>B20230201104</v>
      </c>
      <c r="C5167" s="2" t="str">
        <f t="shared" ref="C5167:C5172" si="1333">"男"</f>
        <v>男</v>
      </c>
      <c r="D5167" s="2" t="str">
        <f>"6"</f>
        <v>6</v>
      </c>
      <c r="E5167" s="2" t="str">
        <f t="shared" ref="E5167:E5173" si="1334">"机电工程学院"</f>
        <v>机电工程学院</v>
      </c>
    </row>
    <row r="5168" ht="13.5" hidden="1" spans="1:5">
      <c r="A5168" s="2" t="str">
        <f>"童先绪"</f>
        <v>童先绪</v>
      </c>
      <c r="B5168" s="2" t="str">
        <f>"B20231302309"</f>
        <v>B20231302309</v>
      </c>
      <c r="C5168" s="2" t="str">
        <f t="shared" si="1333"/>
        <v>男</v>
      </c>
      <c r="D5168" s="2" t="str">
        <f>"6"</f>
        <v>6</v>
      </c>
      <c r="E5168" s="2" t="str">
        <f>"材料与环境工程学院"</f>
        <v>材料与环境工程学院</v>
      </c>
    </row>
    <row r="5169" ht="13.5" hidden="1" spans="1:5">
      <c r="A5169" s="2" t="str">
        <f>"童涛"</f>
        <v>童涛</v>
      </c>
      <c r="B5169" s="2" t="str">
        <f>"B20210902121"</f>
        <v>B20210902121</v>
      </c>
      <c r="C5169" s="2" t="str">
        <f t="shared" si="1333"/>
        <v>男</v>
      </c>
      <c r="D5169" s="2" t="str">
        <f>"6"</f>
        <v>6</v>
      </c>
      <c r="E5169" s="2" t="str">
        <f>"经济与管理学院"</f>
        <v>经济与管理学院</v>
      </c>
    </row>
    <row r="5170" ht="13.5" hidden="1" spans="1:5">
      <c r="A5170" s="2" t="str">
        <f>"闫天一"</f>
        <v>闫天一</v>
      </c>
      <c r="B5170" s="2" t="str">
        <f>"B20210204201"</f>
        <v>B20210204201</v>
      </c>
      <c r="C5170" s="2" t="str">
        <f t="shared" si="1333"/>
        <v>男</v>
      </c>
      <c r="D5170" s="2" t="str">
        <f>"6"</f>
        <v>6</v>
      </c>
      <c r="E5170" s="2" t="str">
        <f t="shared" si="1334"/>
        <v>机电工程学院</v>
      </c>
    </row>
    <row r="5171" ht="13.5" hidden="1" spans="1:5">
      <c r="A5171" s="2" t="str">
        <f>"唐品业"</f>
        <v>唐品业</v>
      </c>
      <c r="B5171" s="2" t="str">
        <f>"B20220102201"</f>
        <v>B20220102201</v>
      </c>
      <c r="C5171" s="2" t="str">
        <f t="shared" si="1333"/>
        <v>男</v>
      </c>
      <c r="D5171" s="2" t="str">
        <f>"6"</f>
        <v>6</v>
      </c>
      <c r="E5171" s="2" t="str">
        <f>"土木工程学院"</f>
        <v>土木工程学院</v>
      </c>
    </row>
    <row r="5172" ht="13.5" hidden="1" spans="1:5">
      <c r="A5172" s="2" t="str">
        <f>"李玥瀚"</f>
        <v>李玥瀚</v>
      </c>
      <c r="B5172" s="2" t="str">
        <f>"B20210202134"</f>
        <v>B20210202134</v>
      </c>
      <c r="C5172" s="2" t="str">
        <f t="shared" si="1333"/>
        <v>男</v>
      </c>
      <c r="D5172" s="2" t="str">
        <f>"6"</f>
        <v>6</v>
      </c>
      <c r="E5172" s="2" t="str">
        <f t="shared" si="1334"/>
        <v>机电工程学院</v>
      </c>
    </row>
    <row r="5173" ht="13.5" hidden="1" spans="1:5">
      <c r="A5173" s="2" t="str">
        <f>"徐小雪"</f>
        <v>徐小雪</v>
      </c>
      <c r="B5173" s="2" t="str">
        <f>"B20220202323"</f>
        <v>B20220202323</v>
      </c>
      <c r="C5173" s="2" t="str">
        <f>"女"</f>
        <v>女</v>
      </c>
      <c r="D5173" s="2" t="str">
        <f>"6"</f>
        <v>6</v>
      </c>
      <c r="E5173" s="2" t="str">
        <f t="shared" si="1334"/>
        <v>机电工程学院</v>
      </c>
    </row>
    <row r="5174" ht="13.5" hidden="1" spans="1:5">
      <c r="A5174" s="2" t="str">
        <f>"严萌萌"</f>
        <v>严萌萌</v>
      </c>
      <c r="B5174" s="2" t="str">
        <f>"B20210901242"</f>
        <v>B20210901242</v>
      </c>
      <c r="C5174" s="2" t="str">
        <f>"女"</f>
        <v>女</v>
      </c>
      <c r="D5174" s="2" t="str">
        <f>"6"</f>
        <v>6</v>
      </c>
      <c r="E5174" s="2" t="str">
        <f>"经济与管理学院"</f>
        <v>经济与管理学院</v>
      </c>
    </row>
    <row r="5175" ht="13.5" hidden="1" spans="1:5">
      <c r="A5175" s="2" t="str">
        <f>"李畅"</f>
        <v>李畅</v>
      </c>
      <c r="B5175" s="2" t="str">
        <f>"B20230904219"</f>
        <v>B20230904219</v>
      </c>
      <c r="C5175" s="2" t="str">
        <f>"女"</f>
        <v>女</v>
      </c>
      <c r="D5175" s="2" t="str">
        <f>"6"</f>
        <v>6</v>
      </c>
      <c r="E5175" s="2" t="str">
        <f>"经济与管理学院"</f>
        <v>经济与管理学院</v>
      </c>
    </row>
    <row r="5176" ht="13.5" hidden="1" spans="1:5">
      <c r="A5176" s="2" t="str">
        <f>"陆品靖"</f>
        <v>陆品靖</v>
      </c>
      <c r="B5176" s="2" t="str">
        <f>"B20210202230"</f>
        <v>B20210202230</v>
      </c>
      <c r="C5176" s="2" t="str">
        <f>"男"</f>
        <v>男</v>
      </c>
      <c r="D5176" s="2" t="str">
        <f t="shared" ref="D5176:D5190" si="1335">"6"</f>
        <v>6</v>
      </c>
      <c r="E5176" s="2" t="str">
        <f>"机电工程学院"</f>
        <v>机电工程学院</v>
      </c>
    </row>
    <row r="5177" ht="13.5" hidden="1" spans="1:5">
      <c r="A5177" s="2" t="str">
        <f>"黄欢"</f>
        <v>黄欢</v>
      </c>
      <c r="B5177" s="2" t="str">
        <f>"B20230801422"</f>
        <v>B20230801422</v>
      </c>
      <c r="C5177" s="2" t="str">
        <f>"女"</f>
        <v>女</v>
      </c>
      <c r="D5177" s="2" t="str">
        <f t="shared" si="1335"/>
        <v>6</v>
      </c>
      <c r="E5177" s="2" t="str">
        <f>"外国语学院"</f>
        <v>外国语学院</v>
      </c>
    </row>
    <row r="5178" ht="13.5" hidden="1" spans="1:5">
      <c r="A5178" s="2" t="str">
        <f>"周怀稷"</f>
        <v>周怀稷</v>
      </c>
      <c r="B5178" s="2" t="str">
        <f>"B20230101504"</f>
        <v>B20230101504</v>
      </c>
      <c r="C5178" s="2" t="str">
        <f>"男"</f>
        <v>男</v>
      </c>
      <c r="D5178" s="2" t="str">
        <f t="shared" si="1335"/>
        <v>6</v>
      </c>
      <c r="E5178" s="2" t="str">
        <f>"土木工程学院"</f>
        <v>土木工程学院</v>
      </c>
    </row>
    <row r="5179" ht="13.5" hidden="1" spans="1:5">
      <c r="A5179" s="2" t="str">
        <f>"吴欣欣"</f>
        <v>吴欣欣</v>
      </c>
      <c r="B5179" s="2" t="str">
        <f>"B20210502105"</f>
        <v>B20210502105</v>
      </c>
      <c r="C5179" s="2" t="str">
        <f>"女"</f>
        <v>女</v>
      </c>
      <c r="D5179" s="2" t="str">
        <f t="shared" si="1335"/>
        <v>6</v>
      </c>
      <c r="E5179" s="2" t="str">
        <f>"生物与化学工程学院"</f>
        <v>生物与化学工程学院</v>
      </c>
    </row>
    <row r="5180" ht="13.5" hidden="1" spans="1:5">
      <c r="A5180" s="2" t="str">
        <f>"赵亮"</f>
        <v>赵亮</v>
      </c>
      <c r="B5180" s="2" t="str">
        <f>"B20230201329"</f>
        <v>B20230201329</v>
      </c>
      <c r="C5180" s="2" t="str">
        <f t="shared" ref="C5180:C5186" si="1336">"男"</f>
        <v>男</v>
      </c>
      <c r="D5180" s="2" t="str">
        <f t="shared" si="1335"/>
        <v>6</v>
      </c>
      <c r="E5180" s="2" t="str">
        <f>"机电工程学院"</f>
        <v>机电工程学院</v>
      </c>
    </row>
    <row r="5181" ht="13.5" hidden="1" spans="1:5">
      <c r="A5181" s="2" t="str">
        <f>"徐日晖"</f>
        <v>徐日晖</v>
      </c>
      <c r="B5181" s="2" t="str">
        <f>"B20220101633"</f>
        <v>B20220101633</v>
      </c>
      <c r="C5181" s="2" t="str">
        <f t="shared" si="1336"/>
        <v>男</v>
      </c>
      <c r="D5181" s="2" t="str">
        <f t="shared" si="1335"/>
        <v>6</v>
      </c>
      <c r="E5181" s="2" t="str">
        <f>"土木工程学院"</f>
        <v>土木工程学院</v>
      </c>
    </row>
    <row r="5182" ht="13.5" hidden="1" spans="1:5">
      <c r="A5182" s="2" t="str">
        <f>"李长林"</f>
        <v>李长林</v>
      </c>
      <c r="B5182" s="2" t="str">
        <f>"B20230201318"</f>
        <v>B20230201318</v>
      </c>
      <c r="C5182" s="2" t="str">
        <f t="shared" si="1336"/>
        <v>男</v>
      </c>
      <c r="D5182" s="2" t="str">
        <f t="shared" si="1335"/>
        <v>6</v>
      </c>
      <c r="E5182" s="2" t="str">
        <f>"机电工程学院"</f>
        <v>机电工程学院</v>
      </c>
    </row>
    <row r="5183" ht="13.5" hidden="1" spans="1:5">
      <c r="A5183" s="2" t="str">
        <f>"李善宇"</f>
        <v>李善宇</v>
      </c>
      <c r="B5183" s="2" t="str">
        <f>"B20230402133"</f>
        <v>B20230402133</v>
      </c>
      <c r="C5183" s="2" t="str">
        <f t="shared" si="1336"/>
        <v>男</v>
      </c>
      <c r="D5183" s="2" t="str">
        <f t="shared" si="1335"/>
        <v>6</v>
      </c>
      <c r="E5183" s="2" t="str">
        <f>"电子信息与电气工程学院"</f>
        <v>电子信息与电气工程学院</v>
      </c>
    </row>
    <row r="5184" ht="13.5" hidden="1" spans="1:5">
      <c r="A5184" s="2" t="str">
        <f>"应柏特"</f>
        <v>应柏特</v>
      </c>
      <c r="B5184" s="2" t="str">
        <f>"B20210905103"</f>
        <v>B20210905103</v>
      </c>
      <c r="C5184" s="2" t="str">
        <f t="shared" si="1336"/>
        <v>男</v>
      </c>
      <c r="D5184" s="2" t="str">
        <f t="shared" si="1335"/>
        <v>6</v>
      </c>
      <c r="E5184" s="2" t="str">
        <f t="shared" ref="E5184:E5186" si="1337">"经济与管理学院"</f>
        <v>经济与管理学院</v>
      </c>
    </row>
    <row r="5185" ht="13.5" hidden="1" spans="1:5">
      <c r="A5185" s="2" t="str">
        <f>"郑晨"</f>
        <v>郑晨</v>
      </c>
      <c r="B5185" s="2" t="str">
        <f>"B20200903132"</f>
        <v>B20200903132</v>
      </c>
      <c r="C5185" s="2" t="str">
        <f t="shared" si="1336"/>
        <v>男</v>
      </c>
      <c r="D5185" s="2" t="str">
        <f t="shared" si="1335"/>
        <v>6</v>
      </c>
      <c r="E5185" s="2" t="str">
        <f t="shared" si="1337"/>
        <v>经济与管理学院</v>
      </c>
    </row>
    <row r="5186" ht="13.5" hidden="1" spans="1:5">
      <c r="A5186" s="2" t="str">
        <f>"龙一飞"</f>
        <v>龙一飞</v>
      </c>
      <c r="B5186" s="2" t="str">
        <f>"B20230906227"</f>
        <v>B20230906227</v>
      </c>
      <c r="C5186" s="2" t="str">
        <f t="shared" si="1336"/>
        <v>男</v>
      </c>
      <c r="D5186" s="2" t="str">
        <f t="shared" si="1335"/>
        <v>6</v>
      </c>
      <c r="E5186" s="2" t="str">
        <f t="shared" si="1337"/>
        <v>经济与管理学院</v>
      </c>
    </row>
    <row r="5187" ht="13.5" hidden="1" spans="1:5">
      <c r="A5187" s="2" t="str">
        <f>"张佳慧"</f>
        <v>张佳慧</v>
      </c>
      <c r="B5187" s="2" t="str">
        <f>"B20221111112"</f>
        <v>B20221111112</v>
      </c>
      <c r="C5187" s="2" t="str">
        <f t="shared" ref="C5187:C5190" si="1338">"女"</f>
        <v>女</v>
      </c>
      <c r="D5187" s="2" t="str">
        <f t="shared" si="1335"/>
        <v>6</v>
      </c>
      <c r="E5187" s="2" t="str">
        <f>"音乐学院"</f>
        <v>音乐学院</v>
      </c>
    </row>
    <row r="5188" ht="13.5" hidden="1" spans="1:5">
      <c r="A5188" s="2" t="str">
        <f>"张雅然"</f>
        <v>张雅然</v>
      </c>
      <c r="B5188" s="2" t="str">
        <f>"B20231111229"</f>
        <v>B20231111229</v>
      </c>
      <c r="C5188" s="2" t="str">
        <f t="shared" si="1338"/>
        <v>女</v>
      </c>
      <c r="D5188" s="2" t="str">
        <f t="shared" si="1335"/>
        <v>6</v>
      </c>
      <c r="E5188" s="2" t="str">
        <f>"音乐学院"</f>
        <v>音乐学院</v>
      </c>
    </row>
    <row r="5189" ht="13.5" hidden="1" spans="1:5">
      <c r="A5189" s="2" t="str">
        <f>"潘璐瑶"</f>
        <v>潘璐瑶</v>
      </c>
      <c r="B5189" s="2" t="str">
        <f>"B20230205321"</f>
        <v>B20230205321</v>
      </c>
      <c r="C5189" s="2" t="str">
        <f t="shared" si="1338"/>
        <v>女</v>
      </c>
      <c r="D5189" s="2" t="str">
        <f t="shared" si="1335"/>
        <v>6</v>
      </c>
      <c r="E5189" s="2" t="str">
        <f>"机电工程学院"</f>
        <v>机电工程学院</v>
      </c>
    </row>
    <row r="5190" ht="13.5" hidden="1" spans="1:5">
      <c r="A5190" s="2" t="str">
        <f>"冯颖"</f>
        <v>冯颖</v>
      </c>
      <c r="B5190" s="2" t="str">
        <f>"B20210704307"</f>
        <v>B20210704307</v>
      </c>
      <c r="C5190" s="2" t="str">
        <f t="shared" si="1338"/>
        <v>女</v>
      </c>
      <c r="D5190" s="2" t="str">
        <f t="shared" si="1335"/>
        <v>6</v>
      </c>
      <c r="E5190" s="2" t="str">
        <f>"马栏山新媒体学院"</f>
        <v>马栏山新媒体学院</v>
      </c>
    </row>
    <row r="5191" ht="13.5" hidden="1" spans="1:5">
      <c r="A5191" s="2" t="str">
        <f>"李志强"</f>
        <v>李志强</v>
      </c>
      <c r="B5191" s="2" t="str">
        <f>"B20230401201"</f>
        <v>B20230401201</v>
      </c>
      <c r="C5191" s="2" t="str">
        <f>"男"</f>
        <v>男</v>
      </c>
      <c r="D5191" s="2" t="str">
        <f>"6"</f>
        <v>6</v>
      </c>
      <c r="E5191" s="2" t="str">
        <f>"电子信息与电气工程学院"</f>
        <v>电子信息与电气工程学院</v>
      </c>
    </row>
    <row r="5192" ht="13.5" hidden="1" spans="1:5">
      <c r="A5192" s="2" t="str">
        <f>"王文艳"</f>
        <v>王文艳</v>
      </c>
      <c r="B5192" s="2" t="str">
        <f>"B20231401105"</f>
        <v>B20231401105</v>
      </c>
      <c r="C5192" s="2" t="str">
        <f t="shared" ref="C5192:C5197" si="1339">"女"</f>
        <v>女</v>
      </c>
      <c r="D5192" s="2" t="str">
        <f>"6"</f>
        <v>6</v>
      </c>
      <c r="E5192" s="2" t="str">
        <f>"马克思主义学院"</f>
        <v>马克思主义学院</v>
      </c>
    </row>
    <row r="5193" ht="13.5" hidden="1" spans="1:5">
      <c r="A5193" s="2" t="str">
        <f>"林雨"</f>
        <v>林雨</v>
      </c>
      <c r="B5193" s="2" t="str">
        <f>"B20231101223"</f>
        <v>B20231101223</v>
      </c>
      <c r="C5193" s="2" t="str">
        <f t="shared" ref="C5193:C5198" si="1340">"男"</f>
        <v>男</v>
      </c>
      <c r="D5193" s="2" t="str">
        <f>"6"</f>
        <v>6</v>
      </c>
      <c r="E5193" s="2" t="str">
        <f>"音乐学院"</f>
        <v>音乐学院</v>
      </c>
    </row>
    <row r="5194" ht="13.5" hidden="1" spans="1:5">
      <c r="A5194" s="2" t="str">
        <f>"黄文瑶"</f>
        <v>黄文瑶</v>
      </c>
      <c r="B5194" s="2" t="str">
        <f>"B20230205119"</f>
        <v>B20230205119</v>
      </c>
      <c r="C5194" s="2" t="str">
        <f t="shared" si="1340"/>
        <v>男</v>
      </c>
      <c r="D5194" s="2" t="str">
        <f>"6"</f>
        <v>6</v>
      </c>
      <c r="E5194" s="2" t="str">
        <f>"机电工程学院"</f>
        <v>机电工程学院</v>
      </c>
    </row>
    <row r="5195" ht="13.5" hidden="1" spans="1:5">
      <c r="A5195" s="2" t="str">
        <f>"逯益果"</f>
        <v>逯益果</v>
      </c>
      <c r="B5195" s="2" t="str">
        <f>"B20211001205"</f>
        <v>B20211001205</v>
      </c>
      <c r="C5195" s="2" t="str">
        <f t="shared" si="1339"/>
        <v>女</v>
      </c>
      <c r="D5195" s="2" t="str">
        <f>"6"</f>
        <v>6</v>
      </c>
      <c r="E5195" s="2" t="str">
        <f>"艺术设计学院"</f>
        <v>艺术设计学院</v>
      </c>
    </row>
    <row r="5196" ht="13.5" hidden="1" spans="1:5">
      <c r="A5196" s="2" t="str">
        <f>"陈佳怡"</f>
        <v>陈佳怡</v>
      </c>
      <c r="B5196" s="2" t="str">
        <f>"B20210802127"</f>
        <v>B20210802127</v>
      </c>
      <c r="C5196" s="2" t="str">
        <f t="shared" si="1339"/>
        <v>女</v>
      </c>
      <c r="D5196" s="2" t="str">
        <f>"6"</f>
        <v>6</v>
      </c>
      <c r="E5196" s="2" t="str">
        <f>"外国语学院"</f>
        <v>外国语学院</v>
      </c>
    </row>
    <row r="5197" ht="13.5" hidden="1" spans="1:5">
      <c r="A5197" s="2" t="str">
        <f>"张飞雪"</f>
        <v>张飞雪</v>
      </c>
      <c r="B5197" s="2" t="str">
        <f>"B20200601107"</f>
        <v>B20200601107</v>
      </c>
      <c r="C5197" s="2" t="str">
        <f t="shared" si="1339"/>
        <v>女</v>
      </c>
      <c r="D5197" s="2" t="str">
        <f>"6"</f>
        <v>6</v>
      </c>
      <c r="E5197" s="2" t="str">
        <f>"法学院"</f>
        <v>法学院</v>
      </c>
    </row>
    <row r="5198" ht="13.5" hidden="1" spans="1:5">
      <c r="A5198" s="2" t="str">
        <f>"陈佳俊"</f>
        <v>陈佳俊</v>
      </c>
      <c r="B5198" s="2" t="str">
        <f>"B20220201424"</f>
        <v>B20220201424</v>
      </c>
      <c r="C5198" s="2" t="str">
        <f t="shared" si="1340"/>
        <v>男</v>
      </c>
      <c r="D5198" s="2" t="str">
        <f>"6"</f>
        <v>6</v>
      </c>
      <c r="E5198" s="2" t="str">
        <f>"机电工程学院"</f>
        <v>机电工程学院</v>
      </c>
    </row>
    <row r="5199" ht="13.5" hidden="1" spans="1:5">
      <c r="A5199" s="2" t="str">
        <f>"钟珂"</f>
        <v>钟珂</v>
      </c>
      <c r="B5199" s="2" t="str">
        <f>"B20230803221"</f>
        <v>B20230803221</v>
      </c>
      <c r="C5199" s="2" t="str">
        <f>"女"</f>
        <v>女</v>
      </c>
      <c r="D5199" s="2" t="str">
        <f>"6"</f>
        <v>6</v>
      </c>
      <c r="E5199" s="2" t="str">
        <f>"外国语学院"</f>
        <v>外国语学院</v>
      </c>
    </row>
    <row r="5200" ht="13.5" hidden="1" spans="1:5">
      <c r="A5200" s="2" t="str">
        <f>"欧阳臻"</f>
        <v>欧阳臻</v>
      </c>
      <c r="B5200" s="2" t="str">
        <f>"B20200901119"</f>
        <v>B20200901119</v>
      </c>
      <c r="C5200" s="2" t="str">
        <f>"男"</f>
        <v>男</v>
      </c>
      <c r="D5200" s="2" t="str">
        <f>"6"</f>
        <v>6</v>
      </c>
      <c r="E5200" s="2" t="str">
        <f>"经济与管理学院"</f>
        <v>经济与管理学院</v>
      </c>
    </row>
    <row r="5201" ht="13.5" hidden="1" spans="1:5">
      <c r="A5201" s="2" t="str">
        <f>"胡俊杰"</f>
        <v>胡俊杰</v>
      </c>
      <c r="B5201" s="2" t="str">
        <f>"B20230402126"</f>
        <v>B20230402126</v>
      </c>
      <c r="C5201" s="2" t="str">
        <f>"男"</f>
        <v>男</v>
      </c>
      <c r="D5201" s="2" t="str">
        <f>"6"</f>
        <v>6</v>
      </c>
      <c r="E5201" s="2" t="str">
        <f>"电子信息与电气工程学院"</f>
        <v>电子信息与电气工程学院</v>
      </c>
    </row>
    <row r="5202" ht="13.5" hidden="1" spans="1:5">
      <c r="A5202" s="2" t="str">
        <f>"刘星宇"</f>
        <v>刘星宇</v>
      </c>
      <c r="B5202" s="2" t="str">
        <f>"B20230504107"</f>
        <v>B20230504107</v>
      </c>
      <c r="C5202" s="2" t="str">
        <f>"男"</f>
        <v>男</v>
      </c>
      <c r="D5202" s="2" t="str">
        <f>"6"</f>
        <v>6</v>
      </c>
      <c r="E5202" s="2" t="str">
        <f>"生物与化学工程学院"</f>
        <v>生物与化学工程学院</v>
      </c>
    </row>
    <row r="5203" ht="13.5" hidden="1" spans="1:5">
      <c r="A5203" s="2" t="str">
        <f>"何雨欣"</f>
        <v>何雨欣</v>
      </c>
      <c r="B5203" s="2" t="str">
        <f>"B20230504412"</f>
        <v>B20230504412</v>
      </c>
      <c r="C5203" s="2" t="str">
        <f>"女"</f>
        <v>女</v>
      </c>
      <c r="D5203" s="2" t="str">
        <f>"6"</f>
        <v>6</v>
      </c>
      <c r="E5203" s="2" t="str">
        <f>"生物与化学工程学院"</f>
        <v>生物与化学工程学院</v>
      </c>
    </row>
    <row r="5204" ht="13.5" hidden="1" spans="1:5">
      <c r="A5204" s="2" t="str">
        <f>"方乐"</f>
        <v>方乐</v>
      </c>
      <c r="B5204" s="2" t="str">
        <f>"B20200904119"</f>
        <v>B20200904119</v>
      </c>
      <c r="C5204" s="2" t="str">
        <f>"女"</f>
        <v>女</v>
      </c>
      <c r="D5204" s="2" t="str">
        <f>"6"</f>
        <v>6</v>
      </c>
      <c r="E5204" s="2" t="str">
        <f>"经济与管理学院"</f>
        <v>经济与管理学院</v>
      </c>
    </row>
    <row r="5205" ht="13.5" hidden="1" spans="1:5">
      <c r="A5205" s="2" t="str">
        <f>"黄亮"</f>
        <v>黄亮</v>
      </c>
      <c r="B5205" s="2" t="str">
        <f>"B20220201111"</f>
        <v>B20220201111</v>
      </c>
      <c r="C5205" s="2" t="str">
        <f t="shared" ref="C5205:C5211" si="1341">"男"</f>
        <v>男</v>
      </c>
      <c r="D5205" s="2" t="str">
        <f>"6"</f>
        <v>6</v>
      </c>
      <c r="E5205" s="2" t="str">
        <f>"机电工程学院"</f>
        <v>机电工程学院</v>
      </c>
    </row>
    <row r="5206" ht="13.5" hidden="1" spans="1:5">
      <c r="A5206" s="2" t="str">
        <f>"张璇"</f>
        <v>张璇</v>
      </c>
      <c r="B5206" s="2" t="str">
        <f>"B20210901212"</f>
        <v>B20210901212</v>
      </c>
      <c r="C5206" s="2" t="str">
        <f>"女"</f>
        <v>女</v>
      </c>
      <c r="D5206" s="2" t="str">
        <f>"6"</f>
        <v>6</v>
      </c>
      <c r="E5206" s="2" t="str">
        <f>"经济与管理学院"</f>
        <v>经济与管理学院</v>
      </c>
    </row>
    <row r="5207" ht="13.5" hidden="1" spans="1:5">
      <c r="A5207" s="2" t="str">
        <f>"陈晨"</f>
        <v>陈晨</v>
      </c>
      <c r="B5207" s="2" t="str">
        <f>"B20220703102"</f>
        <v>B20220703102</v>
      </c>
      <c r="C5207" s="2" t="str">
        <f>"女"</f>
        <v>女</v>
      </c>
      <c r="D5207" s="2" t="str">
        <f>"6"</f>
        <v>6</v>
      </c>
      <c r="E5207" s="2" t="str">
        <f>"马栏山新媒体学院"</f>
        <v>马栏山新媒体学院</v>
      </c>
    </row>
    <row r="5208" ht="13.5" hidden="1" spans="1:5">
      <c r="A5208" s="2" t="str">
        <f>"黄子俊"</f>
        <v>黄子俊</v>
      </c>
      <c r="B5208" s="2" t="str">
        <f>"B20200202212"</f>
        <v>B20200202212</v>
      </c>
      <c r="C5208" s="2" t="str">
        <f t="shared" si="1341"/>
        <v>男</v>
      </c>
      <c r="D5208" s="2" t="str">
        <f>"6"</f>
        <v>6</v>
      </c>
      <c r="E5208" s="2" t="str">
        <f>"机电工程学院"</f>
        <v>机电工程学院</v>
      </c>
    </row>
    <row r="5209" ht="13.5" hidden="1" spans="1:5">
      <c r="A5209" s="2" t="str">
        <f>"陈宇凯"</f>
        <v>陈宇凯</v>
      </c>
      <c r="B5209" s="2" t="str">
        <f>"B20230906225"</f>
        <v>B20230906225</v>
      </c>
      <c r="C5209" s="2" t="str">
        <f t="shared" si="1341"/>
        <v>男</v>
      </c>
      <c r="D5209" s="2" t="str">
        <f>"6"</f>
        <v>6</v>
      </c>
      <c r="E5209" s="2" t="str">
        <f>"经济与管理学院"</f>
        <v>经济与管理学院</v>
      </c>
    </row>
    <row r="5210" ht="13.5" hidden="1" spans="1:5">
      <c r="A5210" s="2" t="str">
        <f>"李杰"</f>
        <v>李杰</v>
      </c>
      <c r="B5210" s="2" t="str">
        <f>"B20231302205"</f>
        <v>B20231302205</v>
      </c>
      <c r="C5210" s="2" t="str">
        <f t="shared" si="1341"/>
        <v>男</v>
      </c>
      <c r="D5210" s="2" t="str">
        <f>"6"</f>
        <v>6</v>
      </c>
      <c r="E5210" s="2" t="str">
        <f t="shared" ref="E5210:E5214" si="1342">"材料与环境工程学院"</f>
        <v>材料与环境工程学院</v>
      </c>
    </row>
    <row r="5211" ht="13.5" hidden="1" spans="1:5">
      <c r="A5211" s="2" t="str">
        <f>"王艺龙"</f>
        <v>王艺龙</v>
      </c>
      <c r="B5211" s="2" t="str">
        <f>"B20230501238"</f>
        <v>B20230501238</v>
      </c>
      <c r="C5211" s="2" t="str">
        <f t="shared" si="1341"/>
        <v>男</v>
      </c>
      <c r="D5211" s="2" t="str">
        <f>"6"</f>
        <v>6</v>
      </c>
      <c r="E5211" s="2" t="str">
        <f>"生物与化学工程学院"</f>
        <v>生物与化学工程学院</v>
      </c>
    </row>
    <row r="5212" ht="13.5" hidden="1" spans="1:5">
      <c r="A5212" s="2" t="str">
        <f>"罗宇彤"</f>
        <v>罗宇彤</v>
      </c>
      <c r="B5212" s="2" t="str">
        <f>"B20230702410"</f>
        <v>B20230702410</v>
      </c>
      <c r="C5212" s="2" t="str">
        <f>"女"</f>
        <v>女</v>
      </c>
      <c r="D5212" s="2" t="str">
        <f>"6"</f>
        <v>6</v>
      </c>
      <c r="E5212" s="2" t="str">
        <f>"马栏山新媒体学院"</f>
        <v>马栏山新媒体学院</v>
      </c>
    </row>
    <row r="5213" ht="13.5" hidden="1" spans="1:5">
      <c r="A5213" s="2" t="str">
        <f>"赵烽林"</f>
        <v>赵烽林</v>
      </c>
      <c r="B5213" s="2" t="str">
        <f>"B20210503219"</f>
        <v>B20210503219</v>
      </c>
      <c r="C5213" s="2" t="str">
        <f t="shared" ref="C5213:C5217" si="1343">"男"</f>
        <v>男</v>
      </c>
      <c r="D5213" s="2" t="str">
        <f>"6"</f>
        <v>6</v>
      </c>
      <c r="E5213" s="2" t="str">
        <f t="shared" si="1342"/>
        <v>材料与环境工程学院</v>
      </c>
    </row>
    <row r="5214" ht="13.5" hidden="1" spans="1:5">
      <c r="A5214" s="2" t="str">
        <f>"王琪竣"</f>
        <v>王琪竣</v>
      </c>
      <c r="B5214" s="2" t="str">
        <f>"B20210503222"</f>
        <v>B20210503222</v>
      </c>
      <c r="C5214" s="2" t="str">
        <f t="shared" si="1343"/>
        <v>男</v>
      </c>
      <c r="D5214" s="2" t="str">
        <f>"6"</f>
        <v>6</v>
      </c>
      <c r="E5214" s="2" t="str">
        <f t="shared" si="1342"/>
        <v>材料与环境工程学院</v>
      </c>
    </row>
    <row r="5215" ht="13.5" hidden="1" spans="1:5">
      <c r="A5215" s="2" t="str">
        <f>"夏天"</f>
        <v>夏天</v>
      </c>
      <c r="B5215" s="2" t="str">
        <f>"B20200204235"</f>
        <v>B20200204235</v>
      </c>
      <c r="C5215" s="2" t="str">
        <f t="shared" si="1343"/>
        <v>男</v>
      </c>
      <c r="D5215" s="2" t="str">
        <f>"6"</f>
        <v>6</v>
      </c>
      <c r="E5215" s="2" t="str">
        <f>"机电工程学院"</f>
        <v>机电工程学院</v>
      </c>
    </row>
    <row r="5216" ht="13.5" hidden="1" spans="1:5">
      <c r="A5216" s="2" t="str">
        <f>"河星吉"</f>
        <v>河星吉</v>
      </c>
      <c r="B5216" s="2" t="str">
        <f>"B20200505235"</f>
        <v>B20200505235</v>
      </c>
      <c r="C5216" s="2" t="str">
        <f t="shared" si="1343"/>
        <v>男</v>
      </c>
      <c r="D5216" s="2" t="str">
        <f>"6"</f>
        <v>6</v>
      </c>
      <c r="E5216" s="2" t="str">
        <f>"生物与环境工程学院"</f>
        <v>生物与环境工程学院</v>
      </c>
    </row>
    <row r="5217" ht="13.5" hidden="1" spans="1:5">
      <c r="A5217" s="2" t="str">
        <f>"王云亮"</f>
        <v>王云亮</v>
      </c>
      <c r="B5217" s="2" t="str">
        <f>"B20200801302"</f>
        <v>B20200801302</v>
      </c>
      <c r="C5217" s="2" t="str">
        <f t="shared" si="1343"/>
        <v>男</v>
      </c>
      <c r="D5217" s="2" t="str">
        <f>"6"</f>
        <v>6</v>
      </c>
      <c r="E5217" s="2" t="str">
        <f t="shared" ref="E5217:E5219" si="1344">"外国语学院"</f>
        <v>外国语学院</v>
      </c>
    </row>
    <row r="5218" ht="13.5" hidden="1" spans="1:5">
      <c r="A5218" s="2" t="str">
        <f>"龙佳欣"</f>
        <v>龙佳欣</v>
      </c>
      <c r="B5218" s="2" t="str">
        <f>"B20230803120"</f>
        <v>B20230803120</v>
      </c>
      <c r="C5218" s="2" t="str">
        <f t="shared" ref="C5218:C5220" si="1345">"女"</f>
        <v>女</v>
      </c>
      <c r="D5218" s="2" t="str">
        <f>"6"</f>
        <v>6</v>
      </c>
      <c r="E5218" s="2" t="str">
        <f t="shared" si="1344"/>
        <v>外国语学院</v>
      </c>
    </row>
    <row r="5219" ht="13.5" hidden="1" spans="1:5">
      <c r="A5219" s="2" t="str">
        <f>"王亦敏"</f>
        <v>王亦敏</v>
      </c>
      <c r="B5219" s="2" t="str">
        <f>"B20230801317"</f>
        <v>B20230801317</v>
      </c>
      <c r="C5219" s="2" t="str">
        <f t="shared" si="1345"/>
        <v>女</v>
      </c>
      <c r="D5219" s="2" t="str">
        <f>"6"</f>
        <v>6</v>
      </c>
      <c r="E5219" s="2" t="str">
        <f t="shared" si="1344"/>
        <v>外国语学院</v>
      </c>
    </row>
    <row r="5220" ht="13.5" hidden="1" spans="1:5">
      <c r="A5220" s="2" t="str">
        <f>"周思佳"</f>
        <v>周思佳</v>
      </c>
      <c r="B5220" s="2" t="str">
        <f>"B20230504302"</f>
        <v>B20230504302</v>
      </c>
      <c r="C5220" s="2" t="str">
        <f t="shared" si="1345"/>
        <v>女</v>
      </c>
      <c r="D5220" s="2" t="str">
        <f>"6"</f>
        <v>6</v>
      </c>
      <c r="E5220" s="2" t="str">
        <f>"生物与化学工程学院"</f>
        <v>生物与化学工程学院</v>
      </c>
    </row>
    <row r="5221" ht="13.5" hidden="1" spans="1:5">
      <c r="A5221" s="2" t="str">
        <f>"李思杰"</f>
        <v>李思杰</v>
      </c>
      <c r="B5221" s="2" t="str">
        <f>"B20210101610"</f>
        <v>B20210101610</v>
      </c>
      <c r="C5221" s="2" t="str">
        <f>"男"</f>
        <v>男</v>
      </c>
      <c r="D5221" s="2" t="str">
        <f>"6"</f>
        <v>6</v>
      </c>
      <c r="E5221" s="2" t="str">
        <f>"土木工程学院"</f>
        <v>土木工程学院</v>
      </c>
    </row>
    <row r="5222" ht="13.5" hidden="1" spans="1:5">
      <c r="A5222" s="2" t="str">
        <f>"张承效"</f>
        <v>张承效</v>
      </c>
      <c r="B5222" s="2" t="str">
        <f>"B20200202130"</f>
        <v>B20200202130</v>
      </c>
      <c r="C5222" s="2" t="str">
        <f>"男"</f>
        <v>男</v>
      </c>
      <c r="D5222" s="2" t="str">
        <f>"6"</f>
        <v>6</v>
      </c>
      <c r="E5222" s="2" t="str">
        <f>"机电工程学院"</f>
        <v>机电工程学院</v>
      </c>
    </row>
    <row r="5223" ht="13.5" hidden="1" spans="1:5">
      <c r="A5223" s="2" t="str">
        <f>"李悦玲"</f>
        <v>李悦玲</v>
      </c>
      <c r="B5223" s="2" t="str">
        <f>"B20210902116"</f>
        <v>B20210902116</v>
      </c>
      <c r="C5223" s="2" t="str">
        <f t="shared" ref="C5223:C5229" si="1346">"女"</f>
        <v>女</v>
      </c>
      <c r="D5223" s="2" t="str">
        <f>"6"</f>
        <v>6</v>
      </c>
      <c r="E5223" s="2" t="str">
        <f>"经济与管理学院"</f>
        <v>经济与管理学院</v>
      </c>
    </row>
    <row r="5224" ht="13.5" hidden="1" spans="1:5">
      <c r="A5224" s="2" t="str">
        <f>"唐云"</f>
        <v>唐云</v>
      </c>
      <c r="B5224" s="2" t="str">
        <f>"B20230502201"</f>
        <v>B20230502201</v>
      </c>
      <c r="C5224" s="2" t="str">
        <f>"男"</f>
        <v>男</v>
      </c>
      <c r="D5224" s="2" t="str">
        <f>"6"</f>
        <v>6</v>
      </c>
      <c r="E5224" s="2" t="str">
        <f>"生物与化学工程学院"</f>
        <v>生物与化学工程学院</v>
      </c>
    </row>
    <row r="5225" ht="13.5" hidden="1" spans="1:5">
      <c r="A5225" s="2" t="str">
        <f>"刘祉麟"</f>
        <v>刘祉麟</v>
      </c>
      <c r="B5225" s="2" t="str">
        <f>"B20200701115"</f>
        <v>B20200701115</v>
      </c>
      <c r="C5225" s="2" t="str">
        <f t="shared" si="1346"/>
        <v>女</v>
      </c>
      <c r="D5225" s="2" t="str">
        <f>"6"</f>
        <v>6</v>
      </c>
      <c r="E5225" s="2" t="str">
        <f>"马栏山新媒体学院"</f>
        <v>马栏山新媒体学院</v>
      </c>
    </row>
    <row r="5226" ht="13.5" hidden="1" spans="1:5">
      <c r="A5226" s="2" t="str">
        <f>"李宏锋"</f>
        <v>李宏锋</v>
      </c>
      <c r="B5226" s="2" t="str">
        <f>"B20200204201"</f>
        <v>B20200204201</v>
      </c>
      <c r="C5226" s="2" t="str">
        <f t="shared" ref="C5226:C5231" si="1347">"男"</f>
        <v>男</v>
      </c>
      <c r="D5226" s="2" t="str">
        <f>"6"</f>
        <v>6</v>
      </c>
      <c r="E5226" s="2" t="str">
        <f>"机电工程学院"</f>
        <v>机电工程学院</v>
      </c>
    </row>
    <row r="5227" ht="13.5" hidden="1" spans="1:5">
      <c r="A5227" s="2" t="str">
        <f>"蒋佳佳"</f>
        <v>蒋佳佳</v>
      </c>
      <c r="B5227" s="2" t="str">
        <f>"B20221111214"</f>
        <v>B20221111214</v>
      </c>
      <c r="C5227" s="2" t="str">
        <f t="shared" si="1346"/>
        <v>女</v>
      </c>
      <c r="D5227" s="2" t="str">
        <f>"6"</f>
        <v>6</v>
      </c>
      <c r="E5227" s="2" t="str">
        <f>"音乐学院"</f>
        <v>音乐学院</v>
      </c>
    </row>
    <row r="5228" ht="13.5" hidden="1" spans="1:5">
      <c r="A5228" s="2" t="str">
        <f>"王湘琼"</f>
        <v>王湘琼</v>
      </c>
      <c r="B5228" s="2" t="str">
        <f>"B20230103115"</f>
        <v>B20230103115</v>
      </c>
      <c r="C5228" s="2" t="str">
        <f t="shared" si="1346"/>
        <v>女</v>
      </c>
      <c r="D5228" s="2" t="str">
        <f>"6"</f>
        <v>6</v>
      </c>
      <c r="E5228" s="2" t="str">
        <f>"土木工程学院"</f>
        <v>土木工程学院</v>
      </c>
    </row>
    <row r="5229" ht="13.5" hidden="1" spans="1:5">
      <c r="A5229" s="2" t="str">
        <f>"曾静怡"</f>
        <v>曾静怡</v>
      </c>
      <c r="B5229" s="2" t="str">
        <f>"B20230504305"</f>
        <v>B20230504305</v>
      </c>
      <c r="C5229" s="2" t="str">
        <f t="shared" si="1346"/>
        <v>女</v>
      </c>
      <c r="D5229" s="2" t="str">
        <f>"6"</f>
        <v>6</v>
      </c>
      <c r="E5229" s="2" t="str">
        <f t="shared" ref="E5229:E5231" si="1348">"生物与化学工程学院"</f>
        <v>生物与化学工程学院</v>
      </c>
    </row>
    <row r="5230" ht="13.5" hidden="1" spans="1:5">
      <c r="A5230" s="2" t="str">
        <f>"周杰帆"</f>
        <v>周杰帆</v>
      </c>
      <c r="B5230" s="2" t="str">
        <f>"B20230502114"</f>
        <v>B20230502114</v>
      </c>
      <c r="C5230" s="2" t="str">
        <f t="shared" si="1347"/>
        <v>男</v>
      </c>
      <c r="D5230" s="2" t="str">
        <f>"6"</f>
        <v>6</v>
      </c>
      <c r="E5230" s="2" t="str">
        <f t="shared" si="1348"/>
        <v>生物与化学工程学院</v>
      </c>
    </row>
    <row r="5231" ht="13.5" hidden="1" spans="1:5">
      <c r="A5231" s="2" t="str">
        <f>"唐麦峰"</f>
        <v>唐麦峰</v>
      </c>
      <c r="B5231" s="2" t="str">
        <f>"B20230502212"</f>
        <v>B20230502212</v>
      </c>
      <c r="C5231" s="2" t="str">
        <f t="shared" si="1347"/>
        <v>男</v>
      </c>
      <c r="D5231" s="2" t="str">
        <f>"6"</f>
        <v>6</v>
      </c>
      <c r="E5231" s="2" t="str">
        <f t="shared" si="1348"/>
        <v>生物与化学工程学院</v>
      </c>
    </row>
    <row r="5232" ht="13.5" hidden="1" spans="1:5">
      <c r="A5232" s="2" t="str">
        <f>"刘明月"</f>
        <v>刘明月</v>
      </c>
      <c r="B5232" s="2" t="str">
        <f>"B20230601501"</f>
        <v>B20230601501</v>
      </c>
      <c r="C5232" s="2" t="str">
        <f>"女"</f>
        <v>女</v>
      </c>
      <c r="D5232" s="2" t="str">
        <f t="shared" ref="D5232:D5252" si="1349">"6"</f>
        <v>6</v>
      </c>
      <c r="E5232" s="2" t="str">
        <f>"法学院"</f>
        <v>法学院</v>
      </c>
    </row>
    <row r="5233" ht="13.5" hidden="1" spans="1:5">
      <c r="A5233" s="2" t="str">
        <f>"杨赐坚"</f>
        <v>杨赐坚</v>
      </c>
      <c r="B5233" s="2" t="str">
        <f>"B20220504429"</f>
        <v>B20220504429</v>
      </c>
      <c r="C5233" s="2" t="str">
        <f>"男"</f>
        <v>男</v>
      </c>
      <c r="D5233" s="2" t="str">
        <f t="shared" si="1349"/>
        <v>6</v>
      </c>
      <c r="E5233" s="2" t="str">
        <f>"生物与化学工程学院"</f>
        <v>生物与化学工程学院</v>
      </c>
    </row>
    <row r="5234" ht="13.5" hidden="1" spans="1:5">
      <c r="A5234" s="2" t="str">
        <f>"冯嘉音"</f>
        <v>冯嘉音</v>
      </c>
      <c r="B5234" s="2" t="str">
        <f>"B20230601410"</f>
        <v>B20230601410</v>
      </c>
      <c r="C5234" s="2" t="str">
        <f>"女"</f>
        <v>女</v>
      </c>
      <c r="D5234" s="2" t="str">
        <f t="shared" si="1349"/>
        <v>6</v>
      </c>
      <c r="E5234" s="2" t="str">
        <f>"法学院"</f>
        <v>法学院</v>
      </c>
    </row>
    <row r="5235" ht="13.5" hidden="1" spans="1:5">
      <c r="A5235" s="2" t="str">
        <f>"袁梓阳"</f>
        <v>袁梓阳</v>
      </c>
      <c r="B5235" s="2" t="str">
        <f>"B20220501203"</f>
        <v>B20220501203</v>
      </c>
      <c r="C5235" s="2" t="str">
        <f>"男"</f>
        <v>男</v>
      </c>
      <c r="D5235" s="2" t="str">
        <f t="shared" si="1349"/>
        <v>6</v>
      </c>
      <c r="E5235" s="2" t="str">
        <f>"生物与化学工程学院"</f>
        <v>生物与化学工程学院</v>
      </c>
    </row>
    <row r="5236" ht="13.5" hidden="1" spans="1:5">
      <c r="A5236" s="2" t="str">
        <f>"王旭娟"</f>
        <v>王旭娟</v>
      </c>
      <c r="B5236" s="2" t="str">
        <f>"B20210803122"</f>
        <v>B20210803122</v>
      </c>
      <c r="C5236" s="2" t="str">
        <f t="shared" ref="C5236:C5240" si="1350">"女"</f>
        <v>女</v>
      </c>
      <c r="D5236" s="2" t="str">
        <f t="shared" si="1349"/>
        <v>6</v>
      </c>
      <c r="E5236" s="2" t="str">
        <f>"外国语学院"</f>
        <v>外国语学院</v>
      </c>
    </row>
    <row r="5237" ht="13.5" hidden="1" spans="1:5">
      <c r="A5237" s="2" t="str">
        <f>"韩宏静"</f>
        <v>韩宏静</v>
      </c>
      <c r="B5237" s="2" t="str">
        <f>"B20200704422"</f>
        <v>B20200704422</v>
      </c>
      <c r="C5237" s="2" t="str">
        <f t="shared" si="1350"/>
        <v>女</v>
      </c>
      <c r="D5237" s="2" t="str">
        <f t="shared" si="1349"/>
        <v>6</v>
      </c>
      <c r="E5237" s="2" t="str">
        <f>"马栏山新媒体学院"</f>
        <v>马栏山新媒体学院</v>
      </c>
    </row>
    <row r="5238" ht="13.5" hidden="1" spans="1:5">
      <c r="A5238" s="2" t="str">
        <f>"刘霁允"</f>
        <v>刘霁允</v>
      </c>
      <c r="B5238" s="2" t="str">
        <f>"B20201001417"</f>
        <v>B20201001417</v>
      </c>
      <c r="C5238" s="2" t="str">
        <f t="shared" si="1350"/>
        <v>女</v>
      </c>
      <c r="D5238" s="2" t="str">
        <f t="shared" si="1349"/>
        <v>6</v>
      </c>
      <c r="E5238" s="2" t="str">
        <f>"艺术设计学院"</f>
        <v>艺术设计学院</v>
      </c>
    </row>
    <row r="5239" ht="13.5" hidden="1" spans="1:5">
      <c r="A5239" s="2" t="str">
        <f>"黄贝"</f>
        <v>黄贝</v>
      </c>
      <c r="B5239" s="2" t="str">
        <f>"B20210904304"</f>
        <v>B20210904304</v>
      </c>
      <c r="C5239" s="2" t="str">
        <f t="shared" si="1350"/>
        <v>女</v>
      </c>
      <c r="D5239" s="2" t="str">
        <f t="shared" si="1349"/>
        <v>6</v>
      </c>
      <c r="E5239" s="2" t="str">
        <f>"经济与管理学院"</f>
        <v>经济与管理学院</v>
      </c>
    </row>
    <row r="5240" ht="13.5" hidden="1" spans="1:5">
      <c r="A5240" s="2" t="str">
        <f>"陈嘉艺"</f>
        <v>陈嘉艺</v>
      </c>
      <c r="B5240" s="2" t="str">
        <f>"B20210601414"</f>
        <v>B20210601414</v>
      </c>
      <c r="C5240" s="2" t="str">
        <f t="shared" si="1350"/>
        <v>女</v>
      </c>
      <c r="D5240" s="2" t="str">
        <f t="shared" si="1349"/>
        <v>6</v>
      </c>
      <c r="E5240" s="2" t="str">
        <f>"法学院"</f>
        <v>法学院</v>
      </c>
    </row>
    <row r="5241" ht="13.5" hidden="1" spans="1:5">
      <c r="A5241" s="2" t="str">
        <f>"何志帆"</f>
        <v>何志帆</v>
      </c>
      <c r="B5241" s="2" t="str">
        <f>"B20200402313"</f>
        <v>B20200402313</v>
      </c>
      <c r="C5241" s="2" t="str">
        <f>"男"</f>
        <v>男</v>
      </c>
      <c r="D5241" s="2" t="str">
        <f t="shared" si="1349"/>
        <v>6</v>
      </c>
      <c r="E5241" s="2" t="str">
        <f>"电子信息与电气工程学院"</f>
        <v>电子信息与电气工程学院</v>
      </c>
    </row>
    <row r="5242" ht="13.5" hidden="1" spans="1:5">
      <c r="A5242" s="2" t="str">
        <f>"靳姝圆"</f>
        <v>靳姝圆</v>
      </c>
      <c r="B5242" s="2" t="str">
        <f>"B20200705117"</f>
        <v>B20200705117</v>
      </c>
      <c r="C5242" s="2" t="str">
        <f t="shared" ref="C5242:C5248" si="1351">"女"</f>
        <v>女</v>
      </c>
      <c r="D5242" s="2" t="str">
        <f t="shared" si="1349"/>
        <v>6</v>
      </c>
      <c r="E5242" s="2" t="str">
        <f t="shared" ref="E5242:E5247" si="1352">"马栏山新媒体学院"</f>
        <v>马栏山新媒体学院</v>
      </c>
    </row>
    <row r="5243" ht="13.5" hidden="1" spans="1:5">
      <c r="A5243" s="2" t="str">
        <f>"韦妮"</f>
        <v>韦妮</v>
      </c>
      <c r="B5243" s="2" t="str">
        <f>"B20210702229"</f>
        <v>B20210702229</v>
      </c>
      <c r="C5243" s="2" t="str">
        <f t="shared" si="1351"/>
        <v>女</v>
      </c>
      <c r="D5243" s="2" t="str">
        <f t="shared" si="1349"/>
        <v>6</v>
      </c>
      <c r="E5243" s="2" t="str">
        <f t="shared" si="1352"/>
        <v>马栏山新媒体学院</v>
      </c>
    </row>
    <row r="5244" ht="13.5" hidden="1" spans="1:5">
      <c r="A5244" s="2" t="str">
        <f>"李涵香"</f>
        <v>李涵香</v>
      </c>
      <c r="B5244" s="2" t="str">
        <f>"B20221101321"</f>
        <v>B20221101321</v>
      </c>
      <c r="C5244" s="2" t="str">
        <f t="shared" si="1351"/>
        <v>女</v>
      </c>
      <c r="D5244" s="2" t="str">
        <f t="shared" si="1349"/>
        <v>6</v>
      </c>
      <c r="E5244" s="2" t="str">
        <f>"音乐学院"</f>
        <v>音乐学院</v>
      </c>
    </row>
    <row r="5245" ht="13.5" hidden="1" spans="1:5">
      <c r="A5245" s="2" t="str">
        <f>"王霞"</f>
        <v>王霞</v>
      </c>
      <c r="B5245" s="2" t="str">
        <f>"B20210101111"</f>
        <v>B20210101111</v>
      </c>
      <c r="C5245" s="2" t="str">
        <f t="shared" si="1351"/>
        <v>女</v>
      </c>
      <c r="D5245" s="2" t="str">
        <f t="shared" si="1349"/>
        <v>6</v>
      </c>
      <c r="E5245" s="2" t="str">
        <f>"土木工程学院"</f>
        <v>土木工程学院</v>
      </c>
    </row>
    <row r="5246" ht="13.5" hidden="1" spans="1:5">
      <c r="A5246" s="2" t="str">
        <f>"刘家伶"</f>
        <v>刘家伶</v>
      </c>
      <c r="B5246" s="2" t="str">
        <f>"B20221111220"</f>
        <v>B20221111220</v>
      </c>
      <c r="C5246" s="2" t="str">
        <f t="shared" si="1351"/>
        <v>女</v>
      </c>
      <c r="D5246" s="2" t="str">
        <f t="shared" si="1349"/>
        <v>6</v>
      </c>
      <c r="E5246" s="2" t="str">
        <f>"音乐学院"</f>
        <v>音乐学院</v>
      </c>
    </row>
    <row r="5247" ht="13.5" hidden="1" spans="1:5">
      <c r="A5247" s="2" t="str">
        <f>"赵宁宁"</f>
        <v>赵宁宁</v>
      </c>
      <c r="B5247" s="2" t="str">
        <f>"B20220702308"</f>
        <v>B20220702308</v>
      </c>
      <c r="C5247" s="2" t="str">
        <f t="shared" si="1351"/>
        <v>女</v>
      </c>
      <c r="D5247" s="2" t="str">
        <f t="shared" si="1349"/>
        <v>6</v>
      </c>
      <c r="E5247" s="2" t="str">
        <f t="shared" si="1352"/>
        <v>马栏山新媒体学院</v>
      </c>
    </row>
    <row r="5248" ht="13.5" hidden="1" spans="1:5">
      <c r="A5248" s="2" t="str">
        <f>"宋文"</f>
        <v>宋文</v>
      </c>
      <c r="B5248" s="2" t="str">
        <f>"B20230904234"</f>
        <v>B20230904234</v>
      </c>
      <c r="C5248" s="2" t="str">
        <f t="shared" si="1351"/>
        <v>女</v>
      </c>
      <c r="D5248" s="2" t="str">
        <f t="shared" si="1349"/>
        <v>6</v>
      </c>
      <c r="E5248" s="2" t="str">
        <f>"经济与管理学院"</f>
        <v>经济与管理学院</v>
      </c>
    </row>
    <row r="5249" ht="13.5" hidden="1" spans="1:5">
      <c r="A5249" s="2" t="str">
        <f>"卢金诚"</f>
        <v>卢金诚</v>
      </c>
      <c r="B5249" s="2" t="str">
        <f>"B20231302103"</f>
        <v>B20231302103</v>
      </c>
      <c r="C5249" s="2" t="str">
        <f>"男"</f>
        <v>男</v>
      </c>
      <c r="D5249" s="2" t="str">
        <f t="shared" si="1349"/>
        <v>6</v>
      </c>
      <c r="E5249" s="2" t="str">
        <f>"材料与环境工程学院"</f>
        <v>材料与环境工程学院</v>
      </c>
    </row>
    <row r="5250" ht="13.5" hidden="1" spans="1:5">
      <c r="A5250" s="2" t="str">
        <f>"宋依婷"</f>
        <v>宋依婷</v>
      </c>
      <c r="B5250" s="2" t="str">
        <f>"B20210203108"</f>
        <v>B20210203108</v>
      </c>
      <c r="C5250" s="2" t="str">
        <f t="shared" ref="C5250:C5256" si="1353">"女"</f>
        <v>女</v>
      </c>
      <c r="D5250" s="2" t="str">
        <f t="shared" si="1349"/>
        <v>6</v>
      </c>
      <c r="E5250" s="2" t="str">
        <f>"机电工程学院"</f>
        <v>机电工程学院</v>
      </c>
    </row>
    <row r="5251" ht="13.5" hidden="1" spans="1:5">
      <c r="A5251" s="2" t="str">
        <f>"陈雯洁"</f>
        <v>陈雯洁</v>
      </c>
      <c r="B5251" s="2" t="str">
        <f>"B20230403122"</f>
        <v>B20230403122</v>
      </c>
      <c r="C5251" s="2" t="str">
        <f t="shared" si="1353"/>
        <v>女</v>
      </c>
      <c r="D5251" s="2" t="str">
        <f t="shared" si="1349"/>
        <v>6</v>
      </c>
      <c r="E5251" s="2" t="str">
        <f>"电子信息与电气工程学院"</f>
        <v>电子信息与电气工程学院</v>
      </c>
    </row>
    <row r="5252" ht="13.5" hidden="1" spans="1:5">
      <c r="A5252" s="2" t="str">
        <f>"杨十全"</f>
        <v>杨十全</v>
      </c>
      <c r="B5252" s="2" t="str">
        <f>"B20230802113"</f>
        <v>B20230802113</v>
      </c>
      <c r="C5252" s="2" t="str">
        <f>"男"</f>
        <v>男</v>
      </c>
      <c r="D5252" s="2" t="str">
        <f t="shared" si="1349"/>
        <v>6</v>
      </c>
      <c r="E5252" s="2" t="str">
        <f>"外国语学院"</f>
        <v>外国语学院</v>
      </c>
    </row>
    <row r="5253" ht="13.5" hidden="1" spans="1:5">
      <c r="A5253" s="2" t="str">
        <f>"谢思蓉"</f>
        <v>谢思蓉</v>
      </c>
      <c r="B5253" s="2" t="str">
        <f>"B20221111202"</f>
        <v>B20221111202</v>
      </c>
      <c r="C5253" s="2" t="str">
        <f t="shared" si="1353"/>
        <v>女</v>
      </c>
      <c r="D5253" s="2" t="str">
        <f>"6"</f>
        <v>6</v>
      </c>
      <c r="E5253" s="2" t="str">
        <f>"音乐学院"</f>
        <v>音乐学院</v>
      </c>
    </row>
    <row r="5254" ht="13.5" hidden="1" spans="1:5">
      <c r="A5254" s="2" t="str">
        <f>"罗凌"</f>
        <v>罗凌</v>
      </c>
      <c r="B5254" s="2" t="str">
        <f>"B20230701407"</f>
        <v>B20230701407</v>
      </c>
      <c r="C5254" s="2" t="str">
        <f t="shared" si="1353"/>
        <v>女</v>
      </c>
      <c r="D5254" s="2" t="str">
        <f>"6"</f>
        <v>6</v>
      </c>
      <c r="E5254" s="2" t="str">
        <f>"马栏山新媒体学院"</f>
        <v>马栏山新媒体学院</v>
      </c>
    </row>
    <row r="5255" ht="13.5" hidden="1" spans="1:5">
      <c r="A5255" s="2" t="str">
        <f>"兰颖婷"</f>
        <v>兰颖婷</v>
      </c>
      <c r="B5255" s="2" t="str">
        <f>"B20220901228"</f>
        <v>B20220901228</v>
      </c>
      <c r="C5255" s="2" t="str">
        <f t="shared" si="1353"/>
        <v>女</v>
      </c>
      <c r="D5255" s="2" t="str">
        <f>"6"</f>
        <v>6</v>
      </c>
      <c r="E5255" s="2" t="str">
        <f>"经济与管理学院"</f>
        <v>经济与管理学院</v>
      </c>
    </row>
    <row r="5256" ht="13.5" hidden="1" spans="1:5">
      <c r="A5256" s="2" t="str">
        <f>"刘周颖"</f>
        <v>刘周颖</v>
      </c>
      <c r="B5256" s="2" t="str">
        <f>"B20200502232"</f>
        <v>B20200502232</v>
      </c>
      <c r="C5256" s="2" t="str">
        <f t="shared" si="1353"/>
        <v>女</v>
      </c>
      <c r="D5256" s="2" t="str">
        <f>"6"</f>
        <v>6</v>
      </c>
      <c r="E5256" s="2" t="str">
        <f>"生物与环境工程学院"</f>
        <v>生物与环境工程学院</v>
      </c>
    </row>
    <row r="5257" ht="13.5" hidden="1" spans="1:5">
      <c r="A5257" s="2" t="str">
        <f>"龙启航"</f>
        <v>龙启航</v>
      </c>
      <c r="B5257" s="2" t="str">
        <f>"B20230204124"</f>
        <v>B20230204124</v>
      </c>
      <c r="C5257" s="2" t="str">
        <f>"男"</f>
        <v>男</v>
      </c>
      <c r="D5257" s="2" t="str">
        <f>"6"</f>
        <v>6</v>
      </c>
      <c r="E5257" s="2" t="str">
        <f>"机电工程学院"</f>
        <v>机电工程学院</v>
      </c>
    </row>
    <row r="5258" ht="13.5" hidden="1" spans="1:5">
      <c r="A5258" s="2" t="str">
        <f>"马林睿"</f>
        <v>马林睿</v>
      </c>
      <c r="B5258" s="2" t="str">
        <f>"B20200401112"</f>
        <v>B20200401112</v>
      </c>
      <c r="C5258" s="2" t="str">
        <f t="shared" ref="C5258:C5266" si="1354">"男"</f>
        <v>男</v>
      </c>
      <c r="D5258" s="2" t="str">
        <f>"6"</f>
        <v>6</v>
      </c>
      <c r="E5258" s="2" t="str">
        <f>"电子信息与电气工程学院"</f>
        <v>电子信息与电气工程学院</v>
      </c>
    </row>
    <row r="5259" ht="13.5" hidden="1" spans="1:5">
      <c r="A5259" s="2" t="str">
        <f>"于高鸿"</f>
        <v>于高鸿</v>
      </c>
      <c r="B5259" s="2" t="str">
        <f>"B20230501223"</f>
        <v>B20230501223</v>
      </c>
      <c r="C5259" s="2" t="str">
        <f t="shared" si="1354"/>
        <v>男</v>
      </c>
      <c r="D5259" s="2" t="str">
        <f>"6"</f>
        <v>6</v>
      </c>
      <c r="E5259" s="2" t="str">
        <f>"生物与化学工程学院"</f>
        <v>生物与化学工程学院</v>
      </c>
    </row>
    <row r="5260" ht="13.5" hidden="1" spans="1:5">
      <c r="A5260" s="2" t="str">
        <f>"王纵虎"</f>
        <v>王纵虎</v>
      </c>
      <c r="B5260" s="2" t="str">
        <f>"B20210202119"</f>
        <v>B20210202119</v>
      </c>
      <c r="C5260" s="2" t="str">
        <f t="shared" si="1354"/>
        <v>男</v>
      </c>
      <c r="D5260" s="2" t="str">
        <f>"6"</f>
        <v>6</v>
      </c>
      <c r="E5260" s="2" t="str">
        <f t="shared" ref="E5258:E5263" si="1355">"机电工程学院"</f>
        <v>机电工程学院</v>
      </c>
    </row>
    <row r="5261" ht="13.5" hidden="1" spans="1:5">
      <c r="A5261" s="2" t="str">
        <f>"龙鑫"</f>
        <v>龙鑫</v>
      </c>
      <c r="B5261" s="2" t="str">
        <f>"B20210201319"</f>
        <v>B20210201319</v>
      </c>
      <c r="C5261" s="2" t="str">
        <f t="shared" si="1354"/>
        <v>男</v>
      </c>
      <c r="D5261" s="2" t="str">
        <f>"6"</f>
        <v>6</v>
      </c>
      <c r="E5261" s="2" t="str">
        <f t="shared" si="1355"/>
        <v>机电工程学院</v>
      </c>
    </row>
    <row r="5262" ht="13.5" hidden="1" spans="1:5">
      <c r="A5262" s="2" t="str">
        <f>"丁锐"</f>
        <v>丁锐</v>
      </c>
      <c r="B5262" s="2" t="str">
        <f>"B20230201107"</f>
        <v>B20230201107</v>
      </c>
      <c r="C5262" s="2" t="str">
        <f t="shared" si="1354"/>
        <v>男</v>
      </c>
      <c r="D5262" s="2" t="str">
        <f>"6"</f>
        <v>6</v>
      </c>
      <c r="E5262" s="2" t="str">
        <f t="shared" si="1355"/>
        <v>机电工程学院</v>
      </c>
    </row>
    <row r="5263" ht="13.5" hidden="1" spans="1:5">
      <c r="A5263" s="2" t="str">
        <f>"樊冬辉"</f>
        <v>樊冬辉</v>
      </c>
      <c r="B5263" s="2" t="str">
        <f>"B20220204334"</f>
        <v>B20220204334</v>
      </c>
      <c r="C5263" s="2" t="str">
        <f t="shared" si="1354"/>
        <v>男</v>
      </c>
      <c r="D5263" s="2" t="str">
        <f>"6"</f>
        <v>6</v>
      </c>
      <c r="E5263" s="2" t="str">
        <f t="shared" si="1355"/>
        <v>机电工程学院</v>
      </c>
    </row>
    <row r="5264" ht="13.5" hidden="1" spans="1:5">
      <c r="A5264" s="2" t="str">
        <f>"钟涛"</f>
        <v>钟涛</v>
      </c>
      <c r="B5264" s="2" t="str">
        <f>"B20210401324"</f>
        <v>B20210401324</v>
      </c>
      <c r="C5264" s="2" t="str">
        <f t="shared" si="1354"/>
        <v>男</v>
      </c>
      <c r="D5264" s="2" t="str">
        <f>"6"</f>
        <v>6</v>
      </c>
      <c r="E5264" s="2" t="str">
        <f>"电子信息与电气工程学院"</f>
        <v>电子信息与电气工程学院</v>
      </c>
    </row>
    <row r="5265" ht="13.5" hidden="1" spans="1:5">
      <c r="A5265" s="2" t="str">
        <f>"胡小钢"</f>
        <v>胡小钢</v>
      </c>
      <c r="B5265" s="2" t="str">
        <f>"B20220204201"</f>
        <v>B20220204201</v>
      </c>
      <c r="C5265" s="2" t="str">
        <f t="shared" si="1354"/>
        <v>男</v>
      </c>
      <c r="D5265" s="2" t="str">
        <f>"6"</f>
        <v>6</v>
      </c>
      <c r="E5265" s="2" t="str">
        <f>"机电工程学院"</f>
        <v>机电工程学院</v>
      </c>
    </row>
    <row r="5266" ht="13.5" hidden="1" spans="1:5">
      <c r="A5266" s="2" t="str">
        <f>"罗超"</f>
        <v>罗超</v>
      </c>
      <c r="B5266" s="2" t="str">
        <f>"B20220204207"</f>
        <v>B20220204207</v>
      </c>
      <c r="C5266" s="2" t="str">
        <f t="shared" si="1354"/>
        <v>男</v>
      </c>
      <c r="D5266" s="2" t="str">
        <f>"6"</f>
        <v>6</v>
      </c>
      <c r="E5266" s="2" t="str">
        <f>"机电工程学院"</f>
        <v>机电工程学院</v>
      </c>
    </row>
    <row r="5267" ht="13.5" hidden="1" spans="1:5">
      <c r="A5267" s="2" t="str">
        <f>"许欢"</f>
        <v>许欢</v>
      </c>
      <c r="B5267" s="2" t="str">
        <f>"B20210904138"</f>
        <v>B20210904138</v>
      </c>
      <c r="C5267" s="2" t="str">
        <f>"女"</f>
        <v>女</v>
      </c>
      <c r="D5267" s="2" t="str">
        <f>"6"</f>
        <v>6</v>
      </c>
      <c r="E5267" s="2" t="str">
        <f>"经济与管理学院"</f>
        <v>经济与管理学院</v>
      </c>
    </row>
    <row r="5268" ht="13.5" hidden="1" spans="1:5">
      <c r="A5268" s="2" t="str">
        <f>"李俊琪"</f>
        <v>李俊琪</v>
      </c>
      <c r="B5268" s="2" t="str">
        <f>"B20220204221"</f>
        <v>B20220204221</v>
      </c>
      <c r="C5268" s="2" t="str">
        <f>"男"</f>
        <v>男</v>
      </c>
      <c r="D5268" s="2" t="str">
        <f>"6"</f>
        <v>6</v>
      </c>
      <c r="E5268" s="2" t="str">
        <f>"机电工程学院"</f>
        <v>机电工程学院</v>
      </c>
    </row>
    <row r="5269" ht="13.5" hidden="1" spans="1:5">
      <c r="A5269" s="2" t="str">
        <f>"周梓强"</f>
        <v>周梓强</v>
      </c>
      <c r="B5269" s="2" t="str">
        <f>"B20220601106"</f>
        <v>B20220601106</v>
      </c>
      <c r="C5269" s="2" t="str">
        <f>"男"</f>
        <v>男</v>
      </c>
      <c r="D5269" s="2" t="str">
        <f>"6"</f>
        <v>6</v>
      </c>
      <c r="E5269" s="2" t="str">
        <f>"法学院"</f>
        <v>法学院</v>
      </c>
    </row>
    <row r="5270" ht="13.5" hidden="1" spans="1:5">
      <c r="A5270" s="2" t="str">
        <f>"董逸盈"</f>
        <v>董逸盈</v>
      </c>
      <c r="B5270" s="2" t="str">
        <f>"B20220903137"</f>
        <v>B20220903137</v>
      </c>
      <c r="C5270" s="2" t="str">
        <f t="shared" ref="C5270:C5275" si="1356">"女"</f>
        <v>女</v>
      </c>
      <c r="D5270" s="2" t="str">
        <f>"6"</f>
        <v>6</v>
      </c>
      <c r="E5270" s="2" t="str">
        <f>"经济与管理学院"</f>
        <v>经济与管理学院</v>
      </c>
    </row>
    <row r="5271" ht="13.5" hidden="1" spans="1:5">
      <c r="A5271" s="2" t="str">
        <f>"周铭杰"</f>
        <v>周铭杰</v>
      </c>
      <c r="B5271" s="2" t="str">
        <f>"B20230102102"</f>
        <v>B20230102102</v>
      </c>
      <c r="C5271" s="2" t="str">
        <f>"男"</f>
        <v>男</v>
      </c>
      <c r="D5271" s="2" t="str">
        <f>"6"</f>
        <v>6</v>
      </c>
      <c r="E5271" s="2" t="str">
        <f>"土木工程学院"</f>
        <v>土木工程学院</v>
      </c>
    </row>
    <row r="5272" ht="13.5" hidden="1" spans="1:5">
      <c r="A5272" s="2" t="str">
        <f>"林静"</f>
        <v>林静</v>
      </c>
      <c r="B5272" s="2" t="str">
        <f>"B20210802206"</f>
        <v>B20210802206</v>
      </c>
      <c r="C5272" s="2" t="str">
        <f t="shared" si="1356"/>
        <v>女</v>
      </c>
      <c r="D5272" s="2" t="str">
        <f>"6"</f>
        <v>6</v>
      </c>
      <c r="E5272" s="2" t="str">
        <f>"外国语学院"</f>
        <v>外国语学院</v>
      </c>
    </row>
    <row r="5273" ht="13.5" hidden="1" spans="1:5">
      <c r="A5273" s="2" t="str">
        <f>"傅小山"</f>
        <v>傅小山</v>
      </c>
      <c r="B5273" s="2" t="str">
        <f>"B20220101410"</f>
        <v>B20220101410</v>
      </c>
      <c r="C5273" s="2" t="str">
        <f>"男"</f>
        <v>男</v>
      </c>
      <c r="D5273" s="2" t="str">
        <f>"6"</f>
        <v>6</v>
      </c>
      <c r="E5273" s="2" t="str">
        <f>"土木工程学院"</f>
        <v>土木工程学院</v>
      </c>
    </row>
    <row r="5274" ht="13.5" hidden="1" spans="1:5">
      <c r="A5274" s="2" t="str">
        <f>"李静萱"</f>
        <v>李静萱</v>
      </c>
      <c r="B5274" s="2" t="str">
        <f>"B20210906228"</f>
        <v>B20210906228</v>
      </c>
      <c r="C5274" s="2" t="str">
        <f t="shared" si="1356"/>
        <v>女</v>
      </c>
      <c r="D5274" s="2" t="str">
        <f>"6"</f>
        <v>6</v>
      </c>
      <c r="E5274" s="2" t="str">
        <f>"经济与管理学院"</f>
        <v>经济与管理学院</v>
      </c>
    </row>
    <row r="5275" ht="13.5" hidden="1" spans="1:5">
      <c r="A5275" s="2" t="str">
        <f>"黄绮静"</f>
        <v>黄绮静</v>
      </c>
      <c r="B5275" s="2" t="str">
        <f>"B20230701330"</f>
        <v>B20230701330</v>
      </c>
      <c r="C5275" s="2" t="str">
        <f t="shared" si="1356"/>
        <v>女</v>
      </c>
      <c r="D5275" s="2" t="str">
        <f>"6"</f>
        <v>6</v>
      </c>
      <c r="E5275" s="2" t="str">
        <f>"马栏山新媒体学院"</f>
        <v>马栏山新媒体学院</v>
      </c>
    </row>
    <row r="5276" ht="13.5" hidden="1" spans="1:5">
      <c r="A5276" s="2" t="str">
        <f>"肖玉"</f>
        <v>肖玉</v>
      </c>
      <c r="B5276" s="2" t="str">
        <f>"B20220401215"</f>
        <v>B20220401215</v>
      </c>
      <c r="C5276" s="2" t="str">
        <f>"女"</f>
        <v>女</v>
      </c>
      <c r="D5276" s="2" t="str">
        <f>"6"</f>
        <v>6</v>
      </c>
      <c r="E5276" s="2" t="str">
        <f>"电子信息与电气工程学院"</f>
        <v>电子信息与电气工程学院</v>
      </c>
    </row>
    <row r="5277" ht="13.5" hidden="1" spans="1:5">
      <c r="A5277" s="2" t="str">
        <f>"岳凤"</f>
        <v>岳凤</v>
      </c>
      <c r="B5277" s="2" t="str">
        <f>"B20230701232"</f>
        <v>B20230701232</v>
      </c>
      <c r="C5277" s="2" t="str">
        <f>"男"</f>
        <v>男</v>
      </c>
      <c r="D5277" s="2" t="str">
        <f>"6"</f>
        <v>6</v>
      </c>
      <c r="E5277" s="2" t="str">
        <f>"马栏山新媒体学院"</f>
        <v>马栏山新媒体学院</v>
      </c>
    </row>
    <row r="5278" ht="13.5" hidden="1" spans="1:5">
      <c r="A5278" s="2" t="str">
        <f>"周超"</f>
        <v>周超</v>
      </c>
      <c r="B5278" s="2" t="str">
        <f>"B20230906123"</f>
        <v>B20230906123</v>
      </c>
      <c r="C5278" s="2" t="str">
        <f>"男"</f>
        <v>男</v>
      </c>
      <c r="D5278" s="2" t="str">
        <f>"6"</f>
        <v>6</v>
      </c>
      <c r="E5278" s="2" t="str">
        <f>"经济与管理学院"</f>
        <v>经济与管理学院</v>
      </c>
    </row>
    <row r="5279" ht="13.5" hidden="1" spans="1:5">
      <c r="A5279" s="2" t="str">
        <f>"马娅婧"</f>
        <v>马娅婧</v>
      </c>
      <c r="B5279" s="2" t="str">
        <f>"B20210904128"</f>
        <v>B20210904128</v>
      </c>
      <c r="C5279" s="2" t="str">
        <f>"女"</f>
        <v>女</v>
      </c>
      <c r="D5279" s="2" t="str">
        <f>"6"</f>
        <v>6</v>
      </c>
      <c r="E5279" s="2" t="str">
        <f>"经济与管理学院"</f>
        <v>经济与管理学院</v>
      </c>
    </row>
    <row r="5280" ht="13.5" hidden="1" spans="1:5">
      <c r="A5280" s="2" t="str">
        <f>"宋柏霖"</f>
        <v>宋柏霖</v>
      </c>
      <c r="B5280" s="2" t="str">
        <f>"B20230702102"</f>
        <v>B20230702102</v>
      </c>
      <c r="C5280" s="2" t="str">
        <f>"男"</f>
        <v>男</v>
      </c>
      <c r="D5280" s="2" t="str">
        <f>"6"</f>
        <v>6</v>
      </c>
      <c r="E5280" s="2" t="str">
        <f>"马栏山新媒体学院"</f>
        <v>马栏山新媒体学院</v>
      </c>
    </row>
    <row r="5281" ht="13.5" hidden="1" spans="1:5">
      <c r="A5281" s="2" t="str">
        <f>"唐小淇"</f>
        <v>唐小淇</v>
      </c>
      <c r="B5281" s="2" t="str">
        <f>"B20230702407"</f>
        <v>B20230702407</v>
      </c>
      <c r="C5281" s="2" t="str">
        <f>"女"</f>
        <v>女</v>
      </c>
      <c r="D5281" s="2" t="str">
        <f>"6"</f>
        <v>6</v>
      </c>
      <c r="E5281" s="2" t="str">
        <f>"马栏山新媒体学院"</f>
        <v>马栏山新媒体学院</v>
      </c>
    </row>
    <row r="5282" ht="13.5" hidden="1" spans="1:5">
      <c r="A5282" s="2" t="str">
        <f>"王新宇"</f>
        <v>王新宇</v>
      </c>
      <c r="B5282" s="2" t="str">
        <f>"B20200705121"</f>
        <v>B20200705121</v>
      </c>
      <c r="C5282" s="2" t="str">
        <f>"女"</f>
        <v>女</v>
      </c>
      <c r="D5282" s="2" t="str">
        <f>"6"</f>
        <v>6</v>
      </c>
      <c r="E5282" s="2" t="str">
        <f>"马栏山新媒体学院"</f>
        <v>马栏山新媒体学院</v>
      </c>
    </row>
    <row r="5283" ht="13.5" hidden="1" spans="1:5">
      <c r="A5283" s="2" t="str">
        <f>"周婕妤"</f>
        <v>周婕妤</v>
      </c>
      <c r="B5283" s="2" t="str">
        <f>"B20220701126"</f>
        <v>B20220701126</v>
      </c>
      <c r="C5283" s="2" t="str">
        <f t="shared" ref="C5283:C5287" si="1357">"女"</f>
        <v>女</v>
      </c>
      <c r="D5283" s="2" t="str">
        <f>"6"</f>
        <v>6</v>
      </c>
      <c r="E5283" s="2" t="str">
        <f>"马栏山新媒体学院"</f>
        <v>马栏山新媒体学院</v>
      </c>
    </row>
    <row r="5284" ht="13.5" hidden="1" spans="1:5">
      <c r="A5284" s="2" t="str">
        <f>"周子健"</f>
        <v>周子健</v>
      </c>
      <c r="B5284" s="2" t="str">
        <f>"B20220601303"</f>
        <v>B20220601303</v>
      </c>
      <c r="C5284" s="2" t="str">
        <f>"男"</f>
        <v>男</v>
      </c>
      <c r="D5284" s="2" t="str">
        <f>"6"</f>
        <v>6</v>
      </c>
      <c r="E5284" s="2" t="str">
        <f>"法学院"</f>
        <v>法学院</v>
      </c>
    </row>
    <row r="5285" ht="13.5" hidden="1" spans="1:5">
      <c r="A5285" s="2" t="str">
        <f>"张依"</f>
        <v>张依</v>
      </c>
      <c r="B5285" s="2" t="str">
        <f>"B20220601315"</f>
        <v>B20220601315</v>
      </c>
      <c r="C5285" s="2" t="str">
        <f t="shared" si="1357"/>
        <v>女</v>
      </c>
      <c r="D5285" s="2" t="str">
        <f>"6"</f>
        <v>6</v>
      </c>
      <c r="E5285" s="2" t="str">
        <f>"法学院"</f>
        <v>法学院</v>
      </c>
    </row>
    <row r="5286" ht="13.5" hidden="1" spans="1:5">
      <c r="A5286" s="2" t="str">
        <f>"刘旻熠"</f>
        <v>刘旻熠</v>
      </c>
      <c r="B5286" s="2" t="str">
        <f>"B20210902108"</f>
        <v>B20210902108</v>
      </c>
      <c r="C5286" s="2" t="str">
        <f t="shared" si="1357"/>
        <v>女</v>
      </c>
      <c r="D5286" s="2" t="str">
        <f>"6"</f>
        <v>6</v>
      </c>
      <c r="E5286" s="2" t="str">
        <f>"经济与管理学院"</f>
        <v>经济与管理学院</v>
      </c>
    </row>
    <row r="5287" ht="13.5" hidden="1" spans="1:5">
      <c r="A5287" s="2" t="str">
        <f>"周依宸"</f>
        <v>周依宸</v>
      </c>
      <c r="B5287" s="2" t="str">
        <f>"B20220901212"</f>
        <v>B20220901212</v>
      </c>
      <c r="C5287" s="2" t="str">
        <f t="shared" si="1357"/>
        <v>女</v>
      </c>
      <c r="D5287" s="2" t="str">
        <f>"6"</f>
        <v>6</v>
      </c>
      <c r="E5287" s="2" t="str">
        <f>"经济与管理学院"</f>
        <v>经济与管理学院</v>
      </c>
    </row>
    <row r="5288" ht="13.5" hidden="1" spans="1:5">
      <c r="A5288" s="2" t="str">
        <f>"陶佳鑫"</f>
        <v>陶佳鑫</v>
      </c>
      <c r="B5288" s="2" t="str">
        <f>"B20220102220"</f>
        <v>B20220102220</v>
      </c>
      <c r="C5288" s="2" t="str">
        <f>"男"</f>
        <v>男</v>
      </c>
      <c r="D5288" s="2" t="str">
        <f>"6"</f>
        <v>6</v>
      </c>
      <c r="E5288" s="2" t="str">
        <f>"土木工程学院"</f>
        <v>土木工程学院</v>
      </c>
    </row>
    <row r="5289" ht="13.5" hidden="1" spans="1:5">
      <c r="A5289" s="2" t="str">
        <f>"谭晰雯"</f>
        <v>谭晰雯</v>
      </c>
      <c r="B5289" s="2" t="str">
        <f>"B20221001122"</f>
        <v>B20221001122</v>
      </c>
      <c r="C5289" s="2" t="str">
        <f>"女"</f>
        <v>女</v>
      </c>
      <c r="D5289" s="2" t="str">
        <f>"6"</f>
        <v>6</v>
      </c>
      <c r="E5289" s="2" t="str">
        <f>"艺术设计学院"</f>
        <v>艺术设计学院</v>
      </c>
    </row>
    <row r="5290" ht="13.5" hidden="1" spans="1:5">
      <c r="A5290" s="2" t="str">
        <f>"程浦苗"</f>
        <v>程浦苗</v>
      </c>
      <c r="B5290" s="2" t="str">
        <f>"B20230802127"</f>
        <v>B20230802127</v>
      </c>
      <c r="C5290" s="2" t="str">
        <f>"女"</f>
        <v>女</v>
      </c>
      <c r="D5290" s="2" t="str">
        <f>"6"</f>
        <v>6</v>
      </c>
      <c r="E5290" s="2" t="str">
        <f>"外国语学院"</f>
        <v>外国语学院</v>
      </c>
    </row>
    <row r="5291" ht="13.5" hidden="1" spans="1:5">
      <c r="A5291" s="2" t="str">
        <f>"谢好"</f>
        <v>谢好</v>
      </c>
      <c r="B5291" s="2" t="str">
        <f>"B20220204101"</f>
        <v>B20220204101</v>
      </c>
      <c r="C5291" s="2" t="str">
        <f>"男"</f>
        <v>男</v>
      </c>
      <c r="D5291" s="2" t="str">
        <f>"6"</f>
        <v>6</v>
      </c>
      <c r="E5291" s="2" t="str">
        <f>"机电工程学院"</f>
        <v>机电工程学院</v>
      </c>
    </row>
    <row r="5292" ht="13.5" hidden="1" spans="1:5">
      <c r="A5292" s="2" t="str">
        <f>"梁幼宇"</f>
        <v>梁幼宇</v>
      </c>
      <c r="B5292" s="2" t="str">
        <f>"B20200404117"</f>
        <v>B20200404117</v>
      </c>
      <c r="C5292" s="2" t="str">
        <f>"男"</f>
        <v>男</v>
      </c>
      <c r="D5292" s="2" t="str">
        <f>"6"</f>
        <v>6</v>
      </c>
      <c r="E5292" s="2" t="str">
        <f>"电子信息与电气工程学院"</f>
        <v>电子信息与电气工程学院</v>
      </c>
    </row>
    <row r="5293" ht="13.5" hidden="1" spans="1:5">
      <c r="A5293" s="2" t="str">
        <f>"曹寒"</f>
        <v>曹寒</v>
      </c>
      <c r="B5293" s="2" t="str">
        <f>"B20210401322"</f>
        <v>B20210401322</v>
      </c>
      <c r="C5293" s="2" t="str">
        <f>"男"</f>
        <v>男</v>
      </c>
      <c r="D5293" s="2" t="str">
        <f t="shared" ref="D5293:D5301" si="1358">"6"</f>
        <v>6</v>
      </c>
      <c r="E5293" s="2" t="str">
        <f>"电子信息与电气工程学院"</f>
        <v>电子信息与电气工程学院</v>
      </c>
    </row>
    <row r="5294" ht="13.5" hidden="1" spans="1:5">
      <c r="A5294" s="2" t="str">
        <f>"刘梓洋"</f>
        <v>刘梓洋</v>
      </c>
      <c r="B5294" s="2" t="str">
        <f>"B20210903128"</f>
        <v>B20210903128</v>
      </c>
      <c r="C5294" s="2" t="str">
        <f>"男"</f>
        <v>男</v>
      </c>
      <c r="D5294" s="2" t="str">
        <f t="shared" si="1358"/>
        <v>6</v>
      </c>
      <c r="E5294" s="2" t="str">
        <f>"经济与管理学院"</f>
        <v>经济与管理学院</v>
      </c>
    </row>
    <row r="5295" ht="13.5" hidden="1" spans="1:5">
      <c r="A5295" s="2" t="str">
        <f>"梁爽"</f>
        <v>梁爽</v>
      </c>
      <c r="B5295" s="2" t="str">
        <f>"B20230101116"</f>
        <v>B20230101116</v>
      </c>
      <c r="C5295" s="2" t="str">
        <f t="shared" ref="C5295:C5299" si="1359">"女"</f>
        <v>女</v>
      </c>
      <c r="D5295" s="2" t="str">
        <f t="shared" si="1358"/>
        <v>6</v>
      </c>
      <c r="E5295" s="2" t="str">
        <f>"土木工程学院"</f>
        <v>土木工程学院</v>
      </c>
    </row>
    <row r="5296" ht="13.5" hidden="1" spans="1:5">
      <c r="A5296" s="2" t="str">
        <f>"张伟"</f>
        <v>张伟</v>
      </c>
      <c r="B5296" s="2" t="str">
        <f>"B20210401221"</f>
        <v>B20210401221</v>
      </c>
      <c r="C5296" s="2" t="str">
        <f t="shared" ref="C5296:C5300" si="1360">"男"</f>
        <v>男</v>
      </c>
      <c r="D5296" s="2" t="str">
        <f t="shared" si="1358"/>
        <v>6</v>
      </c>
      <c r="E5296" s="2" t="str">
        <f>"电子信息与电气工程学院"</f>
        <v>电子信息与电气工程学院</v>
      </c>
    </row>
    <row r="5297" ht="13.5" hidden="1" spans="1:5">
      <c r="A5297" s="2" t="str">
        <f>"唐慧杰"</f>
        <v>唐慧杰</v>
      </c>
      <c r="B5297" s="2" t="str">
        <f>"B20220101207"</f>
        <v>B20220101207</v>
      </c>
      <c r="C5297" s="2" t="str">
        <f t="shared" si="1360"/>
        <v>男</v>
      </c>
      <c r="D5297" s="2" t="str">
        <f t="shared" si="1358"/>
        <v>6</v>
      </c>
      <c r="E5297" s="2" t="str">
        <f>"土木工程学院"</f>
        <v>土木工程学院</v>
      </c>
    </row>
    <row r="5298" ht="13.5" hidden="1" spans="1:5">
      <c r="A5298" s="2" t="str">
        <f>"兰伊婷"</f>
        <v>兰伊婷</v>
      </c>
      <c r="B5298" s="2" t="str">
        <f>"B20220204416"</f>
        <v>B20220204416</v>
      </c>
      <c r="C5298" s="2" t="str">
        <f t="shared" si="1359"/>
        <v>女</v>
      </c>
      <c r="D5298" s="2" t="str">
        <f t="shared" si="1358"/>
        <v>6</v>
      </c>
      <c r="E5298" s="2" t="str">
        <f>"机电工程学院"</f>
        <v>机电工程学院</v>
      </c>
    </row>
    <row r="5299" ht="13.5" hidden="1" spans="1:5">
      <c r="A5299" s="2" t="str">
        <f>"黄又盈"</f>
        <v>黄又盈</v>
      </c>
      <c r="B5299" s="2" t="str">
        <f>"B20220402224"</f>
        <v>B20220402224</v>
      </c>
      <c r="C5299" s="2" t="str">
        <f t="shared" si="1359"/>
        <v>女</v>
      </c>
      <c r="D5299" s="2" t="str">
        <f t="shared" si="1358"/>
        <v>6</v>
      </c>
      <c r="E5299" s="2" t="str">
        <f>"电子信息与电气工程学院"</f>
        <v>电子信息与电气工程学院</v>
      </c>
    </row>
    <row r="5300" ht="13.5" hidden="1" spans="1:5">
      <c r="A5300" s="2" t="str">
        <f>"贺易飞"</f>
        <v>贺易飞</v>
      </c>
      <c r="B5300" s="2" t="str">
        <f>"B20220202220"</f>
        <v>B20220202220</v>
      </c>
      <c r="C5300" s="2" t="str">
        <f t="shared" si="1360"/>
        <v>男</v>
      </c>
      <c r="D5300" s="2" t="str">
        <f t="shared" si="1358"/>
        <v>6</v>
      </c>
      <c r="E5300" s="2" t="str">
        <f>"机电工程学院"</f>
        <v>机电工程学院</v>
      </c>
    </row>
    <row r="5301" ht="13.5" hidden="1" spans="1:5">
      <c r="A5301" s="2" t="str">
        <f>"禹骄扬"</f>
        <v>禹骄扬</v>
      </c>
      <c r="B5301" s="2" t="str">
        <f>"B20200601308"</f>
        <v>B20200601308</v>
      </c>
      <c r="C5301" s="2" t="str">
        <f>"女"</f>
        <v>女</v>
      </c>
      <c r="D5301" s="2" t="str">
        <f t="shared" si="1358"/>
        <v>6</v>
      </c>
      <c r="E5301" s="2" t="str">
        <f>"法学院"</f>
        <v>法学院</v>
      </c>
    </row>
    <row r="5302" ht="13.5" hidden="1" spans="1:5">
      <c r="A5302" s="2" t="str">
        <f>"李欣纳"</f>
        <v>李欣纳</v>
      </c>
      <c r="B5302" s="2" t="str">
        <f>"B20221002221"</f>
        <v>B20221002221</v>
      </c>
      <c r="C5302" s="2" t="str">
        <f>"女"</f>
        <v>女</v>
      </c>
      <c r="D5302" s="2" t="str">
        <f>"6"</f>
        <v>6</v>
      </c>
      <c r="E5302" s="2" t="str">
        <f>"艺术设计学院"</f>
        <v>艺术设计学院</v>
      </c>
    </row>
    <row r="5303" ht="13.5" hidden="1" spans="1:5">
      <c r="A5303" s="2" t="str">
        <f>"袁慧琳"</f>
        <v>袁慧琳</v>
      </c>
      <c r="B5303" s="2" t="str">
        <f>"B20210905243"</f>
        <v>B20210905243</v>
      </c>
      <c r="C5303" s="2" t="str">
        <f>"女"</f>
        <v>女</v>
      </c>
      <c r="D5303" s="2" t="str">
        <f>"6"</f>
        <v>6</v>
      </c>
      <c r="E5303" s="2" t="str">
        <f>"经济与管理学院"</f>
        <v>经济与管理学院</v>
      </c>
    </row>
    <row r="5304" ht="13.5" hidden="1" spans="1:5">
      <c r="A5304" s="2" t="str">
        <f>"蒋旭雯"</f>
        <v>蒋旭雯</v>
      </c>
      <c r="B5304" s="2" t="str">
        <f>"B20220801316"</f>
        <v>B20220801316</v>
      </c>
      <c r="C5304" s="2" t="str">
        <f>"女"</f>
        <v>女</v>
      </c>
      <c r="D5304" s="2" t="str">
        <f>"6"</f>
        <v>6</v>
      </c>
      <c r="E5304" s="2" t="str">
        <f>"外国语学院"</f>
        <v>外国语学院</v>
      </c>
    </row>
    <row r="5305" ht="13.5" hidden="1" spans="1:5">
      <c r="A5305" s="2" t="str">
        <f>"林梦琦"</f>
        <v>林梦琦</v>
      </c>
      <c r="B5305" s="2" t="str">
        <f>"B20210901133"</f>
        <v>B20210901133</v>
      </c>
      <c r="C5305" s="2" t="str">
        <f>"女"</f>
        <v>女</v>
      </c>
      <c r="D5305" s="2" t="str">
        <f>"6"</f>
        <v>6</v>
      </c>
      <c r="E5305" s="2" t="str">
        <f>"经济与管理学院"</f>
        <v>经济与管理学院</v>
      </c>
    </row>
    <row r="5306" ht="13.5" hidden="1" spans="1:5">
      <c r="A5306" s="2" t="str">
        <f>"谢为"</f>
        <v>谢为</v>
      </c>
      <c r="B5306" s="2" t="str">
        <f>"B20230802215"</f>
        <v>B20230802215</v>
      </c>
      <c r="C5306" s="2" t="str">
        <f t="shared" ref="C5306:C5310" si="1361">"男"</f>
        <v>男</v>
      </c>
      <c r="D5306" s="2" t="str">
        <f>"6"</f>
        <v>6</v>
      </c>
      <c r="E5306" s="2" t="str">
        <f>"外国语学院"</f>
        <v>外国语学院</v>
      </c>
    </row>
    <row r="5307" ht="13.5" hidden="1" spans="1:5">
      <c r="A5307" s="2" t="str">
        <f>"何米萱"</f>
        <v>何米萱</v>
      </c>
      <c r="B5307" s="2" t="str">
        <f>"B20230502107"</f>
        <v>B20230502107</v>
      </c>
      <c r="C5307" s="2" t="str">
        <f t="shared" ref="C5307:C5320" si="1362">"女"</f>
        <v>女</v>
      </c>
      <c r="D5307" s="2" t="str">
        <f>"6"</f>
        <v>6</v>
      </c>
      <c r="E5307" s="2" t="str">
        <f>"生物与化学工程学院"</f>
        <v>生物与化学工程学院</v>
      </c>
    </row>
    <row r="5308" ht="13.5" hidden="1" spans="1:5">
      <c r="A5308" s="2" t="str">
        <f>"李文睿"</f>
        <v>李文睿</v>
      </c>
      <c r="B5308" s="2" t="str">
        <f>"B20210203112"</f>
        <v>B20210203112</v>
      </c>
      <c r="C5308" s="2" t="str">
        <f t="shared" si="1362"/>
        <v>女</v>
      </c>
      <c r="D5308" s="2" t="str">
        <f>"6"</f>
        <v>6</v>
      </c>
      <c r="E5308" s="2" t="str">
        <f>"机电工程学院"</f>
        <v>机电工程学院</v>
      </c>
    </row>
    <row r="5309" ht="13.5" hidden="1" spans="1:5">
      <c r="A5309" s="2" t="str">
        <f>"沈锦杰"</f>
        <v>沈锦杰</v>
      </c>
      <c r="B5309" s="2" t="str">
        <f>"B20231301213"</f>
        <v>B20231301213</v>
      </c>
      <c r="C5309" s="2" t="str">
        <f t="shared" si="1361"/>
        <v>男</v>
      </c>
      <c r="D5309" s="2" t="str">
        <f>"6"</f>
        <v>6</v>
      </c>
      <c r="E5309" s="2" t="str">
        <f>"材料与环境工程学院"</f>
        <v>材料与环境工程学院</v>
      </c>
    </row>
    <row r="5310" ht="13.5" hidden="1" spans="1:5">
      <c r="A5310" s="2" t="str">
        <f>"杨淡乾"</f>
        <v>杨淡乾</v>
      </c>
      <c r="B5310" s="2" t="str">
        <f>"B20230903212"</f>
        <v>B20230903212</v>
      </c>
      <c r="C5310" s="2" t="str">
        <f t="shared" si="1361"/>
        <v>男</v>
      </c>
      <c r="D5310" s="2" t="str">
        <f>"6"</f>
        <v>6</v>
      </c>
      <c r="E5310" s="2" t="str">
        <f t="shared" ref="E5310:E5315" si="1363">"经济与管理学院"</f>
        <v>经济与管理学院</v>
      </c>
    </row>
    <row r="5311" ht="13.5" hidden="1" spans="1:5">
      <c r="A5311" s="2" t="str">
        <f>"张嘉鑫"</f>
        <v>张嘉鑫</v>
      </c>
      <c r="B5311" s="2" t="str">
        <f>"B20230904304"</f>
        <v>B20230904304</v>
      </c>
      <c r="C5311" s="2" t="str">
        <f t="shared" si="1362"/>
        <v>女</v>
      </c>
      <c r="D5311" s="2" t="str">
        <f>"6"</f>
        <v>6</v>
      </c>
      <c r="E5311" s="2" t="str">
        <f t="shared" si="1363"/>
        <v>经济与管理学院</v>
      </c>
    </row>
    <row r="5312" ht="13.5" hidden="1" spans="1:5">
      <c r="A5312" s="2" t="str">
        <f>"陈阳"</f>
        <v>陈阳</v>
      </c>
      <c r="B5312" s="2" t="str">
        <f>"B20230802131"</f>
        <v>B20230802131</v>
      </c>
      <c r="C5312" s="2" t="str">
        <f t="shared" si="1362"/>
        <v>女</v>
      </c>
      <c r="D5312" s="2" t="str">
        <f>"6"</f>
        <v>6</v>
      </c>
      <c r="E5312" s="2" t="str">
        <f>"外国语学院"</f>
        <v>外国语学院</v>
      </c>
    </row>
    <row r="5313" ht="13.5" hidden="1" spans="1:5">
      <c r="A5313" s="2" t="str">
        <f>"倪萍"</f>
        <v>倪萍</v>
      </c>
      <c r="B5313" s="2" t="str">
        <f>"B20230702331"</f>
        <v>B20230702331</v>
      </c>
      <c r="C5313" s="2" t="str">
        <f t="shared" si="1362"/>
        <v>女</v>
      </c>
      <c r="D5313" s="2" t="str">
        <f>"6"</f>
        <v>6</v>
      </c>
      <c r="E5313" s="2" t="str">
        <f>"马栏山新媒体学院"</f>
        <v>马栏山新媒体学院</v>
      </c>
    </row>
    <row r="5314" ht="13.5" hidden="1" spans="1:5">
      <c r="A5314" s="2" t="str">
        <f>"周丽"</f>
        <v>周丽</v>
      </c>
      <c r="B5314" s="2" t="str">
        <f>"B20230904202"</f>
        <v>B20230904202</v>
      </c>
      <c r="C5314" s="2" t="str">
        <f t="shared" si="1362"/>
        <v>女</v>
      </c>
      <c r="D5314" s="2" t="str">
        <f>"6"</f>
        <v>6</v>
      </c>
      <c r="E5314" s="2" t="str">
        <f t="shared" si="1363"/>
        <v>经济与管理学院</v>
      </c>
    </row>
    <row r="5315" ht="13.5" hidden="1" spans="1:5">
      <c r="A5315" s="2" t="str">
        <f>"何抒蔓"</f>
        <v>何抒蔓</v>
      </c>
      <c r="B5315" s="2" t="str">
        <f>"B20220901221"</f>
        <v>B20220901221</v>
      </c>
      <c r="C5315" s="2" t="str">
        <f t="shared" si="1362"/>
        <v>女</v>
      </c>
      <c r="D5315" s="2" t="str">
        <f>"6"</f>
        <v>6</v>
      </c>
      <c r="E5315" s="2" t="str">
        <f t="shared" si="1363"/>
        <v>经济与管理学院</v>
      </c>
    </row>
    <row r="5316" ht="13.5" hidden="1" spans="1:5">
      <c r="A5316" s="2" t="str">
        <f>"鲜佳慧"</f>
        <v>鲜佳慧</v>
      </c>
      <c r="B5316" s="2" t="str">
        <f>"B20201101128"</f>
        <v>B20201101128</v>
      </c>
      <c r="C5316" s="2" t="str">
        <f t="shared" si="1362"/>
        <v>女</v>
      </c>
      <c r="D5316" s="2" t="str">
        <f>"6"</f>
        <v>6</v>
      </c>
      <c r="E5316" s="2" t="str">
        <f>"音乐学院"</f>
        <v>音乐学院</v>
      </c>
    </row>
    <row r="5317" ht="13.5" hidden="1" spans="1:5">
      <c r="A5317" s="2" t="str">
        <f>"李婷芳"</f>
        <v>李婷芳</v>
      </c>
      <c r="B5317" s="2" t="str">
        <f>"B20230903121"</f>
        <v>B20230903121</v>
      </c>
      <c r="C5317" s="2" t="str">
        <f t="shared" si="1362"/>
        <v>女</v>
      </c>
      <c r="D5317" s="2" t="str">
        <f>"6"</f>
        <v>6</v>
      </c>
      <c r="E5317" s="2" t="str">
        <f>"经济与管理学院"</f>
        <v>经济与管理学院</v>
      </c>
    </row>
    <row r="5318" ht="13.5" hidden="1" spans="1:5">
      <c r="A5318" s="2" t="str">
        <f>"郝司瑜"</f>
        <v>郝司瑜</v>
      </c>
      <c r="B5318" s="2" t="str">
        <f>"B20220803108"</f>
        <v>B20220803108</v>
      </c>
      <c r="C5318" s="2" t="str">
        <f t="shared" si="1362"/>
        <v>女</v>
      </c>
      <c r="D5318" s="2" t="str">
        <f>"6"</f>
        <v>6</v>
      </c>
      <c r="E5318" s="2" t="str">
        <f>"外国语学院"</f>
        <v>外国语学院</v>
      </c>
    </row>
    <row r="5319" ht="13.5" hidden="1" spans="1:5">
      <c r="A5319" s="2" t="str">
        <f>"王家欢"</f>
        <v>王家欢</v>
      </c>
      <c r="B5319" s="2" t="str">
        <f>"B20230104107"</f>
        <v>B20230104107</v>
      </c>
      <c r="C5319" s="2" t="str">
        <f t="shared" si="1362"/>
        <v>女</v>
      </c>
      <c r="D5319" s="2" t="str">
        <f>"6"</f>
        <v>6</v>
      </c>
      <c r="E5319" s="2" t="str">
        <f>"土木工程学院"</f>
        <v>土木工程学院</v>
      </c>
    </row>
    <row r="5320" ht="13.5" hidden="1" spans="1:5">
      <c r="A5320" s="2" t="str">
        <f>"张雨竹"</f>
        <v>张雨竹</v>
      </c>
      <c r="B5320" s="2" t="str">
        <f>"B20211003202"</f>
        <v>B20211003202</v>
      </c>
      <c r="C5320" s="2" t="str">
        <f t="shared" si="1362"/>
        <v>女</v>
      </c>
      <c r="D5320" s="2" t="str">
        <f>"6"</f>
        <v>6</v>
      </c>
      <c r="E5320" s="2" t="str">
        <f>"艺术设计学院"</f>
        <v>艺术设计学院</v>
      </c>
    </row>
    <row r="5321" ht="13.5" hidden="1" spans="1:5">
      <c r="A5321" s="2" t="str">
        <f>"温明鹏"</f>
        <v>温明鹏</v>
      </c>
      <c r="B5321" s="2" t="str">
        <f>"B20220403119"</f>
        <v>B20220403119</v>
      </c>
      <c r="C5321" s="2" t="str">
        <f>"男"</f>
        <v>男</v>
      </c>
      <c r="D5321" s="2" t="str">
        <f>"6"</f>
        <v>6</v>
      </c>
      <c r="E5321" s="2" t="str">
        <f>"电子信息与电气工程学院"</f>
        <v>电子信息与电气工程学院</v>
      </c>
    </row>
    <row r="5322" ht="13.5" hidden="1" spans="1:5">
      <c r="A5322" s="2" t="str">
        <f>"王涵"</f>
        <v>王涵</v>
      </c>
      <c r="B5322" s="2" t="str">
        <f>"B20230906131"</f>
        <v>B20230906131</v>
      </c>
      <c r="C5322" s="2" t="str">
        <f t="shared" ref="C5322:C5324" si="1364">"女"</f>
        <v>女</v>
      </c>
      <c r="D5322" s="2" t="str">
        <f>"6"</f>
        <v>6</v>
      </c>
      <c r="E5322" s="2" t="str">
        <f>"经济与管理学院"</f>
        <v>经济与管理学院</v>
      </c>
    </row>
    <row r="5323" ht="13.5" hidden="1" spans="1:5">
      <c r="A5323" s="2" t="str">
        <f>"刘延秋"</f>
        <v>刘延秋</v>
      </c>
      <c r="B5323" s="2" t="str">
        <f>"B20221003120"</f>
        <v>B20221003120</v>
      </c>
      <c r="C5323" s="2" t="str">
        <f t="shared" si="1364"/>
        <v>女</v>
      </c>
      <c r="D5323" s="2" t="str">
        <f>"6"</f>
        <v>6</v>
      </c>
      <c r="E5323" s="2" t="str">
        <f>"艺术设计学院"</f>
        <v>艺术设计学院</v>
      </c>
    </row>
    <row r="5324" ht="13.5" hidden="1" spans="1:5">
      <c r="A5324" s="2" t="str">
        <f>"钱瑶"</f>
        <v>钱瑶</v>
      </c>
      <c r="B5324" s="2" t="str">
        <f>"B20210103209"</f>
        <v>B20210103209</v>
      </c>
      <c r="C5324" s="2" t="str">
        <f t="shared" si="1364"/>
        <v>女</v>
      </c>
      <c r="D5324" s="2" t="str">
        <f>"6"</f>
        <v>6</v>
      </c>
      <c r="E5324" s="2" t="str">
        <f>"土木工程学院"</f>
        <v>土木工程学院</v>
      </c>
    </row>
    <row r="5325" ht="13.5" hidden="1" spans="1:5">
      <c r="A5325" s="2" t="str">
        <f>"陈石生"</f>
        <v>陈石生</v>
      </c>
      <c r="B5325" s="2" t="str">
        <f>"B20231301226"</f>
        <v>B20231301226</v>
      </c>
      <c r="C5325" s="2" t="str">
        <f>"男"</f>
        <v>男</v>
      </c>
      <c r="D5325" s="2" t="str">
        <f>"6"</f>
        <v>6</v>
      </c>
      <c r="E5325" s="2" t="str">
        <f>"材料与环境工程学院"</f>
        <v>材料与环境工程学院</v>
      </c>
    </row>
    <row r="5326" ht="13.5" hidden="1" spans="1:5">
      <c r="A5326" s="2" t="str">
        <f>"邓亦婷"</f>
        <v>邓亦婷</v>
      </c>
      <c r="B5326" s="2" t="str">
        <f>"B20230601204"</f>
        <v>B20230601204</v>
      </c>
      <c r="C5326" s="2" t="str">
        <f>"女"</f>
        <v>女</v>
      </c>
      <c r="D5326" s="2" t="str">
        <f>"6"</f>
        <v>6</v>
      </c>
      <c r="E5326" s="2" t="str">
        <f>"法学院"</f>
        <v>法学院</v>
      </c>
    </row>
    <row r="5327" ht="13.5" hidden="1" spans="1:5">
      <c r="A5327" s="2" t="str">
        <f>"张颖"</f>
        <v>张颖</v>
      </c>
      <c r="B5327" s="2" t="str">
        <f>"B20230803102"</f>
        <v>B20230803102</v>
      </c>
      <c r="C5327" s="2" t="str">
        <f>"女"</f>
        <v>女</v>
      </c>
      <c r="D5327" s="2" t="str">
        <f>"6"</f>
        <v>6</v>
      </c>
      <c r="E5327" s="2" t="str">
        <f>"外国语学院"</f>
        <v>外国语学院</v>
      </c>
    </row>
    <row r="5328" ht="13.5" hidden="1" spans="1:5">
      <c r="A5328" s="2" t="str">
        <f>"麻慧珍"</f>
        <v>麻慧珍</v>
      </c>
      <c r="B5328" s="2" t="str">
        <f>"B20231401116"</f>
        <v>B20231401116</v>
      </c>
      <c r="C5328" s="2" t="str">
        <f>"女"</f>
        <v>女</v>
      </c>
      <c r="D5328" s="2" t="str">
        <f>"6"</f>
        <v>6</v>
      </c>
      <c r="E5328" s="2" t="str">
        <f>"马克思主义学院"</f>
        <v>马克思主义学院</v>
      </c>
    </row>
    <row r="5329" ht="13.5" hidden="1" spans="1:5">
      <c r="A5329" s="2" t="str">
        <f>"李嘉琪"</f>
        <v>李嘉琪</v>
      </c>
      <c r="B5329" s="2" t="str">
        <f>"B20230101210"</f>
        <v>B20230101210</v>
      </c>
      <c r="C5329" s="2" t="str">
        <f>"男"</f>
        <v>男</v>
      </c>
      <c r="D5329" s="2" t="str">
        <f>"6"</f>
        <v>6</v>
      </c>
      <c r="E5329" s="2" t="str">
        <f>"土木工程学院"</f>
        <v>土木工程学院</v>
      </c>
    </row>
    <row r="5330" ht="13.5" hidden="1" spans="1:5">
      <c r="A5330" s="2" t="str">
        <f>"黄梓涵"</f>
        <v>黄梓涵</v>
      </c>
      <c r="B5330" s="2" t="str">
        <f>"B20230906212"</f>
        <v>B20230906212</v>
      </c>
      <c r="C5330" s="2" t="str">
        <f>"男"</f>
        <v>男</v>
      </c>
      <c r="D5330" s="2" t="str">
        <f>"6"</f>
        <v>6</v>
      </c>
      <c r="E5330" s="2" t="str">
        <f>"经济与管理学院"</f>
        <v>经济与管理学院</v>
      </c>
    </row>
    <row r="5331" ht="13.5" hidden="1" spans="1:5">
      <c r="A5331" s="2" t="str">
        <f>"席银香"</f>
        <v>席银香</v>
      </c>
      <c r="B5331" s="2" t="str">
        <f>"B20231301103"</f>
        <v>B20231301103</v>
      </c>
      <c r="C5331" s="2" t="str">
        <f>"女"</f>
        <v>女</v>
      </c>
      <c r="D5331" s="2" t="str">
        <f>"6"</f>
        <v>6</v>
      </c>
      <c r="E5331" s="2" t="str">
        <f>"材料与环境工程学院"</f>
        <v>材料与环境工程学院</v>
      </c>
    </row>
    <row r="5332" ht="13.5" hidden="1" spans="1:5">
      <c r="A5332" s="2" t="str">
        <f>"唐景泽"</f>
        <v>唐景泽</v>
      </c>
      <c r="B5332" s="2" t="str">
        <f>"B20220701324"</f>
        <v>B20220701324</v>
      </c>
      <c r="C5332" s="2" t="str">
        <f>"男"</f>
        <v>男</v>
      </c>
      <c r="D5332" s="2" t="str">
        <f>"6"</f>
        <v>6</v>
      </c>
      <c r="E5332" s="2" t="str">
        <f>"马栏山新媒体学院"</f>
        <v>马栏山新媒体学院</v>
      </c>
    </row>
    <row r="5333" ht="13.5" hidden="1" spans="1:5">
      <c r="A5333" s="2" t="str">
        <f>"刘本成"</f>
        <v>刘本成</v>
      </c>
      <c r="B5333" s="2" t="str">
        <f>"B20230504115"</f>
        <v>B20230504115</v>
      </c>
      <c r="C5333" s="2" t="str">
        <f>"男"</f>
        <v>男</v>
      </c>
      <c r="D5333" s="2" t="str">
        <f>"6"</f>
        <v>6</v>
      </c>
      <c r="E5333" s="2" t="str">
        <f>"生物与化学工程学院"</f>
        <v>生物与化学工程学院</v>
      </c>
    </row>
    <row r="5334" ht="13.5" hidden="1" spans="1:5">
      <c r="A5334" s="2" t="str">
        <f>"郑子怡"</f>
        <v>郑子怡</v>
      </c>
      <c r="B5334" s="2" t="str">
        <f>"B20200801426"</f>
        <v>B20200801426</v>
      </c>
      <c r="C5334" s="2" t="str">
        <f>"女"</f>
        <v>女</v>
      </c>
      <c r="D5334" s="2" t="str">
        <f>"6"</f>
        <v>6</v>
      </c>
      <c r="E5334" s="2" t="str">
        <f>"外国语学院"</f>
        <v>外国语学院</v>
      </c>
    </row>
    <row r="5335" ht="13.5" hidden="1" spans="1:5">
      <c r="A5335" s="2" t="str">
        <f>"伍贤浩"</f>
        <v>伍贤浩</v>
      </c>
      <c r="B5335" s="2" t="str">
        <f>"B20220101435"</f>
        <v>B20220101435</v>
      </c>
      <c r="C5335" s="2" t="str">
        <f>"男"</f>
        <v>男</v>
      </c>
      <c r="D5335" s="2" t="str">
        <f>"6"</f>
        <v>6</v>
      </c>
      <c r="E5335" s="2" t="str">
        <f>"土木工程学院"</f>
        <v>土木工程学院</v>
      </c>
    </row>
    <row r="5336" ht="13.5" hidden="1" spans="1:5">
      <c r="A5336" s="2" t="str">
        <f>"刘承毅"</f>
        <v>刘承毅</v>
      </c>
      <c r="B5336" s="2" t="str">
        <f>"B20200801325"</f>
        <v>B20200801325</v>
      </c>
      <c r="C5336" s="2" t="str">
        <f>"男"</f>
        <v>男</v>
      </c>
      <c r="D5336" s="2" t="str">
        <f>"6"</f>
        <v>6</v>
      </c>
      <c r="E5336" s="2" t="str">
        <f>"外国语学院"</f>
        <v>外国语学院</v>
      </c>
    </row>
    <row r="5337" ht="13.5" hidden="1" spans="1:5">
      <c r="A5337" s="2" t="str">
        <f>"乔俊儒"</f>
        <v>乔俊儒</v>
      </c>
      <c r="B5337" s="2" t="str">
        <f>"B20230403134"</f>
        <v>B20230403134</v>
      </c>
      <c r="C5337" s="2" t="str">
        <f>"男"</f>
        <v>男</v>
      </c>
      <c r="D5337" s="2" t="str">
        <f>"6"</f>
        <v>6</v>
      </c>
      <c r="E5337" s="2" t="str">
        <f>"电子信息与电气工程学院"</f>
        <v>电子信息与电气工程学院</v>
      </c>
    </row>
    <row r="5338" ht="13.5" hidden="1" spans="1:5">
      <c r="A5338" s="2" t="str">
        <f>"李根"</f>
        <v>李根</v>
      </c>
      <c r="B5338" s="2" t="str">
        <f>"B20200504228"</f>
        <v>B20200504228</v>
      </c>
      <c r="C5338" s="2" t="str">
        <f>"男"</f>
        <v>男</v>
      </c>
      <c r="D5338" s="2" t="str">
        <f>"6"</f>
        <v>6</v>
      </c>
      <c r="E5338" s="2" t="str">
        <f>"生物与环境工程学院"</f>
        <v>生物与环境工程学院</v>
      </c>
    </row>
    <row r="5339" ht="13.5" hidden="1" spans="1:5">
      <c r="A5339" s="2" t="str">
        <f>"吴瑛豪"</f>
        <v>吴瑛豪</v>
      </c>
      <c r="B5339" s="2" t="str">
        <f>"B20220101102"</f>
        <v>B20220101102</v>
      </c>
      <c r="C5339" s="2" t="str">
        <f t="shared" ref="C5339:C5345" si="1365">"男"</f>
        <v>男</v>
      </c>
      <c r="D5339" s="2" t="str">
        <f>"6"</f>
        <v>6</v>
      </c>
      <c r="E5339" s="2" t="str">
        <f t="shared" ref="E5339:E5345" si="1366">"土木工程学院"</f>
        <v>土木工程学院</v>
      </c>
    </row>
    <row r="5340" ht="13.5" hidden="1" spans="1:5">
      <c r="A5340" s="2" t="str">
        <f>"严雨欣"</f>
        <v>严雨欣</v>
      </c>
      <c r="B5340" s="2" t="str">
        <f>"B20220904318"</f>
        <v>B20220904318</v>
      </c>
      <c r="C5340" s="2" t="str">
        <f>"女"</f>
        <v>女</v>
      </c>
      <c r="D5340" s="2" t="str">
        <f>"6"</f>
        <v>6</v>
      </c>
      <c r="E5340" s="2" t="str">
        <f>"经济与管理学院"</f>
        <v>经济与管理学院</v>
      </c>
    </row>
    <row r="5341" ht="13.5" hidden="1" spans="1:5">
      <c r="A5341" s="2" t="str">
        <f>"丁思怡"</f>
        <v>丁思怡</v>
      </c>
      <c r="B5341" s="2" t="str">
        <f>"B20211001206"</f>
        <v>B20211001206</v>
      </c>
      <c r="C5341" s="2" t="str">
        <f>"女"</f>
        <v>女</v>
      </c>
      <c r="D5341" s="2" t="str">
        <f>"6"</f>
        <v>6</v>
      </c>
      <c r="E5341" s="2" t="str">
        <f>"艺术设计学院"</f>
        <v>艺术设计学院</v>
      </c>
    </row>
    <row r="5342" ht="13.5" hidden="1" spans="1:5">
      <c r="A5342" s="2" t="str">
        <f>"刘浩峰"</f>
        <v>刘浩峰</v>
      </c>
      <c r="B5342" s="2" t="str">
        <f>"B20210102106"</f>
        <v>B20210102106</v>
      </c>
      <c r="C5342" s="2" t="str">
        <f t="shared" si="1365"/>
        <v>男</v>
      </c>
      <c r="D5342" s="2" t="str">
        <f>"6"</f>
        <v>6</v>
      </c>
      <c r="E5342" s="2" t="str">
        <f t="shared" si="1366"/>
        <v>土木工程学院</v>
      </c>
    </row>
    <row r="5343" ht="13.5" hidden="1" spans="1:5">
      <c r="A5343" s="2" t="str">
        <f>"卿姿萱"</f>
        <v>卿姿萱</v>
      </c>
      <c r="B5343" s="2" t="str">
        <f>"B20220903105"</f>
        <v>B20220903105</v>
      </c>
      <c r="C5343" s="2" t="str">
        <f t="shared" ref="C5343:C5347" si="1367">"女"</f>
        <v>女</v>
      </c>
      <c r="D5343" s="2" t="str">
        <f>"6"</f>
        <v>6</v>
      </c>
      <c r="E5343" s="2" t="str">
        <f>"经济与管理学院"</f>
        <v>经济与管理学院</v>
      </c>
    </row>
    <row r="5344" ht="13.5" hidden="1" spans="1:5">
      <c r="A5344" s="2" t="str">
        <f>"刘一明"</f>
        <v>刘一明</v>
      </c>
      <c r="B5344" s="2" t="str">
        <f>"B20210101214"</f>
        <v>B20210101214</v>
      </c>
      <c r="C5344" s="2" t="str">
        <f t="shared" si="1365"/>
        <v>男</v>
      </c>
      <c r="D5344" s="2" t="str">
        <f>"6"</f>
        <v>6</v>
      </c>
      <c r="E5344" s="2" t="str">
        <f t="shared" si="1366"/>
        <v>土木工程学院</v>
      </c>
    </row>
    <row r="5345" ht="13.5" hidden="1" spans="1:5">
      <c r="A5345" s="2" t="str">
        <f>"余子鹏"</f>
        <v>余子鹏</v>
      </c>
      <c r="B5345" s="2" t="str">
        <f>"B20220101103"</f>
        <v>B20220101103</v>
      </c>
      <c r="C5345" s="2" t="str">
        <f t="shared" si="1365"/>
        <v>男</v>
      </c>
      <c r="D5345" s="2" t="str">
        <f>"6"</f>
        <v>6</v>
      </c>
      <c r="E5345" s="2" t="str">
        <f t="shared" si="1366"/>
        <v>土木工程学院</v>
      </c>
    </row>
    <row r="5346" ht="13.5" hidden="1" spans="1:5">
      <c r="A5346" s="2" t="str">
        <f>"邓梦圆"</f>
        <v>邓梦圆</v>
      </c>
      <c r="B5346" s="2" t="str">
        <f>"B20220701318"</f>
        <v>B20220701318</v>
      </c>
      <c r="C5346" s="2" t="str">
        <f t="shared" si="1367"/>
        <v>女</v>
      </c>
      <c r="D5346" s="2" t="str">
        <f>"6"</f>
        <v>6</v>
      </c>
      <c r="E5346" s="2" t="str">
        <f>"马栏山新媒体学院"</f>
        <v>马栏山新媒体学院</v>
      </c>
    </row>
    <row r="5347" ht="13.5" hidden="1" spans="1:5">
      <c r="A5347" s="2" t="str">
        <f>"谭芊"</f>
        <v>谭芊</v>
      </c>
      <c r="B5347" s="2" t="str">
        <f>"B20221302318"</f>
        <v>B20221302318</v>
      </c>
      <c r="C5347" s="2" t="str">
        <f t="shared" si="1367"/>
        <v>女</v>
      </c>
      <c r="D5347" s="2" t="str">
        <f>"6"</f>
        <v>6</v>
      </c>
      <c r="E5347" s="2" t="str">
        <f>"材料与环境工程学院"</f>
        <v>材料与环境工程学院</v>
      </c>
    </row>
    <row r="5348" ht="13.5" hidden="1" spans="1:5">
      <c r="A5348" s="2" t="str">
        <f>"陈功文"</f>
        <v>陈功文</v>
      </c>
      <c r="B5348" s="2" t="str">
        <f>"B20210204128"</f>
        <v>B20210204128</v>
      </c>
      <c r="C5348" s="2" t="str">
        <f>"男"</f>
        <v>男</v>
      </c>
      <c r="D5348" s="2" t="str">
        <f>"6"</f>
        <v>6</v>
      </c>
      <c r="E5348" s="2" t="str">
        <f>"机电工程学院"</f>
        <v>机电工程学院</v>
      </c>
    </row>
    <row r="5349" ht="13.5" hidden="1" spans="1:5">
      <c r="A5349" s="2" t="str">
        <f>"陈妍"</f>
        <v>陈妍</v>
      </c>
      <c r="B5349" s="2" t="str">
        <f>"B20230601426"</f>
        <v>B20230601426</v>
      </c>
      <c r="C5349" s="2" t="str">
        <f>"女"</f>
        <v>女</v>
      </c>
      <c r="D5349" s="2" t="str">
        <f>"6"</f>
        <v>6</v>
      </c>
      <c r="E5349" s="2" t="str">
        <f>"法学院"</f>
        <v>法学院</v>
      </c>
    </row>
    <row r="5350" ht="13.5" hidden="1" spans="1:5">
      <c r="A5350" s="2" t="str">
        <f>"王敏慧"</f>
        <v>王敏慧</v>
      </c>
      <c r="B5350" s="2" t="str">
        <f>"B20210103113"</f>
        <v>B20210103113</v>
      </c>
      <c r="C5350" s="2" t="str">
        <f>"女"</f>
        <v>女</v>
      </c>
      <c r="D5350" s="2" t="str">
        <f>"6"</f>
        <v>6</v>
      </c>
      <c r="E5350" s="2" t="str">
        <f>"土木工程学院"</f>
        <v>土木工程学院</v>
      </c>
    </row>
    <row r="5351" ht="13.5" hidden="1" spans="1:5">
      <c r="A5351" s="2" t="str">
        <f>"冯涛"</f>
        <v>冯涛</v>
      </c>
      <c r="B5351" s="2" t="str">
        <f>"B20220201127"</f>
        <v>B20220201127</v>
      </c>
      <c r="C5351" s="2" t="str">
        <f>"男"</f>
        <v>男</v>
      </c>
      <c r="D5351" s="2" t="str">
        <f>"6"</f>
        <v>6</v>
      </c>
      <c r="E5351" s="2" t="str">
        <f>"机电工程学院"</f>
        <v>机电工程学院</v>
      </c>
    </row>
    <row r="5352" ht="13.5" hidden="1" spans="1:5">
      <c r="A5352" s="2" t="str">
        <f>"丁立敏文"</f>
        <v>丁立敏文</v>
      </c>
      <c r="B5352" s="2" t="str">
        <f>"B20201111118"</f>
        <v>B20201111118</v>
      </c>
      <c r="C5352" s="2" t="str">
        <f>"男"</f>
        <v>男</v>
      </c>
      <c r="D5352" s="2" t="str">
        <f>"6"</f>
        <v>6</v>
      </c>
      <c r="E5352" s="2" t="str">
        <f>"音乐学院"</f>
        <v>音乐学院</v>
      </c>
    </row>
    <row r="5353" ht="13.5" hidden="1" spans="1:5">
      <c r="A5353" s="2" t="str">
        <f>"危佳豪"</f>
        <v>危佳豪</v>
      </c>
      <c r="B5353" s="2" t="str">
        <f>"B20231302208"</f>
        <v>B20231302208</v>
      </c>
      <c r="C5353" s="2" t="str">
        <f>"男"</f>
        <v>男</v>
      </c>
      <c r="D5353" s="2" t="str">
        <f t="shared" ref="D5353:D5361" si="1368">"6"</f>
        <v>6</v>
      </c>
      <c r="E5353" s="2" t="str">
        <f>"材料与环境工程学院"</f>
        <v>材料与环境工程学院</v>
      </c>
    </row>
    <row r="5354" ht="13.5" hidden="1" spans="1:5">
      <c r="A5354" s="2" t="str">
        <f>"张宁轩"</f>
        <v>张宁轩</v>
      </c>
      <c r="B5354" s="2" t="str">
        <f>"B20231002111"</f>
        <v>B20231002111</v>
      </c>
      <c r="C5354" s="2" t="str">
        <f>"女"</f>
        <v>女</v>
      </c>
      <c r="D5354" s="2" t="str">
        <f t="shared" si="1368"/>
        <v>6</v>
      </c>
      <c r="E5354" s="2" t="str">
        <f>"艺术设计学院"</f>
        <v>艺术设计学院</v>
      </c>
    </row>
    <row r="5355" ht="13.5" hidden="1" spans="1:5">
      <c r="A5355" s="2" t="str">
        <f>"周炳阳"</f>
        <v>周炳阳</v>
      </c>
      <c r="B5355" s="2" t="str">
        <f>"B20210101223"</f>
        <v>B20210101223</v>
      </c>
      <c r="C5355" s="2" t="str">
        <f t="shared" ref="C5355:C5357" si="1369">"男"</f>
        <v>男</v>
      </c>
      <c r="D5355" s="2" t="str">
        <f t="shared" si="1368"/>
        <v>6</v>
      </c>
      <c r="E5355" s="2" t="str">
        <f>"土木工程学院"</f>
        <v>土木工程学院</v>
      </c>
    </row>
    <row r="5356" ht="13.5" hidden="1" spans="1:5">
      <c r="A5356" s="2" t="str">
        <f>"夏精良"</f>
        <v>夏精良</v>
      </c>
      <c r="B5356" s="2" t="str">
        <f>"B20200202423"</f>
        <v>B20200202423</v>
      </c>
      <c r="C5356" s="2" t="str">
        <f t="shared" si="1369"/>
        <v>男</v>
      </c>
      <c r="D5356" s="2" t="str">
        <f t="shared" si="1368"/>
        <v>6</v>
      </c>
      <c r="E5356" s="2" t="str">
        <f>"机电工程学院"</f>
        <v>机电工程学院</v>
      </c>
    </row>
    <row r="5357" ht="13.5" hidden="1" spans="1:5">
      <c r="A5357" s="2" t="str">
        <f>"李想"</f>
        <v>李想</v>
      </c>
      <c r="B5357" s="2" t="str">
        <f>"B20230104126"</f>
        <v>B20230104126</v>
      </c>
      <c r="C5357" s="2" t="str">
        <f t="shared" si="1369"/>
        <v>男</v>
      </c>
      <c r="D5357" s="2" t="str">
        <f t="shared" si="1368"/>
        <v>6</v>
      </c>
      <c r="E5357" s="2" t="str">
        <f>"土木工程学院"</f>
        <v>土木工程学院</v>
      </c>
    </row>
    <row r="5358" ht="13.5" hidden="1" spans="1:5">
      <c r="A5358" s="2" t="str">
        <f>"粟芳"</f>
        <v>粟芳</v>
      </c>
      <c r="B5358" s="2" t="str">
        <f>"B20220803226"</f>
        <v>B20220803226</v>
      </c>
      <c r="C5358" s="2" t="str">
        <f t="shared" ref="C5358:C5361" si="1370">"女"</f>
        <v>女</v>
      </c>
      <c r="D5358" s="2" t="str">
        <f t="shared" si="1368"/>
        <v>6</v>
      </c>
      <c r="E5358" s="2" t="str">
        <f>"外国语学院"</f>
        <v>外国语学院</v>
      </c>
    </row>
    <row r="5359" ht="13.5" hidden="1" spans="1:5">
      <c r="A5359" s="2" t="str">
        <f>"刘鑫亮"</f>
        <v>刘鑫亮</v>
      </c>
      <c r="B5359" s="2" t="str">
        <f>"B20230504320"</f>
        <v>B20230504320</v>
      </c>
      <c r="C5359" s="2" t="str">
        <f t="shared" ref="C5359:C5364" si="1371">"男"</f>
        <v>男</v>
      </c>
      <c r="D5359" s="2" t="str">
        <f t="shared" si="1368"/>
        <v>6</v>
      </c>
      <c r="E5359" s="2" t="str">
        <f>"生物与化学工程学院"</f>
        <v>生物与化学工程学院</v>
      </c>
    </row>
    <row r="5360" ht="13.5" hidden="1" spans="1:5">
      <c r="A5360" s="2" t="str">
        <f>"陈睿"</f>
        <v>陈睿</v>
      </c>
      <c r="B5360" s="2" t="str">
        <f>"B20230704120"</f>
        <v>B20230704120</v>
      </c>
      <c r="C5360" s="2" t="str">
        <f t="shared" si="1370"/>
        <v>女</v>
      </c>
      <c r="D5360" s="2" t="str">
        <f t="shared" si="1368"/>
        <v>6</v>
      </c>
      <c r="E5360" s="2" t="str">
        <f>"马栏山新媒体学院"</f>
        <v>马栏山新媒体学院</v>
      </c>
    </row>
    <row r="5361" ht="13.5" hidden="1" spans="1:5">
      <c r="A5361" s="2" t="str">
        <f>"吴霞"</f>
        <v>吴霞</v>
      </c>
      <c r="B5361" s="2" t="str">
        <f>"B20210901319"</f>
        <v>B20210901319</v>
      </c>
      <c r="C5361" s="2" t="str">
        <f t="shared" si="1370"/>
        <v>女</v>
      </c>
      <c r="D5361" s="2" t="str">
        <f t="shared" si="1368"/>
        <v>6</v>
      </c>
      <c r="E5361" s="2" t="str">
        <f>"经济与管理学院"</f>
        <v>经济与管理学院</v>
      </c>
    </row>
    <row r="5362" ht="13.5" hidden="1" spans="1:5">
      <c r="A5362" s="2" t="str">
        <f>"袁义桥"</f>
        <v>袁义桥</v>
      </c>
      <c r="B5362" s="2" t="str">
        <f>"B20230101318"</f>
        <v>B20230101318</v>
      </c>
      <c r="C5362" s="2" t="str">
        <f t="shared" si="1371"/>
        <v>男</v>
      </c>
      <c r="D5362" s="2" t="str">
        <f>"6"</f>
        <v>6</v>
      </c>
      <c r="E5362" s="2" t="str">
        <f>"土木工程学院"</f>
        <v>土木工程学院</v>
      </c>
    </row>
    <row r="5363" ht="13.5" hidden="1" spans="1:5">
      <c r="A5363" s="2" t="str">
        <f>"许玲华"</f>
        <v>许玲华</v>
      </c>
      <c r="B5363" s="2" t="str">
        <f>"B20220803123"</f>
        <v>B20220803123</v>
      </c>
      <c r="C5363" s="2" t="str">
        <f>"女"</f>
        <v>女</v>
      </c>
      <c r="D5363" s="2" t="str">
        <f>"6"</f>
        <v>6</v>
      </c>
      <c r="E5363" s="2" t="str">
        <f>"外国语学院"</f>
        <v>外国语学院</v>
      </c>
    </row>
    <row r="5364" ht="13.5" hidden="1" spans="1:5">
      <c r="A5364" s="2" t="str">
        <f>"汤子贤"</f>
        <v>汤子贤</v>
      </c>
      <c r="B5364" s="2" t="str">
        <f>"B20220204125"</f>
        <v>B20220204125</v>
      </c>
      <c r="C5364" s="2" t="str">
        <f t="shared" si="1371"/>
        <v>男</v>
      </c>
      <c r="D5364" s="2" t="str">
        <f>"6"</f>
        <v>6</v>
      </c>
      <c r="E5364" s="2" t="str">
        <f>"机电工程学院"</f>
        <v>机电工程学院</v>
      </c>
    </row>
    <row r="5365" ht="13.5" hidden="1" spans="1:5">
      <c r="A5365" s="2" t="str">
        <f>"唐露"</f>
        <v>唐露</v>
      </c>
      <c r="B5365" s="2" t="str">
        <f>"B20220201304"</f>
        <v>B20220201304</v>
      </c>
      <c r="C5365" s="2" t="str">
        <f>"女"</f>
        <v>女</v>
      </c>
      <c r="D5365" s="2" t="str">
        <f>"6"</f>
        <v>6</v>
      </c>
      <c r="E5365" s="2" t="str">
        <f>"机电工程学院"</f>
        <v>机电工程学院</v>
      </c>
    </row>
    <row r="5366" ht="13.5" hidden="1" spans="1:5">
      <c r="A5366" s="2" t="str">
        <f>"佘啸"</f>
        <v>佘啸</v>
      </c>
      <c r="B5366" s="2" t="str">
        <f>"B20210504227"</f>
        <v>B20210504227</v>
      </c>
      <c r="C5366" s="2" t="str">
        <f>"男"</f>
        <v>男</v>
      </c>
      <c r="D5366" s="2" t="str">
        <f>"6"</f>
        <v>6</v>
      </c>
      <c r="E5366" s="2" t="str">
        <f>"生物与化学工程学院"</f>
        <v>生物与化学工程学院</v>
      </c>
    </row>
    <row r="5367" ht="13.5" hidden="1" spans="1:5">
      <c r="A5367" s="2" t="str">
        <f>"尹琦鑫"</f>
        <v>尹琦鑫</v>
      </c>
      <c r="B5367" s="2" t="str">
        <f>"B20200201218"</f>
        <v>B20200201218</v>
      </c>
      <c r="C5367" s="2" t="str">
        <f>"男"</f>
        <v>男</v>
      </c>
      <c r="D5367" s="2" t="str">
        <f>"6"</f>
        <v>6</v>
      </c>
      <c r="E5367" s="2" t="str">
        <f>"机电工程学院"</f>
        <v>机电工程学院</v>
      </c>
    </row>
    <row r="5368" ht="13.5" hidden="1" spans="1:5">
      <c r="A5368" s="2" t="str">
        <f>"蒋林娜"</f>
        <v>蒋林娜</v>
      </c>
      <c r="B5368" s="2" t="str">
        <f>"B20210504134"</f>
        <v>B20210504134</v>
      </c>
      <c r="C5368" s="2" t="str">
        <f>"女"</f>
        <v>女</v>
      </c>
      <c r="D5368" s="2" t="str">
        <f>"6"</f>
        <v>6</v>
      </c>
      <c r="E5368" s="2" t="str">
        <f>"生物与化学工程学院"</f>
        <v>生物与化学工程学院</v>
      </c>
    </row>
    <row r="5369" ht="13.5" hidden="1" spans="1:5">
      <c r="A5369" s="2" t="str">
        <f>"张文韬"</f>
        <v>张文韬</v>
      </c>
      <c r="B5369" s="2" t="str">
        <f>"B20231401130"</f>
        <v>B20231401130</v>
      </c>
      <c r="C5369" s="2" t="str">
        <f t="shared" ref="C5369:C5372" si="1372">"男"</f>
        <v>男</v>
      </c>
      <c r="D5369" s="2" t="str">
        <f>"6"</f>
        <v>6</v>
      </c>
      <c r="E5369" s="2" t="str">
        <f>"马克思主义学院"</f>
        <v>马克思主义学院</v>
      </c>
    </row>
    <row r="5370" ht="13.5" hidden="1" spans="1:5">
      <c r="A5370" s="2" t="str">
        <f>"皮佑平"</f>
        <v>皮佑平</v>
      </c>
      <c r="B5370" s="2" t="str">
        <f>"B20210202136"</f>
        <v>B20210202136</v>
      </c>
      <c r="C5370" s="2" t="str">
        <f t="shared" si="1372"/>
        <v>男</v>
      </c>
      <c r="D5370" s="2" t="str">
        <f>"6"</f>
        <v>6</v>
      </c>
      <c r="E5370" s="2" t="str">
        <f t="shared" ref="E5370:E5372" si="1373">"机电工程学院"</f>
        <v>机电工程学院</v>
      </c>
    </row>
    <row r="5371" ht="13.5" hidden="1" spans="1:5">
      <c r="A5371" s="2" t="str">
        <f>"万钧"</f>
        <v>万钧</v>
      </c>
      <c r="B5371" s="2" t="str">
        <f>"B20220202306"</f>
        <v>B20220202306</v>
      </c>
      <c r="C5371" s="2" t="str">
        <f t="shared" si="1372"/>
        <v>男</v>
      </c>
      <c r="D5371" s="2" t="str">
        <f>"6"</f>
        <v>6</v>
      </c>
      <c r="E5371" s="2" t="str">
        <f t="shared" si="1373"/>
        <v>机电工程学院</v>
      </c>
    </row>
    <row r="5372" ht="13.5" hidden="1" spans="1:5">
      <c r="A5372" s="2" t="str">
        <f>"欧剑男"</f>
        <v>欧剑男</v>
      </c>
      <c r="B5372" s="2" t="str">
        <f>"B20230201218"</f>
        <v>B20230201218</v>
      </c>
      <c r="C5372" s="2" t="str">
        <f t="shared" si="1372"/>
        <v>男</v>
      </c>
      <c r="D5372" s="2" t="str">
        <f>"6"</f>
        <v>6</v>
      </c>
      <c r="E5372" s="2" t="str">
        <f t="shared" si="1373"/>
        <v>机电工程学院</v>
      </c>
    </row>
    <row r="5373" ht="13.5" hidden="1" spans="1:5">
      <c r="A5373" s="2" t="str">
        <f>"雷佳丽"</f>
        <v>雷佳丽</v>
      </c>
      <c r="B5373" s="2" t="str">
        <f>"B20210901244"</f>
        <v>B20210901244</v>
      </c>
      <c r="C5373" s="2" t="str">
        <f t="shared" ref="C5373:C5376" si="1374">"女"</f>
        <v>女</v>
      </c>
      <c r="D5373" s="2" t="str">
        <f>"6"</f>
        <v>6</v>
      </c>
      <c r="E5373" s="2" t="str">
        <f>"经济与管理学院"</f>
        <v>经济与管理学院</v>
      </c>
    </row>
    <row r="5374" ht="13.5" hidden="1" spans="1:5">
      <c r="A5374" s="2" t="str">
        <f>"冯鑫"</f>
        <v>冯鑫</v>
      </c>
      <c r="B5374" s="2" t="str">
        <f>"B20210801108"</f>
        <v>B20210801108</v>
      </c>
      <c r="C5374" s="2" t="str">
        <f t="shared" si="1374"/>
        <v>女</v>
      </c>
      <c r="D5374" s="2" t="str">
        <f>"6"</f>
        <v>6</v>
      </c>
      <c r="E5374" s="2" t="str">
        <f>"外国语学院"</f>
        <v>外国语学院</v>
      </c>
    </row>
    <row r="5375" ht="13.5" hidden="1" spans="1:5">
      <c r="A5375" s="2" t="str">
        <f>"王媛"</f>
        <v>王媛</v>
      </c>
      <c r="B5375" s="2" t="str">
        <f>"B20220902206"</f>
        <v>B20220902206</v>
      </c>
      <c r="C5375" s="2" t="str">
        <f t="shared" si="1374"/>
        <v>女</v>
      </c>
      <c r="D5375" s="2" t="str">
        <f>"6"</f>
        <v>6</v>
      </c>
      <c r="E5375" s="2" t="str">
        <f>"经济与管理学院"</f>
        <v>经济与管理学院</v>
      </c>
    </row>
    <row r="5376" ht="13.5" hidden="1" spans="1:5">
      <c r="A5376" s="2" t="str">
        <f>"朱婷玥"</f>
        <v>朱婷玥</v>
      </c>
      <c r="B5376" s="2" t="str">
        <f>"B20230702413"</f>
        <v>B20230702413</v>
      </c>
      <c r="C5376" s="2" t="str">
        <f t="shared" si="1374"/>
        <v>女</v>
      </c>
      <c r="D5376" s="2" t="str">
        <f>"6"</f>
        <v>6</v>
      </c>
      <c r="E5376" s="2" t="str">
        <f>"马栏山新媒体学院"</f>
        <v>马栏山新媒体学院</v>
      </c>
    </row>
    <row r="5377" ht="13.5" hidden="1" spans="1:5">
      <c r="A5377" s="2" t="str">
        <f>"龚强"</f>
        <v>龚强</v>
      </c>
      <c r="B5377" s="2" t="str">
        <f>"B20230402128"</f>
        <v>B20230402128</v>
      </c>
      <c r="C5377" s="2" t="str">
        <f t="shared" ref="C5377:C5382" si="1375">"男"</f>
        <v>男</v>
      </c>
      <c r="D5377" s="2" t="str">
        <f>"6"</f>
        <v>6</v>
      </c>
      <c r="E5377" s="2" t="str">
        <f>"电子信息与电气工程学院"</f>
        <v>电子信息与电气工程学院</v>
      </c>
    </row>
    <row r="5378" ht="13.5" hidden="1" spans="1:5">
      <c r="A5378" s="2" t="str">
        <f>"张玲睿"</f>
        <v>张玲睿</v>
      </c>
      <c r="B5378" s="2" t="str">
        <f>"B20231401218"</f>
        <v>B20231401218</v>
      </c>
      <c r="C5378" s="2" t="str">
        <f t="shared" ref="C5378:C5383" si="1376">"女"</f>
        <v>女</v>
      </c>
      <c r="D5378" s="2" t="str">
        <f>"6"</f>
        <v>6</v>
      </c>
      <c r="E5378" s="2" t="str">
        <f>"马克思主义学院"</f>
        <v>马克思主义学院</v>
      </c>
    </row>
    <row r="5379" ht="13.5" hidden="1" spans="1:5">
      <c r="A5379" s="2" t="str">
        <f>"廖舒可"</f>
        <v>廖舒可</v>
      </c>
      <c r="B5379" s="2" t="str">
        <f>"B20200901232"</f>
        <v>B20200901232</v>
      </c>
      <c r="C5379" s="2" t="str">
        <f t="shared" si="1376"/>
        <v>女</v>
      </c>
      <c r="D5379" s="2" t="str">
        <f>"6"</f>
        <v>6</v>
      </c>
      <c r="E5379" s="2" t="str">
        <f t="shared" ref="E5379:E5383" si="1377">"经济与管理学院"</f>
        <v>经济与管理学院</v>
      </c>
    </row>
    <row r="5380" ht="13.5" hidden="1" spans="1:5">
      <c r="A5380" s="2" t="str">
        <f>"于文睿"</f>
        <v>于文睿</v>
      </c>
      <c r="B5380" s="2" t="str">
        <f>"B20220403128"</f>
        <v>B20220403128</v>
      </c>
      <c r="C5380" s="2" t="str">
        <f t="shared" si="1375"/>
        <v>男</v>
      </c>
      <c r="D5380" s="2" t="str">
        <f>"6"</f>
        <v>6</v>
      </c>
      <c r="E5380" s="2" t="str">
        <f>"电子信息与电气工程学院"</f>
        <v>电子信息与电气工程学院</v>
      </c>
    </row>
    <row r="5381" ht="13.5" hidden="1" spans="1:5">
      <c r="A5381" s="2" t="str">
        <f>"刘江林"</f>
        <v>刘江林</v>
      </c>
      <c r="B5381" s="2" t="str">
        <f>"B20200902201"</f>
        <v>B20200902201</v>
      </c>
      <c r="C5381" s="2" t="str">
        <f t="shared" si="1375"/>
        <v>男</v>
      </c>
      <c r="D5381" s="2" t="str">
        <f>"6"</f>
        <v>6</v>
      </c>
      <c r="E5381" s="2" t="str">
        <f t="shared" si="1377"/>
        <v>经济与管理学院</v>
      </c>
    </row>
    <row r="5382" ht="13.5" hidden="1" spans="1:5">
      <c r="A5382" s="2" t="str">
        <f>"谢思维"</f>
        <v>谢思维</v>
      </c>
      <c r="B5382" s="2" t="str">
        <f>"B20230803128"</f>
        <v>B20230803128</v>
      </c>
      <c r="C5382" s="2" t="str">
        <f t="shared" si="1375"/>
        <v>男</v>
      </c>
      <c r="D5382" s="2" t="str">
        <f>"6"</f>
        <v>6</v>
      </c>
      <c r="E5382" s="2" t="str">
        <f>"外国语学院"</f>
        <v>外国语学院</v>
      </c>
    </row>
    <row r="5383" ht="13.5" hidden="1" spans="1:5">
      <c r="A5383" s="2" t="str">
        <f>"马从楠"</f>
        <v>马从楠</v>
      </c>
      <c r="B5383" s="2" t="str">
        <f>"B20230905104"</f>
        <v>B20230905104</v>
      </c>
      <c r="C5383" s="2" t="str">
        <f t="shared" si="1376"/>
        <v>女</v>
      </c>
      <c r="D5383" s="2" t="str">
        <f>"6"</f>
        <v>6</v>
      </c>
      <c r="E5383" s="2" t="str">
        <f t="shared" si="1377"/>
        <v>经济与管理学院</v>
      </c>
    </row>
    <row r="5384" ht="13.5" hidden="1" spans="1:5">
      <c r="A5384" s="2" t="str">
        <f>"伊晨茗"</f>
        <v>伊晨茗</v>
      </c>
      <c r="B5384" s="2" t="str">
        <f>"B20230405131"</f>
        <v>B20230405131</v>
      </c>
      <c r="C5384" s="2" t="str">
        <f>"男"</f>
        <v>男</v>
      </c>
      <c r="D5384" s="2" t="str">
        <f>"6"</f>
        <v>6</v>
      </c>
      <c r="E5384" s="2" t="str">
        <f>"电子信息与电气工程学院"</f>
        <v>电子信息与电气工程学院</v>
      </c>
    </row>
    <row r="5385" ht="13.5" hidden="1" spans="1:5">
      <c r="A5385" s="2" t="str">
        <f>"蔡得安"</f>
        <v>蔡得安</v>
      </c>
      <c r="B5385" s="2" t="str">
        <f>"B20220403115"</f>
        <v>B20220403115</v>
      </c>
      <c r="C5385" s="2" t="str">
        <f>"男"</f>
        <v>男</v>
      </c>
      <c r="D5385" s="2" t="str">
        <f>"6"</f>
        <v>6</v>
      </c>
      <c r="E5385" s="2" t="str">
        <f>"电子信息与电气工程学院"</f>
        <v>电子信息与电气工程学院</v>
      </c>
    </row>
    <row r="5386" ht="13.5" hidden="1" spans="1:5">
      <c r="A5386" s="2" t="str">
        <f>"朱朝宇"</f>
        <v>朱朝宇</v>
      </c>
      <c r="B5386" s="2" t="str">
        <f>"B20210402207"</f>
        <v>B20210402207</v>
      </c>
      <c r="C5386" s="2" t="str">
        <f>"男"</f>
        <v>男</v>
      </c>
      <c r="D5386" s="2" t="str">
        <f>"6"</f>
        <v>6</v>
      </c>
      <c r="E5386" s="2" t="str">
        <f>"电子信息与电气工程学院"</f>
        <v>电子信息与电气工程学院</v>
      </c>
    </row>
    <row r="5387" ht="13.5" hidden="1" spans="1:5">
      <c r="A5387" s="2" t="str">
        <f>"马澎凯"</f>
        <v>马澎凯</v>
      </c>
      <c r="B5387" s="2" t="str">
        <f>"B20230403133"</f>
        <v>B20230403133</v>
      </c>
      <c r="C5387" s="2" t="str">
        <f>"男"</f>
        <v>男</v>
      </c>
      <c r="D5387" s="2" t="str">
        <f>"6"</f>
        <v>6</v>
      </c>
      <c r="E5387" s="2" t="str">
        <f>"电子信息与电气工程学院"</f>
        <v>电子信息与电气工程学院</v>
      </c>
    </row>
    <row r="5388" ht="13.5" hidden="1" spans="1:5">
      <c r="A5388" s="2" t="str">
        <f>"王姚"</f>
        <v>王姚</v>
      </c>
      <c r="B5388" s="2" t="str">
        <f>"B20230902226"</f>
        <v>B20230902226</v>
      </c>
      <c r="C5388" s="2" t="str">
        <f>"女"</f>
        <v>女</v>
      </c>
      <c r="D5388" s="2" t="str">
        <f>"6"</f>
        <v>6</v>
      </c>
      <c r="E5388" s="2" t="str">
        <f t="shared" ref="E5388:E5393" si="1378">"经济与管理学院"</f>
        <v>经济与管理学院</v>
      </c>
    </row>
    <row r="5389" ht="13.5" hidden="1" spans="1:5">
      <c r="A5389" s="2" t="str">
        <f>"李鸿涛"</f>
        <v>李鸿涛</v>
      </c>
      <c r="B5389" s="2" t="str">
        <f>"B20220404201"</f>
        <v>B20220404201</v>
      </c>
      <c r="C5389" s="2" t="str">
        <f t="shared" ref="C5389:C5392" si="1379">"男"</f>
        <v>男</v>
      </c>
      <c r="D5389" s="2" t="str">
        <f>"6"</f>
        <v>6</v>
      </c>
      <c r="E5389" s="2" t="str">
        <f>"电子信息与电气工程学院"</f>
        <v>电子信息与电气工程学院</v>
      </c>
    </row>
    <row r="5390" ht="13.5" hidden="1" spans="1:5">
      <c r="A5390" s="2" t="str">
        <f>"彭莹"</f>
        <v>彭莹</v>
      </c>
      <c r="B5390" s="2" t="str">
        <f>"B20210904102"</f>
        <v>B20210904102</v>
      </c>
      <c r="C5390" s="2" t="str">
        <f>"女"</f>
        <v>女</v>
      </c>
      <c r="D5390" s="2" t="str">
        <f>"6"</f>
        <v>6</v>
      </c>
      <c r="E5390" s="2" t="str">
        <f t="shared" si="1378"/>
        <v>经济与管理学院</v>
      </c>
    </row>
    <row r="5391" ht="13.5" hidden="1" spans="1:5">
      <c r="A5391" s="2" t="str">
        <f>"巩雨杰"</f>
        <v>巩雨杰</v>
      </c>
      <c r="B5391" s="2" t="str">
        <f>"B20231302203"</f>
        <v>B20231302203</v>
      </c>
      <c r="C5391" s="2" t="str">
        <f t="shared" si="1379"/>
        <v>男</v>
      </c>
      <c r="D5391" s="2" t="str">
        <f>"6"</f>
        <v>6</v>
      </c>
      <c r="E5391" s="2" t="str">
        <f>"材料与环境工程学院"</f>
        <v>材料与环境工程学院</v>
      </c>
    </row>
    <row r="5392" ht="13.5" hidden="1" spans="1:5">
      <c r="A5392" s="2" t="str">
        <f>"朱铖炜"</f>
        <v>朱铖炜</v>
      </c>
      <c r="B5392" s="2" t="str">
        <f>"B20230401427"</f>
        <v>B20230401427</v>
      </c>
      <c r="C5392" s="2" t="str">
        <f t="shared" si="1379"/>
        <v>男</v>
      </c>
      <c r="D5392" s="2" t="str">
        <f>"6"</f>
        <v>6</v>
      </c>
      <c r="E5392" s="2" t="str">
        <f>"电子信息与电气工程学院"</f>
        <v>电子信息与电气工程学院</v>
      </c>
    </row>
    <row r="5393" ht="13.5" hidden="1" spans="1:5">
      <c r="A5393" s="2" t="str">
        <f>"李琪"</f>
        <v>李琪</v>
      </c>
      <c r="B5393" s="2" t="str">
        <f>"B20230902330"</f>
        <v>B20230902330</v>
      </c>
      <c r="C5393" s="2" t="str">
        <f>"女"</f>
        <v>女</v>
      </c>
      <c r="D5393" s="2" t="str">
        <f>"6"</f>
        <v>6</v>
      </c>
      <c r="E5393" s="2" t="str">
        <f t="shared" si="1378"/>
        <v>经济与管理学院</v>
      </c>
    </row>
    <row r="5394" ht="13.5" hidden="1" spans="1:5">
      <c r="A5394" s="2" t="str">
        <f>"付永康"</f>
        <v>付永康</v>
      </c>
      <c r="B5394" s="2" t="str">
        <f>"B20210201410"</f>
        <v>B20210201410</v>
      </c>
      <c r="C5394" s="2" t="str">
        <f>"男"</f>
        <v>男</v>
      </c>
      <c r="D5394" s="2" t="str">
        <f>"6"</f>
        <v>6</v>
      </c>
      <c r="E5394" s="2" t="str">
        <f>"机电工程学院"</f>
        <v>机电工程学院</v>
      </c>
    </row>
    <row r="5395" ht="13.5" hidden="1" spans="1:5">
      <c r="A5395" s="2" t="str">
        <f>"黄诗恩"</f>
        <v>黄诗恩</v>
      </c>
      <c r="B5395" s="2" t="str">
        <f>"B20230403316"</f>
        <v>B20230403316</v>
      </c>
      <c r="C5395" s="2" t="str">
        <f>"男"</f>
        <v>男</v>
      </c>
      <c r="D5395" s="2" t="str">
        <f>"6"</f>
        <v>6</v>
      </c>
      <c r="E5395" s="2" t="str">
        <f>"电子信息与电气工程学院"</f>
        <v>电子信息与电气工程学院</v>
      </c>
    </row>
    <row r="5396" ht="13.5" hidden="1" spans="1:5">
      <c r="A5396" s="2" t="str">
        <f>"杨琼"</f>
        <v>杨琼</v>
      </c>
      <c r="B5396" s="2" t="str">
        <f>"B20220902237"</f>
        <v>B20220902237</v>
      </c>
      <c r="C5396" s="2" t="str">
        <f>"女"</f>
        <v>女</v>
      </c>
      <c r="D5396" s="2" t="str">
        <f>"6"</f>
        <v>6</v>
      </c>
      <c r="E5396" s="2" t="str">
        <f>"经济与管理学院"</f>
        <v>经济与管理学院</v>
      </c>
    </row>
    <row r="5397" ht="13.5" hidden="1" spans="1:5">
      <c r="A5397" s="2" t="str">
        <f>"胡灿林"</f>
        <v>胡灿林</v>
      </c>
      <c r="B5397" s="2" t="str">
        <f>"B20210202211"</f>
        <v>B20210202211</v>
      </c>
      <c r="C5397" s="2" t="str">
        <f t="shared" ref="C5397:C5400" si="1380">"男"</f>
        <v>男</v>
      </c>
      <c r="D5397" s="2" t="str">
        <f t="shared" ref="D5397:D5410" si="1381">"6"</f>
        <v>6</v>
      </c>
      <c r="E5397" s="2" t="str">
        <f>"机电工程学院"</f>
        <v>机电工程学院</v>
      </c>
    </row>
    <row r="5398" ht="13.5" hidden="1" spans="1:5">
      <c r="A5398" s="2" t="str">
        <f>"付章吉"</f>
        <v>付章吉</v>
      </c>
      <c r="B5398" s="2" t="str">
        <f>"B20210903132"</f>
        <v>B20210903132</v>
      </c>
      <c r="C5398" s="2" t="str">
        <f t="shared" si="1380"/>
        <v>男</v>
      </c>
      <c r="D5398" s="2" t="str">
        <f t="shared" si="1381"/>
        <v>6</v>
      </c>
      <c r="E5398" s="2" t="str">
        <f>"经济与管理学院"</f>
        <v>经济与管理学院</v>
      </c>
    </row>
    <row r="5399" ht="13.5" hidden="1" spans="1:5">
      <c r="A5399" s="2" t="str">
        <f>"周陈莹"</f>
        <v>周陈莹</v>
      </c>
      <c r="B5399" s="2" t="str">
        <f>"B20210902123"</f>
        <v>B20210902123</v>
      </c>
      <c r="C5399" s="2" t="str">
        <f>"女"</f>
        <v>女</v>
      </c>
      <c r="D5399" s="2" t="str">
        <f t="shared" si="1381"/>
        <v>6</v>
      </c>
      <c r="E5399" s="2" t="str">
        <f>"经济与管理学院"</f>
        <v>经济与管理学院</v>
      </c>
    </row>
    <row r="5400" ht="13.5" hidden="1" spans="1:5">
      <c r="A5400" s="2" t="str">
        <f>"陶子轩"</f>
        <v>陶子轩</v>
      </c>
      <c r="B5400" s="2" t="str">
        <f>"B20231301125"</f>
        <v>B20231301125</v>
      </c>
      <c r="C5400" s="2" t="str">
        <f t="shared" si="1380"/>
        <v>男</v>
      </c>
      <c r="D5400" s="2" t="str">
        <f t="shared" si="1381"/>
        <v>6</v>
      </c>
      <c r="E5400" s="2" t="str">
        <f>"材料与环境工程学院"</f>
        <v>材料与环境工程学院</v>
      </c>
    </row>
    <row r="5401" ht="13.5" hidden="1" spans="1:5">
      <c r="A5401" s="2" t="str">
        <f>"邱宇佳"</f>
        <v>邱宇佳</v>
      </c>
      <c r="B5401" s="2" t="str">
        <f>"B20230802112"</f>
        <v>B20230802112</v>
      </c>
      <c r="C5401" s="2" t="str">
        <f>"女"</f>
        <v>女</v>
      </c>
      <c r="D5401" s="2" t="str">
        <f t="shared" si="1381"/>
        <v>6</v>
      </c>
      <c r="E5401" s="2" t="str">
        <f>"外国语学院"</f>
        <v>外国语学院</v>
      </c>
    </row>
    <row r="5402" ht="13.5" hidden="1" spans="1:5">
      <c r="A5402" s="2" t="str">
        <f>"齐烨"</f>
        <v>齐烨</v>
      </c>
      <c r="B5402" s="2" t="str">
        <f>"B20210202209"</f>
        <v>B20210202209</v>
      </c>
      <c r="C5402" s="2" t="str">
        <f t="shared" ref="C5402:C5406" si="1382">"男"</f>
        <v>男</v>
      </c>
      <c r="D5402" s="2" t="str">
        <f t="shared" si="1381"/>
        <v>6</v>
      </c>
      <c r="E5402" s="2" t="str">
        <f>"机电工程学院"</f>
        <v>机电工程学院</v>
      </c>
    </row>
    <row r="5403" ht="13.5" hidden="1" spans="1:5">
      <c r="A5403" s="2" t="str">
        <f>"于继昊"</f>
        <v>于继昊</v>
      </c>
      <c r="B5403" s="2" t="str">
        <f>"B20230401132"</f>
        <v>B20230401132</v>
      </c>
      <c r="C5403" s="2" t="str">
        <f t="shared" si="1382"/>
        <v>男</v>
      </c>
      <c r="D5403" s="2" t="str">
        <f t="shared" si="1381"/>
        <v>6</v>
      </c>
      <c r="E5403" s="2" t="str">
        <f>"电子信息与电气工程学院"</f>
        <v>电子信息与电气工程学院</v>
      </c>
    </row>
    <row r="5404" ht="13.5" hidden="1" spans="1:5">
      <c r="A5404" s="2" t="str">
        <f>"张博文"</f>
        <v>张博文</v>
      </c>
      <c r="B5404" s="2" t="str">
        <f>"B20210201216"</f>
        <v>B20210201216</v>
      </c>
      <c r="C5404" s="2" t="str">
        <f t="shared" si="1382"/>
        <v>男</v>
      </c>
      <c r="D5404" s="2" t="str">
        <f t="shared" si="1381"/>
        <v>6</v>
      </c>
      <c r="E5404" s="2" t="str">
        <f>"机电工程学院"</f>
        <v>机电工程学院</v>
      </c>
    </row>
    <row r="5405" ht="13.5" hidden="1" spans="1:5">
      <c r="A5405" s="2" t="str">
        <f>"刘洋"</f>
        <v>刘洋</v>
      </c>
      <c r="B5405" s="2" t="str">
        <f>"B20230906222"</f>
        <v>B20230906222</v>
      </c>
      <c r="C5405" s="2" t="str">
        <f t="shared" si="1382"/>
        <v>男</v>
      </c>
      <c r="D5405" s="2" t="str">
        <f t="shared" si="1381"/>
        <v>6</v>
      </c>
      <c r="E5405" s="2" t="str">
        <f>"经济与管理学院"</f>
        <v>经济与管理学院</v>
      </c>
    </row>
    <row r="5406" ht="13.5" hidden="1" spans="1:5">
      <c r="A5406" s="2" t="str">
        <f>"左宏斌"</f>
        <v>左宏斌</v>
      </c>
      <c r="B5406" s="2" t="str">
        <f>"B20230402312"</f>
        <v>B20230402312</v>
      </c>
      <c r="C5406" s="2" t="str">
        <f t="shared" si="1382"/>
        <v>男</v>
      </c>
      <c r="D5406" s="2" t="str">
        <f t="shared" si="1381"/>
        <v>6</v>
      </c>
      <c r="E5406" s="2" t="str">
        <f>"电子信息与电气工程学院"</f>
        <v>电子信息与电气工程学院</v>
      </c>
    </row>
    <row r="5407" ht="13.5" hidden="1" spans="1:5">
      <c r="A5407" s="2" t="str">
        <f>"王悦"</f>
        <v>王悦</v>
      </c>
      <c r="B5407" s="2" t="str">
        <f>"B20231101303"</f>
        <v>B20231101303</v>
      </c>
      <c r="C5407" s="2" t="str">
        <f>"女"</f>
        <v>女</v>
      </c>
      <c r="D5407" s="2" t="str">
        <f t="shared" si="1381"/>
        <v>6</v>
      </c>
      <c r="E5407" s="2" t="str">
        <f>"音乐学院"</f>
        <v>音乐学院</v>
      </c>
    </row>
    <row r="5408" ht="13.5" hidden="1" spans="1:5">
      <c r="A5408" s="2" t="str">
        <f>"张志豪"</f>
        <v>张志豪</v>
      </c>
      <c r="B5408" s="2" t="str">
        <f>"B20210505103"</f>
        <v>B20210505103</v>
      </c>
      <c r="C5408" s="2" t="str">
        <f>"男"</f>
        <v>男</v>
      </c>
      <c r="D5408" s="2" t="str">
        <f t="shared" si="1381"/>
        <v>6</v>
      </c>
      <c r="E5408" s="2" t="str">
        <f>"材料与环境工程学院"</f>
        <v>材料与环境工程学院</v>
      </c>
    </row>
    <row r="5409" ht="13.5" hidden="1" spans="1:5">
      <c r="A5409" s="2" t="str">
        <f>"贺嘉鑫"</f>
        <v>贺嘉鑫</v>
      </c>
      <c r="B5409" s="2" t="str">
        <f>"B20230801108"</f>
        <v>B20230801108</v>
      </c>
      <c r="C5409" s="2" t="str">
        <f>"男"</f>
        <v>男</v>
      </c>
      <c r="D5409" s="2" t="str">
        <f t="shared" si="1381"/>
        <v>6</v>
      </c>
      <c r="E5409" s="2" t="str">
        <f>"外国语学院"</f>
        <v>外国语学院</v>
      </c>
    </row>
    <row r="5410" ht="13.5" hidden="1" spans="1:5">
      <c r="A5410" s="2" t="str">
        <f>"龚佑平"</f>
        <v>龚佑平</v>
      </c>
      <c r="B5410" s="2" t="str">
        <f>"B20231002412"</f>
        <v>B20231002412</v>
      </c>
      <c r="C5410" s="2" t="str">
        <f>"男"</f>
        <v>男</v>
      </c>
      <c r="D5410" s="2" t="str">
        <f t="shared" si="1381"/>
        <v>6</v>
      </c>
      <c r="E5410" s="2" t="str">
        <f>"艺术设计学院"</f>
        <v>艺术设计学院</v>
      </c>
    </row>
    <row r="5411" ht="13.5" hidden="1" spans="1:5">
      <c r="A5411" s="2" t="str">
        <f>"董浩"</f>
        <v>董浩</v>
      </c>
      <c r="B5411" s="2" t="str">
        <f>"B20210402117"</f>
        <v>B20210402117</v>
      </c>
      <c r="C5411" s="2" t="str">
        <f t="shared" ref="C5411:C5416" si="1383">"男"</f>
        <v>男</v>
      </c>
      <c r="D5411" s="2" t="str">
        <f>"6"</f>
        <v>6</v>
      </c>
      <c r="E5411" s="2" t="str">
        <f t="shared" ref="E5411:E5416" si="1384">"电子信息与电气工程学院"</f>
        <v>电子信息与电气工程学院</v>
      </c>
    </row>
    <row r="5412" ht="13.5" hidden="1" spans="1:5">
      <c r="A5412" s="2" t="str">
        <f>"李澹静"</f>
        <v>李澹静</v>
      </c>
      <c r="B5412" s="2" t="str">
        <f>"B20210906125"</f>
        <v>B20210906125</v>
      </c>
      <c r="C5412" s="2" t="str">
        <f>"女"</f>
        <v>女</v>
      </c>
      <c r="D5412" s="2" t="str">
        <f>"6"</f>
        <v>6</v>
      </c>
      <c r="E5412" s="2" t="str">
        <f>"经济与管理学院"</f>
        <v>经济与管理学院</v>
      </c>
    </row>
    <row r="5413" ht="13.5" hidden="1" spans="1:5">
      <c r="A5413" s="2" t="str">
        <f>"刘宝怡"</f>
        <v>刘宝怡</v>
      </c>
      <c r="B5413" s="2" t="str">
        <f>"B20210801219"</f>
        <v>B20210801219</v>
      </c>
      <c r="C5413" s="2" t="str">
        <f>"女"</f>
        <v>女</v>
      </c>
      <c r="D5413" s="2" t="str">
        <f>"6"</f>
        <v>6</v>
      </c>
      <c r="E5413" s="2" t="str">
        <f>"外国语学院"</f>
        <v>外国语学院</v>
      </c>
    </row>
    <row r="5414" ht="13.5" hidden="1" spans="1:5">
      <c r="A5414" s="2" t="str">
        <f>"刘一卓"</f>
        <v>刘一卓</v>
      </c>
      <c r="B5414" s="2" t="str">
        <f>"B20230401331"</f>
        <v>B20230401331</v>
      </c>
      <c r="C5414" s="2" t="str">
        <f t="shared" si="1383"/>
        <v>男</v>
      </c>
      <c r="D5414" s="2" t="str">
        <f>"6"</f>
        <v>6</v>
      </c>
      <c r="E5414" s="2" t="str">
        <f t="shared" si="1384"/>
        <v>电子信息与电气工程学院</v>
      </c>
    </row>
    <row r="5415" ht="13.5" hidden="1" spans="1:5">
      <c r="A5415" s="2" t="str">
        <f>"段权"</f>
        <v>段权</v>
      </c>
      <c r="B5415" s="2" t="str">
        <f>"B20210101302"</f>
        <v>B20210101302</v>
      </c>
      <c r="C5415" s="2" t="str">
        <f t="shared" si="1383"/>
        <v>男</v>
      </c>
      <c r="D5415" s="2" t="str">
        <f>"6"</f>
        <v>6</v>
      </c>
      <c r="E5415" s="2" t="str">
        <f>"土木工程学院"</f>
        <v>土木工程学院</v>
      </c>
    </row>
    <row r="5416" ht="13.5" hidden="1" spans="1:5">
      <c r="A5416" s="2" t="str">
        <f>"彭海杰"</f>
        <v>彭海杰</v>
      </c>
      <c r="B5416" s="2" t="str">
        <f>"B20220405117"</f>
        <v>B20220405117</v>
      </c>
      <c r="C5416" s="2" t="str">
        <f t="shared" si="1383"/>
        <v>男</v>
      </c>
      <c r="D5416" s="2" t="str">
        <f>"6"</f>
        <v>6</v>
      </c>
      <c r="E5416" s="2" t="str">
        <f t="shared" si="1384"/>
        <v>电子信息与电气工程学院</v>
      </c>
    </row>
    <row r="5417" ht="13.5" hidden="1" spans="1:5">
      <c r="A5417" s="2" t="str">
        <f>"张艾佳"</f>
        <v>张艾佳</v>
      </c>
      <c r="B5417" s="2" t="str">
        <f>"B20220901114"</f>
        <v>B20220901114</v>
      </c>
      <c r="C5417" s="2" t="str">
        <f>"女"</f>
        <v>女</v>
      </c>
      <c r="D5417" s="2" t="str">
        <f>"6"</f>
        <v>6</v>
      </c>
      <c r="E5417" s="2" t="str">
        <f>"经济与管理学院"</f>
        <v>经济与管理学院</v>
      </c>
    </row>
    <row r="5418" ht="13.5" hidden="1" spans="1:5">
      <c r="A5418" s="2" t="str">
        <f>"冯欣"</f>
        <v>冯欣</v>
      </c>
      <c r="B5418" s="2" t="str">
        <f>"B20211003215"</f>
        <v>B20211003215</v>
      </c>
      <c r="C5418" s="2" t="str">
        <f>"女"</f>
        <v>女</v>
      </c>
      <c r="D5418" s="2" t="str">
        <f>"6"</f>
        <v>6</v>
      </c>
      <c r="E5418" s="2" t="str">
        <f>"艺术设计学院"</f>
        <v>艺术设计学院</v>
      </c>
    </row>
    <row r="5419" ht="13.5" hidden="1" spans="1:5">
      <c r="A5419" s="2" t="str">
        <f>"余可欣"</f>
        <v>余可欣</v>
      </c>
      <c r="B5419" s="2" t="str">
        <f>"B20200504227"</f>
        <v>B20200504227</v>
      </c>
      <c r="C5419" s="2" t="str">
        <f>"女"</f>
        <v>女</v>
      </c>
      <c r="D5419" s="2" t="str">
        <f>"6"</f>
        <v>6</v>
      </c>
      <c r="E5419" s="2" t="str">
        <f t="shared" ref="E5419:E5422" si="1385">"电子信息与电气工程学院"</f>
        <v>电子信息与电气工程学院</v>
      </c>
    </row>
    <row r="5420" ht="13.5" hidden="1" spans="1:5">
      <c r="A5420" s="2" t="str">
        <f>"唐垄辉"</f>
        <v>唐垄辉</v>
      </c>
      <c r="B5420" s="2" t="str">
        <f>"B20220401126"</f>
        <v>B20220401126</v>
      </c>
      <c r="C5420" s="2" t="str">
        <f>"男"</f>
        <v>男</v>
      </c>
      <c r="D5420" s="2" t="str">
        <f>"6"</f>
        <v>6</v>
      </c>
      <c r="E5420" s="2" t="str">
        <f t="shared" si="1385"/>
        <v>电子信息与电气工程学院</v>
      </c>
    </row>
    <row r="5421" ht="13.5" hidden="1" spans="1:5">
      <c r="A5421" s="2" t="str">
        <f>"向埼埇"</f>
        <v>向埼埇</v>
      </c>
      <c r="B5421" s="2" t="str">
        <f>"B20231111214"</f>
        <v>B20231111214</v>
      </c>
      <c r="C5421" s="2" t="str">
        <f t="shared" ref="C5421:C5427" si="1386">"女"</f>
        <v>女</v>
      </c>
      <c r="D5421" s="2" t="str">
        <f>"6"</f>
        <v>6</v>
      </c>
      <c r="E5421" s="2" t="str">
        <f>"音乐学院"</f>
        <v>音乐学院</v>
      </c>
    </row>
    <row r="5422" ht="13.5" hidden="1" spans="1:5">
      <c r="A5422" s="2" t="str">
        <f>"黄弘滨"</f>
        <v>黄弘滨</v>
      </c>
      <c r="B5422" s="2" t="str">
        <f>"B20230402134"</f>
        <v>B20230402134</v>
      </c>
      <c r="C5422" s="2" t="str">
        <f>"男"</f>
        <v>男</v>
      </c>
      <c r="D5422" s="2" t="str">
        <f>"6"</f>
        <v>6</v>
      </c>
      <c r="E5422" s="2" t="str">
        <f t="shared" si="1385"/>
        <v>电子信息与电气工程学院</v>
      </c>
    </row>
    <row r="5423" ht="13.5" hidden="1" spans="1:5">
      <c r="A5423" s="2" t="str">
        <f>"李芊芊"</f>
        <v>李芊芊</v>
      </c>
      <c r="B5423" s="2" t="str">
        <f>"B20221101312"</f>
        <v>B20221101312</v>
      </c>
      <c r="C5423" s="2" t="str">
        <f t="shared" si="1386"/>
        <v>女</v>
      </c>
      <c r="D5423" s="2" t="str">
        <f>"6"</f>
        <v>6</v>
      </c>
      <c r="E5423" s="2" t="str">
        <f>"音乐学院"</f>
        <v>音乐学院</v>
      </c>
    </row>
    <row r="5424" ht="13.5" hidden="1" spans="1:5">
      <c r="A5424" s="2" t="str">
        <f>"梁恒伟"</f>
        <v>梁恒伟</v>
      </c>
      <c r="B5424" s="2" t="str">
        <f>"B20221001203"</f>
        <v>B20221001203</v>
      </c>
      <c r="C5424" s="2" t="str">
        <f>"男"</f>
        <v>男</v>
      </c>
      <c r="D5424" s="2" t="str">
        <f>"6"</f>
        <v>6</v>
      </c>
      <c r="E5424" s="2" t="str">
        <f>"艺术设计学院"</f>
        <v>艺术设计学院</v>
      </c>
    </row>
    <row r="5425" ht="13.5" hidden="1" spans="1:5">
      <c r="A5425" s="2" t="str">
        <f>"黄文静"</f>
        <v>黄文静</v>
      </c>
      <c r="B5425" s="2" t="str">
        <f>"B20210704123"</f>
        <v>B20210704123</v>
      </c>
      <c r="C5425" s="2" t="str">
        <f t="shared" si="1386"/>
        <v>女</v>
      </c>
      <c r="D5425" s="2" t="str">
        <f>"6"</f>
        <v>6</v>
      </c>
      <c r="E5425" s="2" t="str">
        <f>"马栏山新媒体学院"</f>
        <v>马栏山新媒体学院</v>
      </c>
    </row>
    <row r="5426" ht="13.5" hidden="1" spans="1:5">
      <c r="A5426" s="2" t="str">
        <f>"彭雨欣"</f>
        <v>彭雨欣</v>
      </c>
      <c r="B5426" s="2" t="str">
        <f>"B20220702327"</f>
        <v>B20220702327</v>
      </c>
      <c r="C5426" s="2" t="str">
        <f t="shared" si="1386"/>
        <v>女</v>
      </c>
      <c r="D5426" s="2" t="str">
        <f>"6"</f>
        <v>6</v>
      </c>
      <c r="E5426" s="2" t="str">
        <f>"马栏山新媒体学院"</f>
        <v>马栏山新媒体学院</v>
      </c>
    </row>
    <row r="5427" ht="13.5" hidden="1" spans="1:5">
      <c r="A5427" s="2" t="str">
        <f>"吴梦晨"</f>
        <v>吴梦晨</v>
      </c>
      <c r="B5427" s="2" t="str">
        <f>"B20211001406"</f>
        <v>B20211001406</v>
      </c>
      <c r="C5427" s="2" t="str">
        <f t="shared" si="1386"/>
        <v>女</v>
      </c>
      <c r="D5427" s="2" t="str">
        <f>"6"</f>
        <v>6</v>
      </c>
      <c r="E5427" s="2" t="str">
        <f>"艺术设计学院"</f>
        <v>艺术设计学院</v>
      </c>
    </row>
    <row r="5428" ht="13.5" hidden="1" spans="1:5">
      <c r="A5428" s="2" t="str">
        <f>"李翠兰"</f>
        <v>李翠兰</v>
      </c>
      <c r="B5428" s="2" t="str">
        <f>"B20220701418"</f>
        <v>B20220701418</v>
      </c>
      <c r="C5428" s="2" t="str">
        <f t="shared" ref="C5428:C5430" si="1387">"女"</f>
        <v>女</v>
      </c>
      <c r="D5428" s="2" t="str">
        <f>"6"</f>
        <v>6</v>
      </c>
      <c r="E5428" s="2" t="str">
        <f>"马栏山新媒体学院"</f>
        <v>马栏山新媒体学院</v>
      </c>
    </row>
    <row r="5429" ht="13.5" hidden="1" spans="1:5">
      <c r="A5429" s="2" t="str">
        <f>"冀紫轩"</f>
        <v>冀紫轩</v>
      </c>
      <c r="B5429" s="2" t="str">
        <f>"B20230901333"</f>
        <v>B20230901333</v>
      </c>
      <c r="C5429" s="2" t="str">
        <f t="shared" si="1387"/>
        <v>女</v>
      </c>
      <c r="D5429" s="2" t="str">
        <f>"6"</f>
        <v>6</v>
      </c>
      <c r="E5429" s="2" t="str">
        <f>"经济与管理学院"</f>
        <v>经济与管理学院</v>
      </c>
    </row>
    <row r="5430" ht="13.5" hidden="1" spans="1:5">
      <c r="A5430" s="2" t="str">
        <f>"周凤"</f>
        <v>周凤</v>
      </c>
      <c r="B5430" s="2" t="str">
        <f>"B20220905220"</f>
        <v>B20220905220</v>
      </c>
      <c r="C5430" s="2" t="str">
        <f t="shared" si="1387"/>
        <v>女</v>
      </c>
      <c r="D5430" s="2" t="str">
        <f>"6"</f>
        <v>6</v>
      </c>
      <c r="E5430" s="2" t="str">
        <f>"经济与管理学院"</f>
        <v>经济与管理学院</v>
      </c>
    </row>
    <row r="5431" ht="13.5" hidden="1" spans="1:5">
      <c r="A5431" s="2" t="str">
        <f>"曹永越"</f>
        <v>曹永越</v>
      </c>
      <c r="B5431" s="2" t="str">
        <f>"B20230201323"</f>
        <v>B20230201323</v>
      </c>
      <c r="C5431" s="2" t="str">
        <f>"男"</f>
        <v>男</v>
      </c>
      <c r="D5431" s="2" t="str">
        <f>"6"</f>
        <v>6</v>
      </c>
      <c r="E5431" s="2" t="str">
        <f>"机电工程学院"</f>
        <v>机电工程学院</v>
      </c>
    </row>
    <row r="5432" ht="13.5" hidden="1" spans="1:5">
      <c r="A5432" s="2" t="str">
        <f>"陈梓豫"</f>
        <v>陈梓豫</v>
      </c>
      <c r="B5432" s="2" t="str">
        <f>"B20230704307"</f>
        <v>B20230704307</v>
      </c>
      <c r="C5432" s="2" t="str">
        <f t="shared" ref="C5432:C5436" si="1388">"女"</f>
        <v>女</v>
      </c>
      <c r="D5432" s="2" t="str">
        <f>"6"</f>
        <v>6</v>
      </c>
      <c r="E5432" s="2" t="str">
        <f>"马栏山新媒体学院"</f>
        <v>马栏山新媒体学院</v>
      </c>
    </row>
    <row r="5433" ht="13.5" hidden="1" spans="1:5">
      <c r="A5433" s="2" t="str">
        <f>"王洁"</f>
        <v>王洁</v>
      </c>
      <c r="B5433" s="2" t="str">
        <f>"B20230701422"</f>
        <v>B20230701422</v>
      </c>
      <c r="C5433" s="2" t="str">
        <f t="shared" si="1388"/>
        <v>女</v>
      </c>
      <c r="D5433" s="2" t="str">
        <f>"6"</f>
        <v>6</v>
      </c>
      <c r="E5433" s="2" t="str">
        <f>"马栏山新媒体学院"</f>
        <v>马栏山新媒体学院</v>
      </c>
    </row>
    <row r="5434" ht="13.5" hidden="1" spans="1:5">
      <c r="A5434" s="2" t="str">
        <f>"隆子健"</f>
        <v>隆子健</v>
      </c>
      <c r="B5434" s="2" t="str">
        <f>"B20220402318"</f>
        <v>B20220402318</v>
      </c>
      <c r="C5434" s="2" t="str">
        <f>"男"</f>
        <v>男</v>
      </c>
      <c r="D5434" s="2" t="str">
        <f>"6"</f>
        <v>6</v>
      </c>
      <c r="E5434" s="2" t="str">
        <f>"电子信息与电气工程学院"</f>
        <v>电子信息与电气工程学院</v>
      </c>
    </row>
    <row r="5435" ht="13.5" hidden="1" spans="1:5">
      <c r="A5435" s="2" t="str">
        <f>"彭紫阳"</f>
        <v>彭紫阳</v>
      </c>
      <c r="B5435" s="2" t="str">
        <f>"B20211002103"</f>
        <v>B20211002103</v>
      </c>
      <c r="C5435" s="2" t="str">
        <f t="shared" si="1388"/>
        <v>女</v>
      </c>
      <c r="D5435" s="2" t="str">
        <f>"6"</f>
        <v>6</v>
      </c>
      <c r="E5435" s="2" t="str">
        <f>"艺术设计学院"</f>
        <v>艺术设计学院</v>
      </c>
    </row>
    <row r="5436" ht="13.5" hidden="1" spans="1:5">
      <c r="A5436" s="2" t="str">
        <f>"石娅"</f>
        <v>石娅</v>
      </c>
      <c r="B5436" s="2" t="str">
        <f>"B20230906220"</f>
        <v>B20230906220</v>
      </c>
      <c r="C5436" s="2" t="str">
        <f t="shared" si="1388"/>
        <v>女</v>
      </c>
      <c r="D5436" s="2" t="str">
        <f>"6"</f>
        <v>6</v>
      </c>
      <c r="E5436" s="2" t="str">
        <f>"经济与管理学院"</f>
        <v>经济与管理学院</v>
      </c>
    </row>
    <row r="5437" ht="13.5" hidden="1" spans="1:5">
      <c r="A5437" s="2" t="str">
        <f>"周义豪"</f>
        <v>周义豪</v>
      </c>
      <c r="B5437" s="2" t="str">
        <f>"B20211002219"</f>
        <v>B20211002219</v>
      </c>
      <c r="C5437" s="2" t="str">
        <f>"男"</f>
        <v>男</v>
      </c>
      <c r="D5437" s="2" t="str">
        <f>"6"</f>
        <v>6</v>
      </c>
      <c r="E5437" s="2" t="str">
        <f>"艺术设计学院"</f>
        <v>艺术设计学院</v>
      </c>
    </row>
    <row r="5438" ht="13.5" hidden="1" spans="1:5">
      <c r="A5438" s="2" t="str">
        <f>"谢加靖"</f>
        <v>谢加靖</v>
      </c>
      <c r="B5438" s="2" t="str">
        <f>"B20230201304"</f>
        <v>B20230201304</v>
      </c>
      <c r="C5438" s="2" t="str">
        <f>"男"</f>
        <v>男</v>
      </c>
      <c r="D5438" s="2" t="str">
        <f>"6"</f>
        <v>6</v>
      </c>
      <c r="E5438" s="2" t="str">
        <f>"机电工程学院"</f>
        <v>机电工程学院</v>
      </c>
    </row>
    <row r="5439" ht="13.5" hidden="1" spans="1:5">
      <c r="A5439" s="2" t="str">
        <f>"袁小龙"</f>
        <v>袁小龙</v>
      </c>
      <c r="B5439" s="2" t="str">
        <f>"B20221111107"</f>
        <v>B20221111107</v>
      </c>
      <c r="C5439" s="2" t="str">
        <f>"男"</f>
        <v>男</v>
      </c>
      <c r="D5439" s="2" t="str">
        <f>"6"</f>
        <v>6</v>
      </c>
      <c r="E5439" s="2" t="str">
        <f>"音乐学院"</f>
        <v>音乐学院</v>
      </c>
    </row>
    <row r="5440" ht="13.5" hidden="1" spans="1:5">
      <c r="A5440" s="2" t="str">
        <f>"何畅"</f>
        <v>何畅</v>
      </c>
      <c r="B5440" s="2" t="str">
        <f>"B20230801110"</f>
        <v>B20230801110</v>
      </c>
      <c r="C5440" s="2" t="str">
        <f t="shared" ref="C5440:C5444" si="1389">"女"</f>
        <v>女</v>
      </c>
      <c r="D5440" s="2" t="str">
        <f>"6"</f>
        <v>6</v>
      </c>
      <c r="E5440" s="2" t="str">
        <f>"外国语学院"</f>
        <v>外国语学院</v>
      </c>
    </row>
    <row r="5441" ht="13.5" hidden="1" spans="1:5">
      <c r="A5441" s="2" t="str">
        <f>"李博文"</f>
        <v>李博文</v>
      </c>
      <c r="B5441" s="2" t="str">
        <f>"B20230204207"</f>
        <v>B20230204207</v>
      </c>
      <c r="C5441" s="2" t="str">
        <f t="shared" ref="C5441:C5447" si="1390">"男"</f>
        <v>男</v>
      </c>
      <c r="D5441" s="2" t="str">
        <f>"6"</f>
        <v>6</v>
      </c>
      <c r="E5441" s="2" t="str">
        <f>"机电工程学院"</f>
        <v>机电工程学院</v>
      </c>
    </row>
    <row r="5442" ht="13.5" hidden="1" spans="1:5">
      <c r="A5442" s="2" t="str">
        <f>"吴梦琦"</f>
        <v>吴梦琦</v>
      </c>
      <c r="B5442" s="2" t="str">
        <f>"B20231302121"</f>
        <v>B20231302121</v>
      </c>
      <c r="C5442" s="2" t="str">
        <f t="shared" si="1390"/>
        <v>男</v>
      </c>
      <c r="D5442" s="2" t="str">
        <f>"6"</f>
        <v>6</v>
      </c>
      <c r="E5442" s="2" t="str">
        <f>"材料与环境工程学院"</f>
        <v>材料与环境工程学院</v>
      </c>
    </row>
    <row r="5443" ht="13.5" hidden="1" spans="1:5">
      <c r="A5443" s="2" t="str">
        <f>"张梦缘"</f>
        <v>张梦缘</v>
      </c>
      <c r="B5443" s="2" t="str">
        <f>"B20221101303"</f>
        <v>B20221101303</v>
      </c>
      <c r="C5443" s="2" t="str">
        <f t="shared" si="1389"/>
        <v>女</v>
      </c>
      <c r="D5443" s="2" t="str">
        <f>"6"</f>
        <v>6</v>
      </c>
      <c r="E5443" s="2" t="str">
        <f>"音乐学院"</f>
        <v>音乐学院</v>
      </c>
    </row>
    <row r="5444" ht="13.5" hidden="1" spans="1:5">
      <c r="A5444" s="2" t="str">
        <f>"乔智敏"</f>
        <v>乔智敏</v>
      </c>
      <c r="B5444" s="2" t="str">
        <f>"B20220802217"</f>
        <v>B20220802217</v>
      </c>
      <c r="C5444" s="2" t="str">
        <f t="shared" si="1389"/>
        <v>女</v>
      </c>
      <c r="D5444" s="2" t="str">
        <f>"6"</f>
        <v>6</v>
      </c>
      <c r="E5444" s="2" t="str">
        <f>"外国语学院"</f>
        <v>外国语学院</v>
      </c>
    </row>
    <row r="5445" ht="13.5" hidden="1" spans="1:5">
      <c r="A5445" s="2" t="str">
        <f>"周传峰"</f>
        <v>周传峰</v>
      </c>
      <c r="B5445" s="2" t="str">
        <f>"B20220204118"</f>
        <v>B20220204118</v>
      </c>
      <c r="C5445" s="2" t="str">
        <f t="shared" si="1390"/>
        <v>男</v>
      </c>
      <c r="D5445" s="2" t="str">
        <f>"6"</f>
        <v>6</v>
      </c>
      <c r="E5445" s="2" t="str">
        <f>"机电工程学院"</f>
        <v>机电工程学院</v>
      </c>
    </row>
    <row r="5446" ht="13.5" hidden="1" spans="1:5">
      <c r="A5446" s="2" t="str">
        <f>"李涵"</f>
        <v>李涵</v>
      </c>
      <c r="B5446" s="2" t="str">
        <f>"B20190601123"</f>
        <v>B20190601123</v>
      </c>
      <c r="C5446" s="2" t="str">
        <f t="shared" si="1390"/>
        <v>男</v>
      </c>
      <c r="D5446" s="2" t="str">
        <f>"6"</f>
        <v>6</v>
      </c>
      <c r="E5446" s="2" t="str">
        <f>"法学院"</f>
        <v>法学院</v>
      </c>
    </row>
    <row r="5447" ht="13.5" hidden="1" spans="1:5">
      <c r="A5447" s="2" t="str">
        <f>"钟俊煌"</f>
        <v>钟俊煌</v>
      </c>
      <c r="B5447" s="2" t="str">
        <f>"B20220101316"</f>
        <v>B20220101316</v>
      </c>
      <c r="C5447" s="2" t="str">
        <f t="shared" si="1390"/>
        <v>男</v>
      </c>
      <c r="D5447" s="2" t="str">
        <f>"6"</f>
        <v>6</v>
      </c>
      <c r="E5447" s="2" t="str">
        <f>"土木工程学院"</f>
        <v>土木工程学院</v>
      </c>
    </row>
    <row r="5448" ht="13.5" hidden="1" spans="1:5">
      <c r="A5448" s="2" t="str">
        <f>"张馨艺"</f>
        <v>张馨艺</v>
      </c>
      <c r="B5448" s="2" t="str">
        <f>"B20220103203"</f>
        <v>B20220103203</v>
      </c>
      <c r="C5448" s="2" t="str">
        <f>"女"</f>
        <v>女</v>
      </c>
      <c r="D5448" s="2" t="str">
        <f>"6"</f>
        <v>6</v>
      </c>
      <c r="E5448" s="2" t="str">
        <f>"土木工程学院"</f>
        <v>土木工程学院</v>
      </c>
    </row>
    <row r="5449" ht="13.5" hidden="1" spans="1:5">
      <c r="A5449" s="2" t="str">
        <f>"杨琪琪"</f>
        <v>杨琪琪</v>
      </c>
      <c r="B5449" s="2" t="str">
        <f>"B20220904320"</f>
        <v>B20220904320</v>
      </c>
      <c r="C5449" s="2" t="str">
        <f>"女"</f>
        <v>女</v>
      </c>
      <c r="D5449" s="2" t="str">
        <f>"6"</f>
        <v>6</v>
      </c>
      <c r="E5449" s="2" t="str">
        <f>"经济与管理学院"</f>
        <v>经济与管理学院</v>
      </c>
    </row>
    <row r="5450" ht="13.5" hidden="1" spans="1:5">
      <c r="A5450" s="2" t="str">
        <f>"彭华铮"</f>
        <v>彭华铮</v>
      </c>
      <c r="B5450" s="2" t="str">
        <f>"B20221301138"</f>
        <v>B20221301138</v>
      </c>
      <c r="C5450" s="2" t="str">
        <f>"男"</f>
        <v>男</v>
      </c>
      <c r="D5450" s="2" t="str">
        <f>"6"</f>
        <v>6</v>
      </c>
      <c r="E5450" s="2" t="str">
        <f>"材料与环境工程学院"</f>
        <v>材料与环境工程学院</v>
      </c>
    </row>
    <row r="5451" ht="13.5" hidden="1" spans="1:5">
      <c r="A5451" s="2" t="str">
        <f>"晏雨城"</f>
        <v>晏雨城</v>
      </c>
      <c r="B5451" s="2" t="str">
        <f>"B20200501225"</f>
        <v>B20200501225</v>
      </c>
      <c r="C5451" s="2" t="str">
        <f>"男"</f>
        <v>男</v>
      </c>
      <c r="D5451" s="2" t="str">
        <f>"6"</f>
        <v>6</v>
      </c>
      <c r="E5451" s="2" t="str">
        <f>"生物与环境工程学院"</f>
        <v>生物与环境工程学院</v>
      </c>
    </row>
    <row r="5452" ht="13.5" hidden="1" spans="1:5">
      <c r="A5452" s="2" t="str">
        <f>"刘晟"</f>
        <v>刘晟</v>
      </c>
      <c r="B5452" s="2" t="str">
        <f>"B20230504208"</f>
        <v>B20230504208</v>
      </c>
      <c r="C5452" s="2" t="str">
        <f>"男"</f>
        <v>男</v>
      </c>
      <c r="D5452" s="2" t="str">
        <f>"6"</f>
        <v>6</v>
      </c>
      <c r="E5452" s="2" t="str">
        <f>"生物与化学工程学院"</f>
        <v>生物与化学工程学院</v>
      </c>
    </row>
    <row r="5453" ht="13.5" hidden="1" spans="1:5">
      <c r="A5453" s="2" t="str">
        <f>"黎晖"</f>
        <v>黎晖</v>
      </c>
      <c r="B5453" s="2" t="str">
        <f>"B20230504210"</f>
        <v>B20230504210</v>
      </c>
      <c r="C5453" s="2" t="str">
        <f>"男"</f>
        <v>男</v>
      </c>
      <c r="D5453" s="2" t="str">
        <f>"6"</f>
        <v>6</v>
      </c>
      <c r="E5453" s="2" t="str">
        <f>"生物与化学工程学院"</f>
        <v>生物与化学工程学院</v>
      </c>
    </row>
    <row r="5454" ht="13.5" hidden="1" spans="1:5">
      <c r="A5454" s="2" t="str">
        <f>"刘朝鼎"</f>
        <v>刘朝鼎</v>
      </c>
      <c r="B5454" s="2" t="str">
        <f>"B20231001318"</f>
        <v>B20231001318</v>
      </c>
      <c r="C5454" s="2" t="str">
        <f>"男"</f>
        <v>男</v>
      </c>
      <c r="D5454" s="2" t="str">
        <f>"6"</f>
        <v>6</v>
      </c>
      <c r="E5454" s="2" t="str">
        <f>"艺术设计学院"</f>
        <v>艺术设计学院</v>
      </c>
    </row>
    <row r="5455" ht="13.5" hidden="1" spans="1:5">
      <c r="A5455" s="2" t="str">
        <f>"张紫轩"</f>
        <v>张紫轩</v>
      </c>
      <c r="B5455" s="2" t="str">
        <f>"B20230702318"</f>
        <v>B20230702318</v>
      </c>
      <c r="C5455" s="2" t="str">
        <f>"女"</f>
        <v>女</v>
      </c>
      <c r="D5455" s="2" t="str">
        <f>"6"</f>
        <v>6</v>
      </c>
      <c r="E5455" s="2" t="str">
        <f>"马栏山新媒体学院"</f>
        <v>马栏山新媒体学院</v>
      </c>
    </row>
    <row r="5456" ht="13.5" hidden="1" spans="1:5">
      <c r="A5456" s="2" t="str">
        <f>"周雅利"</f>
        <v>周雅利</v>
      </c>
      <c r="B5456" s="2" t="str">
        <f>"B20220901214"</f>
        <v>B20220901214</v>
      </c>
      <c r="C5456" s="2" t="str">
        <f>"女"</f>
        <v>女</v>
      </c>
      <c r="D5456" s="2" t="str">
        <f>"6"</f>
        <v>6</v>
      </c>
      <c r="E5456" s="2" t="str">
        <f>"经济与管理学院"</f>
        <v>经济与管理学院</v>
      </c>
    </row>
    <row r="5457" ht="13.5" hidden="1" spans="1:5">
      <c r="A5457" s="2" t="str">
        <f>"申明涛"</f>
        <v>申明涛</v>
      </c>
      <c r="B5457" s="2" t="str">
        <f>"B20230402101"</f>
        <v>B20230402101</v>
      </c>
      <c r="C5457" s="2" t="str">
        <f>"男"</f>
        <v>男</v>
      </c>
      <c r="D5457" s="2" t="str">
        <f>"6"</f>
        <v>6</v>
      </c>
      <c r="E5457" s="2" t="str">
        <f>"电子信息与电气工程学院"</f>
        <v>电子信息与电气工程学院</v>
      </c>
    </row>
    <row r="5458" ht="13.5" hidden="1" spans="1:5">
      <c r="A5458" s="2" t="str">
        <f>"刘欢"</f>
        <v>刘欢</v>
      </c>
      <c r="B5458" s="2" t="str">
        <f>"B20210503128"</f>
        <v>B20210503128</v>
      </c>
      <c r="C5458" s="2" t="str">
        <f>"男"</f>
        <v>男</v>
      </c>
      <c r="D5458" s="2" t="str">
        <f>"6"</f>
        <v>6</v>
      </c>
      <c r="E5458" s="2" t="str">
        <f t="shared" ref="E5458:E5462" si="1391">"材料与环境工程学院"</f>
        <v>材料与环境工程学院</v>
      </c>
    </row>
    <row r="5459" ht="13.5" hidden="1" spans="1:5">
      <c r="A5459" s="2" t="str">
        <f>"黄浩"</f>
        <v>黄浩</v>
      </c>
      <c r="B5459" s="2" t="str">
        <f>"B20200801528"</f>
        <v>B20200801528</v>
      </c>
      <c r="C5459" s="2" t="str">
        <f>"男"</f>
        <v>男</v>
      </c>
      <c r="D5459" s="2" t="str">
        <f>"6"</f>
        <v>6</v>
      </c>
      <c r="E5459" s="2" t="str">
        <f>"外国语学院"</f>
        <v>外国语学院</v>
      </c>
    </row>
    <row r="5460" ht="13.5" hidden="1" spans="1:5">
      <c r="A5460" s="2" t="str">
        <f>"祁思凡"</f>
        <v>祁思凡</v>
      </c>
      <c r="B5460" s="2" t="str">
        <f>"B20210505105"</f>
        <v>B20210505105</v>
      </c>
      <c r="C5460" s="2" t="str">
        <f>"男"</f>
        <v>男</v>
      </c>
      <c r="D5460" s="2" t="str">
        <f>"6"</f>
        <v>6</v>
      </c>
      <c r="E5460" s="2" t="str">
        <f t="shared" si="1391"/>
        <v>材料与环境工程学院</v>
      </c>
    </row>
    <row r="5461" ht="13.5" hidden="1" spans="1:5">
      <c r="A5461" s="2" t="str">
        <f>"李宇琦"</f>
        <v>李宇琦</v>
      </c>
      <c r="B5461" s="2" t="str">
        <f>"B20231302111"</f>
        <v>B20231302111</v>
      </c>
      <c r="C5461" s="2" t="str">
        <f>"男"</f>
        <v>男</v>
      </c>
      <c r="D5461" s="2" t="str">
        <f>"6"</f>
        <v>6</v>
      </c>
      <c r="E5461" s="2" t="str">
        <f t="shared" si="1391"/>
        <v>材料与环境工程学院</v>
      </c>
    </row>
    <row r="5462" ht="13.5" hidden="1" spans="1:5">
      <c r="A5462" s="2" t="str">
        <f>"谢磊"</f>
        <v>谢磊</v>
      </c>
      <c r="B5462" s="2" t="str">
        <f>"B20210503212"</f>
        <v>B20210503212</v>
      </c>
      <c r="C5462" s="2" t="str">
        <f>"男"</f>
        <v>男</v>
      </c>
      <c r="D5462" s="2" t="str">
        <f>"6"</f>
        <v>6</v>
      </c>
      <c r="E5462" s="2" t="str">
        <f t="shared" si="1391"/>
        <v>材料与环境工程学院</v>
      </c>
    </row>
    <row r="5463" ht="13.5" hidden="1" spans="1:5">
      <c r="A5463" s="2" t="str">
        <f>"司舒同"</f>
        <v>司舒同</v>
      </c>
      <c r="B5463" s="2" t="str">
        <f>"B20200505104"</f>
        <v>B20200505104</v>
      </c>
      <c r="C5463" s="2" t="str">
        <f>"男"</f>
        <v>男</v>
      </c>
      <c r="D5463" s="2" t="str">
        <f>"6"</f>
        <v>6</v>
      </c>
      <c r="E5463" s="2" t="str">
        <f>"生物与环境工程学院"</f>
        <v>生物与环境工程学院</v>
      </c>
    </row>
    <row r="5464" ht="13.5" hidden="1" spans="1:5">
      <c r="A5464" s="2" t="str">
        <f>"刘宇"</f>
        <v>刘宇</v>
      </c>
      <c r="B5464" s="2" t="str">
        <f>"B20230504418"</f>
        <v>B20230504418</v>
      </c>
      <c r="C5464" s="2" t="str">
        <f>"男"</f>
        <v>男</v>
      </c>
      <c r="D5464" s="2" t="str">
        <f>"6"</f>
        <v>6</v>
      </c>
      <c r="E5464" s="2" t="str">
        <f>"生物与化学工程学院"</f>
        <v>生物与化学工程学院</v>
      </c>
    </row>
    <row r="5465" ht="13.5" hidden="1" spans="1:5">
      <c r="A5465" s="2" t="str">
        <f>"李秋利"</f>
        <v>李秋利</v>
      </c>
      <c r="B5465" s="2" t="str">
        <f>"B20201002113"</f>
        <v>B20201002113</v>
      </c>
      <c r="C5465" s="2" t="str">
        <f t="shared" ref="C5465:C5467" si="1392">"女"</f>
        <v>女</v>
      </c>
      <c r="D5465" s="2" t="str">
        <f>"6"</f>
        <v>6</v>
      </c>
      <c r="E5465" s="2" t="str">
        <f>"艺术设计学院"</f>
        <v>艺术设计学院</v>
      </c>
    </row>
    <row r="5466" ht="13.5" hidden="1" spans="1:5">
      <c r="A5466" s="2" t="str">
        <f>"王婷婷"</f>
        <v>王婷婷</v>
      </c>
      <c r="B5466" s="2" t="str">
        <f>"B20230904209"</f>
        <v>B20230904209</v>
      </c>
      <c r="C5466" s="2" t="str">
        <f t="shared" si="1392"/>
        <v>女</v>
      </c>
      <c r="D5466" s="2" t="str">
        <f>"6"</f>
        <v>6</v>
      </c>
      <c r="E5466" s="2" t="str">
        <f t="shared" ref="E5466:E5468" si="1393">"经济与管理学院"</f>
        <v>经济与管理学院</v>
      </c>
    </row>
    <row r="5467" ht="13.5" hidden="1" spans="1:5">
      <c r="A5467" s="2" t="str">
        <f>"敬锌琪"</f>
        <v>敬锌琪</v>
      </c>
      <c r="B5467" s="2" t="str">
        <f>"B20220906133"</f>
        <v>B20220906133</v>
      </c>
      <c r="C5467" s="2" t="str">
        <f t="shared" si="1392"/>
        <v>女</v>
      </c>
      <c r="D5467" s="2" t="str">
        <f>"6"</f>
        <v>6</v>
      </c>
      <c r="E5467" s="2" t="str">
        <f t="shared" si="1393"/>
        <v>经济与管理学院</v>
      </c>
    </row>
    <row r="5468" ht="13.5" hidden="1" spans="1:5">
      <c r="A5468" s="2" t="str">
        <f>"肖俊杰"</f>
        <v>肖俊杰</v>
      </c>
      <c r="B5468" s="2" t="str">
        <f>"B20210906113"</f>
        <v>B20210906113</v>
      </c>
      <c r="C5468" s="2" t="str">
        <f>"男"</f>
        <v>男</v>
      </c>
      <c r="D5468" s="2" t="str">
        <f>"6"</f>
        <v>6</v>
      </c>
      <c r="E5468" s="2" t="str">
        <f t="shared" si="1393"/>
        <v>经济与管理学院</v>
      </c>
    </row>
    <row r="5469" ht="13.5" hidden="1" spans="1:5">
      <c r="A5469" s="2" t="str">
        <f>"左金"</f>
        <v>左金</v>
      </c>
      <c r="B5469" s="2" t="str">
        <f>"B20200803114"</f>
        <v>B20200803114</v>
      </c>
      <c r="C5469" s="2" t="str">
        <f>"女"</f>
        <v>女</v>
      </c>
      <c r="D5469" s="2" t="str">
        <f>"6"</f>
        <v>6</v>
      </c>
      <c r="E5469" s="2" t="str">
        <f>"外国语学院"</f>
        <v>外国语学院</v>
      </c>
    </row>
    <row r="5470" ht="13.5" hidden="1" spans="1:5">
      <c r="A5470" s="2" t="str">
        <f>"吴青青"</f>
        <v>吴青青</v>
      </c>
      <c r="B5470" s="2" t="str">
        <f>"B20210203105"</f>
        <v>B20210203105</v>
      </c>
      <c r="C5470" s="2" t="str">
        <f>"男"</f>
        <v>男</v>
      </c>
      <c r="D5470" s="2" t="str">
        <f>"6"</f>
        <v>6</v>
      </c>
      <c r="E5470" s="2" t="str">
        <f>"机电工程学院"</f>
        <v>机电工程学院</v>
      </c>
    </row>
    <row r="5471" ht="13.5" hidden="1" spans="1:5">
      <c r="A5471" s="2" t="str">
        <f>"李志照"</f>
        <v>李志照</v>
      </c>
      <c r="B5471" s="2" t="str">
        <f>"B20220401309"</f>
        <v>B20220401309</v>
      </c>
      <c r="C5471" s="2" t="str">
        <f>"男"</f>
        <v>男</v>
      </c>
      <c r="D5471" s="2" t="str">
        <f>"6"</f>
        <v>6</v>
      </c>
      <c r="E5471" s="2" t="str">
        <f>"电子信息与电气工程学院"</f>
        <v>电子信息与电气工程学院</v>
      </c>
    </row>
    <row r="5472" ht="13.5" hidden="1" spans="1:5">
      <c r="A5472" s="2" t="str">
        <f>"魏一明"</f>
        <v>魏一明</v>
      </c>
      <c r="B5472" s="2" t="str">
        <f>"B20220401420"</f>
        <v>B20220401420</v>
      </c>
      <c r="C5472" s="2" t="str">
        <f>"男"</f>
        <v>男</v>
      </c>
      <c r="D5472" s="2" t="str">
        <f>"6"</f>
        <v>6</v>
      </c>
      <c r="E5472" s="2" t="str">
        <f t="shared" ref="E5472:E5478" si="1394">"电子信息与电气工程学院"</f>
        <v>电子信息与电气工程学院</v>
      </c>
    </row>
    <row r="5473" ht="13.5" hidden="1" spans="1:5">
      <c r="A5473" s="2" t="str">
        <f>"陈泽宁"</f>
        <v>陈泽宁</v>
      </c>
      <c r="B5473" s="2" t="str">
        <f>"B20210202215"</f>
        <v>B20210202215</v>
      </c>
      <c r="C5473" s="2" t="str">
        <f>"男"</f>
        <v>男</v>
      </c>
      <c r="D5473" s="2" t="str">
        <f>"6"</f>
        <v>6</v>
      </c>
      <c r="E5473" s="2" t="str">
        <f>"机电工程学院"</f>
        <v>机电工程学院</v>
      </c>
    </row>
    <row r="5474" ht="13.5" hidden="1" spans="1:5">
      <c r="A5474" s="2" t="str">
        <f>"张倩"</f>
        <v>张倩</v>
      </c>
      <c r="B5474" s="2" t="str">
        <f>"B20210904307"</f>
        <v>B20210904307</v>
      </c>
      <c r="C5474" s="2" t="str">
        <f>"女"</f>
        <v>女</v>
      </c>
      <c r="D5474" s="2" t="str">
        <f>"6"</f>
        <v>6</v>
      </c>
      <c r="E5474" s="2" t="str">
        <f>"经济与管理学院"</f>
        <v>经济与管理学院</v>
      </c>
    </row>
    <row r="5475" ht="13.5" hidden="1" spans="1:5">
      <c r="A5475" s="2" t="str">
        <f>"邓永东"</f>
        <v>邓永东</v>
      </c>
      <c r="B5475" s="2" t="str">
        <f>"B20220101409"</f>
        <v>B20220101409</v>
      </c>
      <c r="C5475" s="2" t="str">
        <f t="shared" ref="C5475:C5478" si="1395">"男"</f>
        <v>男</v>
      </c>
      <c r="D5475" s="2" t="str">
        <f>"6"</f>
        <v>6</v>
      </c>
      <c r="E5475" s="2" t="str">
        <f>"土木工程学院"</f>
        <v>土木工程学院</v>
      </c>
    </row>
    <row r="5476" ht="13.5" hidden="1" spans="1:5">
      <c r="A5476" s="2" t="str">
        <f>"唐滔"</f>
        <v>唐滔</v>
      </c>
      <c r="B5476" s="2" t="str">
        <f>"B20200402324"</f>
        <v>B20200402324</v>
      </c>
      <c r="C5476" s="2" t="str">
        <f t="shared" si="1395"/>
        <v>男</v>
      </c>
      <c r="D5476" s="2" t="str">
        <f>"6"</f>
        <v>6</v>
      </c>
      <c r="E5476" s="2" t="str">
        <f t="shared" si="1394"/>
        <v>电子信息与电气工程学院</v>
      </c>
    </row>
    <row r="5477" ht="13.5" hidden="1" spans="1:5">
      <c r="A5477" s="2" t="str">
        <f>"吕宏坤"</f>
        <v>吕宏坤</v>
      </c>
      <c r="B5477" s="2" t="str">
        <f>"B20200404118"</f>
        <v>B20200404118</v>
      </c>
      <c r="C5477" s="2" t="str">
        <f t="shared" si="1395"/>
        <v>男</v>
      </c>
      <c r="D5477" s="2" t="str">
        <f>"6"</f>
        <v>6</v>
      </c>
      <c r="E5477" s="2" t="str">
        <f t="shared" si="1394"/>
        <v>电子信息与电气工程学院</v>
      </c>
    </row>
    <row r="5478" ht="13.5" hidden="1" spans="1:5">
      <c r="A5478" s="2" t="str">
        <f>"刘正涛"</f>
        <v>刘正涛</v>
      </c>
      <c r="B5478" s="2" t="str">
        <f>"B20210403112"</f>
        <v>B20210403112</v>
      </c>
      <c r="C5478" s="2" t="str">
        <f t="shared" si="1395"/>
        <v>男</v>
      </c>
      <c r="D5478" s="2" t="str">
        <f>"6"</f>
        <v>6</v>
      </c>
      <c r="E5478" s="2" t="str">
        <f t="shared" si="1394"/>
        <v>电子信息与电气工程学院</v>
      </c>
    </row>
    <row r="5479" ht="13.5" hidden="1" spans="1:5">
      <c r="A5479" s="2" t="str">
        <f>"蒋孟玲"</f>
        <v>蒋孟玲</v>
      </c>
      <c r="B5479" s="2" t="str">
        <f>"B20210702122"</f>
        <v>B20210702122</v>
      </c>
      <c r="C5479" s="2" t="str">
        <f>"女"</f>
        <v>女</v>
      </c>
      <c r="D5479" s="2" t="str">
        <f>"6"</f>
        <v>6</v>
      </c>
      <c r="E5479" s="2" t="str">
        <f>"马栏山新媒体学院"</f>
        <v>马栏山新媒体学院</v>
      </c>
    </row>
    <row r="5480" ht="13.5" hidden="1" spans="1:5">
      <c r="A5480" s="2" t="str">
        <f>"龙炫宇"</f>
        <v>龙炫宇</v>
      </c>
      <c r="B5480" s="2" t="str">
        <f>"B20210204226"</f>
        <v>B20210204226</v>
      </c>
      <c r="C5480" s="2" t="str">
        <f>"男"</f>
        <v>男</v>
      </c>
      <c r="D5480" s="2" t="str">
        <f>"6"</f>
        <v>6</v>
      </c>
      <c r="E5480" s="2" t="str">
        <f>"机电工程学院"</f>
        <v>机电工程学院</v>
      </c>
    </row>
    <row r="5481" ht="13.5" hidden="1" spans="1:5">
      <c r="A5481" s="2" t="str">
        <f>"张颉"</f>
        <v>张颉</v>
      </c>
      <c r="B5481" s="2" t="str">
        <f>"B20210502218"</f>
        <v>B20210502218</v>
      </c>
      <c r="C5481" s="2" t="str">
        <f>"男"</f>
        <v>男</v>
      </c>
      <c r="D5481" s="2" t="str">
        <f>"6"</f>
        <v>6</v>
      </c>
      <c r="E5481" s="2" t="str">
        <f>"生物与化学工程学院"</f>
        <v>生物与化学工程学院</v>
      </c>
    </row>
    <row r="5482" ht="13.5" hidden="1" spans="1:5">
      <c r="A5482" s="2" t="str">
        <f>"梁怡春子"</f>
        <v>梁怡春子</v>
      </c>
      <c r="B5482" s="2" t="str">
        <f>"B20220906108"</f>
        <v>B20220906108</v>
      </c>
      <c r="C5482" s="2" t="str">
        <f>"女"</f>
        <v>女</v>
      </c>
      <c r="D5482" s="2" t="str">
        <f>"6"</f>
        <v>6</v>
      </c>
      <c r="E5482" s="2" t="str">
        <f>"经济与管理学院"</f>
        <v>经济与管理学院</v>
      </c>
    </row>
    <row r="5483" ht="13.5" hidden="1" spans="1:5">
      <c r="A5483" s="2" t="str">
        <f>"钟昕"</f>
        <v>钟昕</v>
      </c>
      <c r="B5483" s="2" t="str">
        <f>"B20230103216"</f>
        <v>B20230103216</v>
      </c>
      <c r="C5483" s="2" t="str">
        <f>"男"</f>
        <v>男</v>
      </c>
      <c r="D5483" s="2" t="str">
        <f>"6"</f>
        <v>6</v>
      </c>
      <c r="E5483" s="2" t="str">
        <f>"土木工程学院"</f>
        <v>土木工程学院</v>
      </c>
    </row>
    <row r="5484" ht="13.5" hidden="1" spans="1:5">
      <c r="A5484" s="2" t="str">
        <f>"郭谦"</f>
        <v>郭谦</v>
      </c>
      <c r="B5484" s="2" t="str">
        <f>"B20200902104"</f>
        <v>B20200902104</v>
      </c>
      <c r="C5484" s="2" t="str">
        <f>"女"</f>
        <v>女</v>
      </c>
      <c r="D5484" s="2" t="str">
        <f>"6"</f>
        <v>6</v>
      </c>
      <c r="E5484" s="2" t="str">
        <f>"经济与管理学院"</f>
        <v>经济与管理学院</v>
      </c>
    </row>
    <row r="5485" ht="13.5" hidden="1" spans="1:5">
      <c r="A5485" s="2" t="str">
        <f>"赵月贤"</f>
        <v>赵月贤</v>
      </c>
      <c r="B5485" s="2" t="str">
        <f>"B20210503236"</f>
        <v>B20210503236</v>
      </c>
      <c r="C5485" s="2" t="str">
        <f>"女"</f>
        <v>女</v>
      </c>
      <c r="D5485" s="2" t="str">
        <f>"6"</f>
        <v>6</v>
      </c>
      <c r="E5485" s="2" t="str">
        <f>"材料与环境工程学院"</f>
        <v>材料与环境工程学院</v>
      </c>
    </row>
    <row r="5486" ht="13.5" hidden="1" spans="1:5">
      <c r="A5486" s="2" t="str">
        <f>"向武雄"</f>
        <v>向武雄</v>
      </c>
      <c r="B5486" s="2" t="str">
        <f>"B20221302425"</f>
        <v>B20221302425</v>
      </c>
      <c r="C5486" s="2" t="str">
        <f>"男"</f>
        <v>男</v>
      </c>
      <c r="D5486" s="2" t="str">
        <f>"6"</f>
        <v>6</v>
      </c>
      <c r="E5486" s="2" t="str">
        <f>"材料与环境工程学院"</f>
        <v>材料与环境工程学院</v>
      </c>
    </row>
    <row r="5487" ht="13.5" hidden="1" spans="1:5">
      <c r="A5487" s="2" t="str">
        <f>"邱光程"</f>
        <v>邱光程</v>
      </c>
      <c r="B5487" s="2" t="str">
        <f>"B20230205230"</f>
        <v>B20230205230</v>
      </c>
      <c r="C5487" s="2" t="str">
        <f>"男"</f>
        <v>男</v>
      </c>
      <c r="D5487" s="2" t="str">
        <f>"6"</f>
        <v>6</v>
      </c>
      <c r="E5487" s="2" t="str">
        <f>"机电工程学院"</f>
        <v>机电工程学院</v>
      </c>
    </row>
    <row r="5488" ht="13.5" hidden="1" spans="1:5">
      <c r="A5488" s="2" t="str">
        <f>"谢剑飞"</f>
        <v>谢剑飞</v>
      </c>
      <c r="B5488" s="2" t="str">
        <f>"B20231101305"</f>
        <v>B20231101305</v>
      </c>
      <c r="C5488" s="2" t="str">
        <f>"男"</f>
        <v>男</v>
      </c>
      <c r="D5488" s="2" t="str">
        <f>"6"</f>
        <v>6</v>
      </c>
      <c r="E5488" s="2" t="str">
        <f>"音乐学院"</f>
        <v>音乐学院</v>
      </c>
    </row>
    <row r="5489" ht="13.5" hidden="1" spans="1:5">
      <c r="A5489" s="2" t="str">
        <f>"蒋哲宇"</f>
        <v>蒋哲宇</v>
      </c>
      <c r="B5489" s="2" t="str">
        <f>"B20230201305"</f>
        <v>B20230201305</v>
      </c>
      <c r="C5489" s="2" t="str">
        <f>"男"</f>
        <v>男</v>
      </c>
      <c r="D5489" s="2" t="str">
        <f>"6"</f>
        <v>6</v>
      </c>
      <c r="E5489" s="2" t="str">
        <f>"机电工程学院"</f>
        <v>机电工程学院</v>
      </c>
    </row>
    <row r="5490" ht="13.5" hidden="1" spans="1:5">
      <c r="A5490" s="2" t="str">
        <f>"雷嘉鹏"</f>
        <v>雷嘉鹏</v>
      </c>
      <c r="B5490" s="2" t="str">
        <f>"B20210101125"</f>
        <v>B20210101125</v>
      </c>
      <c r="C5490" s="2" t="str">
        <f>"男"</f>
        <v>男</v>
      </c>
      <c r="D5490" s="2" t="str">
        <f>"6"</f>
        <v>6</v>
      </c>
      <c r="E5490" s="2" t="str">
        <f t="shared" ref="E5490:E5493" si="1396">"土木工程学院"</f>
        <v>土木工程学院</v>
      </c>
    </row>
    <row r="5491" ht="13.5" hidden="1" spans="1:5">
      <c r="A5491" s="2" t="str">
        <f>"李润萱"</f>
        <v>李润萱</v>
      </c>
      <c r="B5491" s="2" t="str">
        <f>"B20200101102"</f>
        <v>B20200101102</v>
      </c>
      <c r="C5491" s="2" t="str">
        <f t="shared" ref="C5491:C5494" si="1397">"女"</f>
        <v>女</v>
      </c>
      <c r="D5491" s="2" t="str">
        <f>"6"</f>
        <v>6</v>
      </c>
      <c r="E5491" s="2" t="str">
        <f t="shared" si="1396"/>
        <v>土木工程学院</v>
      </c>
    </row>
    <row r="5492" ht="13.5" hidden="1" spans="1:5">
      <c r="A5492" s="2" t="str">
        <f>"朱远卓"</f>
        <v>朱远卓</v>
      </c>
      <c r="B5492" s="2" t="str">
        <f>"B20220501122"</f>
        <v>B20220501122</v>
      </c>
      <c r="C5492" s="2" t="str">
        <f t="shared" si="1397"/>
        <v>女</v>
      </c>
      <c r="D5492" s="2" t="str">
        <f>"6"</f>
        <v>6</v>
      </c>
      <c r="E5492" s="2" t="str">
        <f>"生物与化学工程学院"</f>
        <v>生物与化学工程学院</v>
      </c>
    </row>
    <row r="5493" ht="13.5" hidden="1" spans="1:5">
      <c r="A5493" s="2" t="str">
        <f>"贺俊铭"</f>
        <v>贺俊铭</v>
      </c>
      <c r="B5493" s="2" t="str">
        <f>"B20230101228"</f>
        <v>B20230101228</v>
      </c>
      <c r="C5493" s="2" t="str">
        <f>"男"</f>
        <v>男</v>
      </c>
      <c r="D5493" s="2" t="str">
        <f>"6"</f>
        <v>6</v>
      </c>
      <c r="E5493" s="2" t="str">
        <f t="shared" si="1396"/>
        <v>土木工程学院</v>
      </c>
    </row>
    <row r="5494" ht="13.5" hidden="1" spans="1:5">
      <c r="A5494" s="2" t="str">
        <f>"曾鹏"</f>
        <v>曾鹏</v>
      </c>
      <c r="B5494" s="2" t="str">
        <f>"B20220502210"</f>
        <v>B20220502210</v>
      </c>
      <c r="C5494" s="2" t="str">
        <f t="shared" si="1397"/>
        <v>女</v>
      </c>
      <c r="D5494" s="2" t="str">
        <f>"6"</f>
        <v>6</v>
      </c>
      <c r="E5494" s="2" t="str">
        <f>"生物与化学工程学院"</f>
        <v>生物与化学工程学院</v>
      </c>
    </row>
    <row r="5495" ht="13.5" hidden="1" spans="1:5">
      <c r="A5495" s="2" t="str">
        <f>"徐伟峰"</f>
        <v>徐伟峰</v>
      </c>
      <c r="B5495" s="2" t="str">
        <f>"B20220101538"</f>
        <v>B20220101538</v>
      </c>
      <c r="C5495" s="2" t="str">
        <f>"男"</f>
        <v>男</v>
      </c>
      <c r="D5495" s="2" t="str">
        <f>"6"</f>
        <v>6</v>
      </c>
      <c r="E5495" s="2" t="str">
        <f>"土木工程学院"</f>
        <v>土木工程学院</v>
      </c>
    </row>
    <row r="5496" ht="13.5" hidden="1" spans="1:5">
      <c r="A5496" s="2" t="str">
        <f>"蒋岩成"</f>
        <v>蒋岩成</v>
      </c>
      <c r="B5496" s="2" t="str">
        <f>"B20231002116"</f>
        <v>B20231002116</v>
      </c>
      <c r="C5496" s="2" t="str">
        <f>"男"</f>
        <v>男</v>
      </c>
      <c r="D5496" s="2" t="str">
        <f>"6"</f>
        <v>6</v>
      </c>
      <c r="E5496" s="2" t="str">
        <f>"艺术设计学院"</f>
        <v>艺术设计学院</v>
      </c>
    </row>
    <row r="5497" ht="13.5" hidden="1" spans="1:5">
      <c r="A5497" s="2" t="str">
        <f>"王嘉乐"</f>
        <v>王嘉乐</v>
      </c>
      <c r="B5497" s="2" t="str">
        <f>"B20230905116"</f>
        <v>B20230905116</v>
      </c>
      <c r="C5497" s="2" t="str">
        <f>"女"</f>
        <v>女</v>
      </c>
      <c r="D5497" s="2" t="str">
        <f>"6"</f>
        <v>6</v>
      </c>
      <c r="E5497" s="2" t="str">
        <f>"经济与管理学院"</f>
        <v>经济与管理学院</v>
      </c>
    </row>
    <row r="5498" ht="13.5" hidden="1" spans="1:5">
      <c r="A5498" s="2" t="str">
        <f>"金婷"</f>
        <v>金婷</v>
      </c>
      <c r="B5498" s="2" t="str">
        <f>"B20220903235"</f>
        <v>B20220903235</v>
      </c>
      <c r="C5498" s="2" t="str">
        <f>"女"</f>
        <v>女</v>
      </c>
      <c r="D5498" s="2" t="str">
        <f>"6"</f>
        <v>6</v>
      </c>
      <c r="E5498" s="2" t="str">
        <f>"经济与管理学院"</f>
        <v>经济与管理学院</v>
      </c>
    </row>
    <row r="5499" ht="13.5" hidden="1" spans="1:5">
      <c r="A5499" s="2" t="str">
        <f>"陈梦玲"</f>
        <v>陈梦玲</v>
      </c>
      <c r="B5499" s="2" t="str">
        <f>"B20230601423"</f>
        <v>B20230601423</v>
      </c>
      <c r="C5499" s="2" t="str">
        <f>"女"</f>
        <v>女</v>
      </c>
      <c r="D5499" s="2" t="str">
        <f t="shared" ref="D5499:D5517" si="1398">"6"</f>
        <v>6</v>
      </c>
      <c r="E5499" s="2" t="str">
        <f>"法学院"</f>
        <v>法学院</v>
      </c>
    </row>
    <row r="5500" ht="13.5" hidden="1" spans="1:5">
      <c r="A5500" s="2" t="str">
        <f>"郭晶晶"</f>
        <v>郭晶晶</v>
      </c>
      <c r="B5500" s="2" t="str">
        <f>"B20210801119"</f>
        <v>B20210801119</v>
      </c>
      <c r="C5500" s="2" t="str">
        <f>"女"</f>
        <v>女</v>
      </c>
      <c r="D5500" s="2" t="str">
        <f t="shared" si="1398"/>
        <v>6</v>
      </c>
      <c r="E5500" s="2" t="str">
        <f>"外国语学院"</f>
        <v>外国语学院</v>
      </c>
    </row>
    <row r="5501" ht="13.5" hidden="1" spans="1:5">
      <c r="A5501" s="2" t="str">
        <f>"姚欣怡"</f>
        <v>姚欣怡</v>
      </c>
      <c r="B5501" s="2" t="str">
        <f>"B20210802303"</f>
        <v>B20210802303</v>
      </c>
      <c r="C5501" s="2" t="str">
        <f>"女"</f>
        <v>女</v>
      </c>
      <c r="D5501" s="2" t="str">
        <f t="shared" si="1398"/>
        <v>6</v>
      </c>
      <c r="E5501" s="2" t="str">
        <f>"外国语学院"</f>
        <v>外国语学院</v>
      </c>
    </row>
    <row r="5502" ht="13.5" hidden="1" spans="1:5">
      <c r="A5502" s="2" t="str">
        <f>"邱昌茂"</f>
        <v>邱昌茂</v>
      </c>
      <c r="B5502" s="2" t="str">
        <f>"B20210201226"</f>
        <v>B20210201226</v>
      </c>
      <c r="C5502" s="2" t="str">
        <f t="shared" ref="C5502:C5510" si="1399">"男"</f>
        <v>男</v>
      </c>
      <c r="D5502" s="2" t="str">
        <f t="shared" si="1398"/>
        <v>6</v>
      </c>
      <c r="E5502" s="2" t="str">
        <f>"机电工程学院"</f>
        <v>机电工程学院</v>
      </c>
    </row>
    <row r="5503" ht="13.5" hidden="1" spans="1:5">
      <c r="A5503" s="2" t="str">
        <f>"程钰婷"</f>
        <v>程钰婷</v>
      </c>
      <c r="B5503" s="2" t="str">
        <f>"B20210903205"</f>
        <v>B20210903205</v>
      </c>
      <c r="C5503" s="2" t="str">
        <f t="shared" ref="C5503:C5506" si="1400">"女"</f>
        <v>女</v>
      </c>
      <c r="D5503" s="2" t="str">
        <f t="shared" si="1398"/>
        <v>6</v>
      </c>
      <c r="E5503" s="2" t="str">
        <f>"经济与管理学院"</f>
        <v>经济与管理学院</v>
      </c>
    </row>
    <row r="5504" ht="13.5" hidden="1" spans="1:5">
      <c r="A5504" s="2" t="str">
        <f>"伍豪杰"</f>
        <v>伍豪杰</v>
      </c>
      <c r="B5504" s="2" t="str">
        <f>"B20210201211"</f>
        <v>B20210201211</v>
      </c>
      <c r="C5504" s="2" t="str">
        <f t="shared" si="1399"/>
        <v>男</v>
      </c>
      <c r="D5504" s="2" t="str">
        <f t="shared" si="1398"/>
        <v>6</v>
      </c>
      <c r="E5504" s="2" t="str">
        <f>"机电工程学院"</f>
        <v>机电工程学院</v>
      </c>
    </row>
    <row r="5505" ht="13.5" hidden="1" spans="1:5">
      <c r="A5505" s="2" t="str">
        <f>"代佩轩"</f>
        <v>代佩轩</v>
      </c>
      <c r="B5505" s="2" t="str">
        <f>"B20231101322"</f>
        <v>B20231101322</v>
      </c>
      <c r="C5505" s="2" t="str">
        <f t="shared" si="1400"/>
        <v>女</v>
      </c>
      <c r="D5505" s="2" t="str">
        <f t="shared" si="1398"/>
        <v>6</v>
      </c>
      <c r="E5505" s="2" t="str">
        <f>"音乐学院"</f>
        <v>音乐学院</v>
      </c>
    </row>
    <row r="5506" ht="13.5" hidden="1" spans="1:5">
      <c r="A5506" s="2" t="str">
        <f>"唐慧"</f>
        <v>唐慧</v>
      </c>
      <c r="B5506" s="2" t="str">
        <f>"B20220403323"</f>
        <v>B20220403323</v>
      </c>
      <c r="C5506" s="2" t="str">
        <f t="shared" si="1400"/>
        <v>女</v>
      </c>
      <c r="D5506" s="2" t="str">
        <f t="shared" si="1398"/>
        <v>6</v>
      </c>
      <c r="E5506" s="2" t="str">
        <f>"电子信息与电气工程学院"</f>
        <v>电子信息与电气工程学院</v>
      </c>
    </row>
    <row r="5507" ht="13.5" hidden="1" spans="1:5">
      <c r="A5507" s="2" t="str">
        <f>"刘期宇"</f>
        <v>刘期宇</v>
      </c>
      <c r="B5507" s="2" t="str">
        <f>"B20200901405"</f>
        <v>B20200901405</v>
      </c>
      <c r="C5507" s="2" t="str">
        <f t="shared" si="1399"/>
        <v>男</v>
      </c>
      <c r="D5507" s="2" t="str">
        <f t="shared" si="1398"/>
        <v>6</v>
      </c>
      <c r="E5507" s="2" t="str">
        <f>"经济与管理学院"</f>
        <v>经济与管理学院</v>
      </c>
    </row>
    <row r="5508" ht="13.5" hidden="1" spans="1:5">
      <c r="A5508" s="2" t="str">
        <f>"杨志行"</f>
        <v>杨志行</v>
      </c>
      <c r="B5508" s="2" t="str">
        <f>"B20201002211"</f>
        <v>B20201002211</v>
      </c>
      <c r="C5508" s="2" t="str">
        <f t="shared" si="1399"/>
        <v>男</v>
      </c>
      <c r="D5508" s="2" t="str">
        <f t="shared" si="1398"/>
        <v>6</v>
      </c>
      <c r="E5508" s="2" t="str">
        <f>"艺术设计学院"</f>
        <v>艺术设计学院</v>
      </c>
    </row>
    <row r="5509" ht="13.5" hidden="1" spans="1:5">
      <c r="A5509" s="2" t="str">
        <f>"廖崧辰"</f>
        <v>廖崧辰</v>
      </c>
      <c r="B5509" s="2" t="str">
        <f>"B20230401417"</f>
        <v>B20230401417</v>
      </c>
      <c r="C5509" s="2" t="str">
        <f t="shared" si="1399"/>
        <v>男</v>
      </c>
      <c r="D5509" s="2" t="str">
        <f t="shared" si="1398"/>
        <v>6</v>
      </c>
      <c r="E5509" s="2" t="str">
        <f>"电子信息与电气工程学院"</f>
        <v>电子信息与电气工程学院</v>
      </c>
    </row>
    <row r="5510" ht="13.5" hidden="1" spans="1:5">
      <c r="A5510" s="2" t="str">
        <f>"刘畅"</f>
        <v>刘畅</v>
      </c>
      <c r="B5510" s="2" t="str">
        <f>"B20230204209"</f>
        <v>B20230204209</v>
      </c>
      <c r="C5510" s="2" t="str">
        <f t="shared" si="1399"/>
        <v>男</v>
      </c>
      <c r="D5510" s="2" t="str">
        <f t="shared" si="1398"/>
        <v>6</v>
      </c>
      <c r="E5510" s="2" t="str">
        <f>"机电工程学院"</f>
        <v>机电工程学院</v>
      </c>
    </row>
    <row r="5511" ht="13.5" hidden="1" spans="1:5">
      <c r="A5511" s="2" t="str">
        <f>"朱美霖"</f>
        <v>朱美霖</v>
      </c>
      <c r="B5511" s="2" t="str">
        <f>"B20210705119"</f>
        <v>B20210705119</v>
      </c>
      <c r="C5511" s="2" t="str">
        <f t="shared" ref="C5511:C5517" si="1401">"女"</f>
        <v>女</v>
      </c>
      <c r="D5511" s="2" t="str">
        <f t="shared" si="1398"/>
        <v>6</v>
      </c>
      <c r="E5511" s="2" t="str">
        <f>"马栏山新媒体学院"</f>
        <v>马栏山新媒体学院</v>
      </c>
    </row>
    <row r="5512" ht="13.5" hidden="1" spans="1:5">
      <c r="A5512" s="2" t="str">
        <f>"吴文俊"</f>
        <v>吴文俊</v>
      </c>
      <c r="B5512" s="2" t="str">
        <f>"B20220201118"</f>
        <v>B20220201118</v>
      </c>
      <c r="C5512" s="2" t="str">
        <f>"男"</f>
        <v>男</v>
      </c>
      <c r="D5512" s="2" t="str">
        <f t="shared" si="1398"/>
        <v>6</v>
      </c>
      <c r="E5512" s="2" t="str">
        <f>"机电工程学院"</f>
        <v>机电工程学院</v>
      </c>
    </row>
    <row r="5513" ht="13.5" hidden="1" spans="1:5">
      <c r="A5513" s="2" t="str">
        <f>"晏馨瑶"</f>
        <v>晏馨瑶</v>
      </c>
      <c r="B5513" s="2" t="str">
        <f>"B20230504205"</f>
        <v>B20230504205</v>
      </c>
      <c r="C5513" s="2" t="str">
        <f t="shared" si="1401"/>
        <v>女</v>
      </c>
      <c r="D5513" s="2" t="str">
        <f t="shared" si="1398"/>
        <v>6</v>
      </c>
      <c r="E5513" s="2" t="str">
        <f>"生物与化学工程学院"</f>
        <v>生物与化学工程学院</v>
      </c>
    </row>
    <row r="5514" ht="13.5" hidden="1" spans="1:5">
      <c r="A5514" s="2" t="str">
        <f>"易媛媛"</f>
        <v>易媛媛</v>
      </c>
      <c r="B5514" s="2" t="str">
        <f>"B20220905216"</f>
        <v>B20220905216</v>
      </c>
      <c r="C5514" s="2" t="str">
        <f t="shared" si="1401"/>
        <v>女</v>
      </c>
      <c r="D5514" s="2" t="str">
        <f t="shared" si="1398"/>
        <v>6</v>
      </c>
      <c r="E5514" s="2" t="str">
        <f>"经济与管理学院"</f>
        <v>经济与管理学院</v>
      </c>
    </row>
    <row r="5515" ht="13.5" hidden="1" spans="1:5">
      <c r="A5515" s="2" t="str">
        <f>"张艺宁"</f>
        <v>张艺宁</v>
      </c>
      <c r="B5515" s="2" t="str">
        <f>"B20230703219"</f>
        <v>B20230703219</v>
      </c>
      <c r="C5515" s="2" t="str">
        <f t="shared" si="1401"/>
        <v>女</v>
      </c>
      <c r="D5515" s="2" t="str">
        <f t="shared" si="1398"/>
        <v>6</v>
      </c>
      <c r="E5515" s="2" t="str">
        <f>"马栏山新媒体学院"</f>
        <v>马栏山新媒体学院</v>
      </c>
    </row>
    <row r="5516" ht="13.5" hidden="1" spans="1:5">
      <c r="A5516" s="2" t="str">
        <f>"吴巧丽"</f>
        <v>吴巧丽</v>
      </c>
      <c r="B5516" s="2" t="str">
        <f>"B20200501221"</f>
        <v>B20200501221</v>
      </c>
      <c r="C5516" s="2" t="str">
        <f t="shared" si="1401"/>
        <v>女</v>
      </c>
      <c r="D5516" s="2" t="str">
        <f t="shared" si="1398"/>
        <v>6</v>
      </c>
      <c r="E5516" s="2" t="str">
        <f>"生物与环境工程学院"</f>
        <v>生物与环境工程学院</v>
      </c>
    </row>
    <row r="5517" ht="13.5" hidden="1" spans="1:5">
      <c r="A5517" s="2" t="str">
        <f>"郭心怡"</f>
        <v>郭心怡</v>
      </c>
      <c r="B5517" s="2" t="str">
        <f>"B20230502236"</f>
        <v>B20230502236</v>
      </c>
      <c r="C5517" s="2" t="str">
        <f t="shared" si="1401"/>
        <v>女</v>
      </c>
      <c r="D5517" s="2" t="str">
        <f t="shared" si="1398"/>
        <v>6</v>
      </c>
      <c r="E5517" s="2" t="str">
        <f>"生物与化学工程学院"</f>
        <v>生物与化学工程学院</v>
      </c>
    </row>
    <row r="5518" ht="13.5" hidden="1" spans="1:5">
      <c r="A5518" s="2" t="str">
        <f>"周航"</f>
        <v>周航</v>
      </c>
      <c r="B5518" s="2" t="str">
        <f>"B20230102210"</f>
        <v>B20230102210</v>
      </c>
      <c r="C5518" s="2" t="str">
        <f>"男"</f>
        <v>男</v>
      </c>
      <c r="D5518" s="2" t="str">
        <f>"6"</f>
        <v>6</v>
      </c>
      <c r="E5518" s="2" t="str">
        <f>"土木工程学院"</f>
        <v>土木工程学院</v>
      </c>
    </row>
    <row r="5519" ht="13.5" hidden="1" spans="1:5">
      <c r="A5519" s="2" t="str">
        <f>"谷康平"</f>
        <v>谷康平</v>
      </c>
      <c r="B5519" s="2" t="str">
        <f>"B20230404205"</f>
        <v>B20230404205</v>
      </c>
      <c r="C5519" s="2" t="str">
        <f>"男"</f>
        <v>男</v>
      </c>
      <c r="D5519" s="2" t="str">
        <f>"6"</f>
        <v>6</v>
      </c>
      <c r="E5519" s="2" t="str">
        <f>"电子信息与电气工程学院"</f>
        <v>电子信息与电气工程学院</v>
      </c>
    </row>
    <row r="5520" ht="13.5" hidden="1" spans="1:5">
      <c r="A5520" s="2" t="str">
        <f>"盛菲"</f>
        <v>盛菲</v>
      </c>
      <c r="B5520" s="2" t="str">
        <f>"B20211101222"</f>
        <v>B20211101222</v>
      </c>
      <c r="C5520" s="2" t="str">
        <f>"女"</f>
        <v>女</v>
      </c>
      <c r="D5520" s="2" t="str">
        <f>"6"</f>
        <v>6</v>
      </c>
      <c r="E5520" s="2" t="str">
        <f>"音乐学院"</f>
        <v>音乐学院</v>
      </c>
    </row>
    <row r="5521" ht="13.5" hidden="1" spans="1:5">
      <c r="A5521" s="2" t="str">
        <f>"邓湘蓉"</f>
        <v>邓湘蓉</v>
      </c>
      <c r="B5521" s="2" t="str">
        <f>"B20230205205"</f>
        <v>B20230205205</v>
      </c>
      <c r="C5521" s="2" t="str">
        <f>"女"</f>
        <v>女</v>
      </c>
      <c r="D5521" s="2" t="str">
        <f>"6"</f>
        <v>6</v>
      </c>
      <c r="E5521" s="2" t="str">
        <f>"机电工程学院"</f>
        <v>机电工程学院</v>
      </c>
    </row>
    <row r="5522" ht="13.5" hidden="1" spans="1:5">
      <c r="A5522" s="2" t="str">
        <f>"陈婉荣"</f>
        <v>陈婉荣</v>
      </c>
      <c r="B5522" s="2" t="str">
        <f>"B20210103210"</f>
        <v>B20210103210</v>
      </c>
      <c r="C5522" s="2" t="str">
        <f>"女"</f>
        <v>女</v>
      </c>
      <c r="D5522" s="2" t="str">
        <f>"6"</f>
        <v>6</v>
      </c>
      <c r="E5522" s="2" t="str">
        <f>"土木工程学院"</f>
        <v>土木工程学院</v>
      </c>
    </row>
    <row r="5523" ht="13.5" hidden="1" spans="1:5">
      <c r="A5523" s="2" t="str">
        <f>"张梓涵"</f>
        <v>张梓涵</v>
      </c>
      <c r="B5523" s="2" t="str">
        <f>"B20220401212"</f>
        <v>B20220401212</v>
      </c>
      <c r="C5523" s="2" t="str">
        <f t="shared" ref="C5523:C5527" si="1402">"男"</f>
        <v>男</v>
      </c>
      <c r="D5523" s="2" t="str">
        <f>"6"</f>
        <v>6</v>
      </c>
      <c r="E5523" s="2" t="str">
        <f>"电子信息与电气工程学院"</f>
        <v>电子信息与电气工程学院</v>
      </c>
    </row>
    <row r="5524" ht="13.5" hidden="1" spans="1:5">
      <c r="A5524" s="2" t="str">
        <f>"曾令豪"</f>
        <v>曾令豪</v>
      </c>
      <c r="B5524" s="2" t="str">
        <f>"B20230202310"</f>
        <v>B20230202310</v>
      </c>
      <c r="C5524" s="2" t="str">
        <f t="shared" si="1402"/>
        <v>男</v>
      </c>
      <c r="D5524" s="2" t="str">
        <f>"6"</f>
        <v>6</v>
      </c>
      <c r="E5524" s="2" t="str">
        <f>"机电工程学院"</f>
        <v>机电工程学院</v>
      </c>
    </row>
    <row r="5525" ht="13.5" hidden="1" spans="1:5">
      <c r="A5525" s="2" t="str">
        <f>"向雪琪"</f>
        <v>向雪琪</v>
      </c>
      <c r="B5525" s="2" t="str">
        <f>"B20220601112"</f>
        <v>B20220601112</v>
      </c>
      <c r="C5525" s="2" t="str">
        <f t="shared" ref="C5525:C5529" si="1403">"女"</f>
        <v>女</v>
      </c>
      <c r="D5525" s="2" t="str">
        <f>"6"</f>
        <v>6</v>
      </c>
      <c r="E5525" s="2" t="str">
        <f>"法学院"</f>
        <v>法学院</v>
      </c>
    </row>
    <row r="5526" ht="13.5" hidden="1" spans="1:5">
      <c r="A5526" s="2" t="str">
        <f>"贺易苗"</f>
        <v>贺易苗</v>
      </c>
      <c r="B5526" s="2" t="str">
        <f>"B20220502207"</f>
        <v>B20220502207</v>
      </c>
      <c r="C5526" s="2" t="str">
        <f t="shared" si="1403"/>
        <v>女</v>
      </c>
      <c r="D5526" s="2" t="str">
        <f>"6"</f>
        <v>6</v>
      </c>
      <c r="E5526" s="2" t="str">
        <f>"生物与化学工程学院"</f>
        <v>生物与化学工程学院</v>
      </c>
    </row>
    <row r="5527" ht="13.5" hidden="1" spans="1:5">
      <c r="A5527" s="2" t="str">
        <f>"程威"</f>
        <v>程威</v>
      </c>
      <c r="B5527" s="2" t="str">
        <f>"B20220204115"</f>
        <v>B20220204115</v>
      </c>
      <c r="C5527" s="2" t="str">
        <f t="shared" si="1402"/>
        <v>男</v>
      </c>
      <c r="D5527" s="2" t="str">
        <f>"6"</f>
        <v>6</v>
      </c>
      <c r="E5527" s="2" t="str">
        <f>"机电工程学院"</f>
        <v>机电工程学院</v>
      </c>
    </row>
    <row r="5528" ht="13.5" hidden="1" spans="1:5">
      <c r="A5528" s="2" t="str">
        <f>"唐金怡"</f>
        <v>唐金怡</v>
      </c>
      <c r="B5528" s="2" t="str">
        <f>"B20200903113"</f>
        <v>B20200903113</v>
      </c>
      <c r="C5528" s="2" t="str">
        <f t="shared" si="1403"/>
        <v>女</v>
      </c>
      <c r="D5528" s="2" t="str">
        <f>"6"</f>
        <v>6</v>
      </c>
      <c r="E5528" s="2" t="str">
        <f>"经济与管理学院"</f>
        <v>经济与管理学院</v>
      </c>
    </row>
    <row r="5529" ht="13.5" hidden="1" spans="1:5">
      <c r="A5529" s="2" t="str">
        <f>"颜可佳"</f>
        <v>颜可佳</v>
      </c>
      <c r="B5529" s="2" t="str">
        <f>"B20231111208"</f>
        <v>B20231111208</v>
      </c>
      <c r="C5529" s="2" t="str">
        <f t="shared" si="1403"/>
        <v>女</v>
      </c>
      <c r="D5529" s="2" t="str">
        <f>"6"</f>
        <v>6</v>
      </c>
      <c r="E5529" s="2" t="str">
        <f>"音乐学院"</f>
        <v>音乐学院</v>
      </c>
    </row>
    <row r="5530" ht="13.5" hidden="1" spans="1:5">
      <c r="A5530" s="2" t="str">
        <f>"朱远豪"</f>
        <v>朱远豪</v>
      </c>
      <c r="B5530" s="2" t="str">
        <f>"B20231111110"</f>
        <v>B20231111110</v>
      </c>
      <c r="C5530" s="2" t="str">
        <f t="shared" ref="C5530:C5534" si="1404">"男"</f>
        <v>男</v>
      </c>
      <c r="D5530" s="2" t="str">
        <f>"6"</f>
        <v>6</v>
      </c>
      <c r="E5530" s="2" t="str">
        <f>"音乐学院"</f>
        <v>音乐学院</v>
      </c>
    </row>
    <row r="5531" ht="13.5" hidden="1" spans="1:5">
      <c r="A5531" s="2" t="str">
        <f>"田晶晶"</f>
        <v>田晶晶</v>
      </c>
      <c r="B5531" s="2" t="str">
        <f>"B20220502108"</f>
        <v>B20220502108</v>
      </c>
      <c r="C5531" s="2" t="str">
        <f>"女"</f>
        <v>女</v>
      </c>
      <c r="D5531" s="2" t="str">
        <f>"6"</f>
        <v>6</v>
      </c>
      <c r="E5531" s="2" t="str">
        <f>"生物与化学工程学院"</f>
        <v>生物与化学工程学院</v>
      </c>
    </row>
    <row r="5532" ht="13.5" hidden="1" spans="1:5">
      <c r="A5532" s="2" t="str">
        <f>"赵翰"</f>
        <v>赵翰</v>
      </c>
      <c r="B5532" s="2" t="str">
        <f>"B20230205327"</f>
        <v>B20230205327</v>
      </c>
      <c r="C5532" s="2" t="str">
        <f t="shared" si="1404"/>
        <v>男</v>
      </c>
      <c r="D5532" s="2" t="str">
        <f>"6"</f>
        <v>6</v>
      </c>
      <c r="E5532" s="2" t="str">
        <f t="shared" ref="E5532:E5536" si="1405">"机电工程学院"</f>
        <v>机电工程学院</v>
      </c>
    </row>
    <row r="5533" ht="13.5" hidden="1" spans="1:5">
      <c r="A5533" s="2" t="str">
        <f>"谢冉"</f>
        <v>谢冉</v>
      </c>
      <c r="B5533" s="2" t="str">
        <f>"B20220901220"</f>
        <v>B20220901220</v>
      </c>
      <c r="C5533" s="2" t="str">
        <f t="shared" si="1404"/>
        <v>男</v>
      </c>
      <c r="D5533" s="2" t="str">
        <f>"6"</f>
        <v>6</v>
      </c>
      <c r="E5533" s="2" t="str">
        <f t="shared" ref="E5533:E5537" si="1406">"经济与管理学院"</f>
        <v>经济与管理学院</v>
      </c>
    </row>
    <row r="5534" ht="13.5" hidden="1" spans="1:5">
      <c r="A5534" s="2" t="str">
        <f>"李雨候"</f>
        <v>李雨候</v>
      </c>
      <c r="B5534" s="2" t="str">
        <f>"B20230201408"</f>
        <v>B20230201408</v>
      </c>
      <c r="C5534" s="2" t="str">
        <f t="shared" si="1404"/>
        <v>男</v>
      </c>
      <c r="D5534" s="2" t="str">
        <f>"6"</f>
        <v>6</v>
      </c>
      <c r="E5534" s="2" t="str">
        <f t="shared" si="1405"/>
        <v>机电工程学院</v>
      </c>
    </row>
    <row r="5535" ht="13.5" hidden="1" spans="1:5">
      <c r="A5535" s="2" t="str">
        <f>"杨明萱"</f>
        <v>杨明萱</v>
      </c>
      <c r="B5535" s="2" t="str">
        <f>"B20230901334"</f>
        <v>B20230901334</v>
      </c>
      <c r="C5535" s="2" t="str">
        <f>"女"</f>
        <v>女</v>
      </c>
      <c r="D5535" s="2" t="str">
        <f>"6"</f>
        <v>6</v>
      </c>
      <c r="E5535" s="2" t="str">
        <f t="shared" si="1406"/>
        <v>经济与管理学院</v>
      </c>
    </row>
    <row r="5536" ht="13.5" hidden="1" spans="1:5">
      <c r="A5536" s="2" t="str">
        <f>"张文"</f>
        <v>张文</v>
      </c>
      <c r="B5536" s="2" t="str">
        <f>"B20220204301"</f>
        <v>B20220204301</v>
      </c>
      <c r="C5536" s="2" t="str">
        <f>"男"</f>
        <v>男</v>
      </c>
      <c r="D5536" s="2" t="str">
        <f>"6"</f>
        <v>6</v>
      </c>
      <c r="E5536" s="2" t="str">
        <f t="shared" si="1405"/>
        <v>机电工程学院</v>
      </c>
    </row>
    <row r="5537" ht="13.5" hidden="1" spans="1:5">
      <c r="A5537" s="2" t="str">
        <f>"刘亚妮"</f>
        <v>刘亚妮</v>
      </c>
      <c r="B5537" s="2" t="str">
        <f>"B20220906227"</f>
        <v>B20220906227</v>
      </c>
      <c r="C5537" s="2" t="str">
        <f>"女"</f>
        <v>女</v>
      </c>
      <c r="D5537" s="2" t="str">
        <f>"6"</f>
        <v>6</v>
      </c>
      <c r="E5537" s="2" t="str">
        <f t="shared" si="1406"/>
        <v>经济与管理学院</v>
      </c>
    </row>
    <row r="5538" ht="13.5" hidden="1" spans="1:5">
      <c r="A5538" s="2" t="str">
        <f>"张驰"</f>
        <v>张驰</v>
      </c>
      <c r="B5538" s="2" t="str">
        <f>"B20221302313"</f>
        <v>B20221302313</v>
      </c>
      <c r="C5538" s="2" t="str">
        <f>"男"</f>
        <v>男</v>
      </c>
      <c r="D5538" s="2" t="str">
        <f>"6"</f>
        <v>6</v>
      </c>
      <c r="E5538" s="2" t="str">
        <f>"材料与环境工程学院"</f>
        <v>材料与环境工程学院</v>
      </c>
    </row>
    <row r="5539" ht="13.5" hidden="1" spans="1:5">
      <c r="A5539" s="2" t="str">
        <f>"肖宇清"</f>
        <v>肖宇清</v>
      </c>
      <c r="B5539" s="2" t="str">
        <f>"B20230601305"</f>
        <v>B20230601305</v>
      </c>
      <c r="C5539" s="2" t="str">
        <f>"女"</f>
        <v>女</v>
      </c>
      <c r="D5539" s="2" t="str">
        <f>"6"</f>
        <v>6</v>
      </c>
      <c r="E5539" s="2" t="str">
        <f>"法学院"</f>
        <v>法学院</v>
      </c>
    </row>
    <row r="5540" ht="13.5" hidden="1" spans="1:5">
      <c r="A5540" s="2" t="str">
        <f>"陈橹圯"</f>
        <v>陈橹圯</v>
      </c>
      <c r="B5540" s="2" t="str">
        <f>"B20210203212"</f>
        <v>B20210203212</v>
      </c>
      <c r="C5540" s="2" t="str">
        <f>"男"</f>
        <v>男</v>
      </c>
      <c r="D5540" s="2" t="str">
        <f>"6"</f>
        <v>6</v>
      </c>
      <c r="E5540" s="2" t="str">
        <f>"机电工程学院"</f>
        <v>机电工程学院</v>
      </c>
    </row>
    <row r="5541" ht="13.5" hidden="1" spans="1:5">
      <c r="A5541" s="2" t="str">
        <f>"赵泽崧"</f>
        <v>赵泽崧</v>
      </c>
      <c r="B5541" s="2" t="str">
        <f>"B20200101409"</f>
        <v>B20200101409</v>
      </c>
      <c r="C5541" s="2" t="str">
        <f>"男"</f>
        <v>男</v>
      </c>
      <c r="D5541" s="2" t="str">
        <f>"6"</f>
        <v>6</v>
      </c>
      <c r="E5541" s="2" t="str">
        <f>"土木工程学院"</f>
        <v>土木工程学院</v>
      </c>
    </row>
    <row r="5542" ht="13.5" hidden="1" spans="1:5">
      <c r="A5542" s="2" t="str">
        <f>"房晶晶"</f>
        <v>房晶晶</v>
      </c>
      <c r="B5542" s="2" t="str">
        <f>"B20230902312"</f>
        <v>B20230902312</v>
      </c>
      <c r="C5542" s="2" t="str">
        <f>"女"</f>
        <v>女</v>
      </c>
      <c r="D5542" s="2" t="str">
        <f>"6"</f>
        <v>6</v>
      </c>
      <c r="E5542" s="2" t="str">
        <f>"经济与管理学院"</f>
        <v>经济与管理学院</v>
      </c>
    </row>
    <row r="5543" ht="13.5" hidden="1" spans="1:5">
      <c r="A5543" s="2" t="str">
        <f>"崔诗慧"</f>
        <v>崔诗慧</v>
      </c>
      <c r="B5543" s="2" t="str">
        <f>"B20230905230"</f>
        <v>B20230905230</v>
      </c>
      <c r="C5543" s="2" t="str">
        <f>"女"</f>
        <v>女</v>
      </c>
      <c r="D5543" s="2" t="str">
        <f>"6"</f>
        <v>6</v>
      </c>
      <c r="E5543" s="2" t="str">
        <f>"经济与管理学院"</f>
        <v>经济与管理学院</v>
      </c>
    </row>
    <row r="5544" ht="13.5" hidden="1" spans="1:5">
      <c r="A5544" s="2" t="str">
        <f>"李均"</f>
        <v>李均</v>
      </c>
      <c r="B5544" s="2" t="str">
        <f>"B20230103227"</f>
        <v>B20230103227</v>
      </c>
      <c r="C5544" s="2" t="str">
        <f>"男"</f>
        <v>男</v>
      </c>
      <c r="D5544" s="2" t="str">
        <f>"6"</f>
        <v>6</v>
      </c>
      <c r="E5544" s="2" t="str">
        <f>"土木工程学院"</f>
        <v>土木工程学院</v>
      </c>
    </row>
    <row r="5545" ht="13.5" hidden="1" spans="1:5">
      <c r="A5545" s="2" t="str">
        <f>"曹子煜"</f>
        <v>曹子煜</v>
      </c>
      <c r="B5545" s="2" t="str">
        <f>"B20210904114"</f>
        <v>B20210904114</v>
      </c>
      <c r="C5545" s="2" t="str">
        <f>"男"</f>
        <v>男</v>
      </c>
      <c r="D5545" s="2" t="str">
        <f>"6"</f>
        <v>6</v>
      </c>
      <c r="E5545" s="2" t="str">
        <f>"经济与管理学院"</f>
        <v>经济与管理学院</v>
      </c>
    </row>
    <row r="5546" ht="13.5" hidden="1" spans="1:5">
      <c r="A5546" s="2" t="str">
        <f>"谢璐"</f>
        <v>谢璐</v>
      </c>
      <c r="B5546" s="2" t="str">
        <f>"B20210402315"</f>
        <v>B20210402315</v>
      </c>
      <c r="C5546" s="2" t="str">
        <f>"男"</f>
        <v>男</v>
      </c>
      <c r="D5546" s="2" t="str">
        <f t="shared" ref="D5546:D5560" si="1407">"6"</f>
        <v>6</v>
      </c>
      <c r="E5546" s="2" t="str">
        <f>"电子信息与电气工程学院"</f>
        <v>电子信息与电气工程学院</v>
      </c>
    </row>
    <row r="5547" ht="13.5" hidden="1" spans="1:5">
      <c r="A5547" s="2" t="str">
        <f>"邓世杰"</f>
        <v>邓世杰</v>
      </c>
      <c r="B5547" s="2" t="str">
        <f>"B20220905113"</f>
        <v>B20220905113</v>
      </c>
      <c r="C5547" s="2" t="str">
        <f>"男"</f>
        <v>男</v>
      </c>
      <c r="D5547" s="2" t="str">
        <f t="shared" si="1407"/>
        <v>6</v>
      </c>
      <c r="E5547" s="2" t="str">
        <f>"经济与管理学院"</f>
        <v>经济与管理学院</v>
      </c>
    </row>
    <row r="5548" ht="13.5" hidden="1" spans="1:5">
      <c r="A5548" s="2" t="str">
        <f>"陈皓铭"</f>
        <v>陈皓铭</v>
      </c>
      <c r="B5548" s="2" t="str">
        <f>"B20231002220"</f>
        <v>B20231002220</v>
      </c>
      <c r="C5548" s="2" t="str">
        <f>"男"</f>
        <v>男</v>
      </c>
      <c r="D5548" s="2" t="str">
        <f t="shared" si="1407"/>
        <v>6</v>
      </c>
      <c r="E5548" s="2" t="str">
        <f>"艺术设计学院"</f>
        <v>艺术设计学院</v>
      </c>
    </row>
    <row r="5549" ht="13.5" hidden="1" spans="1:5">
      <c r="A5549" s="2" t="str">
        <f>"王宇娜"</f>
        <v>王宇娜</v>
      </c>
      <c r="B5549" s="2" t="str">
        <f>"B20230103228"</f>
        <v>B20230103228</v>
      </c>
      <c r="C5549" s="2" t="str">
        <f t="shared" ref="C5549:C5553" si="1408">"女"</f>
        <v>女</v>
      </c>
      <c r="D5549" s="2" t="str">
        <f t="shared" si="1407"/>
        <v>6</v>
      </c>
      <c r="E5549" s="2" t="str">
        <f>"土木工程学院"</f>
        <v>土木工程学院</v>
      </c>
    </row>
    <row r="5550" ht="13.5" hidden="1" spans="1:5">
      <c r="A5550" s="2" t="str">
        <f>"石敏"</f>
        <v>石敏</v>
      </c>
      <c r="B5550" s="2" t="str">
        <f>"B20200905208"</f>
        <v>B20200905208</v>
      </c>
      <c r="C5550" s="2" t="str">
        <f t="shared" si="1408"/>
        <v>女</v>
      </c>
      <c r="D5550" s="2" t="str">
        <f t="shared" si="1407"/>
        <v>6</v>
      </c>
      <c r="E5550" s="2" t="str">
        <f>"经济与管理学院"</f>
        <v>经济与管理学院</v>
      </c>
    </row>
    <row r="5551" ht="13.5" hidden="1" spans="1:5">
      <c r="A5551" s="2" t="str">
        <f>"米贤文"</f>
        <v>米贤文</v>
      </c>
      <c r="B5551" s="2" t="str">
        <f>"B20230501208"</f>
        <v>B20230501208</v>
      </c>
      <c r="C5551" s="2" t="str">
        <f t="shared" ref="C5551:C5554" si="1409">"男"</f>
        <v>男</v>
      </c>
      <c r="D5551" s="2" t="str">
        <f t="shared" si="1407"/>
        <v>6</v>
      </c>
      <c r="E5551" s="2" t="str">
        <f>"生物与化学工程学院"</f>
        <v>生物与化学工程学院</v>
      </c>
    </row>
    <row r="5552" ht="13.5" hidden="1" spans="1:5">
      <c r="A5552" s="2" t="str">
        <f>"罗维佳"</f>
        <v>罗维佳</v>
      </c>
      <c r="B5552" s="2" t="str">
        <f>"B20210403109"</f>
        <v>B20210403109</v>
      </c>
      <c r="C5552" s="2" t="str">
        <f t="shared" si="1409"/>
        <v>男</v>
      </c>
      <c r="D5552" s="2" t="str">
        <f t="shared" si="1407"/>
        <v>6</v>
      </c>
      <c r="E5552" s="2" t="str">
        <f>"电子信息与电气工程学院"</f>
        <v>电子信息与电气工程学院</v>
      </c>
    </row>
    <row r="5553" ht="13.5" hidden="1" spans="1:5">
      <c r="A5553" s="2" t="str">
        <f>"周佳怡"</f>
        <v>周佳怡</v>
      </c>
      <c r="B5553" s="2" t="str">
        <f>"B20230502210"</f>
        <v>B20230502210</v>
      </c>
      <c r="C5553" s="2" t="str">
        <f t="shared" si="1408"/>
        <v>女</v>
      </c>
      <c r="D5553" s="2" t="str">
        <f t="shared" si="1407"/>
        <v>6</v>
      </c>
      <c r="E5553" s="2" t="str">
        <f>"生物与化学工程学院"</f>
        <v>生物与化学工程学院</v>
      </c>
    </row>
    <row r="5554" ht="13.5" hidden="1" spans="1:5">
      <c r="A5554" s="2" t="str">
        <f>"陈卓"</f>
        <v>陈卓</v>
      </c>
      <c r="B5554" s="2" t="str">
        <f>"B20220802120"</f>
        <v>B20220802120</v>
      </c>
      <c r="C5554" s="2" t="str">
        <f t="shared" si="1409"/>
        <v>男</v>
      </c>
      <c r="D5554" s="2" t="str">
        <f t="shared" si="1407"/>
        <v>6</v>
      </c>
      <c r="E5554" s="2" t="str">
        <f>"外国语学院"</f>
        <v>外国语学院</v>
      </c>
    </row>
    <row r="5555" ht="13.5" hidden="1" spans="1:5">
      <c r="A5555" s="2" t="str">
        <f>"刘琦"</f>
        <v>刘琦</v>
      </c>
      <c r="B5555" s="2" t="str">
        <f>"B20210802209"</f>
        <v>B20210802209</v>
      </c>
      <c r="C5555" s="2" t="str">
        <f t="shared" ref="C5555:C5560" si="1410">"女"</f>
        <v>女</v>
      </c>
      <c r="D5555" s="2" t="str">
        <f t="shared" si="1407"/>
        <v>6</v>
      </c>
      <c r="E5555" s="2" t="str">
        <f>"外国语学院"</f>
        <v>外国语学院</v>
      </c>
    </row>
    <row r="5556" ht="13.5" hidden="1" spans="1:5">
      <c r="A5556" s="2" t="str">
        <f>"姚文倩"</f>
        <v>姚文倩</v>
      </c>
      <c r="B5556" s="2" t="str">
        <f>"B20200904126"</f>
        <v>B20200904126</v>
      </c>
      <c r="C5556" s="2" t="str">
        <f t="shared" si="1410"/>
        <v>女</v>
      </c>
      <c r="D5556" s="2" t="str">
        <f t="shared" si="1407"/>
        <v>6</v>
      </c>
      <c r="E5556" s="2" t="str">
        <f t="shared" ref="E5556:E5559" si="1411">"经济与管理学院"</f>
        <v>经济与管理学院</v>
      </c>
    </row>
    <row r="5557" ht="13.5" hidden="1" spans="1:5">
      <c r="A5557" s="2" t="str">
        <f>"王雅萱"</f>
        <v>王雅萱</v>
      </c>
      <c r="B5557" s="2" t="str">
        <f>"B20220901227"</f>
        <v>B20220901227</v>
      </c>
      <c r="C5557" s="2" t="str">
        <f t="shared" si="1410"/>
        <v>女</v>
      </c>
      <c r="D5557" s="2" t="str">
        <f t="shared" si="1407"/>
        <v>6</v>
      </c>
      <c r="E5557" s="2" t="str">
        <f t="shared" si="1411"/>
        <v>经济与管理学院</v>
      </c>
    </row>
    <row r="5558" ht="13.5" hidden="1" spans="1:5">
      <c r="A5558" s="2" t="str">
        <f>"王欣雨"</f>
        <v>王欣雨</v>
      </c>
      <c r="B5558" s="2" t="str">
        <f>"B20230902232"</f>
        <v>B20230902232</v>
      </c>
      <c r="C5558" s="2" t="str">
        <f t="shared" si="1410"/>
        <v>女</v>
      </c>
      <c r="D5558" s="2" t="str">
        <f t="shared" si="1407"/>
        <v>6</v>
      </c>
      <c r="E5558" s="2" t="str">
        <f t="shared" si="1411"/>
        <v>经济与管理学院</v>
      </c>
    </row>
    <row r="5559" ht="13.5" hidden="1" spans="1:5">
      <c r="A5559" s="2" t="str">
        <f>"彭滔"</f>
        <v>彭滔</v>
      </c>
      <c r="B5559" s="2" t="str">
        <f>"B20230906213"</f>
        <v>B20230906213</v>
      </c>
      <c r="C5559" s="2" t="str">
        <f t="shared" si="1410"/>
        <v>女</v>
      </c>
      <c r="D5559" s="2" t="str">
        <f t="shared" si="1407"/>
        <v>6</v>
      </c>
      <c r="E5559" s="2" t="str">
        <f t="shared" si="1411"/>
        <v>经济与管理学院</v>
      </c>
    </row>
    <row r="5560" ht="13.5" hidden="1" spans="1:5">
      <c r="A5560" s="2" t="str">
        <f>"陈蓉"</f>
        <v>陈蓉</v>
      </c>
      <c r="B5560" s="2" t="str">
        <f>"B20230601509"</f>
        <v>B20230601509</v>
      </c>
      <c r="C5560" s="2" t="str">
        <f t="shared" si="1410"/>
        <v>女</v>
      </c>
      <c r="D5560" s="2" t="str">
        <f t="shared" si="1407"/>
        <v>6</v>
      </c>
      <c r="E5560" s="2" t="str">
        <f>"法学院"</f>
        <v>法学院</v>
      </c>
    </row>
    <row r="5561" ht="13.5" hidden="1" spans="1:5">
      <c r="A5561" s="2" t="str">
        <f>"谭浩东"</f>
        <v>谭浩东</v>
      </c>
      <c r="B5561" s="2" t="str">
        <f>"B20230802118"</f>
        <v>B20230802118</v>
      </c>
      <c r="C5561" s="2" t="str">
        <f>"男"</f>
        <v>男</v>
      </c>
      <c r="D5561" s="2" t="str">
        <f>"6"</f>
        <v>6</v>
      </c>
      <c r="E5561" s="2" t="str">
        <f>"外国语学院"</f>
        <v>外国语学院</v>
      </c>
    </row>
    <row r="5562" ht="13.5" hidden="1" spans="1:5">
      <c r="A5562" s="2" t="str">
        <f>"谭浩宣"</f>
        <v>谭浩宣</v>
      </c>
      <c r="B5562" s="2" t="str">
        <f>"B20220201117"</f>
        <v>B20220201117</v>
      </c>
      <c r="C5562" s="2" t="str">
        <f>"男"</f>
        <v>男</v>
      </c>
      <c r="D5562" s="2" t="str">
        <f>"6"</f>
        <v>6</v>
      </c>
      <c r="E5562" s="2" t="str">
        <f>"机电工程学院"</f>
        <v>机电工程学院</v>
      </c>
    </row>
    <row r="5563" ht="13.5" hidden="1" spans="1:5">
      <c r="A5563" s="2" t="str">
        <f>"谭景花"</f>
        <v>谭景花</v>
      </c>
      <c r="B5563" s="2" t="str">
        <f>"B20220404107"</f>
        <v>B20220404107</v>
      </c>
      <c r="C5563" s="2" t="str">
        <f>"女"</f>
        <v>女</v>
      </c>
      <c r="D5563" s="2" t="str">
        <f>"6"</f>
        <v>6</v>
      </c>
      <c r="E5563" s="2" t="str">
        <f>"电子信息与电气工程学院"</f>
        <v>电子信息与电气工程学院</v>
      </c>
    </row>
    <row r="5564" ht="13.5" hidden="1" spans="1:5">
      <c r="A5564" s="2" t="str">
        <f>"符俊鸿"</f>
        <v>符俊鸿</v>
      </c>
      <c r="B5564" s="2" t="str">
        <f>"B20230201420"</f>
        <v>B20230201420</v>
      </c>
      <c r="C5564" s="2" t="str">
        <f>"男"</f>
        <v>男</v>
      </c>
      <c r="D5564" s="2" t="str">
        <f>"6"</f>
        <v>6</v>
      </c>
      <c r="E5564" s="2" t="str">
        <f>"机电工程学院"</f>
        <v>机电工程学院</v>
      </c>
    </row>
    <row r="5565" ht="13.5" hidden="1" spans="1:5">
      <c r="A5565" s="2" t="str">
        <f>"张子安"</f>
        <v>张子安</v>
      </c>
      <c r="B5565" s="2" t="str">
        <f>"B20200505112"</f>
        <v>B20200505112</v>
      </c>
      <c r="C5565" s="2" t="str">
        <f>"男"</f>
        <v>男</v>
      </c>
      <c r="D5565" s="2" t="str">
        <f>"6"</f>
        <v>6</v>
      </c>
      <c r="E5565" s="2" t="str">
        <f>"生物与环境工程学院"</f>
        <v>生物与环境工程学院</v>
      </c>
    </row>
    <row r="5566" ht="13.5" hidden="1" spans="1:5">
      <c r="A5566" s="2" t="str">
        <f>"郑昀昀"</f>
        <v>郑昀昀</v>
      </c>
      <c r="B5566" s="2" t="str">
        <f>"B20210505222"</f>
        <v>B20210505222</v>
      </c>
      <c r="C5566" s="2" t="str">
        <f>"女"</f>
        <v>女</v>
      </c>
      <c r="D5566" s="2" t="str">
        <f>"6"</f>
        <v>6</v>
      </c>
      <c r="E5566" s="2" t="str">
        <f>"材料与环境工程学院"</f>
        <v>材料与环境工程学院</v>
      </c>
    </row>
    <row r="5567" ht="13.5" hidden="1" spans="1:5">
      <c r="A5567" s="2" t="str">
        <f>"苏宗顺"</f>
        <v>苏宗顺</v>
      </c>
      <c r="B5567" s="2" t="str">
        <f>"B20210503129"</f>
        <v>B20210503129</v>
      </c>
      <c r="C5567" s="2" t="str">
        <f>"男"</f>
        <v>男</v>
      </c>
      <c r="D5567" s="2" t="str">
        <f>"6"</f>
        <v>6</v>
      </c>
      <c r="E5567" s="2" t="str">
        <f>"材料与环境工程学院"</f>
        <v>材料与环境工程学院</v>
      </c>
    </row>
    <row r="5568" ht="13.5" hidden="1" spans="1:5">
      <c r="A5568" s="2" t="str">
        <f>"温家颖"</f>
        <v>温家颖</v>
      </c>
      <c r="B5568" s="2" t="str">
        <f>"B20200704413"</f>
        <v>B20200704413</v>
      </c>
      <c r="C5568" s="2" t="str">
        <f>"女"</f>
        <v>女</v>
      </c>
      <c r="D5568" s="2" t="str">
        <f>"6"</f>
        <v>6</v>
      </c>
      <c r="E5568" s="2" t="str">
        <f>"马栏山新媒体学院"</f>
        <v>马栏山新媒体学院</v>
      </c>
    </row>
    <row r="5569" ht="13.5" hidden="1" spans="1:5">
      <c r="A5569" s="2" t="str">
        <f>"宋名程"</f>
        <v>宋名程</v>
      </c>
      <c r="B5569" s="2" t="str">
        <f>"B20200703225"</f>
        <v>B20200703225</v>
      </c>
      <c r="C5569" s="2" t="str">
        <f>"男"</f>
        <v>男</v>
      </c>
      <c r="D5569" s="2" t="str">
        <f>"6"</f>
        <v>6</v>
      </c>
      <c r="E5569" s="2" t="str">
        <f>"马栏山新媒体学院"</f>
        <v>马栏山新媒体学院</v>
      </c>
    </row>
    <row r="5570" ht="13.5" hidden="1" spans="1:5">
      <c r="A5570" s="2" t="str">
        <f>"卢慕卿"</f>
        <v>卢慕卿</v>
      </c>
      <c r="B5570" s="2" t="str">
        <f>"B20230204123"</f>
        <v>B20230204123</v>
      </c>
      <c r="C5570" s="2" t="str">
        <f>"男"</f>
        <v>男</v>
      </c>
      <c r="D5570" s="2" t="str">
        <f>"6"</f>
        <v>6</v>
      </c>
      <c r="E5570" s="2" t="str">
        <f>"机电工程学院"</f>
        <v>机电工程学院</v>
      </c>
    </row>
    <row r="5571" ht="13.5" hidden="1" spans="1:5">
      <c r="A5571" s="2" t="str">
        <f>"谭添"</f>
        <v>谭添</v>
      </c>
      <c r="B5571" s="2" t="str">
        <f>"B20200201413"</f>
        <v>B20200201413</v>
      </c>
      <c r="C5571" s="2" t="str">
        <f>"女"</f>
        <v>女</v>
      </c>
      <c r="D5571" s="2" t="str">
        <f>"6"</f>
        <v>6</v>
      </c>
      <c r="E5571" s="2" t="str">
        <f>"机电工程学院"</f>
        <v>机电工程学院</v>
      </c>
    </row>
    <row r="5572" ht="13.5" hidden="1" spans="1:5">
      <c r="A5572" s="2" t="str">
        <f>"韦亭妤"</f>
        <v>韦亭妤</v>
      </c>
      <c r="B5572" s="2" t="str">
        <f>"B20231004226"</f>
        <v>B20231004226</v>
      </c>
      <c r="C5572" s="2" t="str">
        <f>"女"</f>
        <v>女</v>
      </c>
      <c r="D5572" s="2" t="str">
        <f>"6"</f>
        <v>6</v>
      </c>
      <c r="E5572" s="2" t="str">
        <f>"艺术设计学院"</f>
        <v>艺术设计学院</v>
      </c>
    </row>
    <row r="5573" ht="13.5" hidden="1" spans="1:5">
      <c r="A5573" s="2" t="str">
        <f>"王鹤潼"</f>
        <v>王鹤潼</v>
      </c>
      <c r="B5573" s="2" t="str">
        <f>"B20230504333"</f>
        <v>B20230504333</v>
      </c>
      <c r="C5573" s="2" t="str">
        <f>"女"</f>
        <v>女</v>
      </c>
      <c r="D5573" s="2" t="str">
        <f>"6"</f>
        <v>6</v>
      </c>
      <c r="E5573" s="2" t="str">
        <f>"生物与化学工程学院"</f>
        <v>生物与化学工程学院</v>
      </c>
    </row>
    <row r="5574" ht="13.5" hidden="1" spans="1:5">
      <c r="A5574" s="2" t="str">
        <f>"吴美霖"</f>
        <v>吴美霖</v>
      </c>
      <c r="B5574" s="2" t="str">
        <f>"B20210202223"</f>
        <v>B20210202223</v>
      </c>
      <c r="C5574" s="2" t="str">
        <f>"女"</f>
        <v>女</v>
      </c>
      <c r="D5574" s="2" t="str">
        <f>"6"</f>
        <v>6</v>
      </c>
      <c r="E5574" s="2" t="str">
        <f t="shared" ref="E5574:E5579" si="1412">"机电工程学院"</f>
        <v>机电工程学院</v>
      </c>
    </row>
    <row r="5575" ht="13.5" hidden="1" spans="1:5">
      <c r="A5575" s="2" t="str">
        <f>"宁泉鸣"</f>
        <v>宁泉鸣</v>
      </c>
      <c r="B5575" s="2" t="str">
        <f>"B20210204110"</f>
        <v>B20210204110</v>
      </c>
      <c r="C5575" s="2" t="str">
        <f>"男"</f>
        <v>男</v>
      </c>
      <c r="D5575" s="2" t="str">
        <f>"6"</f>
        <v>6</v>
      </c>
      <c r="E5575" s="2" t="str">
        <f t="shared" si="1412"/>
        <v>机电工程学院</v>
      </c>
    </row>
    <row r="5576" ht="13.5" hidden="1" spans="1:5">
      <c r="A5576" s="2" t="str">
        <f>"向应洁"</f>
        <v>向应洁</v>
      </c>
      <c r="B5576" s="2" t="str">
        <f>"B20200704126"</f>
        <v>B20200704126</v>
      </c>
      <c r="C5576" s="2" t="str">
        <f>"女"</f>
        <v>女</v>
      </c>
      <c r="D5576" s="2" t="str">
        <f>"6"</f>
        <v>6</v>
      </c>
      <c r="E5576" s="2" t="str">
        <f>"马栏山新媒体学院"</f>
        <v>马栏山新媒体学院</v>
      </c>
    </row>
    <row r="5577" ht="13.5" hidden="1" spans="1:5">
      <c r="A5577" s="2" t="str">
        <f>"肖文轩"</f>
        <v>肖文轩</v>
      </c>
      <c r="B5577" s="2" t="str">
        <f>"B20230404227"</f>
        <v>B20230404227</v>
      </c>
      <c r="C5577" s="2" t="str">
        <f t="shared" ref="C5577:C5584" si="1413">"男"</f>
        <v>男</v>
      </c>
      <c r="D5577" s="2" t="str">
        <f>"6"</f>
        <v>6</v>
      </c>
      <c r="E5577" s="2" t="str">
        <f>"电子信息与电气工程学院"</f>
        <v>电子信息与电气工程学院</v>
      </c>
    </row>
    <row r="5578" ht="13.5" hidden="1" spans="1:5">
      <c r="A5578" s="2" t="str">
        <f>"丁引萍"</f>
        <v>丁引萍</v>
      </c>
      <c r="B5578" s="2" t="str">
        <f>"B20220901225"</f>
        <v>B20220901225</v>
      </c>
      <c r="C5578" s="2" t="str">
        <f>"女"</f>
        <v>女</v>
      </c>
      <c r="D5578" s="2" t="str">
        <f>"6"</f>
        <v>6</v>
      </c>
      <c r="E5578" s="2" t="str">
        <f>"经济与管理学院"</f>
        <v>经济与管理学院</v>
      </c>
    </row>
    <row r="5579" ht="13.5" hidden="1" spans="1:5">
      <c r="A5579" s="2" t="str">
        <f>"扶诗磊"</f>
        <v>扶诗磊</v>
      </c>
      <c r="B5579" s="2" t="str">
        <f>"B20210203122"</f>
        <v>B20210203122</v>
      </c>
      <c r="C5579" s="2" t="str">
        <f t="shared" si="1413"/>
        <v>男</v>
      </c>
      <c r="D5579" s="2" t="str">
        <f>"6"</f>
        <v>6</v>
      </c>
      <c r="E5579" s="2" t="str">
        <f t="shared" si="1412"/>
        <v>机电工程学院</v>
      </c>
    </row>
    <row r="5580" ht="13.5" hidden="1" spans="1:5">
      <c r="A5580" s="2" t="str">
        <f>"熊城阳"</f>
        <v>熊城阳</v>
      </c>
      <c r="B5580" s="2" t="str">
        <f>"B20200704407"</f>
        <v>B20200704407</v>
      </c>
      <c r="C5580" s="2" t="str">
        <f t="shared" si="1413"/>
        <v>男</v>
      </c>
      <c r="D5580" s="2" t="str">
        <f>"6"</f>
        <v>6</v>
      </c>
      <c r="E5580" s="2" t="str">
        <f>"马栏山新媒体学院"</f>
        <v>马栏山新媒体学院</v>
      </c>
    </row>
    <row r="5581" ht="13.5" hidden="1" spans="1:5">
      <c r="A5581" s="2" t="str">
        <f>"施俊"</f>
        <v>施俊</v>
      </c>
      <c r="B5581" s="2" t="str">
        <f>"B20210906235"</f>
        <v>B20210906235</v>
      </c>
      <c r="C5581" s="2" t="str">
        <f t="shared" si="1413"/>
        <v>男</v>
      </c>
      <c r="D5581" s="2" t="str">
        <f>"6"</f>
        <v>6</v>
      </c>
      <c r="E5581" s="2" t="str">
        <f>"经济与管理学院"</f>
        <v>经济与管理学院</v>
      </c>
    </row>
    <row r="5582" ht="13.5" hidden="1" spans="1:5">
      <c r="A5582" s="2" t="str">
        <f>"周涵煜"</f>
        <v>周涵煜</v>
      </c>
      <c r="B5582" s="2" t="str">
        <f>"B20220402328"</f>
        <v>B20220402328</v>
      </c>
      <c r="C5582" s="2" t="str">
        <f t="shared" si="1413"/>
        <v>男</v>
      </c>
      <c r="D5582" s="2" t="str">
        <f>"6"</f>
        <v>6</v>
      </c>
      <c r="E5582" s="2" t="str">
        <f>"电子信息与电气工程学院"</f>
        <v>电子信息与电气工程学院</v>
      </c>
    </row>
    <row r="5583" ht="13.5" hidden="1" spans="1:5">
      <c r="A5583" s="2" t="str">
        <f>"梁斓曦"</f>
        <v>梁斓曦</v>
      </c>
      <c r="B5583" s="2" t="str">
        <f>"B20230101634"</f>
        <v>B20230101634</v>
      </c>
      <c r="C5583" s="2" t="str">
        <f t="shared" si="1413"/>
        <v>男</v>
      </c>
      <c r="D5583" s="2" t="str">
        <f>"6"</f>
        <v>6</v>
      </c>
      <c r="E5583" s="2" t="str">
        <f>"土木工程学院"</f>
        <v>土木工程学院</v>
      </c>
    </row>
    <row r="5584" ht="13.5" hidden="1" spans="1:5">
      <c r="A5584" s="2" t="str">
        <f>"曹昊"</f>
        <v>曹昊</v>
      </c>
      <c r="B5584" s="2" t="str">
        <f>"B20220601516"</f>
        <v>B20220601516</v>
      </c>
      <c r="C5584" s="2" t="str">
        <f t="shared" si="1413"/>
        <v>男</v>
      </c>
      <c r="D5584" s="2" t="str">
        <f>"6"</f>
        <v>6</v>
      </c>
      <c r="E5584" s="2" t="str">
        <f>"法学院"</f>
        <v>法学院</v>
      </c>
    </row>
    <row r="5585" ht="13.5" hidden="1" spans="1:5">
      <c r="A5585" s="2" t="str">
        <f>"田欣鑫"</f>
        <v>田欣鑫</v>
      </c>
      <c r="B5585" s="2" t="str">
        <f>"B20210704318"</f>
        <v>B20210704318</v>
      </c>
      <c r="C5585" s="2" t="str">
        <f>"女"</f>
        <v>女</v>
      </c>
      <c r="D5585" s="2" t="str">
        <f>"6"</f>
        <v>6</v>
      </c>
      <c r="E5585" s="2" t="str">
        <f>"马栏山新媒体学院"</f>
        <v>马栏山新媒体学院</v>
      </c>
    </row>
    <row r="5586" ht="13.5" hidden="1" spans="1:5">
      <c r="A5586" s="2" t="str">
        <f>"谢亚轩"</f>
        <v>谢亚轩</v>
      </c>
      <c r="B5586" s="2" t="str">
        <f>"B20230402135"</f>
        <v>B20230402135</v>
      </c>
      <c r="C5586" s="2" t="str">
        <f>"男"</f>
        <v>男</v>
      </c>
      <c r="D5586" s="2" t="str">
        <f>"6"</f>
        <v>6</v>
      </c>
      <c r="E5586" s="2" t="str">
        <f>"电子信息与电气工程学院"</f>
        <v>电子信息与电气工程学院</v>
      </c>
    </row>
    <row r="5587" ht="13.5" hidden="1" spans="1:5">
      <c r="A5587" s="2" t="str">
        <f>"张琳轩"</f>
        <v>张琳轩</v>
      </c>
      <c r="B5587" s="2" t="str">
        <f>"B20210502104"</f>
        <v>B20210502104</v>
      </c>
      <c r="C5587" s="2" t="str">
        <f>"女"</f>
        <v>女</v>
      </c>
      <c r="D5587" s="2" t="str">
        <f>"6"</f>
        <v>6</v>
      </c>
      <c r="E5587" s="2" t="str">
        <f>"生物与化学工程学院"</f>
        <v>生物与化学工程学院</v>
      </c>
    </row>
    <row r="5588" ht="13.5" hidden="1" spans="1:5">
      <c r="A5588" s="2" t="str">
        <f>"裴梓钒"</f>
        <v>裴梓钒</v>
      </c>
      <c r="B5588" s="2" t="str">
        <f>"B20210501107"</f>
        <v>B20210501107</v>
      </c>
      <c r="C5588" s="2" t="str">
        <f>"男"</f>
        <v>男</v>
      </c>
      <c r="D5588" s="2" t="str">
        <f>"6"</f>
        <v>6</v>
      </c>
      <c r="E5588" s="2" t="str">
        <f>"生物与化学工程学院"</f>
        <v>生物与化学工程学院</v>
      </c>
    </row>
    <row r="5589" ht="13.5" hidden="1" spans="1:5">
      <c r="A5589" s="2" t="str">
        <f>"邱征"</f>
        <v>邱征</v>
      </c>
      <c r="B5589" s="2" t="str">
        <f>"B20230205210"</f>
        <v>B20230205210</v>
      </c>
      <c r="C5589" s="2" t="str">
        <f>"男"</f>
        <v>男</v>
      </c>
      <c r="D5589" s="2" t="str">
        <f>"6"</f>
        <v>6</v>
      </c>
      <c r="E5589" s="2" t="str">
        <f>"机电工程学院"</f>
        <v>机电工程学院</v>
      </c>
    </row>
    <row r="5590" ht="13.5" hidden="1" spans="1:5">
      <c r="A5590" s="2" t="str">
        <f>"蒋胜文"</f>
        <v>蒋胜文</v>
      </c>
      <c r="B5590" s="2" t="str">
        <f>"B20230101426"</f>
        <v>B20230101426</v>
      </c>
      <c r="C5590" s="2" t="str">
        <f>"男"</f>
        <v>男</v>
      </c>
      <c r="D5590" s="2" t="str">
        <f>"6"</f>
        <v>6</v>
      </c>
      <c r="E5590" s="2" t="str">
        <f>"土木工程学院"</f>
        <v>土木工程学院</v>
      </c>
    </row>
    <row r="5591" ht="13.5" hidden="1" spans="1:5">
      <c r="A5591" s="2" t="str">
        <f>"胡薇"</f>
        <v>胡薇</v>
      </c>
      <c r="B5591" s="2" t="str">
        <f>"B20230101307"</f>
        <v>B20230101307</v>
      </c>
      <c r="C5591" s="2" t="str">
        <f>"女"</f>
        <v>女</v>
      </c>
      <c r="D5591" s="2" t="str">
        <f t="shared" ref="D5591:D5636" si="1414">"6"</f>
        <v>6</v>
      </c>
      <c r="E5591" s="2" t="str">
        <f>"土木工程学院"</f>
        <v>土木工程学院</v>
      </c>
    </row>
    <row r="5592" ht="13.5" hidden="1" spans="1:5">
      <c r="A5592" s="2" t="str">
        <f>"陈亮"</f>
        <v>陈亮</v>
      </c>
      <c r="B5592" s="2" t="str">
        <f>"B20220204305"</f>
        <v>B20220204305</v>
      </c>
      <c r="C5592" s="2" t="str">
        <f t="shared" ref="C5592:C5594" si="1415">"男"</f>
        <v>男</v>
      </c>
      <c r="D5592" s="2" t="str">
        <f t="shared" si="1414"/>
        <v>6</v>
      </c>
      <c r="E5592" s="2" t="str">
        <f>"机电工程学院"</f>
        <v>机电工程学院</v>
      </c>
    </row>
    <row r="5593" ht="13.5" hidden="1" spans="1:5">
      <c r="A5593" s="2" t="str">
        <f>"王煜昊"</f>
        <v>王煜昊</v>
      </c>
      <c r="B5593" s="2" t="str">
        <f>"B20220402110"</f>
        <v>B20220402110</v>
      </c>
      <c r="C5593" s="2" t="str">
        <f t="shared" si="1415"/>
        <v>男</v>
      </c>
      <c r="D5593" s="2" t="str">
        <f t="shared" si="1414"/>
        <v>6</v>
      </c>
      <c r="E5593" s="2" t="str">
        <f>"电子信息与电气工程学院"</f>
        <v>电子信息与电气工程学院</v>
      </c>
    </row>
    <row r="5594" ht="13.5" hidden="1" spans="1:5">
      <c r="A5594" s="2" t="str">
        <f>"谢烽"</f>
        <v>谢烽</v>
      </c>
      <c r="B5594" s="2" t="str">
        <f>"B20221301229"</f>
        <v>B20221301229</v>
      </c>
      <c r="C5594" s="2" t="str">
        <f t="shared" si="1415"/>
        <v>男</v>
      </c>
      <c r="D5594" s="2" t="str">
        <f t="shared" si="1414"/>
        <v>6</v>
      </c>
      <c r="E5594" s="2" t="str">
        <f t="shared" ref="E5594:E5598" si="1416">"材料与环境工程学院"</f>
        <v>材料与环境工程学院</v>
      </c>
    </row>
    <row r="5595" ht="13.5" hidden="1" spans="1:5">
      <c r="A5595" s="2" t="str">
        <f>"赵琳"</f>
        <v>赵琳</v>
      </c>
      <c r="B5595" s="2" t="str">
        <f>"B20200801501"</f>
        <v>B20200801501</v>
      </c>
      <c r="C5595" s="2" t="str">
        <f t="shared" ref="C5595:C5598" si="1417">"女"</f>
        <v>女</v>
      </c>
      <c r="D5595" s="2" t="str">
        <f t="shared" si="1414"/>
        <v>6</v>
      </c>
      <c r="E5595" s="2" t="str">
        <f>"外国语学院"</f>
        <v>外国语学院</v>
      </c>
    </row>
    <row r="5596" ht="13.5" hidden="1" spans="1:5">
      <c r="A5596" s="2" t="str">
        <f>"罗煜浩"</f>
        <v>罗煜浩</v>
      </c>
      <c r="B5596" s="2" t="str">
        <f>"B20231302210"</f>
        <v>B20231302210</v>
      </c>
      <c r="C5596" s="2" t="str">
        <f t="shared" ref="C5596:C5600" si="1418">"男"</f>
        <v>男</v>
      </c>
      <c r="D5596" s="2" t="str">
        <f t="shared" si="1414"/>
        <v>6</v>
      </c>
      <c r="E5596" s="2" t="str">
        <f t="shared" si="1416"/>
        <v>材料与环境工程学院</v>
      </c>
    </row>
    <row r="5597" ht="13.5" hidden="1" spans="1:5">
      <c r="A5597" s="2" t="str">
        <f>"葛佳音"</f>
        <v>葛佳音</v>
      </c>
      <c r="B5597" s="2" t="str">
        <f>"B20230703118"</f>
        <v>B20230703118</v>
      </c>
      <c r="C5597" s="2" t="str">
        <f t="shared" si="1417"/>
        <v>女</v>
      </c>
      <c r="D5597" s="2" t="str">
        <f t="shared" si="1414"/>
        <v>6</v>
      </c>
      <c r="E5597" s="2" t="str">
        <f>"马栏山新媒体学院"</f>
        <v>马栏山新媒体学院</v>
      </c>
    </row>
    <row r="5598" ht="13.5" hidden="1" spans="1:5">
      <c r="A5598" s="2" t="str">
        <f>"文颖"</f>
        <v>文颖</v>
      </c>
      <c r="B5598" s="2" t="str">
        <f>"B20210505211"</f>
        <v>B20210505211</v>
      </c>
      <c r="C5598" s="2" t="str">
        <f t="shared" si="1417"/>
        <v>女</v>
      </c>
      <c r="D5598" s="2" t="str">
        <f t="shared" si="1414"/>
        <v>6</v>
      </c>
      <c r="E5598" s="2" t="str">
        <f t="shared" si="1416"/>
        <v>材料与环境工程学院</v>
      </c>
    </row>
    <row r="5599" ht="13.5" hidden="1" spans="1:5">
      <c r="A5599" s="2" t="str">
        <f>"卿康佳"</f>
        <v>卿康佳</v>
      </c>
      <c r="B5599" s="2" t="str">
        <f>"B20230401301"</f>
        <v>B20230401301</v>
      </c>
      <c r="C5599" s="2" t="str">
        <f t="shared" si="1418"/>
        <v>男</v>
      </c>
      <c r="D5599" s="2" t="str">
        <f t="shared" si="1414"/>
        <v>6</v>
      </c>
      <c r="E5599" s="2" t="str">
        <f>"电子信息与电气工程学院"</f>
        <v>电子信息与电气工程学院</v>
      </c>
    </row>
    <row r="5600" ht="13.5" hidden="1" spans="1:5">
      <c r="A5600" s="2" t="str">
        <f>"杨新宇"</f>
        <v>杨新宇</v>
      </c>
      <c r="B5600" s="2" t="str">
        <f>"B20220403215"</f>
        <v>B20220403215</v>
      </c>
      <c r="C5600" s="2" t="str">
        <f t="shared" si="1418"/>
        <v>男</v>
      </c>
      <c r="D5600" s="2" t="str">
        <f t="shared" si="1414"/>
        <v>6</v>
      </c>
      <c r="E5600" s="2" t="str">
        <f>"电子信息与电气工程学院"</f>
        <v>电子信息与电气工程学院</v>
      </c>
    </row>
    <row r="5601" ht="13.5" hidden="1" spans="1:5">
      <c r="A5601" s="2" t="str">
        <f>"谢谦"</f>
        <v>谢谦</v>
      </c>
      <c r="B5601" s="2" t="str">
        <f>"B20210902329"</f>
        <v>B20210902329</v>
      </c>
      <c r="C5601" s="2" t="str">
        <f t="shared" ref="C5601:C5605" si="1419">"女"</f>
        <v>女</v>
      </c>
      <c r="D5601" s="2" t="str">
        <f t="shared" si="1414"/>
        <v>6</v>
      </c>
      <c r="E5601" s="2" t="str">
        <f>"经济与管理学院"</f>
        <v>经济与管理学院</v>
      </c>
    </row>
    <row r="5602" ht="13.5" hidden="1" spans="1:5">
      <c r="A5602" s="2" t="str">
        <f>"王芷心"</f>
        <v>王芷心</v>
      </c>
      <c r="B5602" s="2" t="str">
        <f>"B20210702112"</f>
        <v>B20210702112</v>
      </c>
      <c r="C5602" s="2" t="str">
        <f t="shared" si="1419"/>
        <v>女</v>
      </c>
      <c r="D5602" s="2" t="str">
        <f t="shared" si="1414"/>
        <v>6</v>
      </c>
      <c r="E5602" s="2" t="str">
        <f>"马栏山新媒体学院"</f>
        <v>马栏山新媒体学院</v>
      </c>
    </row>
    <row r="5603" ht="13.5" hidden="1" spans="1:5">
      <c r="A5603" s="2" t="str">
        <f>"司源"</f>
        <v>司源</v>
      </c>
      <c r="B5603" s="2" t="str">
        <f>"B20230201133"</f>
        <v>B20230201133</v>
      </c>
      <c r="C5603" s="2" t="str">
        <f t="shared" ref="C5603:C5611" si="1420">"男"</f>
        <v>男</v>
      </c>
      <c r="D5603" s="2" t="str">
        <f t="shared" si="1414"/>
        <v>6</v>
      </c>
      <c r="E5603" s="2" t="str">
        <f t="shared" ref="E5603:E5607" si="1421">"机电工程学院"</f>
        <v>机电工程学院</v>
      </c>
    </row>
    <row r="5604" ht="13.5" hidden="1" spans="1:5">
      <c r="A5604" s="2" t="str">
        <f>"胡峰林"</f>
        <v>胡峰林</v>
      </c>
      <c r="B5604" s="2" t="str">
        <f>"B20220201316"</f>
        <v>B20220201316</v>
      </c>
      <c r="C5604" s="2" t="str">
        <f t="shared" si="1420"/>
        <v>男</v>
      </c>
      <c r="D5604" s="2" t="str">
        <f t="shared" si="1414"/>
        <v>6</v>
      </c>
      <c r="E5604" s="2" t="str">
        <f t="shared" si="1421"/>
        <v>机电工程学院</v>
      </c>
    </row>
    <row r="5605" ht="13.5" hidden="1" spans="1:5">
      <c r="A5605" s="2" t="str">
        <f>"周子歆"</f>
        <v>周子歆</v>
      </c>
      <c r="B5605" s="2" t="str">
        <f>"B20211101118"</f>
        <v>B20211101118</v>
      </c>
      <c r="C5605" s="2" t="str">
        <f t="shared" si="1419"/>
        <v>女</v>
      </c>
      <c r="D5605" s="2" t="str">
        <f t="shared" si="1414"/>
        <v>6</v>
      </c>
      <c r="E5605" s="2" t="str">
        <f>"音乐学院"</f>
        <v>音乐学院</v>
      </c>
    </row>
    <row r="5606" ht="13.5" hidden="1" spans="1:5">
      <c r="A5606" s="2" t="str">
        <f>"樊轶为"</f>
        <v>樊轶为</v>
      </c>
      <c r="B5606" s="2" t="str">
        <f>"B20200502233"</f>
        <v>B20200502233</v>
      </c>
      <c r="C5606" s="2" t="str">
        <f t="shared" si="1420"/>
        <v>男</v>
      </c>
      <c r="D5606" s="2" t="str">
        <f t="shared" si="1414"/>
        <v>6</v>
      </c>
      <c r="E5606" s="2" t="str">
        <f>"生物与环境工程学院"</f>
        <v>生物与环境工程学院</v>
      </c>
    </row>
    <row r="5607" ht="13.5" hidden="1" spans="1:5">
      <c r="A5607" s="2" t="str">
        <f>"李志强"</f>
        <v>李志强</v>
      </c>
      <c r="B5607" s="2" t="str">
        <f>"B20230205129"</f>
        <v>B20230205129</v>
      </c>
      <c r="C5607" s="2" t="str">
        <f t="shared" si="1420"/>
        <v>男</v>
      </c>
      <c r="D5607" s="2" t="str">
        <f t="shared" si="1414"/>
        <v>6</v>
      </c>
      <c r="E5607" s="2" t="str">
        <f t="shared" si="1421"/>
        <v>机电工程学院</v>
      </c>
    </row>
    <row r="5608" ht="13.5" hidden="1" spans="1:5">
      <c r="A5608" s="2" t="str">
        <f>"李求岳"</f>
        <v>李求岳</v>
      </c>
      <c r="B5608" s="2" t="str">
        <f>"B20210101219"</f>
        <v>B20210101219</v>
      </c>
      <c r="C5608" s="2" t="str">
        <f t="shared" si="1420"/>
        <v>男</v>
      </c>
      <c r="D5608" s="2" t="str">
        <f t="shared" si="1414"/>
        <v>6</v>
      </c>
      <c r="E5608" s="2" t="str">
        <f>"土木工程学院"</f>
        <v>土木工程学院</v>
      </c>
    </row>
    <row r="5609" ht="13.5" hidden="1" spans="1:5">
      <c r="A5609" s="2" t="str">
        <f>"胡润林"</f>
        <v>胡润林</v>
      </c>
      <c r="B5609" s="2" t="str">
        <f>"B20230501114"</f>
        <v>B20230501114</v>
      </c>
      <c r="C5609" s="2" t="str">
        <f t="shared" si="1420"/>
        <v>男</v>
      </c>
      <c r="D5609" s="2" t="str">
        <f t="shared" si="1414"/>
        <v>6</v>
      </c>
      <c r="E5609" s="2" t="str">
        <f>"生物与化学工程学院"</f>
        <v>生物与化学工程学院</v>
      </c>
    </row>
    <row r="5610" ht="13.5" hidden="1" spans="1:5">
      <c r="A5610" s="2" t="str">
        <f>"朱毅斌"</f>
        <v>朱毅斌</v>
      </c>
      <c r="B5610" s="2" t="str">
        <f>"B20230205329"</f>
        <v>B20230205329</v>
      </c>
      <c r="C5610" s="2" t="str">
        <f t="shared" si="1420"/>
        <v>男</v>
      </c>
      <c r="D5610" s="2" t="str">
        <f t="shared" si="1414"/>
        <v>6</v>
      </c>
      <c r="E5610" s="2" t="str">
        <f t="shared" ref="E5610:E5614" si="1422">"机电工程学院"</f>
        <v>机电工程学院</v>
      </c>
    </row>
    <row r="5611" ht="13.5" hidden="1" spans="1:5">
      <c r="A5611" s="2" t="str">
        <f>"王昆"</f>
        <v>王昆</v>
      </c>
      <c r="B5611" s="2" t="str">
        <f>"B20200101617"</f>
        <v>B20200101617</v>
      </c>
      <c r="C5611" s="2" t="str">
        <f t="shared" si="1420"/>
        <v>男</v>
      </c>
      <c r="D5611" s="2" t="str">
        <f t="shared" si="1414"/>
        <v>6</v>
      </c>
      <c r="E5611" s="2" t="str">
        <f>"土木工程学院"</f>
        <v>土木工程学院</v>
      </c>
    </row>
    <row r="5612" ht="13.5" hidden="1" spans="1:5">
      <c r="A5612" s="2" t="str">
        <f>"曹慧娴"</f>
        <v>曹慧娴</v>
      </c>
      <c r="B5612" s="2" t="str">
        <f>"B20220201125"</f>
        <v>B20220201125</v>
      </c>
      <c r="C5612" s="2" t="str">
        <f>"女"</f>
        <v>女</v>
      </c>
      <c r="D5612" s="2" t="str">
        <f t="shared" si="1414"/>
        <v>6</v>
      </c>
      <c r="E5612" s="2" t="str">
        <f t="shared" si="1422"/>
        <v>机电工程学院</v>
      </c>
    </row>
    <row r="5613" ht="13.5" hidden="1" spans="1:5">
      <c r="A5613" s="2" t="str">
        <f>"郭显立"</f>
        <v>郭显立</v>
      </c>
      <c r="B5613" s="2" t="str">
        <f>"B20221302423"</f>
        <v>B20221302423</v>
      </c>
      <c r="C5613" s="2" t="str">
        <f t="shared" ref="C5613:C5621" si="1423">"男"</f>
        <v>男</v>
      </c>
      <c r="D5613" s="2" t="str">
        <f t="shared" si="1414"/>
        <v>6</v>
      </c>
      <c r="E5613" s="2" t="str">
        <f>"材料与环境工程学院"</f>
        <v>材料与环境工程学院</v>
      </c>
    </row>
    <row r="5614" ht="13.5" hidden="1" spans="1:5">
      <c r="A5614" s="2" t="str">
        <f>"钟鑫"</f>
        <v>钟鑫</v>
      </c>
      <c r="B5614" s="2" t="str">
        <f>"B20200201322"</f>
        <v>B20200201322</v>
      </c>
      <c r="C5614" s="2" t="str">
        <f t="shared" si="1423"/>
        <v>男</v>
      </c>
      <c r="D5614" s="2" t="str">
        <f t="shared" si="1414"/>
        <v>6</v>
      </c>
      <c r="E5614" s="2" t="str">
        <f t="shared" si="1422"/>
        <v>机电工程学院</v>
      </c>
    </row>
    <row r="5615" ht="13.5" hidden="1" spans="1:5">
      <c r="A5615" s="2" t="str">
        <f>"蒋子昂"</f>
        <v>蒋子昂</v>
      </c>
      <c r="B5615" s="2" t="str">
        <f>"B20210402214"</f>
        <v>B20210402214</v>
      </c>
      <c r="C5615" s="2" t="str">
        <f t="shared" si="1423"/>
        <v>男</v>
      </c>
      <c r="D5615" s="2" t="str">
        <f t="shared" si="1414"/>
        <v>6</v>
      </c>
      <c r="E5615" s="2" t="str">
        <f t="shared" ref="E5615:E5620" si="1424">"电子信息与电气工程学院"</f>
        <v>电子信息与电气工程学院</v>
      </c>
    </row>
    <row r="5616" ht="13.5" hidden="1" spans="1:5">
      <c r="A5616" s="2" t="str">
        <f>"戚嘉豪"</f>
        <v>戚嘉豪</v>
      </c>
      <c r="B5616" s="2" t="str">
        <f>"B20231301215"</f>
        <v>B20231301215</v>
      </c>
      <c r="C5616" s="2" t="str">
        <f t="shared" si="1423"/>
        <v>男</v>
      </c>
      <c r="D5616" s="2" t="str">
        <f t="shared" si="1414"/>
        <v>6</v>
      </c>
      <c r="E5616" s="2" t="str">
        <f>"材料与环境工程学院"</f>
        <v>材料与环境工程学院</v>
      </c>
    </row>
    <row r="5617" ht="13.5" hidden="1" spans="1:5">
      <c r="A5617" s="2" t="str">
        <f>"黄淇"</f>
        <v>黄淇</v>
      </c>
      <c r="B5617" s="2" t="str">
        <f>"B20210906242"</f>
        <v>B20210906242</v>
      </c>
      <c r="C5617" s="2" t="str">
        <f t="shared" si="1423"/>
        <v>男</v>
      </c>
      <c r="D5617" s="2" t="str">
        <f t="shared" si="1414"/>
        <v>6</v>
      </c>
      <c r="E5617" s="2" t="str">
        <f t="shared" ref="E5617:E5624" si="1425">"经济与管理学院"</f>
        <v>经济与管理学院</v>
      </c>
    </row>
    <row r="5618" ht="13.5" hidden="1" spans="1:5">
      <c r="A5618" s="2" t="str">
        <f>"邓博玮"</f>
        <v>邓博玮</v>
      </c>
      <c r="B5618" s="2" t="str">
        <f>"B20230906103"</f>
        <v>B20230906103</v>
      </c>
      <c r="C5618" s="2" t="str">
        <f t="shared" si="1423"/>
        <v>男</v>
      </c>
      <c r="D5618" s="2" t="str">
        <f t="shared" si="1414"/>
        <v>6</v>
      </c>
      <c r="E5618" s="2" t="str">
        <f t="shared" si="1425"/>
        <v>经济与管理学院</v>
      </c>
    </row>
    <row r="5619" ht="13.5" hidden="1" spans="1:5">
      <c r="A5619" s="2" t="str">
        <f>"樊国荣"</f>
        <v>樊国荣</v>
      </c>
      <c r="B5619" s="2" t="str">
        <f>"B20210401408"</f>
        <v>B20210401408</v>
      </c>
      <c r="C5619" s="2" t="str">
        <f t="shared" si="1423"/>
        <v>男</v>
      </c>
      <c r="D5619" s="2" t="str">
        <f t="shared" si="1414"/>
        <v>6</v>
      </c>
      <c r="E5619" s="2" t="str">
        <f t="shared" si="1424"/>
        <v>电子信息与电气工程学院</v>
      </c>
    </row>
    <row r="5620" ht="13.5" hidden="1" spans="1:5">
      <c r="A5620" s="2" t="str">
        <f>"王亚奇"</f>
        <v>王亚奇</v>
      </c>
      <c r="B5620" s="2" t="str">
        <f>"B20220403326"</f>
        <v>B20220403326</v>
      </c>
      <c r="C5620" s="2" t="str">
        <f t="shared" si="1423"/>
        <v>男</v>
      </c>
      <c r="D5620" s="2" t="str">
        <f t="shared" si="1414"/>
        <v>6</v>
      </c>
      <c r="E5620" s="2" t="str">
        <f t="shared" si="1424"/>
        <v>电子信息与电气工程学院</v>
      </c>
    </row>
    <row r="5621" ht="13.5" hidden="1" spans="1:5">
      <c r="A5621" s="2" t="str">
        <f>"姚广"</f>
        <v>姚广</v>
      </c>
      <c r="B5621" s="2" t="str">
        <f>"B20210101634"</f>
        <v>B20210101634</v>
      </c>
      <c r="C5621" s="2" t="str">
        <f t="shared" si="1423"/>
        <v>男</v>
      </c>
      <c r="D5621" s="2" t="str">
        <f t="shared" si="1414"/>
        <v>6</v>
      </c>
      <c r="E5621" s="2" t="str">
        <f t="shared" ref="E5621:E5626" si="1426">"土木工程学院"</f>
        <v>土木工程学院</v>
      </c>
    </row>
    <row r="5622" ht="13.5" hidden="1" spans="1:5">
      <c r="A5622" s="2" t="str">
        <f>"詹怡笑"</f>
        <v>詹怡笑</v>
      </c>
      <c r="B5622" s="2" t="str">
        <f>"B20210905244"</f>
        <v>B20210905244</v>
      </c>
      <c r="C5622" s="2" t="str">
        <f t="shared" ref="C5622:C5627" si="1427">"女"</f>
        <v>女</v>
      </c>
      <c r="D5622" s="2" t="str">
        <f t="shared" si="1414"/>
        <v>6</v>
      </c>
      <c r="E5622" s="2" t="str">
        <f t="shared" si="1425"/>
        <v>经济与管理学院</v>
      </c>
    </row>
    <row r="5623" ht="13.5" hidden="1" spans="1:5">
      <c r="A5623" s="2" t="str">
        <f>"张梦霞"</f>
        <v>张梦霞</v>
      </c>
      <c r="B5623" s="2" t="str">
        <f>"B20210905202"</f>
        <v>B20210905202</v>
      </c>
      <c r="C5623" s="2" t="str">
        <f t="shared" si="1427"/>
        <v>女</v>
      </c>
      <c r="D5623" s="2" t="str">
        <f t="shared" si="1414"/>
        <v>6</v>
      </c>
      <c r="E5623" s="2" t="str">
        <f t="shared" si="1425"/>
        <v>经济与管理学院</v>
      </c>
    </row>
    <row r="5624" ht="13.5" hidden="1" spans="1:5">
      <c r="A5624" s="2" t="str">
        <f>"赵永亮"</f>
        <v>赵永亮</v>
      </c>
      <c r="B5624" s="2" t="str">
        <f>"B20200901203"</f>
        <v>B20200901203</v>
      </c>
      <c r="C5624" s="2" t="str">
        <f t="shared" ref="C5624:C5626" si="1428">"男"</f>
        <v>男</v>
      </c>
      <c r="D5624" s="2" t="str">
        <f t="shared" si="1414"/>
        <v>6</v>
      </c>
      <c r="E5624" s="2" t="str">
        <f t="shared" si="1425"/>
        <v>经济与管理学院</v>
      </c>
    </row>
    <row r="5625" ht="13.5" hidden="1" spans="1:5">
      <c r="A5625" s="2" t="str">
        <f>"鲜佳伟"</f>
        <v>鲜佳伟</v>
      </c>
      <c r="B5625" s="2" t="str">
        <f>"B20230101533"</f>
        <v>B20230101533</v>
      </c>
      <c r="C5625" s="2" t="str">
        <f t="shared" si="1428"/>
        <v>男</v>
      </c>
      <c r="D5625" s="2" t="str">
        <f t="shared" si="1414"/>
        <v>6</v>
      </c>
      <c r="E5625" s="2" t="str">
        <f t="shared" si="1426"/>
        <v>土木工程学院</v>
      </c>
    </row>
    <row r="5626" ht="13.5" hidden="1" spans="1:5">
      <c r="A5626" s="2" t="str">
        <f>"曹雄"</f>
        <v>曹雄</v>
      </c>
      <c r="B5626" s="2" t="str">
        <f>"B20200101306"</f>
        <v>B20200101306</v>
      </c>
      <c r="C5626" s="2" t="str">
        <f t="shared" si="1428"/>
        <v>男</v>
      </c>
      <c r="D5626" s="2" t="str">
        <f t="shared" si="1414"/>
        <v>6</v>
      </c>
      <c r="E5626" s="2" t="str">
        <f t="shared" si="1426"/>
        <v>土木工程学院</v>
      </c>
    </row>
    <row r="5627" ht="13.5" hidden="1" spans="1:5">
      <c r="A5627" s="2" t="str">
        <f>"李晴"</f>
        <v>李晴</v>
      </c>
      <c r="B5627" s="2" t="str">
        <f>"B20200902124"</f>
        <v>B20200902124</v>
      </c>
      <c r="C5627" s="2" t="str">
        <f t="shared" si="1427"/>
        <v>女</v>
      </c>
      <c r="D5627" s="2" t="str">
        <f t="shared" si="1414"/>
        <v>6</v>
      </c>
      <c r="E5627" s="2" t="str">
        <f>"经济与管理学院"</f>
        <v>经济与管理学院</v>
      </c>
    </row>
    <row r="5628" ht="13.5" hidden="1" spans="1:5">
      <c r="A5628" s="2" t="str">
        <f>"马煜乐"</f>
        <v>马煜乐</v>
      </c>
      <c r="B5628" s="2" t="str">
        <f>"B20230404210"</f>
        <v>B20230404210</v>
      </c>
      <c r="C5628" s="2" t="str">
        <f t="shared" ref="C5628:C5630" si="1429">"男"</f>
        <v>男</v>
      </c>
      <c r="D5628" s="2" t="str">
        <f t="shared" si="1414"/>
        <v>6</v>
      </c>
      <c r="E5628" s="2" t="str">
        <f>"电子信息与电气工程学院"</f>
        <v>电子信息与电气工程学院</v>
      </c>
    </row>
    <row r="5629" ht="13.5" hidden="1" spans="1:5">
      <c r="A5629" s="2" t="str">
        <f>"谭志璇"</f>
        <v>谭志璇</v>
      </c>
      <c r="B5629" s="2" t="str">
        <f>"B20230202328"</f>
        <v>B20230202328</v>
      </c>
      <c r="C5629" s="2" t="str">
        <f t="shared" si="1429"/>
        <v>男</v>
      </c>
      <c r="D5629" s="2" t="str">
        <f t="shared" si="1414"/>
        <v>6</v>
      </c>
      <c r="E5629" s="2" t="str">
        <f t="shared" ref="E5629:E5632" si="1430">"机电工程学院"</f>
        <v>机电工程学院</v>
      </c>
    </row>
    <row r="5630" ht="13.5" hidden="1" spans="1:5">
      <c r="A5630" s="2" t="str">
        <f>"贺成龙"</f>
        <v>贺成龙</v>
      </c>
      <c r="B5630" s="2" t="str">
        <f>"B20220202432"</f>
        <v>B20220202432</v>
      </c>
      <c r="C5630" s="2" t="str">
        <f t="shared" si="1429"/>
        <v>男</v>
      </c>
      <c r="D5630" s="2" t="str">
        <f t="shared" si="1414"/>
        <v>6</v>
      </c>
      <c r="E5630" s="2" t="str">
        <f t="shared" si="1430"/>
        <v>机电工程学院</v>
      </c>
    </row>
    <row r="5631" ht="13.5" hidden="1" spans="1:5">
      <c r="A5631" s="2" t="str">
        <f>"曾志欢"</f>
        <v>曾志欢</v>
      </c>
      <c r="B5631" s="2" t="str">
        <f>"B20220202404"</f>
        <v>B20220202404</v>
      </c>
      <c r="C5631" s="2" t="str">
        <f>"女"</f>
        <v>女</v>
      </c>
      <c r="D5631" s="2" t="str">
        <f t="shared" si="1414"/>
        <v>6</v>
      </c>
      <c r="E5631" s="2" t="str">
        <f t="shared" si="1430"/>
        <v>机电工程学院</v>
      </c>
    </row>
    <row r="5632" ht="13.5" hidden="1" spans="1:5">
      <c r="A5632" s="2" t="str">
        <f>"毛子豪"</f>
        <v>毛子豪</v>
      </c>
      <c r="B5632" s="2" t="str">
        <f>"B20230205322"</f>
        <v>B20230205322</v>
      </c>
      <c r="C5632" s="2" t="str">
        <f t="shared" ref="C5632:C5635" si="1431">"男"</f>
        <v>男</v>
      </c>
      <c r="D5632" s="2" t="str">
        <f t="shared" si="1414"/>
        <v>6</v>
      </c>
      <c r="E5632" s="2" t="str">
        <f t="shared" si="1430"/>
        <v>机电工程学院</v>
      </c>
    </row>
    <row r="5633" ht="13.5" hidden="1" spans="1:5">
      <c r="A5633" s="2" t="str">
        <f>"陈宇轩"</f>
        <v>陈宇轩</v>
      </c>
      <c r="B5633" s="2" t="str">
        <f>"B20230403322"</f>
        <v>B20230403322</v>
      </c>
      <c r="C5633" s="2" t="str">
        <f t="shared" si="1431"/>
        <v>男</v>
      </c>
      <c r="D5633" s="2" t="str">
        <f t="shared" si="1414"/>
        <v>6</v>
      </c>
      <c r="E5633" s="2" t="str">
        <f>"电子信息与电气工程学院"</f>
        <v>电子信息与电气工程学院</v>
      </c>
    </row>
    <row r="5634" ht="13.5" hidden="1" spans="1:5">
      <c r="A5634" s="2" t="str">
        <f>"尹子航"</f>
        <v>尹子航</v>
      </c>
      <c r="B5634" s="2" t="str">
        <f>"B20200103209"</f>
        <v>B20200103209</v>
      </c>
      <c r="C5634" s="2" t="str">
        <f t="shared" si="1431"/>
        <v>男</v>
      </c>
      <c r="D5634" s="2" t="str">
        <f t="shared" si="1414"/>
        <v>6</v>
      </c>
      <c r="E5634" s="2" t="str">
        <f>"土木工程学院"</f>
        <v>土木工程学院</v>
      </c>
    </row>
    <row r="5635" ht="13.5" hidden="1" spans="1:5">
      <c r="A5635" s="2" t="str">
        <f>"冯卓"</f>
        <v>冯卓</v>
      </c>
      <c r="B5635" s="2" t="str">
        <f>"B20220204225"</f>
        <v>B20220204225</v>
      </c>
      <c r="C5635" s="2" t="str">
        <f t="shared" si="1431"/>
        <v>男</v>
      </c>
      <c r="D5635" s="2" t="str">
        <f t="shared" si="1414"/>
        <v>6</v>
      </c>
      <c r="E5635" s="2" t="str">
        <f>"机电工程学院"</f>
        <v>机电工程学院</v>
      </c>
    </row>
    <row r="5636" ht="13.5" hidden="1" spans="1:5">
      <c r="A5636" s="2" t="str">
        <f>"张乐怡"</f>
        <v>张乐怡</v>
      </c>
      <c r="B5636" s="2" t="str">
        <f>"B20220801314"</f>
        <v>B20220801314</v>
      </c>
      <c r="C5636" s="2" t="str">
        <f t="shared" ref="C5636:C5642" si="1432">"女"</f>
        <v>女</v>
      </c>
      <c r="D5636" s="2" t="str">
        <f t="shared" si="1414"/>
        <v>6</v>
      </c>
      <c r="E5636" s="2" t="str">
        <f>"外国语学院"</f>
        <v>外国语学院</v>
      </c>
    </row>
    <row r="5637" ht="13.5" hidden="1" spans="1:5">
      <c r="A5637" s="2" t="str">
        <f>"徐海涛"</f>
        <v>徐海涛</v>
      </c>
      <c r="B5637" s="2" t="str">
        <f>"B20230101215"</f>
        <v>B20230101215</v>
      </c>
      <c r="C5637" s="2" t="str">
        <f t="shared" ref="C5637:C5640" si="1433">"男"</f>
        <v>男</v>
      </c>
      <c r="D5637" s="2" t="str">
        <f t="shared" ref="D5637:D5687" si="1434">"6"</f>
        <v>6</v>
      </c>
      <c r="E5637" s="2" t="str">
        <f>"土木工程学院"</f>
        <v>土木工程学院</v>
      </c>
    </row>
    <row r="5638" ht="13.5" hidden="1" spans="1:5">
      <c r="A5638" s="2" t="str">
        <f>"田安"</f>
        <v>田安</v>
      </c>
      <c r="B5638" s="2" t="str">
        <f>"B20220404106"</f>
        <v>B20220404106</v>
      </c>
      <c r="C5638" s="2" t="str">
        <f t="shared" si="1433"/>
        <v>男</v>
      </c>
      <c r="D5638" s="2" t="str">
        <f t="shared" si="1434"/>
        <v>6</v>
      </c>
      <c r="E5638" s="2" t="str">
        <f t="shared" ref="E5638:E5643" si="1435">"电子信息与电气工程学院"</f>
        <v>电子信息与电气工程学院</v>
      </c>
    </row>
    <row r="5639" ht="13.5" hidden="1" spans="1:5">
      <c r="A5639" s="2" t="str">
        <f>"巩泽垚"</f>
        <v>巩泽垚</v>
      </c>
      <c r="B5639" s="2" t="str">
        <f>"B20221111128"</f>
        <v>B20221111128</v>
      </c>
      <c r="C5639" s="2" t="str">
        <f t="shared" si="1432"/>
        <v>女</v>
      </c>
      <c r="D5639" s="2" t="str">
        <f t="shared" si="1434"/>
        <v>6</v>
      </c>
      <c r="E5639" s="2" t="str">
        <f>"音乐学院"</f>
        <v>音乐学院</v>
      </c>
    </row>
    <row r="5640" ht="13.5" hidden="1" spans="1:5">
      <c r="A5640" s="2" t="str">
        <f>"刘航赈"</f>
        <v>刘航赈</v>
      </c>
      <c r="B5640" s="2" t="str">
        <f>"B20220204127"</f>
        <v>B20220204127</v>
      </c>
      <c r="C5640" s="2" t="str">
        <f t="shared" si="1433"/>
        <v>男</v>
      </c>
      <c r="D5640" s="2" t="str">
        <f t="shared" si="1434"/>
        <v>6</v>
      </c>
      <c r="E5640" s="2" t="str">
        <f>"机电工程学院"</f>
        <v>机电工程学院</v>
      </c>
    </row>
    <row r="5641" ht="13.5" hidden="1" spans="1:5">
      <c r="A5641" s="2" t="str">
        <f>"蔡周洋"</f>
        <v>蔡周洋</v>
      </c>
      <c r="B5641" s="2" t="str">
        <f>"B20231101325"</f>
        <v>B20231101325</v>
      </c>
      <c r="C5641" s="2" t="str">
        <f t="shared" si="1432"/>
        <v>女</v>
      </c>
      <c r="D5641" s="2" t="str">
        <f t="shared" si="1434"/>
        <v>6</v>
      </c>
      <c r="E5641" s="2" t="str">
        <f>"音乐学院"</f>
        <v>音乐学院</v>
      </c>
    </row>
    <row r="5642" ht="13.5" hidden="1" spans="1:5">
      <c r="A5642" s="2" t="str">
        <f>"陈欣欣"</f>
        <v>陈欣欣</v>
      </c>
      <c r="B5642" s="2" t="str">
        <f>"B20210403106"</f>
        <v>B20210403106</v>
      </c>
      <c r="C5642" s="2" t="str">
        <f t="shared" si="1432"/>
        <v>女</v>
      </c>
      <c r="D5642" s="2" t="str">
        <f t="shared" si="1434"/>
        <v>6</v>
      </c>
      <c r="E5642" s="2" t="str">
        <f t="shared" si="1435"/>
        <v>电子信息与电气工程学院</v>
      </c>
    </row>
    <row r="5643" ht="13.5" hidden="1" spans="1:5">
      <c r="A5643" s="2" t="str">
        <f>"张鑫"</f>
        <v>张鑫</v>
      </c>
      <c r="B5643" s="2" t="str">
        <f>"B20220404101"</f>
        <v>B20220404101</v>
      </c>
      <c r="C5643" s="2" t="str">
        <f t="shared" ref="C5643:C5648" si="1436">"男"</f>
        <v>男</v>
      </c>
      <c r="D5643" s="2" t="str">
        <f t="shared" si="1434"/>
        <v>6</v>
      </c>
      <c r="E5643" s="2" t="str">
        <f t="shared" si="1435"/>
        <v>电子信息与电气工程学院</v>
      </c>
    </row>
    <row r="5644" ht="13.5" hidden="1" spans="1:5">
      <c r="A5644" s="2" t="str">
        <f>"向炎学"</f>
        <v>向炎学</v>
      </c>
      <c r="B5644" s="2" t="str">
        <f>"B20210202441"</f>
        <v>B20210202441</v>
      </c>
      <c r="C5644" s="2" t="str">
        <f t="shared" si="1436"/>
        <v>男</v>
      </c>
      <c r="D5644" s="2" t="str">
        <f t="shared" si="1434"/>
        <v>6</v>
      </c>
      <c r="E5644" s="2" t="str">
        <f>"机电工程学院"</f>
        <v>机电工程学院</v>
      </c>
    </row>
    <row r="5645" ht="13.5" hidden="1" spans="1:5">
      <c r="A5645" s="2" t="str">
        <f>"杨佳乐"</f>
        <v>杨佳乐</v>
      </c>
      <c r="B5645" s="2" t="str">
        <f>"B20230701120"</f>
        <v>B20230701120</v>
      </c>
      <c r="C5645" s="2" t="str">
        <f t="shared" ref="C5645:C5647" si="1437">"女"</f>
        <v>女</v>
      </c>
      <c r="D5645" s="2" t="str">
        <f t="shared" si="1434"/>
        <v>6</v>
      </c>
      <c r="E5645" s="2" t="str">
        <f>"马栏山新媒体学院"</f>
        <v>马栏山新媒体学院</v>
      </c>
    </row>
    <row r="5646" ht="13.5" hidden="1" spans="1:5">
      <c r="A5646" s="2" t="str">
        <f>"张茜茜"</f>
        <v>张茜茜</v>
      </c>
      <c r="B5646" s="2" t="str">
        <f>"B20221101304"</f>
        <v>B20221101304</v>
      </c>
      <c r="C5646" s="2" t="str">
        <f t="shared" si="1437"/>
        <v>女</v>
      </c>
      <c r="D5646" s="2" t="str">
        <f t="shared" si="1434"/>
        <v>6</v>
      </c>
      <c r="E5646" s="2" t="str">
        <f>"音乐学院"</f>
        <v>音乐学院</v>
      </c>
    </row>
    <row r="5647" ht="13.5" hidden="1" spans="1:5">
      <c r="A5647" s="2" t="str">
        <f>"邓紫蓝"</f>
        <v>邓紫蓝</v>
      </c>
      <c r="B5647" s="2" t="str">
        <f>"B20210203201"</f>
        <v>B20210203201</v>
      </c>
      <c r="C5647" s="2" t="str">
        <f t="shared" si="1437"/>
        <v>女</v>
      </c>
      <c r="D5647" s="2" t="str">
        <f t="shared" si="1434"/>
        <v>6</v>
      </c>
      <c r="E5647" s="2" t="str">
        <f>"机电工程学院"</f>
        <v>机电工程学院</v>
      </c>
    </row>
    <row r="5648" ht="13.5" hidden="1" spans="1:5">
      <c r="A5648" s="2" t="str">
        <f>"刘洋"</f>
        <v>刘洋</v>
      </c>
      <c r="B5648" s="2" t="str">
        <f>"B20210906141"</f>
        <v>B20210906141</v>
      </c>
      <c r="C5648" s="2" t="str">
        <f t="shared" si="1436"/>
        <v>男</v>
      </c>
      <c r="D5648" s="2" t="str">
        <f t="shared" si="1434"/>
        <v>6</v>
      </c>
      <c r="E5648" s="2" t="str">
        <f t="shared" ref="E5648:E5651" si="1438">"经济与管理学院"</f>
        <v>经济与管理学院</v>
      </c>
    </row>
    <row r="5649" ht="13.5" hidden="1" spans="1:5">
      <c r="A5649" s="2" t="str">
        <f>"赵斐然"</f>
        <v>赵斐然</v>
      </c>
      <c r="B5649" s="2" t="str">
        <f>"B20210904109"</f>
        <v>B20210904109</v>
      </c>
      <c r="C5649" s="2" t="str">
        <f>"女"</f>
        <v>女</v>
      </c>
      <c r="D5649" s="2" t="str">
        <f t="shared" si="1434"/>
        <v>6</v>
      </c>
      <c r="E5649" s="2" t="str">
        <f t="shared" si="1438"/>
        <v>经济与管理学院</v>
      </c>
    </row>
    <row r="5650" ht="13.5" hidden="1" spans="1:5">
      <c r="A5650" s="2" t="str">
        <f>"唐弘宙"</f>
        <v>唐弘宙</v>
      </c>
      <c r="B5650" s="2" t="str">
        <f>"B20230504325"</f>
        <v>B20230504325</v>
      </c>
      <c r="C5650" s="2" t="str">
        <f t="shared" ref="C5650:C5655" si="1439">"男"</f>
        <v>男</v>
      </c>
      <c r="D5650" s="2" t="str">
        <f t="shared" si="1434"/>
        <v>6</v>
      </c>
      <c r="E5650" s="2" t="str">
        <f>"生物与化学工程学院"</f>
        <v>生物与化学工程学院</v>
      </c>
    </row>
    <row r="5651" ht="13.5" hidden="1" spans="1:5">
      <c r="A5651" s="2" t="str">
        <f>"谢欣"</f>
        <v>谢欣</v>
      </c>
      <c r="B5651" s="2" t="str">
        <f>"B20230902334"</f>
        <v>B20230902334</v>
      </c>
      <c r="C5651" s="2" t="str">
        <f>"女"</f>
        <v>女</v>
      </c>
      <c r="D5651" s="2" t="str">
        <f t="shared" si="1434"/>
        <v>6</v>
      </c>
      <c r="E5651" s="2" t="str">
        <f t="shared" si="1438"/>
        <v>经济与管理学院</v>
      </c>
    </row>
    <row r="5652" ht="13.5" hidden="1" spans="1:5">
      <c r="A5652" s="2" t="str">
        <f>"李显俊"</f>
        <v>李显俊</v>
      </c>
      <c r="B5652" s="2" t="str">
        <f>"B20220404123"</f>
        <v>B20220404123</v>
      </c>
      <c r="C5652" s="2" t="str">
        <f t="shared" si="1439"/>
        <v>男</v>
      </c>
      <c r="D5652" s="2" t="str">
        <f t="shared" si="1434"/>
        <v>6</v>
      </c>
      <c r="E5652" s="2" t="str">
        <f t="shared" ref="E5652:E5655" si="1440">"电子信息与电气工程学院"</f>
        <v>电子信息与电气工程学院</v>
      </c>
    </row>
    <row r="5653" ht="13.5" hidden="1" spans="1:5">
      <c r="A5653" s="2" t="str">
        <f>"符先康"</f>
        <v>符先康</v>
      </c>
      <c r="B5653" s="2" t="str">
        <f>"B20221302117"</f>
        <v>B20221302117</v>
      </c>
      <c r="C5653" s="2" t="str">
        <f t="shared" si="1439"/>
        <v>男</v>
      </c>
      <c r="D5653" s="2" t="str">
        <f t="shared" si="1434"/>
        <v>6</v>
      </c>
      <c r="E5653" s="2" t="str">
        <f>"材料与环境工程学院"</f>
        <v>材料与环境工程学院</v>
      </c>
    </row>
    <row r="5654" ht="13.5" hidden="1" spans="1:5">
      <c r="A5654" s="2" t="str">
        <f>"毛云辉"</f>
        <v>毛云辉</v>
      </c>
      <c r="B5654" s="2" t="str">
        <f>"B20230403323"</f>
        <v>B20230403323</v>
      </c>
      <c r="C5654" s="2" t="str">
        <f t="shared" si="1439"/>
        <v>男</v>
      </c>
      <c r="D5654" s="2" t="str">
        <f t="shared" si="1434"/>
        <v>6</v>
      </c>
      <c r="E5654" s="2" t="str">
        <f t="shared" si="1440"/>
        <v>电子信息与电气工程学院</v>
      </c>
    </row>
    <row r="5655" ht="13.5" hidden="1" spans="1:5">
      <c r="A5655" s="2" t="str">
        <f>"屈远游"</f>
        <v>屈远游</v>
      </c>
      <c r="B5655" s="2" t="str">
        <f>"B20200401425"</f>
        <v>B20200401425</v>
      </c>
      <c r="C5655" s="2" t="str">
        <f t="shared" si="1439"/>
        <v>男</v>
      </c>
      <c r="D5655" s="2" t="str">
        <f t="shared" si="1434"/>
        <v>6</v>
      </c>
      <c r="E5655" s="2" t="str">
        <f t="shared" si="1440"/>
        <v>电子信息与电气工程学院</v>
      </c>
    </row>
    <row r="5656" ht="13.5" hidden="1" spans="1:5">
      <c r="A5656" s="2" t="str">
        <f>"郭倩伶"</f>
        <v>郭倩伶</v>
      </c>
      <c r="B5656" s="2" t="str">
        <f>"B20220905212"</f>
        <v>B20220905212</v>
      </c>
      <c r="C5656" s="2" t="str">
        <f>"女"</f>
        <v>女</v>
      </c>
      <c r="D5656" s="2" t="str">
        <f t="shared" si="1434"/>
        <v>6</v>
      </c>
      <c r="E5656" s="2" t="str">
        <f>"经济与管理学院"</f>
        <v>经济与管理学院</v>
      </c>
    </row>
    <row r="5657" ht="13.5" hidden="1" spans="1:5">
      <c r="A5657" s="2" t="str">
        <f>"苏柏宇"</f>
        <v>苏柏宇</v>
      </c>
      <c r="B5657" s="2" t="str">
        <f>"B20210201306"</f>
        <v>B20210201306</v>
      </c>
      <c r="C5657" s="2" t="str">
        <f t="shared" ref="C5657:C5661" si="1441">"男"</f>
        <v>男</v>
      </c>
      <c r="D5657" s="2" t="str">
        <f t="shared" si="1434"/>
        <v>6</v>
      </c>
      <c r="E5657" s="2" t="str">
        <f>"机电工程学院"</f>
        <v>机电工程学院</v>
      </c>
    </row>
    <row r="5658" ht="13.5" hidden="1" spans="1:5">
      <c r="A5658" s="2" t="str">
        <f>"周苗"</f>
        <v>周苗</v>
      </c>
      <c r="B5658" s="2" t="str">
        <f>"B20220402116"</f>
        <v>B20220402116</v>
      </c>
      <c r="C5658" s="2" t="str">
        <f t="shared" ref="C5658:C5663" si="1442">"女"</f>
        <v>女</v>
      </c>
      <c r="D5658" s="2" t="str">
        <f t="shared" si="1434"/>
        <v>6</v>
      </c>
      <c r="E5658" s="2" t="str">
        <f>"电子信息与电气工程学院"</f>
        <v>电子信息与电气工程学院</v>
      </c>
    </row>
    <row r="5659" ht="13.5" hidden="1" spans="1:5">
      <c r="A5659" s="2" t="str">
        <f>"孙源"</f>
        <v>孙源</v>
      </c>
      <c r="B5659" s="2" t="str">
        <f>"B20220401232"</f>
        <v>B20220401232</v>
      </c>
      <c r="C5659" s="2" t="str">
        <f t="shared" si="1441"/>
        <v>男</v>
      </c>
      <c r="D5659" s="2" t="str">
        <f t="shared" si="1434"/>
        <v>6</v>
      </c>
      <c r="E5659" s="2" t="str">
        <f>"电子信息与电气工程学院"</f>
        <v>电子信息与电气工程学院</v>
      </c>
    </row>
    <row r="5660" ht="13.5" hidden="1" spans="1:5">
      <c r="A5660" s="2" t="str">
        <f>"李顺"</f>
        <v>李顺</v>
      </c>
      <c r="B5660" s="2" t="str">
        <f>"B20210901217"</f>
        <v>B20210901217</v>
      </c>
      <c r="C5660" s="2" t="str">
        <f t="shared" si="1441"/>
        <v>男</v>
      </c>
      <c r="D5660" s="2" t="str">
        <f t="shared" si="1434"/>
        <v>6</v>
      </c>
      <c r="E5660" s="2" t="str">
        <f>"经济与管理学院"</f>
        <v>经济与管理学院</v>
      </c>
    </row>
    <row r="5661" ht="13.5" hidden="1" spans="1:5">
      <c r="A5661" s="2" t="str">
        <f>"谭科"</f>
        <v>谭科</v>
      </c>
      <c r="B5661" s="2" t="str">
        <f>"B20210203109"</f>
        <v>B20210203109</v>
      </c>
      <c r="C5661" s="2" t="str">
        <f t="shared" si="1441"/>
        <v>男</v>
      </c>
      <c r="D5661" s="2" t="str">
        <f t="shared" si="1434"/>
        <v>6</v>
      </c>
      <c r="E5661" s="2" t="str">
        <f>"机电工程学院"</f>
        <v>机电工程学院</v>
      </c>
    </row>
    <row r="5662" ht="13.5" hidden="1" spans="1:5">
      <c r="A5662" s="2" t="str">
        <f>"罗一丹"</f>
        <v>罗一丹</v>
      </c>
      <c r="B5662" s="2" t="str">
        <f>"B20221111209"</f>
        <v>B20221111209</v>
      </c>
      <c r="C5662" s="2" t="str">
        <f t="shared" si="1442"/>
        <v>女</v>
      </c>
      <c r="D5662" s="2" t="str">
        <f t="shared" si="1434"/>
        <v>6</v>
      </c>
      <c r="E5662" s="2" t="str">
        <f>"音乐学院"</f>
        <v>音乐学院</v>
      </c>
    </row>
    <row r="5663" ht="13.5" hidden="1" spans="1:5">
      <c r="A5663" s="2" t="str">
        <f>"陈冠彤"</f>
        <v>陈冠彤</v>
      </c>
      <c r="B5663" s="2" t="str">
        <f>"B20230803230"</f>
        <v>B20230803230</v>
      </c>
      <c r="C5663" s="2" t="str">
        <f t="shared" si="1442"/>
        <v>女</v>
      </c>
      <c r="D5663" s="2" t="str">
        <f t="shared" si="1434"/>
        <v>6</v>
      </c>
      <c r="E5663" s="2" t="str">
        <f>"外国语学院"</f>
        <v>外国语学院</v>
      </c>
    </row>
    <row r="5664" ht="13.5" hidden="1" spans="1:5">
      <c r="A5664" s="2" t="str">
        <f>"王宇树"</f>
        <v>王宇树</v>
      </c>
      <c r="B5664" s="2" t="str">
        <f>"B20231003204"</f>
        <v>B20231003204</v>
      </c>
      <c r="C5664" s="2" t="str">
        <f t="shared" ref="C5664:C5668" si="1443">"男"</f>
        <v>男</v>
      </c>
      <c r="D5664" s="2" t="str">
        <f t="shared" si="1434"/>
        <v>6</v>
      </c>
      <c r="E5664" s="2" t="str">
        <f>"艺术设计学院"</f>
        <v>艺术设计学院</v>
      </c>
    </row>
    <row r="5665" ht="13.5" hidden="1" spans="1:5">
      <c r="A5665" s="2" t="str">
        <f>"王潘"</f>
        <v>王潘</v>
      </c>
      <c r="B5665" s="2" t="str">
        <f>"B20230202327"</f>
        <v>B20230202327</v>
      </c>
      <c r="C5665" s="2" t="str">
        <f t="shared" si="1443"/>
        <v>男</v>
      </c>
      <c r="D5665" s="2" t="str">
        <f t="shared" si="1434"/>
        <v>6</v>
      </c>
      <c r="E5665" s="2" t="str">
        <f>"机电工程学院"</f>
        <v>机电工程学院</v>
      </c>
    </row>
    <row r="5666" ht="13.5" hidden="1" spans="1:5">
      <c r="A5666" s="2" t="str">
        <f>"蒲奕涵"</f>
        <v>蒲奕涵</v>
      </c>
      <c r="B5666" s="2" t="str">
        <f>"B20220906137"</f>
        <v>B20220906137</v>
      </c>
      <c r="C5666" s="2" t="str">
        <f t="shared" ref="C5666:C5672" si="1444">"女"</f>
        <v>女</v>
      </c>
      <c r="D5666" s="2" t="str">
        <f t="shared" si="1434"/>
        <v>6</v>
      </c>
      <c r="E5666" s="2" t="str">
        <f>"经济与管理学院"</f>
        <v>经济与管理学院</v>
      </c>
    </row>
    <row r="5667" ht="13.5" hidden="1" spans="1:5">
      <c r="A5667" s="2" t="str">
        <f>"罗陈阳"</f>
        <v>罗陈阳</v>
      </c>
      <c r="B5667" s="2" t="str">
        <f>"B20231302135"</f>
        <v>B20231302135</v>
      </c>
      <c r="C5667" s="2" t="str">
        <f t="shared" si="1443"/>
        <v>男</v>
      </c>
      <c r="D5667" s="2" t="str">
        <f t="shared" si="1434"/>
        <v>6</v>
      </c>
      <c r="E5667" s="2" t="str">
        <f>"材料与环境工程学院"</f>
        <v>材料与环境工程学院</v>
      </c>
    </row>
    <row r="5668" ht="13.5" hidden="1" spans="1:5">
      <c r="A5668" s="2" t="str">
        <f>"贺培烨"</f>
        <v>贺培烨</v>
      </c>
      <c r="B5668" s="2" t="str">
        <f>"B20230403111"</f>
        <v>B20230403111</v>
      </c>
      <c r="C5668" s="2" t="str">
        <f t="shared" si="1443"/>
        <v>男</v>
      </c>
      <c r="D5668" s="2" t="str">
        <f t="shared" si="1434"/>
        <v>6</v>
      </c>
      <c r="E5668" s="2" t="str">
        <f>"电子信息与电气工程学院"</f>
        <v>电子信息与电气工程学院</v>
      </c>
    </row>
    <row r="5669" ht="13.5" hidden="1" spans="1:5">
      <c r="A5669" s="2" t="str">
        <f>"邓康欣"</f>
        <v>邓康欣</v>
      </c>
      <c r="B5669" s="2" t="str">
        <f>"B20231401229"</f>
        <v>B20231401229</v>
      </c>
      <c r="C5669" s="2" t="str">
        <f t="shared" si="1444"/>
        <v>女</v>
      </c>
      <c r="D5669" s="2" t="str">
        <f t="shared" si="1434"/>
        <v>6</v>
      </c>
      <c r="E5669" s="2" t="str">
        <f>"马克思主义学院"</f>
        <v>马克思主义学院</v>
      </c>
    </row>
    <row r="5670" ht="13.5" hidden="1" spans="1:5">
      <c r="A5670" s="2" t="str">
        <f>"张轩"</f>
        <v>张轩</v>
      </c>
      <c r="B5670" s="2" t="str">
        <f>"B20230201214"</f>
        <v>B20230201214</v>
      </c>
      <c r="C5670" s="2" t="str">
        <f>"男"</f>
        <v>男</v>
      </c>
      <c r="D5670" s="2" t="str">
        <f t="shared" si="1434"/>
        <v>6</v>
      </c>
      <c r="E5670" s="2" t="str">
        <f>"机电工程学院"</f>
        <v>机电工程学院</v>
      </c>
    </row>
    <row r="5671" ht="13.5" hidden="1" spans="1:5">
      <c r="A5671" s="2" t="str">
        <f>"伍迪"</f>
        <v>伍迪</v>
      </c>
      <c r="B5671" s="2" t="str">
        <f>"B20210904217"</f>
        <v>B20210904217</v>
      </c>
      <c r="C5671" s="2" t="str">
        <f t="shared" si="1444"/>
        <v>女</v>
      </c>
      <c r="D5671" s="2" t="str">
        <f t="shared" si="1434"/>
        <v>6</v>
      </c>
      <c r="E5671" s="2" t="str">
        <f>"经济与管理学院"</f>
        <v>经济与管理学院</v>
      </c>
    </row>
    <row r="5672" ht="13.5" hidden="1" spans="1:5">
      <c r="A5672" s="2" t="str">
        <f>"古露"</f>
        <v>古露</v>
      </c>
      <c r="B5672" s="2" t="str">
        <f>"B20231001114"</f>
        <v>B20231001114</v>
      </c>
      <c r="C5672" s="2" t="str">
        <f t="shared" si="1444"/>
        <v>女</v>
      </c>
      <c r="D5672" s="2" t="str">
        <f t="shared" si="1434"/>
        <v>6</v>
      </c>
      <c r="E5672" s="2" t="str">
        <f>"艺术设计学院"</f>
        <v>艺术设计学院</v>
      </c>
    </row>
    <row r="5673" ht="13.5" hidden="1" spans="1:5">
      <c r="A5673" s="2" t="str">
        <f>"汤旭辉"</f>
        <v>汤旭辉</v>
      </c>
      <c r="B5673" s="2" t="str">
        <f>"B20210403121"</f>
        <v>B20210403121</v>
      </c>
      <c r="C5673" s="2" t="str">
        <f t="shared" ref="C5673:C5678" si="1445">"男"</f>
        <v>男</v>
      </c>
      <c r="D5673" s="2" t="str">
        <f t="shared" si="1434"/>
        <v>6</v>
      </c>
      <c r="E5673" s="2" t="str">
        <f>"电子信息与电气工程学院"</f>
        <v>电子信息与电气工程学院</v>
      </c>
    </row>
    <row r="5674" ht="13.5" hidden="1" spans="1:5">
      <c r="A5674" s="2" t="str">
        <f>"刘娅婷"</f>
        <v>刘娅婷</v>
      </c>
      <c r="B5674" s="2" t="str">
        <f>"B20220101620"</f>
        <v>B20220101620</v>
      </c>
      <c r="C5674" s="2" t="str">
        <f t="shared" ref="C5674:C5676" si="1446">"女"</f>
        <v>女</v>
      </c>
      <c r="D5674" s="2" t="str">
        <f t="shared" si="1434"/>
        <v>6</v>
      </c>
      <c r="E5674" s="2" t="str">
        <f>"土木工程学院"</f>
        <v>土木工程学院</v>
      </c>
    </row>
    <row r="5675" ht="13.5" hidden="1" spans="1:5">
      <c r="A5675" s="2" t="str">
        <f>"曾泽乐"</f>
        <v>曾泽乐</v>
      </c>
      <c r="B5675" s="2" t="str">
        <f>"B20220801223"</f>
        <v>B20220801223</v>
      </c>
      <c r="C5675" s="2" t="str">
        <f t="shared" si="1446"/>
        <v>女</v>
      </c>
      <c r="D5675" s="2" t="str">
        <f t="shared" si="1434"/>
        <v>6</v>
      </c>
      <c r="E5675" s="2" t="str">
        <f>"外国语学院"</f>
        <v>外国语学院</v>
      </c>
    </row>
    <row r="5676" ht="13.5" hidden="1" spans="1:5">
      <c r="A5676" s="2" t="str">
        <f>"陈洁"</f>
        <v>陈洁</v>
      </c>
      <c r="B5676" s="2" t="str">
        <f>"B20220905210"</f>
        <v>B20220905210</v>
      </c>
      <c r="C5676" s="2" t="str">
        <f t="shared" si="1446"/>
        <v>女</v>
      </c>
      <c r="D5676" s="2" t="str">
        <f t="shared" si="1434"/>
        <v>6</v>
      </c>
      <c r="E5676" s="2" t="str">
        <f t="shared" ref="E5676:E5680" si="1447">"经济与管理学院"</f>
        <v>经济与管理学院</v>
      </c>
    </row>
    <row r="5677" ht="13.5" hidden="1" spans="1:5">
      <c r="A5677" s="2" t="str">
        <f>"曹旭威"</f>
        <v>曹旭威</v>
      </c>
      <c r="B5677" s="2" t="str">
        <f>"B20220401314"</f>
        <v>B20220401314</v>
      </c>
      <c r="C5677" s="2" t="str">
        <f t="shared" si="1445"/>
        <v>男</v>
      </c>
      <c r="D5677" s="2" t="str">
        <f t="shared" si="1434"/>
        <v>6</v>
      </c>
      <c r="E5677" s="2" t="str">
        <f>"电子信息与电气工程学院"</f>
        <v>电子信息与电气工程学院</v>
      </c>
    </row>
    <row r="5678" ht="13.5" hidden="1" spans="1:5">
      <c r="A5678" s="2" t="str">
        <f>"袁亚州"</f>
        <v>袁亚州</v>
      </c>
      <c r="B5678" s="2" t="str">
        <f>"B20230902323"</f>
        <v>B20230902323</v>
      </c>
      <c r="C5678" s="2" t="str">
        <f t="shared" si="1445"/>
        <v>男</v>
      </c>
      <c r="D5678" s="2" t="str">
        <f t="shared" si="1434"/>
        <v>6</v>
      </c>
      <c r="E5678" s="2" t="str">
        <f t="shared" si="1447"/>
        <v>经济与管理学院</v>
      </c>
    </row>
    <row r="5679" ht="13.5" hidden="1" spans="1:5">
      <c r="A5679" s="2" t="str">
        <f>"梁子轩"</f>
        <v>梁子轩</v>
      </c>
      <c r="B5679" s="2" t="str">
        <f>"B20230404102"</f>
        <v>B20230404102</v>
      </c>
      <c r="C5679" s="2" t="str">
        <f t="shared" ref="C5679:C5682" si="1448">"女"</f>
        <v>女</v>
      </c>
      <c r="D5679" s="2" t="str">
        <f t="shared" si="1434"/>
        <v>6</v>
      </c>
      <c r="E5679" s="2" t="str">
        <f>"电子信息与电气工程学院"</f>
        <v>电子信息与电气工程学院</v>
      </c>
    </row>
    <row r="5680" ht="13.5" hidden="1" spans="1:5">
      <c r="A5680" s="2" t="str">
        <f>"李箐箐"</f>
        <v>李箐箐</v>
      </c>
      <c r="B5680" s="2" t="str">
        <f>"B20230904107"</f>
        <v>B20230904107</v>
      </c>
      <c r="C5680" s="2" t="str">
        <f t="shared" si="1448"/>
        <v>女</v>
      </c>
      <c r="D5680" s="2" t="str">
        <f t="shared" si="1434"/>
        <v>6</v>
      </c>
      <c r="E5680" s="2" t="str">
        <f t="shared" si="1447"/>
        <v>经济与管理学院</v>
      </c>
    </row>
    <row r="5681" ht="13.5" hidden="1" spans="1:5">
      <c r="A5681" s="2" t="str">
        <f>"王申"</f>
        <v>王申</v>
      </c>
      <c r="B5681" s="2" t="str">
        <f>"B20231101326"</f>
        <v>B20231101326</v>
      </c>
      <c r="C5681" s="2" t="str">
        <f t="shared" si="1448"/>
        <v>女</v>
      </c>
      <c r="D5681" s="2" t="str">
        <f t="shared" si="1434"/>
        <v>6</v>
      </c>
      <c r="E5681" s="2" t="str">
        <f>"音乐学院"</f>
        <v>音乐学院</v>
      </c>
    </row>
    <row r="5682" ht="13.5" hidden="1" spans="1:5">
      <c r="A5682" s="2" t="str">
        <f>"唐念芳"</f>
        <v>唐念芳</v>
      </c>
      <c r="B5682" s="2" t="str">
        <f>"B20230601516"</f>
        <v>B20230601516</v>
      </c>
      <c r="C5682" s="2" t="str">
        <f t="shared" si="1448"/>
        <v>女</v>
      </c>
      <c r="D5682" s="2" t="str">
        <f t="shared" si="1434"/>
        <v>6</v>
      </c>
      <c r="E5682" s="2" t="str">
        <f>"法学院"</f>
        <v>法学院</v>
      </c>
    </row>
    <row r="5683" ht="13.5" hidden="1" spans="1:5">
      <c r="A5683" s="2" t="str">
        <f>"潘子豪"</f>
        <v>潘子豪</v>
      </c>
      <c r="B5683" s="2" t="str">
        <f>"B20230504113"</f>
        <v>B20230504113</v>
      </c>
      <c r="C5683" s="2" t="str">
        <f t="shared" ref="C5683:C5686" si="1449">"男"</f>
        <v>男</v>
      </c>
      <c r="D5683" s="2" t="str">
        <f t="shared" si="1434"/>
        <v>6</v>
      </c>
      <c r="E5683" s="2" t="str">
        <f>"生物与化学工程学院"</f>
        <v>生物与化学工程学院</v>
      </c>
    </row>
    <row r="5684" ht="13.5" hidden="1" spans="1:5">
      <c r="A5684" s="2" t="str">
        <f>"唐璟淇"</f>
        <v>唐璟淇</v>
      </c>
      <c r="B5684" s="2" t="str">
        <f>"B20230404224"</f>
        <v>B20230404224</v>
      </c>
      <c r="C5684" s="2" t="str">
        <f>"女"</f>
        <v>女</v>
      </c>
      <c r="D5684" s="2" t="str">
        <f t="shared" si="1434"/>
        <v>6</v>
      </c>
      <c r="E5684" s="2" t="str">
        <f>"电子信息与电气工程学院"</f>
        <v>电子信息与电气工程学院</v>
      </c>
    </row>
    <row r="5685" ht="13.5" hidden="1" spans="1:5">
      <c r="A5685" s="2" t="str">
        <f>"韩宇翔"</f>
        <v>韩宇翔</v>
      </c>
      <c r="B5685" s="2" t="str">
        <f>"B20230504410"</f>
        <v>B20230504410</v>
      </c>
      <c r="C5685" s="2" t="str">
        <f t="shared" si="1449"/>
        <v>男</v>
      </c>
      <c r="D5685" s="2" t="str">
        <f t="shared" si="1434"/>
        <v>6</v>
      </c>
      <c r="E5685" s="2" t="str">
        <f>"生物与化学工程学院"</f>
        <v>生物与化学工程学院</v>
      </c>
    </row>
    <row r="5686" ht="13.5" hidden="1" spans="1:5">
      <c r="A5686" s="2" t="str">
        <f>"胡浩灿"</f>
        <v>胡浩灿</v>
      </c>
      <c r="B5686" s="2" t="str">
        <f>"B20200404120"</f>
        <v>B20200404120</v>
      </c>
      <c r="C5686" s="2" t="str">
        <f t="shared" si="1449"/>
        <v>男</v>
      </c>
      <c r="D5686" s="2" t="str">
        <f t="shared" si="1434"/>
        <v>6</v>
      </c>
      <c r="E5686" s="2" t="str">
        <f>"电子信息与电气工程学院"</f>
        <v>电子信息与电气工程学院</v>
      </c>
    </row>
    <row r="5687" ht="13.5" hidden="1" spans="1:5">
      <c r="A5687" s="2" t="str">
        <f>"周思涵"</f>
        <v>周思涵</v>
      </c>
      <c r="B5687" s="2" t="str">
        <f>"B20230704103"</f>
        <v>B20230704103</v>
      </c>
      <c r="C5687" s="2" t="str">
        <f>"女"</f>
        <v>女</v>
      </c>
      <c r="D5687" s="2" t="str">
        <f t="shared" si="1434"/>
        <v>6</v>
      </c>
      <c r="E5687" s="2" t="str">
        <f>"马栏山新媒体学院"</f>
        <v>马栏山新媒体学院</v>
      </c>
    </row>
    <row r="5688" ht="13.5" hidden="1" spans="1:5">
      <c r="A5688" s="2" t="str">
        <f>"邓意嘉"</f>
        <v>邓意嘉</v>
      </c>
      <c r="B5688" s="2" t="str">
        <f>"B20230802108"</f>
        <v>B20230802108</v>
      </c>
      <c r="C5688" s="2" t="str">
        <f t="shared" ref="C5688:C5693" si="1450">"女"</f>
        <v>女</v>
      </c>
      <c r="D5688" s="2" t="str">
        <f>"6"</f>
        <v>6</v>
      </c>
      <c r="E5688" s="2" t="str">
        <f>"外国语学院"</f>
        <v>外国语学院</v>
      </c>
    </row>
    <row r="5689" ht="13.5" hidden="1" spans="1:5">
      <c r="A5689" s="2" t="str">
        <f>"吴锦涛"</f>
        <v>吴锦涛</v>
      </c>
      <c r="B5689" s="2" t="str">
        <f>"B20230404129"</f>
        <v>B20230404129</v>
      </c>
      <c r="C5689" s="2" t="str">
        <f>"男"</f>
        <v>男</v>
      </c>
      <c r="D5689" s="2" t="str">
        <f>"6"</f>
        <v>6</v>
      </c>
      <c r="E5689" s="2" t="str">
        <f>"电子信息与电气工程学院"</f>
        <v>电子信息与电气工程学院</v>
      </c>
    </row>
    <row r="5690" ht="13.5" hidden="1" spans="1:5">
      <c r="A5690" s="2" t="str">
        <f>"彭睿熙"</f>
        <v>彭睿熙</v>
      </c>
      <c r="B5690" s="2" t="str">
        <f>"B20230205120"</f>
        <v>B20230205120</v>
      </c>
      <c r="C5690" s="2" t="str">
        <f>"男"</f>
        <v>男</v>
      </c>
      <c r="D5690" s="2" t="str">
        <f>"6"</f>
        <v>6</v>
      </c>
      <c r="E5690" s="2" t="str">
        <f>"机电工程学院"</f>
        <v>机电工程学院</v>
      </c>
    </row>
    <row r="5691" ht="13.5" hidden="1" spans="1:5">
      <c r="A5691" s="2" t="str">
        <f>"陈玉婷"</f>
        <v>陈玉婷</v>
      </c>
      <c r="B5691" s="2" t="str">
        <f>"B20230502112"</f>
        <v>B20230502112</v>
      </c>
      <c r="C5691" s="2" t="str">
        <f t="shared" si="1450"/>
        <v>女</v>
      </c>
      <c r="D5691" s="2" t="str">
        <f>"6"</f>
        <v>6</v>
      </c>
      <c r="E5691" s="2" t="str">
        <f>"生物与化学工程学院"</f>
        <v>生物与化学工程学院</v>
      </c>
    </row>
    <row r="5692" ht="13.5" hidden="1" spans="1:5">
      <c r="A5692" s="2" t="str">
        <f>"吴书勤"</f>
        <v>吴书勤</v>
      </c>
      <c r="B5692" s="2" t="str">
        <f>"B20230906112"</f>
        <v>B20230906112</v>
      </c>
      <c r="C5692" s="2" t="str">
        <f t="shared" si="1450"/>
        <v>女</v>
      </c>
      <c r="D5692" s="2" t="str">
        <f>"6"</f>
        <v>6</v>
      </c>
      <c r="E5692" s="2" t="str">
        <f>"经济与管理学院"</f>
        <v>经济与管理学院</v>
      </c>
    </row>
    <row r="5693" ht="13.5" hidden="1" spans="1:5">
      <c r="A5693" s="2" t="str">
        <f>"谢晨曦"</f>
        <v>谢晨曦</v>
      </c>
      <c r="B5693" s="2" t="str">
        <f>"B20230601128"</f>
        <v>B20230601128</v>
      </c>
      <c r="C5693" s="2" t="str">
        <f t="shared" si="1450"/>
        <v>女</v>
      </c>
      <c r="D5693" s="2" t="str">
        <f>"6"</f>
        <v>6</v>
      </c>
      <c r="E5693" s="2" t="str">
        <f>"法学院"</f>
        <v>法学院</v>
      </c>
    </row>
    <row r="5694" ht="13.5" hidden="1" spans="1:5">
      <c r="A5694" s="2" t="str">
        <f>"郑昭阳"</f>
        <v>郑昭阳</v>
      </c>
      <c r="B5694" s="2" t="str">
        <f>"B20230401204"</f>
        <v>B20230401204</v>
      </c>
      <c r="C5694" s="2" t="str">
        <f>"男"</f>
        <v>男</v>
      </c>
      <c r="D5694" s="2" t="str">
        <f>"6"</f>
        <v>6</v>
      </c>
      <c r="E5694" s="2" t="str">
        <f>"电子信息与电气工程学院"</f>
        <v>电子信息与电气工程学院</v>
      </c>
    </row>
    <row r="5695" ht="13.5" hidden="1" spans="1:5">
      <c r="A5695" s="2" t="str">
        <f>"赵唐欣"</f>
        <v>赵唐欣</v>
      </c>
      <c r="B5695" s="2" t="str">
        <f>"B20220704101"</f>
        <v>B20220704101</v>
      </c>
      <c r="C5695" s="2" t="str">
        <f t="shared" ref="C5695:C5699" si="1451">"女"</f>
        <v>女</v>
      </c>
      <c r="D5695" s="2" t="str">
        <f>"6"</f>
        <v>6</v>
      </c>
      <c r="E5695" s="2" t="str">
        <f>"马栏山新媒体学院"</f>
        <v>马栏山新媒体学院</v>
      </c>
    </row>
    <row r="5696" ht="13.5" hidden="1" spans="1:5">
      <c r="A5696" s="2" t="str">
        <f>"何玲莉"</f>
        <v>何玲莉</v>
      </c>
      <c r="B5696" s="2" t="str">
        <f>"B20230801408"</f>
        <v>B20230801408</v>
      </c>
      <c r="C5696" s="2" t="str">
        <f t="shared" si="1451"/>
        <v>女</v>
      </c>
      <c r="D5696" s="2" t="str">
        <f>"6"</f>
        <v>6</v>
      </c>
      <c r="E5696" s="2" t="str">
        <f>"外国语学院"</f>
        <v>外国语学院</v>
      </c>
    </row>
    <row r="5697" ht="13.5" hidden="1" spans="1:5">
      <c r="A5697" s="2" t="str">
        <f>"夏晨曦"</f>
        <v>夏晨曦</v>
      </c>
      <c r="B5697" s="2" t="str">
        <f>"B20230403305"</f>
        <v>B20230403305</v>
      </c>
      <c r="C5697" s="2" t="str">
        <f>"男"</f>
        <v>男</v>
      </c>
      <c r="D5697" s="2" t="str">
        <f>"6"</f>
        <v>6</v>
      </c>
      <c r="E5697" s="2" t="str">
        <f>"电子信息与电气工程学院"</f>
        <v>电子信息与电气工程学院</v>
      </c>
    </row>
    <row r="5698" ht="13.5" hidden="1" spans="1:5">
      <c r="A5698" s="2" t="str">
        <f>"陈瑜"</f>
        <v>陈瑜</v>
      </c>
      <c r="B5698" s="2" t="str">
        <f>"B20230101603"</f>
        <v>B20230101603</v>
      </c>
      <c r="C5698" s="2" t="str">
        <f t="shared" si="1451"/>
        <v>女</v>
      </c>
      <c r="D5698" s="2" t="str">
        <f>"6"</f>
        <v>6</v>
      </c>
      <c r="E5698" s="2" t="str">
        <f>"土木工程学院"</f>
        <v>土木工程学院</v>
      </c>
    </row>
    <row r="5699" ht="13.5" hidden="1" spans="1:5">
      <c r="A5699" s="2" t="str">
        <f>"李煜琴"</f>
        <v>李煜琴</v>
      </c>
      <c r="B5699" s="2" t="str">
        <f>"B20230702320"</f>
        <v>B20230702320</v>
      </c>
      <c r="C5699" s="2" t="str">
        <f t="shared" si="1451"/>
        <v>女</v>
      </c>
      <c r="D5699" s="2" t="str">
        <f>"6"</f>
        <v>6</v>
      </c>
      <c r="E5699" s="2" t="str">
        <f>"马栏山新媒体学院"</f>
        <v>马栏山新媒体学院</v>
      </c>
    </row>
    <row r="5700" ht="13.5" hidden="1" spans="1:5">
      <c r="A5700" s="2" t="str">
        <f>"向蕾"</f>
        <v>向蕾</v>
      </c>
      <c r="B5700" s="2" t="str">
        <f>"B20230601118"</f>
        <v>B20230601118</v>
      </c>
      <c r="C5700" s="2" t="str">
        <f t="shared" ref="C5700:C5702" si="1452">"女"</f>
        <v>女</v>
      </c>
      <c r="D5700" s="2" t="str">
        <f>"6"</f>
        <v>6</v>
      </c>
      <c r="E5700" s="2" t="str">
        <f>"法学院"</f>
        <v>法学院</v>
      </c>
    </row>
    <row r="5701" ht="13.5" hidden="1" spans="1:5">
      <c r="A5701" s="2" t="str">
        <f>"张敏"</f>
        <v>张敏</v>
      </c>
      <c r="B5701" s="2" t="str">
        <f>"B20230803210"</f>
        <v>B20230803210</v>
      </c>
      <c r="C5701" s="2" t="str">
        <f t="shared" si="1452"/>
        <v>女</v>
      </c>
      <c r="D5701" s="2" t="str">
        <f>"6"</f>
        <v>6</v>
      </c>
      <c r="E5701" s="2" t="str">
        <f>"外国语学院"</f>
        <v>外国语学院</v>
      </c>
    </row>
    <row r="5702" ht="13.5" hidden="1" spans="1:5">
      <c r="A5702" s="2" t="str">
        <f>"熊树林"</f>
        <v>熊树林</v>
      </c>
      <c r="B5702" s="2" t="str">
        <f>"B20200202428"</f>
        <v>B20200202428</v>
      </c>
      <c r="C5702" s="2" t="str">
        <f t="shared" si="1452"/>
        <v>女</v>
      </c>
      <c r="D5702" s="2" t="str">
        <f>"6"</f>
        <v>6</v>
      </c>
      <c r="E5702" s="2" t="str">
        <f>"机电工程学院"</f>
        <v>机电工程学院</v>
      </c>
    </row>
    <row r="5703" ht="13.5" hidden="1" spans="1:5">
      <c r="A5703" s="2" t="str">
        <f>"包世杰"</f>
        <v>包世杰</v>
      </c>
      <c r="B5703" s="2" t="str">
        <f>"B20230504202"</f>
        <v>B20230504202</v>
      </c>
      <c r="C5703" s="2" t="str">
        <f t="shared" ref="C5703:C5706" si="1453">"男"</f>
        <v>男</v>
      </c>
      <c r="D5703" s="2" t="str">
        <f>"6"</f>
        <v>6</v>
      </c>
      <c r="E5703" s="2" t="str">
        <f>"生物与化学工程学院"</f>
        <v>生物与化学工程学院</v>
      </c>
    </row>
    <row r="5704" ht="13.5" hidden="1" spans="1:5">
      <c r="A5704" s="2" t="str">
        <f>"易俞伶"</f>
        <v>易俞伶</v>
      </c>
      <c r="B5704" s="2" t="str">
        <f>"B20230902122"</f>
        <v>B20230902122</v>
      </c>
      <c r="C5704" s="2" t="str">
        <f t="shared" ref="C5704:C5709" si="1454">"女"</f>
        <v>女</v>
      </c>
      <c r="D5704" s="2" t="str">
        <f>"6"</f>
        <v>6</v>
      </c>
      <c r="E5704" s="2" t="str">
        <f t="shared" ref="E5704:E5709" si="1455">"经济与管理学院"</f>
        <v>经济与管理学院</v>
      </c>
    </row>
    <row r="5705" ht="13.5" hidden="1" spans="1:5">
      <c r="A5705" s="2" t="str">
        <f>"李承骏"</f>
        <v>李承骏</v>
      </c>
      <c r="B5705" s="2" t="str">
        <f>"B20230101203"</f>
        <v>B20230101203</v>
      </c>
      <c r="C5705" s="2" t="str">
        <f t="shared" si="1453"/>
        <v>男</v>
      </c>
      <c r="D5705" s="2" t="str">
        <f>"6"</f>
        <v>6</v>
      </c>
      <c r="E5705" s="2" t="str">
        <f>"土木工程学院"</f>
        <v>土木工程学院</v>
      </c>
    </row>
    <row r="5706" ht="13.5" hidden="1" spans="1:5">
      <c r="A5706" s="2" t="str">
        <f>"李友志"</f>
        <v>李友志</v>
      </c>
      <c r="B5706" s="2" t="str">
        <f>"B20230401129"</f>
        <v>B20230401129</v>
      </c>
      <c r="C5706" s="2" t="str">
        <f t="shared" si="1453"/>
        <v>男</v>
      </c>
      <c r="D5706" s="2" t="str">
        <f>"6"</f>
        <v>6</v>
      </c>
      <c r="E5706" s="2" t="str">
        <f>"电子信息与电气工程学院"</f>
        <v>电子信息与电气工程学院</v>
      </c>
    </row>
    <row r="5707" ht="13.5" hidden="1" spans="1:5">
      <c r="A5707" s="2" t="str">
        <f>"刘敏"</f>
        <v>刘敏</v>
      </c>
      <c r="B5707" s="2" t="str">
        <f>"B20220901229"</f>
        <v>B20220901229</v>
      </c>
      <c r="C5707" s="2" t="str">
        <f t="shared" si="1454"/>
        <v>女</v>
      </c>
      <c r="D5707" s="2" t="str">
        <f>"6"</f>
        <v>6</v>
      </c>
      <c r="E5707" s="2" t="str">
        <f t="shared" si="1455"/>
        <v>经济与管理学院</v>
      </c>
    </row>
    <row r="5708" ht="13.5" hidden="1" spans="1:5">
      <c r="A5708" s="2" t="str">
        <f>"张书豪"</f>
        <v>张书豪</v>
      </c>
      <c r="B5708" s="2" t="str">
        <f>"B20230906113"</f>
        <v>B20230906113</v>
      </c>
      <c r="C5708" s="2" t="str">
        <f>"男"</f>
        <v>男</v>
      </c>
      <c r="D5708" s="2" t="str">
        <f>"6"</f>
        <v>6</v>
      </c>
      <c r="E5708" s="2" t="str">
        <f t="shared" si="1455"/>
        <v>经济与管理学院</v>
      </c>
    </row>
    <row r="5709" ht="13.5" hidden="1" spans="1:5">
      <c r="A5709" s="2" t="str">
        <f>"王斯晴"</f>
        <v>王斯晴</v>
      </c>
      <c r="B5709" s="2" t="str">
        <f>"B20210906209"</f>
        <v>B20210906209</v>
      </c>
      <c r="C5709" s="2" t="str">
        <f t="shared" si="1454"/>
        <v>女</v>
      </c>
      <c r="D5709" s="2" t="str">
        <f>"6"</f>
        <v>6</v>
      </c>
      <c r="E5709" s="2" t="str">
        <f t="shared" si="1455"/>
        <v>经济与管理学院</v>
      </c>
    </row>
    <row r="5710" ht="13.5" hidden="1" spans="1:5">
      <c r="A5710" s="2" t="str">
        <f>"黎阳"</f>
        <v>黎阳</v>
      </c>
      <c r="B5710" s="2" t="str">
        <f>"B20200902116"</f>
        <v>B20200902116</v>
      </c>
      <c r="C5710" s="2" t="str">
        <f>"女"</f>
        <v>女</v>
      </c>
      <c r="D5710" s="2" t="str">
        <f>"6"</f>
        <v>6</v>
      </c>
      <c r="E5710" s="2" t="str">
        <f>"经济与管理学院"</f>
        <v>经济与管理学院</v>
      </c>
    </row>
    <row r="5711" ht="13.5" hidden="1" spans="1:5">
      <c r="A5711" s="2" t="str">
        <f>"于起波"</f>
        <v>于起波</v>
      </c>
      <c r="B5711" s="2" t="str">
        <f>"B20200204112"</f>
        <v>B20200204112</v>
      </c>
      <c r="C5711" s="2" t="str">
        <f>"男"</f>
        <v>男</v>
      </c>
      <c r="D5711" s="2" t="str">
        <f>"6"</f>
        <v>6</v>
      </c>
      <c r="E5711" s="2" t="str">
        <f>"机电工程学院"</f>
        <v>机电工程学院</v>
      </c>
    </row>
    <row r="5712" ht="13.5" hidden="1" spans="1:5">
      <c r="A5712" s="2" t="str">
        <f>"李禹"</f>
        <v>李禹</v>
      </c>
      <c r="B5712" s="2" t="str">
        <f>"B20220903126"</f>
        <v>B20220903126</v>
      </c>
      <c r="C5712" s="2" t="str">
        <f>"男"</f>
        <v>男</v>
      </c>
      <c r="D5712" s="2" t="str">
        <f>"6"</f>
        <v>6</v>
      </c>
      <c r="E5712" s="2" t="str">
        <f>"经济与管理学院"</f>
        <v>经济与管理学院</v>
      </c>
    </row>
    <row r="5713" ht="13.5" hidden="1" spans="1:5">
      <c r="A5713" s="2" t="str">
        <f>"董家喜"</f>
        <v>董家喜</v>
      </c>
      <c r="B5713" s="2" t="str">
        <f>"B20230905222"</f>
        <v>B20230905222</v>
      </c>
      <c r="C5713" s="2" t="str">
        <f>"女"</f>
        <v>女</v>
      </c>
      <c r="D5713" s="2" t="str">
        <f>"6"</f>
        <v>6</v>
      </c>
      <c r="E5713" s="2" t="str">
        <f>"经济与管理学院"</f>
        <v>经济与管理学院</v>
      </c>
    </row>
    <row r="5714" ht="13.5" hidden="1" spans="1:5">
      <c r="A5714" s="2" t="str">
        <f>"李丹妮"</f>
        <v>李丹妮</v>
      </c>
      <c r="B5714" s="2" t="str">
        <f>"B20210503105"</f>
        <v>B20210503105</v>
      </c>
      <c r="C5714" s="2" t="str">
        <f>"女"</f>
        <v>女</v>
      </c>
      <c r="D5714" s="2" t="str">
        <f>"6"</f>
        <v>6</v>
      </c>
      <c r="E5714" s="2" t="str">
        <f t="shared" ref="E5714:E5717" si="1456">"材料与环境工程学院"</f>
        <v>材料与环境工程学院</v>
      </c>
    </row>
    <row r="5715" ht="13.5" hidden="1" spans="1:5">
      <c r="A5715" s="2" t="str">
        <f>"黄健祥"</f>
        <v>黄健祥</v>
      </c>
      <c r="B5715" s="2" t="str">
        <f>"B20230601208"</f>
        <v>B20230601208</v>
      </c>
      <c r="C5715" s="2" t="str">
        <f t="shared" ref="C5715:C5720" si="1457">"男"</f>
        <v>男</v>
      </c>
      <c r="D5715" s="2" t="str">
        <f>"6"</f>
        <v>6</v>
      </c>
      <c r="E5715" s="2" t="str">
        <f>"法学院"</f>
        <v>法学院</v>
      </c>
    </row>
    <row r="5716" ht="13.5" hidden="1" spans="1:5">
      <c r="A5716" s="2" t="str">
        <f>"陆蓉"</f>
        <v>陆蓉</v>
      </c>
      <c r="B5716" s="2" t="str">
        <f>"B20210503223"</f>
        <v>B20210503223</v>
      </c>
      <c r="C5716" s="2" t="str">
        <f t="shared" si="1457"/>
        <v>男</v>
      </c>
      <c r="D5716" s="2" t="str">
        <f>"6"</f>
        <v>6</v>
      </c>
      <c r="E5716" s="2" t="str">
        <f t="shared" si="1456"/>
        <v>材料与环境工程学院</v>
      </c>
    </row>
    <row r="5717" ht="13.5" hidden="1" spans="1:5">
      <c r="A5717" s="2" t="str">
        <f>"匡亚斌"</f>
        <v>匡亚斌</v>
      </c>
      <c r="B5717" s="2" t="str">
        <f>"B20210503218"</f>
        <v>B20210503218</v>
      </c>
      <c r="C5717" s="2" t="str">
        <f t="shared" si="1457"/>
        <v>男</v>
      </c>
      <c r="D5717" s="2" t="str">
        <f>"6"</f>
        <v>6</v>
      </c>
      <c r="E5717" s="2" t="str">
        <f t="shared" si="1456"/>
        <v>材料与环境工程学院</v>
      </c>
    </row>
    <row r="5718" ht="13.5" hidden="1" spans="1:5">
      <c r="A5718" s="2" t="str">
        <f>"蒋金哲"</f>
        <v>蒋金哲</v>
      </c>
      <c r="B5718" s="2" t="str">
        <f>"B20200505111"</f>
        <v>B20200505111</v>
      </c>
      <c r="C5718" s="2" t="str">
        <f t="shared" si="1457"/>
        <v>男</v>
      </c>
      <c r="D5718" s="2" t="str">
        <f>"6"</f>
        <v>6</v>
      </c>
      <c r="E5718" s="2" t="str">
        <f>"生物与环境工程学院"</f>
        <v>生物与环境工程学院</v>
      </c>
    </row>
    <row r="5719" ht="13.5" hidden="1" spans="1:5">
      <c r="A5719" s="2" t="str">
        <f>"刘磊"</f>
        <v>刘磊</v>
      </c>
      <c r="B5719" s="2" t="str">
        <f>"B20210503102"</f>
        <v>B20210503102</v>
      </c>
      <c r="C5719" s="2" t="str">
        <f t="shared" si="1457"/>
        <v>男</v>
      </c>
      <c r="D5719" s="2" t="str">
        <f>"6"</f>
        <v>6</v>
      </c>
      <c r="E5719" s="2" t="str">
        <f>"材料与环境工程学院"</f>
        <v>材料与环境工程学院</v>
      </c>
    </row>
    <row r="5720" ht="13.5" hidden="1" spans="1:5">
      <c r="A5720" s="2" t="str">
        <f>"侯新飞"</f>
        <v>侯新飞</v>
      </c>
      <c r="B5720" s="2" t="str">
        <f>"B20200201113"</f>
        <v>B20200201113</v>
      </c>
      <c r="C5720" s="2" t="str">
        <f t="shared" si="1457"/>
        <v>男</v>
      </c>
      <c r="D5720" s="2" t="str">
        <f>"6"</f>
        <v>6</v>
      </c>
      <c r="E5720" s="2" t="str">
        <f>"机电工程学院"</f>
        <v>机电工程学院</v>
      </c>
    </row>
    <row r="5721" ht="13.5" hidden="1" spans="1:5">
      <c r="A5721" s="2" t="str">
        <f>"陈晴晴"</f>
        <v>陈晴晴</v>
      </c>
      <c r="B5721" s="2" t="str">
        <f>"B20201001208"</f>
        <v>B20201001208</v>
      </c>
      <c r="C5721" s="2" t="str">
        <f>"女"</f>
        <v>女</v>
      </c>
      <c r="D5721" s="2" t="str">
        <f>"6"</f>
        <v>6</v>
      </c>
      <c r="E5721" s="2" t="str">
        <f>"艺术设计学院"</f>
        <v>艺术设计学院</v>
      </c>
    </row>
    <row r="5722" ht="13.5" hidden="1" spans="1:5">
      <c r="A5722" s="2" t="str">
        <f>"王雨洋"</f>
        <v>王雨洋</v>
      </c>
      <c r="B5722" s="2" t="str">
        <f>"B20220902136"</f>
        <v>B20220902136</v>
      </c>
      <c r="C5722" s="2" t="str">
        <f>"女"</f>
        <v>女</v>
      </c>
      <c r="D5722" s="2" t="str">
        <f>"6"</f>
        <v>6</v>
      </c>
      <c r="E5722" s="2" t="str">
        <f>"经济与管理学院"</f>
        <v>经济与管理学院</v>
      </c>
    </row>
    <row r="5723" ht="13.5" hidden="1" spans="1:5">
      <c r="A5723" s="2" t="str">
        <f>"李亮"</f>
        <v>李亮</v>
      </c>
      <c r="B5723" s="2" t="str">
        <f>"B20200802213"</f>
        <v>B20200802213</v>
      </c>
      <c r="C5723" s="2" t="str">
        <f t="shared" ref="C5721:C5726" si="1458">"男"</f>
        <v>男</v>
      </c>
      <c r="D5723" s="2" t="str">
        <f>"6"</f>
        <v>6</v>
      </c>
      <c r="E5723" s="2" t="str">
        <f>"外国语学院"</f>
        <v>外国语学院</v>
      </c>
    </row>
    <row r="5724" ht="13.5" hidden="1" spans="1:5">
      <c r="A5724" s="2" t="str">
        <f>"肖玮琳"</f>
        <v>肖玮琳</v>
      </c>
      <c r="B5724" s="2" t="str">
        <f>"B20230703309"</f>
        <v>B20230703309</v>
      </c>
      <c r="C5724" s="2" t="str">
        <f t="shared" ref="C5724:C5729" si="1459">"女"</f>
        <v>女</v>
      </c>
      <c r="D5724" s="2" t="str">
        <f>"6"</f>
        <v>6</v>
      </c>
      <c r="E5724" s="2" t="str">
        <f>"马栏山新媒体学院"</f>
        <v>马栏山新媒体学院</v>
      </c>
    </row>
    <row r="5725" ht="13.5" hidden="1" spans="1:5">
      <c r="A5725" s="2" t="str">
        <f>"蒋世民"</f>
        <v>蒋世民</v>
      </c>
      <c r="B5725" s="2" t="str">
        <f>"B20230205104"</f>
        <v>B20230205104</v>
      </c>
      <c r="C5725" s="2" t="str">
        <f t="shared" si="1458"/>
        <v>男</v>
      </c>
      <c r="D5725" s="2" t="str">
        <f>"6"</f>
        <v>6</v>
      </c>
      <c r="E5725" s="2" t="str">
        <f>"机电工程学院"</f>
        <v>机电工程学院</v>
      </c>
    </row>
    <row r="5726" ht="13.5" hidden="1" spans="1:5">
      <c r="A5726" s="2" t="str">
        <f>"张战"</f>
        <v>张战</v>
      </c>
      <c r="B5726" s="2" t="str">
        <f>"B20230502118"</f>
        <v>B20230502118</v>
      </c>
      <c r="C5726" s="2" t="str">
        <f t="shared" si="1458"/>
        <v>男</v>
      </c>
      <c r="D5726" s="2" t="str">
        <f>"6"</f>
        <v>6</v>
      </c>
      <c r="E5726" s="2" t="str">
        <f t="shared" ref="E5726:E5729" si="1460">"生物与化学工程学院"</f>
        <v>生物与化学工程学院</v>
      </c>
    </row>
    <row r="5727" ht="13.5" hidden="1" spans="1:5">
      <c r="A5727" s="2" t="str">
        <f>"周冠婴"</f>
        <v>周冠婴</v>
      </c>
      <c r="B5727" s="2" t="str">
        <f>"B20230901302"</f>
        <v>B20230901302</v>
      </c>
      <c r="C5727" s="2" t="str">
        <f t="shared" si="1459"/>
        <v>女</v>
      </c>
      <c r="D5727" s="2" t="str">
        <f>"6"</f>
        <v>6</v>
      </c>
      <c r="E5727" s="2" t="str">
        <f>"经济与管理学院"</f>
        <v>经济与管理学院</v>
      </c>
    </row>
    <row r="5728" ht="13.5" hidden="1" spans="1:5">
      <c r="A5728" s="2" t="str">
        <f>"徐韬宇"</f>
        <v>徐韬宇</v>
      </c>
      <c r="B5728" s="2" t="str">
        <f>"B20230502104"</f>
        <v>B20230502104</v>
      </c>
      <c r="C5728" s="2" t="str">
        <f t="shared" ref="C5728:C5731" si="1461">"男"</f>
        <v>男</v>
      </c>
      <c r="D5728" s="2" t="str">
        <f>"6"</f>
        <v>6</v>
      </c>
      <c r="E5728" s="2" t="str">
        <f t="shared" si="1460"/>
        <v>生物与化学工程学院</v>
      </c>
    </row>
    <row r="5729" ht="13.5" hidden="1" spans="1:5">
      <c r="A5729" s="2" t="str">
        <f>"孙欣雨"</f>
        <v>孙欣雨</v>
      </c>
      <c r="B5729" s="2" t="str">
        <f>"B20220501108"</f>
        <v>B20220501108</v>
      </c>
      <c r="C5729" s="2" t="str">
        <f t="shared" si="1459"/>
        <v>女</v>
      </c>
      <c r="D5729" s="2" t="str">
        <f>"6"</f>
        <v>6</v>
      </c>
      <c r="E5729" s="2" t="str">
        <f t="shared" si="1460"/>
        <v>生物与化学工程学院</v>
      </c>
    </row>
    <row r="5730" ht="13.5" hidden="1" spans="1:5">
      <c r="A5730" s="2" t="str">
        <f>"周志成"</f>
        <v>周志成</v>
      </c>
      <c r="B5730" s="2" t="str">
        <f>"B20200204211"</f>
        <v>B20200204211</v>
      </c>
      <c r="C5730" s="2" t="str">
        <f t="shared" si="1461"/>
        <v>男</v>
      </c>
      <c r="D5730" s="2" t="str">
        <f>"6"</f>
        <v>6</v>
      </c>
      <c r="E5730" s="2" t="str">
        <f>"机电工程学院"</f>
        <v>机电工程学院</v>
      </c>
    </row>
    <row r="5731" ht="13.5" hidden="1" spans="1:5">
      <c r="A5731" s="2" t="str">
        <f>"邓晰凯"</f>
        <v>邓晰凯</v>
      </c>
      <c r="B5731" s="2" t="str">
        <f>"B20220501222"</f>
        <v>B20220501222</v>
      </c>
      <c r="C5731" s="2" t="str">
        <f t="shared" si="1461"/>
        <v>男</v>
      </c>
      <c r="D5731" s="2" t="str">
        <f>"6"</f>
        <v>6</v>
      </c>
      <c r="E5731" s="2" t="str">
        <f>"生物与化学工程学院"</f>
        <v>生物与化学工程学院</v>
      </c>
    </row>
    <row r="5732" ht="13.5" hidden="1" spans="1:5">
      <c r="A5732" s="2" t="str">
        <f>"刘心宇"</f>
        <v>刘心宇</v>
      </c>
      <c r="B5732" s="2" t="str">
        <f>"B20200801508"</f>
        <v>B20200801508</v>
      </c>
      <c r="C5732" s="2" t="str">
        <f>"女"</f>
        <v>女</v>
      </c>
      <c r="D5732" s="2" t="str">
        <f>"6"</f>
        <v>6</v>
      </c>
      <c r="E5732" s="2" t="str">
        <f>"外国语学院"</f>
        <v>外国语学院</v>
      </c>
    </row>
    <row r="5733" ht="13.5" hidden="1" spans="1:5">
      <c r="A5733" s="2" t="str">
        <f>"周晨"</f>
        <v>周晨</v>
      </c>
      <c r="B5733" s="2" t="str">
        <f>"B20200401417"</f>
        <v>B20200401417</v>
      </c>
      <c r="C5733" s="2" t="str">
        <f>"男"</f>
        <v>男</v>
      </c>
      <c r="D5733" s="2" t="str">
        <f t="shared" ref="D5733:D5746" si="1462">"6"</f>
        <v>6</v>
      </c>
      <c r="E5733" s="2" t="str">
        <f>"电子信息与电气工程学院"</f>
        <v>电子信息与电气工程学院</v>
      </c>
    </row>
    <row r="5734" ht="13.5" hidden="1" spans="1:5">
      <c r="A5734" s="2" t="str">
        <f>"刘语婷"</f>
        <v>刘语婷</v>
      </c>
      <c r="B5734" s="2" t="str">
        <f>"B20200703309"</f>
        <v>B20200703309</v>
      </c>
      <c r="C5734" s="2" t="str">
        <f>"女"</f>
        <v>女</v>
      </c>
      <c r="D5734" s="2" t="str">
        <f t="shared" si="1462"/>
        <v>6</v>
      </c>
      <c r="E5734" s="2" t="str">
        <f>"马栏山新媒体学院"</f>
        <v>马栏山新媒体学院</v>
      </c>
    </row>
    <row r="5735" ht="13.5" hidden="1" spans="1:5">
      <c r="A5735" s="2" t="str">
        <f>"杨帆"</f>
        <v>杨帆</v>
      </c>
      <c r="B5735" s="2" t="str">
        <f>"B20230801308"</f>
        <v>B20230801308</v>
      </c>
      <c r="C5735" s="2" t="str">
        <f>"女"</f>
        <v>女</v>
      </c>
      <c r="D5735" s="2" t="str">
        <f t="shared" si="1462"/>
        <v>6</v>
      </c>
      <c r="E5735" s="2" t="str">
        <f>"外国语学院"</f>
        <v>外国语学院</v>
      </c>
    </row>
    <row r="5736" ht="13.5" hidden="1" spans="1:5">
      <c r="A5736" s="2" t="str">
        <f>"胡臻熠"</f>
        <v>胡臻熠</v>
      </c>
      <c r="B5736" s="2" t="str">
        <f>"B20210204227"</f>
        <v>B20210204227</v>
      </c>
      <c r="C5736" s="2" t="str">
        <f>"男"</f>
        <v>男</v>
      </c>
      <c r="D5736" s="2" t="str">
        <f t="shared" si="1462"/>
        <v>6</v>
      </c>
      <c r="E5736" s="2" t="str">
        <f>"机电工程学院"</f>
        <v>机电工程学院</v>
      </c>
    </row>
    <row r="5737" ht="13.5" hidden="1" spans="1:5">
      <c r="A5737" s="2" t="str">
        <f>"李欣云"</f>
        <v>李欣云</v>
      </c>
      <c r="B5737" s="2" t="str">
        <f>"B20210902114"</f>
        <v>B20210902114</v>
      </c>
      <c r="C5737" s="2" t="str">
        <f t="shared" ref="C5737:C5743" si="1463">"女"</f>
        <v>女</v>
      </c>
      <c r="D5737" s="2" t="str">
        <f t="shared" si="1462"/>
        <v>6</v>
      </c>
      <c r="E5737" s="2" t="str">
        <f t="shared" ref="E5737:E5741" si="1464">"经济与管理学院"</f>
        <v>经济与管理学院</v>
      </c>
    </row>
    <row r="5738" ht="13.5" hidden="1" spans="1:5">
      <c r="A5738" s="2" t="str">
        <f>"彭美玲"</f>
        <v>彭美玲</v>
      </c>
      <c r="B5738" s="2" t="str">
        <f>"B20200904120"</f>
        <v>B20200904120</v>
      </c>
      <c r="C5738" s="2" t="str">
        <f t="shared" si="1463"/>
        <v>女</v>
      </c>
      <c r="D5738" s="2" t="str">
        <f t="shared" si="1462"/>
        <v>6</v>
      </c>
      <c r="E5738" s="2" t="str">
        <f t="shared" si="1464"/>
        <v>经济与管理学院</v>
      </c>
    </row>
    <row r="5739" ht="13.5" hidden="1" spans="1:5">
      <c r="A5739" s="2" t="str">
        <f>"宋善政"</f>
        <v>宋善政</v>
      </c>
      <c r="B5739" s="2" t="str">
        <f>"B20200904102"</f>
        <v>B20200904102</v>
      </c>
      <c r="C5739" s="2" t="str">
        <f>"男"</f>
        <v>男</v>
      </c>
      <c r="D5739" s="2" t="str">
        <f t="shared" si="1462"/>
        <v>6</v>
      </c>
      <c r="E5739" s="2" t="str">
        <f>"电子信息与电气工程学院"</f>
        <v>电子信息与电气工程学院</v>
      </c>
    </row>
    <row r="5740" ht="13.5" hidden="1" spans="1:5">
      <c r="A5740" s="2" t="str">
        <f>"谭婷"</f>
        <v>谭婷</v>
      </c>
      <c r="B5740" s="2" t="str">
        <f>"B20200702107"</f>
        <v>B20200702107</v>
      </c>
      <c r="C5740" s="2" t="str">
        <f t="shared" si="1463"/>
        <v>女</v>
      </c>
      <c r="D5740" s="2" t="str">
        <f t="shared" si="1462"/>
        <v>6</v>
      </c>
      <c r="E5740" s="2" t="str">
        <f>"马栏山新媒体学院"</f>
        <v>马栏山新媒体学院</v>
      </c>
    </row>
    <row r="5741" ht="13.5" hidden="1" spans="1:5">
      <c r="A5741" s="2" t="str">
        <f>"王英"</f>
        <v>王英</v>
      </c>
      <c r="B5741" s="2" t="str">
        <f>"B20210904303"</f>
        <v>B20210904303</v>
      </c>
      <c r="C5741" s="2" t="str">
        <f t="shared" si="1463"/>
        <v>女</v>
      </c>
      <c r="D5741" s="2" t="str">
        <f t="shared" si="1462"/>
        <v>6</v>
      </c>
      <c r="E5741" s="2" t="str">
        <f t="shared" si="1464"/>
        <v>经济与管理学院</v>
      </c>
    </row>
    <row r="5742" ht="13.5" hidden="1" spans="1:5">
      <c r="A5742" s="2" t="str">
        <f>"兰文星"</f>
        <v>兰文星</v>
      </c>
      <c r="B5742" s="2" t="str">
        <f>"B20221004119"</f>
        <v>B20221004119</v>
      </c>
      <c r="C5742" s="2" t="str">
        <f t="shared" si="1463"/>
        <v>女</v>
      </c>
      <c r="D5742" s="2" t="str">
        <f t="shared" si="1462"/>
        <v>6</v>
      </c>
      <c r="E5742" s="2" t="str">
        <f>"艺术设计学院"</f>
        <v>艺术设计学院</v>
      </c>
    </row>
    <row r="5743" ht="13.5" hidden="1" spans="1:5">
      <c r="A5743" s="2" t="str">
        <f>"杨楚岩"</f>
        <v>杨楚岩</v>
      </c>
      <c r="B5743" s="2" t="str">
        <f>"B20210701220"</f>
        <v>B20210701220</v>
      </c>
      <c r="C5743" s="2" t="str">
        <f t="shared" si="1463"/>
        <v>女</v>
      </c>
      <c r="D5743" s="2" t="str">
        <f t="shared" si="1462"/>
        <v>6</v>
      </c>
      <c r="E5743" s="2" t="str">
        <f>"马栏山新媒体学院"</f>
        <v>马栏山新媒体学院</v>
      </c>
    </row>
    <row r="5744" ht="13.5" hidden="1" spans="1:5">
      <c r="A5744" s="2" t="str">
        <f>"卢金鑫"</f>
        <v>卢金鑫</v>
      </c>
      <c r="B5744" s="2" t="str">
        <f>"B20200404216"</f>
        <v>B20200404216</v>
      </c>
      <c r="C5744" s="2" t="str">
        <f>"男"</f>
        <v>男</v>
      </c>
      <c r="D5744" s="2" t="str">
        <f t="shared" si="1462"/>
        <v>6</v>
      </c>
      <c r="E5744" s="2" t="str">
        <f>"电子信息与电气工程学院"</f>
        <v>电子信息与电气工程学院</v>
      </c>
    </row>
    <row r="5745" ht="13.5" hidden="1" spans="1:5">
      <c r="A5745" s="2" t="str">
        <f>"陈洁"</f>
        <v>陈洁</v>
      </c>
      <c r="B5745" s="2" t="str">
        <f>"B20220504222"</f>
        <v>B20220504222</v>
      </c>
      <c r="C5745" s="2" t="str">
        <f>"女"</f>
        <v>女</v>
      </c>
      <c r="D5745" s="2" t="str">
        <f t="shared" si="1462"/>
        <v>6</v>
      </c>
      <c r="E5745" s="2" t="str">
        <f>"生物与化学工程学院"</f>
        <v>生物与化学工程学院</v>
      </c>
    </row>
    <row r="5746" ht="13.5" hidden="1" spans="1:5">
      <c r="A5746" s="2" t="str">
        <f>"郭玉景"</f>
        <v>郭玉景</v>
      </c>
      <c r="B5746" s="2" t="str">
        <f>"B20220402203"</f>
        <v>B20220402203</v>
      </c>
      <c r="C5746" s="2" t="str">
        <f>"女"</f>
        <v>女</v>
      </c>
      <c r="D5746" s="2" t="str">
        <f t="shared" si="1462"/>
        <v>6</v>
      </c>
      <c r="E5746" s="2" t="str">
        <f>"电子信息与电气工程学院"</f>
        <v>电子信息与电气工程学院</v>
      </c>
    </row>
    <row r="5747" ht="13.5" hidden="1" spans="1:5">
      <c r="A5747" s="2" t="str">
        <f>"戴杨鑫"</f>
        <v>戴杨鑫</v>
      </c>
      <c r="B5747" s="2" t="str">
        <f>"B20210402114"</f>
        <v>B20210402114</v>
      </c>
      <c r="C5747" s="2" t="str">
        <f>"男"</f>
        <v>男</v>
      </c>
      <c r="D5747" s="2" t="str">
        <f>"6"</f>
        <v>6</v>
      </c>
      <c r="E5747" s="2" t="str">
        <f>"电子信息与电气工程学院"</f>
        <v>电子信息与电气工程学院</v>
      </c>
    </row>
    <row r="5748" ht="13.5" hidden="1" spans="1:5">
      <c r="A5748" s="2" t="str">
        <f>"罗凌峰"</f>
        <v>罗凌峰</v>
      </c>
      <c r="B5748" s="2" t="str">
        <f>"B20220102219"</f>
        <v>B20220102219</v>
      </c>
      <c r="C5748" s="2" t="str">
        <f>"男"</f>
        <v>男</v>
      </c>
      <c r="D5748" s="2" t="str">
        <f>"6"</f>
        <v>6</v>
      </c>
      <c r="E5748" s="2" t="str">
        <f>"土木工程学院"</f>
        <v>土木工程学院</v>
      </c>
    </row>
    <row r="5749" ht="13.5" hidden="1" spans="1:5">
      <c r="A5749" s="2" t="str">
        <f>"朱贞杨"</f>
        <v>朱贞杨</v>
      </c>
      <c r="B5749" s="2" t="str">
        <f>"B20220803103"</f>
        <v>B20220803103</v>
      </c>
      <c r="C5749" s="2" t="str">
        <f>"女"</f>
        <v>女</v>
      </c>
      <c r="D5749" s="2" t="str">
        <f>"6"</f>
        <v>6</v>
      </c>
      <c r="E5749" s="2" t="str">
        <f>"外国语学院"</f>
        <v>外国语学院</v>
      </c>
    </row>
    <row r="5750" ht="13.5" hidden="1" spans="1:5">
      <c r="A5750" s="2" t="str">
        <f>"孟瑞珂"</f>
        <v>孟瑞珂</v>
      </c>
      <c r="B5750" s="2" t="str">
        <f>"B20210104127"</f>
        <v>B20210104127</v>
      </c>
      <c r="C5750" s="2" t="str">
        <f>"女"</f>
        <v>女</v>
      </c>
      <c r="D5750" s="2" t="str">
        <f>"6"</f>
        <v>6</v>
      </c>
      <c r="E5750" s="2" t="str">
        <f>"土木工程学院"</f>
        <v>土木工程学院</v>
      </c>
    </row>
    <row r="5751" ht="13.5" hidden="1" spans="1:5">
      <c r="A5751" s="2" t="str">
        <f>"邓艺颖"</f>
        <v>邓艺颖</v>
      </c>
      <c r="B5751" s="2" t="str">
        <f>"B20221111111"</f>
        <v>B20221111111</v>
      </c>
      <c r="C5751" s="2" t="str">
        <f>"女"</f>
        <v>女</v>
      </c>
      <c r="D5751" s="2" t="str">
        <f>"6"</f>
        <v>6</v>
      </c>
      <c r="E5751" s="2" t="str">
        <f>"音乐学院"</f>
        <v>音乐学院</v>
      </c>
    </row>
    <row r="5752" ht="13.5" hidden="1" spans="1:5">
      <c r="A5752" s="2" t="str">
        <f>"陈泽"</f>
        <v>陈泽</v>
      </c>
      <c r="B5752" s="2" t="str">
        <f>"B20230201331"</f>
        <v>B20230201331</v>
      </c>
      <c r="C5752" s="2" t="str">
        <f>"男"</f>
        <v>男</v>
      </c>
      <c r="D5752" s="2" t="str">
        <f>"6"</f>
        <v>6</v>
      </c>
      <c r="E5752" s="2" t="str">
        <f>"机电工程学院"</f>
        <v>机电工程学院</v>
      </c>
    </row>
    <row r="5753" ht="13.5" hidden="1" spans="1:5">
      <c r="A5753" s="2" t="str">
        <f>"龙伟"</f>
        <v>龙伟</v>
      </c>
      <c r="B5753" s="2" t="str">
        <f>"B20230905218"</f>
        <v>B20230905218</v>
      </c>
      <c r="C5753" s="2" t="str">
        <f>"男"</f>
        <v>男</v>
      </c>
      <c r="D5753" s="2" t="str">
        <f>"6"</f>
        <v>6</v>
      </c>
      <c r="E5753" s="2" t="str">
        <f>"经济与管理学院"</f>
        <v>经济与管理学院</v>
      </c>
    </row>
    <row r="5754" ht="13.5" hidden="1" spans="1:5">
      <c r="A5754" s="2" t="str">
        <f>"刘睿成"</f>
        <v>刘睿成</v>
      </c>
      <c r="B5754" s="2" t="str">
        <f>"B20231004214"</f>
        <v>B20231004214</v>
      </c>
      <c r="C5754" s="2" t="str">
        <f>"男"</f>
        <v>男</v>
      </c>
      <c r="D5754" s="2" t="str">
        <f>"6"</f>
        <v>6</v>
      </c>
      <c r="E5754" s="2" t="str">
        <f>"艺术设计学院"</f>
        <v>艺术设计学院</v>
      </c>
    </row>
    <row r="5755" ht="13.5" hidden="1" spans="1:5">
      <c r="A5755" s="2" t="str">
        <f>"李雅雯"</f>
        <v>李雅雯</v>
      </c>
      <c r="B5755" s="2" t="str">
        <f>"B20210904105"</f>
        <v>B20210904105</v>
      </c>
      <c r="C5755" s="2" t="str">
        <f t="shared" ref="C5755:C5760" si="1465">"女"</f>
        <v>女</v>
      </c>
      <c r="D5755" s="2" t="str">
        <f>"6"</f>
        <v>6</v>
      </c>
      <c r="E5755" s="2" t="str">
        <f>"经济与管理学院"</f>
        <v>经济与管理学院</v>
      </c>
    </row>
    <row r="5756" ht="13.5" hidden="1" spans="1:5">
      <c r="A5756" s="2" t="str">
        <f>"杨超"</f>
        <v>杨超</v>
      </c>
      <c r="B5756" s="2" t="str">
        <f>"B20230601225"</f>
        <v>B20230601225</v>
      </c>
      <c r="C5756" s="2" t="str">
        <f t="shared" ref="C5756:C5758" si="1466">"男"</f>
        <v>男</v>
      </c>
      <c r="D5756" s="2" t="str">
        <f>"6"</f>
        <v>6</v>
      </c>
      <c r="E5756" s="2" t="str">
        <f t="shared" ref="E5756:E5760" si="1467">"法学院"</f>
        <v>法学院</v>
      </c>
    </row>
    <row r="5757" ht="13.5" hidden="1" spans="1:5">
      <c r="A5757" s="2" t="str">
        <f>"曾一超"</f>
        <v>曾一超</v>
      </c>
      <c r="B5757" s="2" t="str">
        <f>"B20230601306"</f>
        <v>B20230601306</v>
      </c>
      <c r="C5757" s="2" t="str">
        <f t="shared" si="1466"/>
        <v>男</v>
      </c>
      <c r="D5757" s="2" t="str">
        <f>"6"</f>
        <v>6</v>
      </c>
      <c r="E5757" s="2" t="str">
        <f t="shared" si="1467"/>
        <v>法学院</v>
      </c>
    </row>
    <row r="5758" ht="13.5" hidden="1" spans="1:5">
      <c r="A5758" s="2" t="str">
        <f>"宋世航"</f>
        <v>宋世航</v>
      </c>
      <c r="B5758" s="2" t="str">
        <f>"B20200502133"</f>
        <v>B20200502133</v>
      </c>
      <c r="C5758" s="2" t="str">
        <f t="shared" si="1466"/>
        <v>男</v>
      </c>
      <c r="D5758" s="2" t="str">
        <f>"6"</f>
        <v>6</v>
      </c>
      <c r="E5758" s="2" t="str">
        <f>"生物与环境工程学院"</f>
        <v>生物与环境工程学院</v>
      </c>
    </row>
    <row r="5759" ht="13.5" hidden="1" spans="1:5">
      <c r="A5759" s="2" t="str">
        <f>"陈仁杉"</f>
        <v>陈仁杉</v>
      </c>
      <c r="B5759" s="2" t="str">
        <f>"B20220901230"</f>
        <v>B20220901230</v>
      </c>
      <c r="C5759" s="2" t="str">
        <f t="shared" si="1465"/>
        <v>女</v>
      </c>
      <c r="D5759" s="2" t="str">
        <f>"6"</f>
        <v>6</v>
      </c>
      <c r="E5759" s="2" t="str">
        <f>"经济与管理学院"</f>
        <v>经济与管理学院</v>
      </c>
    </row>
    <row r="5760" ht="13.5" hidden="1" spans="1:5">
      <c r="A5760" s="2" t="str">
        <f>"李金玲"</f>
        <v>李金玲</v>
      </c>
      <c r="B5760" s="2" t="str">
        <f>"B20220601211"</f>
        <v>B20220601211</v>
      </c>
      <c r="C5760" s="2" t="str">
        <f t="shared" si="1465"/>
        <v>女</v>
      </c>
      <c r="D5760" s="2" t="str">
        <f>"6"</f>
        <v>6</v>
      </c>
      <c r="E5760" s="2" t="str">
        <f t="shared" si="1467"/>
        <v>法学院</v>
      </c>
    </row>
    <row r="5761" ht="13.5" hidden="1" spans="1:5">
      <c r="A5761" s="2" t="str">
        <f>"刘弈纬"</f>
        <v>刘弈纬</v>
      </c>
      <c r="B5761" s="2" t="str">
        <f>"B20231401216"</f>
        <v>B20231401216</v>
      </c>
      <c r="C5761" s="2" t="str">
        <f>"男"</f>
        <v>男</v>
      </c>
      <c r="D5761" s="2" t="str">
        <f>"6"</f>
        <v>6</v>
      </c>
      <c r="E5761" s="2" t="str">
        <f>"马克思主义学院"</f>
        <v>马克思主义学院</v>
      </c>
    </row>
    <row r="5762" ht="13.5" hidden="1" spans="1:5">
      <c r="A5762" s="2" t="str">
        <f>"周于淙"</f>
        <v>周于淙</v>
      </c>
      <c r="B5762" s="2" t="str">
        <f>"B20220202228"</f>
        <v>B20220202228</v>
      </c>
      <c r="C5762" s="2" t="str">
        <f>"男"</f>
        <v>男</v>
      </c>
      <c r="D5762" s="2" t="str">
        <f>"6"</f>
        <v>6</v>
      </c>
      <c r="E5762" s="2" t="str">
        <f>"机电工程学院"</f>
        <v>机电工程学院</v>
      </c>
    </row>
    <row r="5763" ht="13.5" hidden="1" spans="1:5">
      <c r="A5763" s="2" t="str">
        <f>"刘代荣"</f>
        <v>刘代荣</v>
      </c>
      <c r="B5763" s="2" t="str">
        <f>"B20230502209"</f>
        <v>B20230502209</v>
      </c>
      <c r="C5763" s="2" t="str">
        <f>"男"</f>
        <v>男</v>
      </c>
      <c r="D5763" s="2" t="str">
        <f>"6"</f>
        <v>6</v>
      </c>
      <c r="E5763" s="2" t="str">
        <f>"生物与化学工程学院"</f>
        <v>生物与化学工程学院</v>
      </c>
    </row>
    <row r="5764" ht="13.5" hidden="1" spans="1:5">
      <c r="A5764" s="2" t="str">
        <f>"张泽宇"</f>
        <v>张泽宇</v>
      </c>
      <c r="B5764" s="2" t="str">
        <f>"B20220801304"</f>
        <v>B20220801304</v>
      </c>
      <c r="C5764" s="2" t="str">
        <f>"男"</f>
        <v>男</v>
      </c>
      <c r="D5764" s="2" t="str">
        <f>"6"</f>
        <v>6</v>
      </c>
      <c r="E5764" s="2" t="str">
        <f>"外国语学院"</f>
        <v>外国语学院</v>
      </c>
    </row>
    <row r="5765" ht="13.5" hidden="1" spans="1:5">
      <c r="A5765" s="2" t="str">
        <f>"刘可"</f>
        <v>刘可</v>
      </c>
      <c r="B5765" s="2" t="str">
        <f>"B20220801106"</f>
        <v>B20220801106</v>
      </c>
      <c r="C5765" s="2" t="str">
        <f>"女"</f>
        <v>女</v>
      </c>
      <c r="D5765" s="2" t="str">
        <f>"6"</f>
        <v>6</v>
      </c>
      <c r="E5765" s="2" t="str">
        <f>"外国语学院"</f>
        <v>外国语学院</v>
      </c>
    </row>
    <row r="5766" ht="13.5" hidden="1" spans="1:5">
      <c r="A5766" s="2" t="str">
        <f>"胡佳雯"</f>
        <v>胡佳雯</v>
      </c>
      <c r="B5766" s="2" t="str">
        <f>"B20230704417"</f>
        <v>B20230704417</v>
      </c>
      <c r="C5766" s="2" t="str">
        <f>"女"</f>
        <v>女</v>
      </c>
      <c r="D5766" s="2" t="str">
        <f>"6"</f>
        <v>6</v>
      </c>
      <c r="E5766" s="2" t="str">
        <f>"马栏山新媒体学院"</f>
        <v>马栏山新媒体学院</v>
      </c>
    </row>
    <row r="5767" ht="13.5" hidden="1" spans="1:5">
      <c r="A5767" s="2" t="str">
        <f>"陈国徽"</f>
        <v>陈国徽</v>
      </c>
      <c r="B5767" s="2" t="str">
        <f>"B20220401431"</f>
        <v>B20220401431</v>
      </c>
      <c r="C5767" s="2" t="str">
        <f>"男"</f>
        <v>男</v>
      </c>
      <c r="D5767" s="2" t="str">
        <f>"6"</f>
        <v>6</v>
      </c>
      <c r="E5767" s="2" t="str">
        <f t="shared" ref="E5767:E5771" si="1468">"电子信息与电气工程学院"</f>
        <v>电子信息与电气工程学院</v>
      </c>
    </row>
    <row r="5768" ht="13.5" hidden="1" spans="1:5">
      <c r="A5768" s="2" t="str">
        <f>"陈霁蓉"</f>
        <v>陈霁蓉</v>
      </c>
      <c r="B5768" s="2" t="str">
        <f>"B20210801601"</f>
        <v>B20210801601</v>
      </c>
      <c r="C5768" s="2" t="str">
        <f>"女"</f>
        <v>女</v>
      </c>
      <c r="D5768" s="2" t="str">
        <f>"6"</f>
        <v>6</v>
      </c>
      <c r="E5768" s="2" t="str">
        <f>"外国语学院"</f>
        <v>外国语学院</v>
      </c>
    </row>
    <row r="5769" ht="13.5" hidden="1" spans="1:5">
      <c r="A5769" s="2" t="str">
        <f>"刘建城"</f>
        <v>刘建城</v>
      </c>
      <c r="B5769" s="2" t="str">
        <f>"B20220401111"</f>
        <v>B20220401111</v>
      </c>
      <c r="C5769" s="2" t="str">
        <f>"男"</f>
        <v>男</v>
      </c>
      <c r="D5769" s="2" t="str">
        <f>"6"</f>
        <v>6</v>
      </c>
      <c r="E5769" s="2" t="str">
        <f t="shared" si="1468"/>
        <v>电子信息与电气工程学院</v>
      </c>
    </row>
    <row r="5770" ht="13.5" hidden="1" spans="1:5">
      <c r="A5770" s="2" t="str">
        <f>"储德阳"</f>
        <v>储德阳</v>
      </c>
      <c r="B5770" s="2" t="str">
        <f>"B20220402311"</f>
        <v>B20220402311</v>
      </c>
      <c r="C5770" s="2" t="str">
        <f>"男"</f>
        <v>男</v>
      </c>
      <c r="D5770" s="2" t="str">
        <f>"6"</f>
        <v>6</v>
      </c>
      <c r="E5770" s="2" t="str">
        <f t="shared" si="1468"/>
        <v>电子信息与电气工程学院</v>
      </c>
    </row>
    <row r="5771" ht="13.5" hidden="1" spans="1:5">
      <c r="A5771" s="2" t="str">
        <f>"胡涛"</f>
        <v>胡涛</v>
      </c>
      <c r="B5771" s="2" t="str">
        <f>"B20220401108"</f>
        <v>B20220401108</v>
      </c>
      <c r="C5771" s="2" t="str">
        <f>"男"</f>
        <v>男</v>
      </c>
      <c r="D5771" s="2" t="str">
        <f>"6"</f>
        <v>6</v>
      </c>
      <c r="E5771" s="2" t="str">
        <f t="shared" si="1468"/>
        <v>电子信息与电气工程学院</v>
      </c>
    </row>
    <row r="5772" ht="13.5" hidden="1" spans="1:5">
      <c r="A5772" s="2" t="str">
        <f>"欧晓帆"</f>
        <v>欧晓帆</v>
      </c>
      <c r="B5772" s="2" t="str">
        <f>"B20220902329"</f>
        <v>B20220902329</v>
      </c>
      <c r="C5772" s="2" t="str">
        <f>"女"</f>
        <v>女</v>
      </c>
      <c r="D5772" s="2" t="str">
        <f>"6"</f>
        <v>6</v>
      </c>
      <c r="E5772" s="2" t="str">
        <f>"经济与管理学院"</f>
        <v>经济与管理学院</v>
      </c>
    </row>
    <row r="5773" ht="13.5" hidden="1" spans="1:5">
      <c r="A5773" s="2" t="str">
        <f>"余长清"</f>
        <v>余长清</v>
      </c>
      <c r="B5773" s="2" t="str">
        <f>"B20220101105"</f>
        <v>B20220101105</v>
      </c>
      <c r="C5773" s="2" t="str">
        <f t="shared" ref="C5773:C5779" si="1469">"男"</f>
        <v>男</v>
      </c>
      <c r="D5773" s="2" t="str">
        <f>"6"</f>
        <v>6</v>
      </c>
      <c r="E5773" s="2" t="str">
        <f>"土木工程学院"</f>
        <v>土木工程学院</v>
      </c>
    </row>
    <row r="5774" ht="13.5" hidden="1" spans="1:5">
      <c r="A5774" s="2" t="str">
        <f>"朱臧瑜"</f>
        <v>朱臧瑜</v>
      </c>
      <c r="B5774" s="2" t="str">
        <f>"B20231004217"</f>
        <v>B20231004217</v>
      </c>
      <c r="C5774" s="2" t="str">
        <f>"女"</f>
        <v>女</v>
      </c>
      <c r="D5774" s="2" t="str">
        <f>"6"</f>
        <v>6</v>
      </c>
      <c r="E5774" s="2" t="str">
        <f>"艺术设计学院"</f>
        <v>艺术设计学院</v>
      </c>
    </row>
    <row r="5775" ht="13.5" hidden="1" spans="1:5">
      <c r="A5775" s="2" t="str">
        <f>"唐浩鸣"</f>
        <v>唐浩鸣</v>
      </c>
      <c r="B5775" s="2" t="str">
        <f>"B20220103123"</f>
        <v>B20220103123</v>
      </c>
      <c r="C5775" s="2" t="str">
        <f t="shared" si="1469"/>
        <v>男</v>
      </c>
      <c r="D5775" s="2" t="str">
        <f>"6"</f>
        <v>6</v>
      </c>
      <c r="E5775" s="2" t="str">
        <f>"土木工程学院"</f>
        <v>土木工程学院</v>
      </c>
    </row>
    <row r="5776" ht="13.5" hidden="1" spans="1:5">
      <c r="A5776" s="2" t="str">
        <f>"段卓"</f>
        <v>段卓</v>
      </c>
      <c r="B5776" s="2" t="str">
        <f>"B20210401320"</f>
        <v>B20210401320</v>
      </c>
      <c r="C5776" s="2" t="str">
        <f t="shared" si="1469"/>
        <v>男</v>
      </c>
      <c r="D5776" s="2" t="str">
        <f>"6"</f>
        <v>6</v>
      </c>
      <c r="E5776" s="2" t="str">
        <f>"电子信息与电气工程学院"</f>
        <v>电子信息与电气工程学院</v>
      </c>
    </row>
    <row r="5777" ht="13.5" hidden="1" spans="1:5">
      <c r="A5777" s="2" t="str">
        <f>"黎庚绵"</f>
        <v>黎庚绵</v>
      </c>
      <c r="B5777" s="2" t="str">
        <f>"B20230205123"</f>
        <v>B20230205123</v>
      </c>
      <c r="C5777" s="2" t="str">
        <f t="shared" si="1469"/>
        <v>男</v>
      </c>
      <c r="D5777" s="2" t="str">
        <f>"6"</f>
        <v>6</v>
      </c>
      <c r="E5777" s="2" t="str">
        <f>"机电工程学院"</f>
        <v>机电工程学院</v>
      </c>
    </row>
    <row r="5778" ht="13.5" hidden="1" spans="1:5">
      <c r="A5778" s="2" t="str">
        <f>"张澎海"</f>
        <v>张澎海</v>
      </c>
      <c r="B5778" s="2" t="str">
        <f>"B20220405114"</f>
        <v>B20220405114</v>
      </c>
      <c r="C5778" s="2" t="str">
        <f t="shared" si="1469"/>
        <v>男</v>
      </c>
      <c r="D5778" s="2" t="str">
        <f>"6"</f>
        <v>6</v>
      </c>
      <c r="E5778" s="2" t="str">
        <f>"电子信息与电气工程学院"</f>
        <v>电子信息与电气工程学院</v>
      </c>
    </row>
    <row r="5779" ht="13.5" hidden="1" spans="1:5">
      <c r="A5779" s="2" t="str">
        <f>"毕文乐"</f>
        <v>毕文乐</v>
      </c>
      <c r="B5779" s="2" t="str">
        <f>"B20230104132"</f>
        <v>B20230104132</v>
      </c>
      <c r="C5779" s="2" t="str">
        <f t="shared" si="1469"/>
        <v>男</v>
      </c>
      <c r="D5779" s="2" t="str">
        <f>"6"</f>
        <v>6</v>
      </c>
      <c r="E5779" s="2" t="str">
        <f>"土木工程学院"</f>
        <v>土木工程学院</v>
      </c>
    </row>
    <row r="5780" ht="13.5" hidden="1" spans="1:5">
      <c r="A5780" s="2" t="str">
        <f>"佘皇"</f>
        <v>佘皇</v>
      </c>
      <c r="B5780" s="2" t="str">
        <f>"B20200703412"</f>
        <v>B20200703412</v>
      </c>
      <c r="C5780" s="2" t="str">
        <f>"男"</f>
        <v>男</v>
      </c>
      <c r="D5780" s="2" t="str">
        <f>"6"</f>
        <v>6</v>
      </c>
      <c r="E5780" s="2" t="str">
        <f>"马栏山新媒体学院"</f>
        <v>马栏山新媒体学院</v>
      </c>
    </row>
    <row r="5781" ht="13.5" hidden="1" spans="1:5">
      <c r="A5781" s="2" t="str">
        <f>"唐茂登"</f>
        <v>唐茂登</v>
      </c>
      <c r="B5781" s="2" t="str">
        <f>"B20230504228"</f>
        <v>B20230504228</v>
      </c>
      <c r="C5781" s="2" t="str">
        <f>"男"</f>
        <v>男</v>
      </c>
      <c r="D5781" s="2" t="str">
        <f>"6"</f>
        <v>6</v>
      </c>
      <c r="E5781" s="2" t="str">
        <f>"生物与化学工程学院"</f>
        <v>生物与化学工程学院</v>
      </c>
    </row>
    <row r="5782" ht="13.5" hidden="1" spans="1:5">
      <c r="A5782" s="2" t="str">
        <f>"周慧"</f>
        <v>周慧</v>
      </c>
      <c r="B5782" s="2" t="str">
        <f>"B20210203128"</f>
        <v>B20210203128</v>
      </c>
      <c r="C5782" s="2" t="str">
        <f>"女"</f>
        <v>女</v>
      </c>
      <c r="D5782" s="2" t="str">
        <f>"6"</f>
        <v>6</v>
      </c>
      <c r="E5782" s="2" t="str">
        <f>"机电工程学院"</f>
        <v>机电工程学院</v>
      </c>
    </row>
    <row r="5783" ht="13.5" hidden="1" spans="1:5">
      <c r="A5783" s="2" t="str">
        <f>"曾旭"</f>
        <v>曾旭</v>
      </c>
      <c r="B5783" s="2" t="str">
        <f>"B20230906128"</f>
        <v>B20230906128</v>
      </c>
      <c r="C5783" s="2" t="str">
        <f>"男"</f>
        <v>男</v>
      </c>
      <c r="D5783" s="2" t="str">
        <f>"6"</f>
        <v>6</v>
      </c>
      <c r="E5783" s="2" t="str">
        <f>"经济与管理学院"</f>
        <v>经济与管理学院</v>
      </c>
    </row>
    <row r="5784" ht="13.5" hidden="1" spans="1:5">
      <c r="A5784" s="2" t="str">
        <f>"丁烨"</f>
        <v>丁烨</v>
      </c>
      <c r="B5784" s="2" t="str">
        <f>"B20220702317"</f>
        <v>B20220702317</v>
      </c>
      <c r="C5784" s="2" t="str">
        <f>"女"</f>
        <v>女</v>
      </c>
      <c r="D5784" s="2" t="str">
        <f>"6"</f>
        <v>6</v>
      </c>
      <c r="E5784" s="2" t="str">
        <f>"马栏山新媒体学院"</f>
        <v>马栏山新媒体学院</v>
      </c>
    </row>
    <row r="5785" ht="13.5" hidden="1" spans="1:5">
      <c r="A5785" s="2" t="str">
        <f>"闫鹏"</f>
        <v>闫鹏</v>
      </c>
      <c r="B5785" s="2" t="str">
        <f>"B20210101325"</f>
        <v>B20210101325</v>
      </c>
      <c r="C5785" s="2" t="str">
        <f>"男"</f>
        <v>男</v>
      </c>
      <c r="D5785" s="2" t="str">
        <f>"6"</f>
        <v>6</v>
      </c>
      <c r="E5785" s="2" t="str">
        <f>"土木工程学院"</f>
        <v>土木工程学院</v>
      </c>
    </row>
    <row r="5786" ht="13.5" hidden="1" spans="1:5">
      <c r="A5786" s="2" t="str">
        <f>"贺诗慧"</f>
        <v>贺诗慧</v>
      </c>
      <c r="B5786" s="2" t="str">
        <f>"B20210901313"</f>
        <v>B20210901313</v>
      </c>
      <c r="C5786" s="2" t="str">
        <f>"女"</f>
        <v>女</v>
      </c>
      <c r="D5786" s="2" t="str">
        <f>"6"</f>
        <v>6</v>
      </c>
      <c r="E5786" s="2" t="str">
        <f>"经济与管理学院"</f>
        <v>经济与管理学院</v>
      </c>
    </row>
    <row r="5787" ht="13.5" hidden="1" spans="1:5">
      <c r="A5787" s="2" t="str">
        <f>"吴健"</f>
        <v>吴健</v>
      </c>
      <c r="B5787" s="2" t="str">
        <f>"B20210203218"</f>
        <v>B20210203218</v>
      </c>
      <c r="C5787" s="2" t="str">
        <f t="shared" ref="C5787:C5793" si="1470">"男"</f>
        <v>男</v>
      </c>
      <c r="D5787" s="2" t="str">
        <f t="shared" ref="D5787:D5805" si="1471">"6"</f>
        <v>6</v>
      </c>
      <c r="E5787" s="2" t="str">
        <f>"机电工程学院"</f>
        <v>机电工程学院</v>
      </c>
    </row>
    <row r="5788" ht="13.5" hidden="1" spans="1:5">
      <c r="A5788" s="2" t="str">
        <f>"王星旭"</f>
        <v>王星旭</v>
      </c>
      <c r="B5788" s="2" t="str">
        <f>"B20220101337"</f>
        <v>B20220101337</v>
      </c>
      <c r="C5788" s="2" t="str">
        <f t="shared" si="1470"/>
        <v>男</v>
      </c>
      <c r="D5788" s="2" t="str">
        <f t="shared" si="1471"/>
        <v>6</v>
      </c>
      <c r="E5788" s="2" t="str">
        <f>"土木工程学院"</f>
        <v>土木工程学院</v>
      </c>
    </row>
    <row r="5789" ht="13.5" hidden="1" spans="1:5">
      <c r="A5789" s="2" t="str">
        <f>"盛杰"</f>
        <v>盛杰</v>
      </c>
      <c r="B5789" s="2" t="str">
        <f>"B20220103218"</f>
        <v>B20220103218</v>
      </c>
      <c r="C5789" s="2" t="str">
        <f t="shared" si="1470"/>
        <v>男</v>
      </c>
      <c r="D5789" s="2" t="str">
        <f t="shared" si="1471"/>
        <v>6</v>
      </c>
      <c r="E5789" s="2" t="str">
        <f>"土木工程学院"</f>
        <v>土木工程学院</v>
      </c>
    </row>
    <row r="5790" ht="13.5" hidden="1" spans="1:5">
      <c r="A5790" s="2" t="str">
        <f>"刘烨"</f>
        <v>刘烨</v>
      </c>
      <c r="B5790" s="2" t="str">
        <f>"B20220204308"</f>
        <v>B20220204308</v>
      </c>
      <c r="C5790" s="2" t="str">
        <f t="shared" si="1470"/>
        <v>男</v>
      </c>
      <c r="D5790" s="2" t="str">
        <f t="shared" si="1471"/>
        <v>6</v>
      </c>
      <c r="E5790" s="2" t="str">
        <f>"机电工程学院"</f>
        <v>机电工程学院</v>
      </c>
    </row>
    <row r="5791" ht="13.5" hidden="1" spans="1:5">
      <c r="A5791" s="2" t="str">
        <f>"吴文涛"</f>
        <v>吴文涛</v>
      </c>
      <c r="B5791" s="2" t="str">
        <f>"B20231002405"</f>
        <v>B20231002405</v>
      </c>
      <c r="C5791" s="2" t="str">
        <f t="shared" si="1470"/>
        <v>男</v>
      </c>
      <c r="D5791" s="2" t="str">
        <f t="shared" si="1471"/>
        <v>6</v>
      </c>
      <c r="E5791" s="2" t="str">
        <f>"艺术设计学院"</f>
        <v>艺术设计学院</v>
      </c>
    </row>
    <row r="5792" ht="13.5" hidden="1" spans="1:5">
      <c r="A5792" s="2" t="str">
        <f>"唐宇廷"</f>
        <v>唐宇廷</v>
      </c>
      <c r="B5792" s="2" t="str">
        <f>"B20220404118"</f>
        <v>B20220404118</v>
      </c>
      <c r="C5792" s="2" t="str">
        <f t="shared" si="1470"/>
        <v>男</v>
      </c>
      <c r="D5792" s="2" t="str">
        <f t="shared" si="1471"/>
        <v>6</v>
      </c>
      <c r="E5792" s="2" t="str">
        <f>"电子信息与电气工程学院"</f>
        <v>电子信息与电气工程学院</v>
      </c>
    </row>
    <row r="5793" ht="13.5" hidden="1" spans="1:5">
      <c r="A5793" s="2" t="str">
        <f>"张岱松"</f>
        <v>张岱松</v>
      </c>
      <c r="B5793" s="2" t="str">
        <f>"B20230703212"</f>
        <v>B20230703212</v>
      </c>
      <c r="C5793" s="2" t="str">
        <f t="shared" si="1470"/>
        <v>男</v>
      </c>
      <c r="D5793" s="2" t="str">
        <f t="shared" si="1471"/>
        <v>6</v>
      </c>
      <c r="E5793" s="2" t="str">
        <f>"马栏山新媒体学院"</f>
        <v>马栏山新媒体学院</v>
      </c>
    </row>
    <row r="5794" ht="13.5" hidden="1" spans="1:5">
      <c r="A5794" s="2" t="str">
        <f>"宋秀菲"</f>
        <v>宋秀菲</v>
      </c>
      <c r="B5794" s="2" t="str">
        <f>"B20220702203"</f>
        <v>B20220702203</v>
      </c>
      <c r="C5794" s="2" t="str">
        <f t="shared" ref="C5794:C5797" si="1472">"女"</f>
        <v>女</v>
      </c>
      <c r="D5794" s="2" t="str">
        <f t="shared" si="1471"/>
        <v>6</v>
      </c>
      <c r="E5794" s="2" t="str">
        <f>"马栏山新媒体学院"</f>
        <v>马栏山新媒体学院</v>
      </c>
    </row>
    <row r="5795" ht="13.5" hidden="1" spans="1:5">
      <c r="A5795" s="2" t="str">
        <f>"杨明哲"</f>
        <v>杨明哲</v>
      </c>
      <c r="B5795" s="2" t="str">
        <f>"B20230101429"</f>
        <v>B20230101429</v>
      </c>
      <c r="C5795" s="2" t="str">
        <f t="shared" ref="C5795:C5800" si="1473">"男"</f>
        <v>男</v>
      </c>
      <c r="D5795" s="2" t="str">
        <f t="shared" si="1471"/>
        <v>6</v>
      </c>
      <c r="E5795" s="2" t="str">
        <f>"土木工程学院"</f>
        <v>土木工程学院</v>
      </c>
    </row>
    <row r="5796" ht="13.5" hidden="1" spans="1:5">
      <c r="A5796" s="2" t="str">
        <f>"黄金旺"</f>
        <v>黄金旺</v>
      </c>
      <c r="B5796" s="2" t="str">
        <f>"B20210902128"</f>
        <v>B20210902128</v>
      </c>
      <c r="C5796" s="2" t="str">
        <f t="shared" si="1472"/>
        <v>女</v>
      </c>
      <c r="D5796" s="2" t="str">
        <f t="shared" si="1471"/>
        <v>6</v>
      </c>
      <c r="E5796" s="2" t="str">
        <f t="shared" ref="E5796:E5800" si="1474">"经济与管理学院"</f>
        <v>经济与管理学院</v>
      </c>
    </row>
    <row r="5797" ht="13.5" hidden="1" spans="1:5">
      <c r="A5797" s="2" t="str">
        <f>"廖叶叶"</f>
        <v>廖叶叶</v>
      </c>
      <c r="B5797" s="2" t="str">
        <f>"B20210904336"</f>
        <v>B20210904336</v>
      </c>
      <c r="C5797" s="2" t="str">
        <f t="shared" si="1472"/>
        <v>女</v>
      </c>
      <c r="D5797" s="2" t="str">
        <f t="shared" si="1471"/>
        <v>6</v>
      </c>
      <c r="E5797" s="2" t="str">
        <f t="shared" si="1474"/>
        <v>经济与管理学院</v>
      </c>
    </row>
    <row r="5798" ht="13.5" hidden="1" spans="1:5">
      <c r="A5798" s="2" t="str">
        <f>"漆洋"</f>
        <v>漆洋</v>
      </c>
      <c r="B5798" s="2" t="str">
        <f>"B20220202301"</f>
        <v>B20220202301</v>
      </c>
      <c r="C5798" s="2" t="str">
        <f t="shared" si="1473"/>
        <v>男</v>
      </c>
      <c r="D5798" s="2" t="str">
        <f t="shared" si="1471"/>
        <v>6</v>
      </c>
      <c r="E5798" s="2" t="str">
        <f>"机电工程学院"</f>
        <v>机电工程学院</v>
      </c>
    </row>
    <row r="5799" ht="13.5" hidden="1" spans="1:5">
      <c r="A5799" s="2" t="str">
        <f>"袁博彬"</f>
        <v>袁博彬</v>
      </c>
      <c r="B5799" s="2" t="str">
        <f>"B20210401205"</f>
        <v>B20210401205</v>
      </c>
      <c r="C5799" s="2" t="str">
        <f t="shared" si="1473"/>
        <v>男</v>
      </c>
      <c r="D5799" s="2" t="str">
        <f t="shared" si="1471"/>
        <v>6</v>
      </c>
      <c r="E5799" s="2" t="str">
        <f>"电子信息与电气工程学院"</f>
        <v>电子信息与电气工程学院</v>
      </c>
    </row>
    <row r="5800" ht="13.5" hidden="1" spans="1:5">
      <c r="A5800" s="2" t="str">
        <f>"段端"</f>
        <v>段端</v>
      </c>
      <c r="B5800" s="2" t="str">
        <f>"B20230904216"</f>
        <v>B20230904216</v>
      </c>
      <c r="C5800" s="2" t="str">
        <f t="shared" si="1473"/>
        <v>男</v>
      </c>
      <c r="D5800" s="2" t="str">
        <f t="shared" si="1471"/>
        <v>6</v>
      </c>
      <c r="E5800" s="2" t="str">
        <f t="shared" si="1474"/>
        <v>经济与管理学院</v>
      </c>
    </row>
    <row r="5801" ht="13.5" hidden="1" spans="1:5">
      <c r="A5801" s="2" t="str">
        <f>"陈紫妍"</f>
        <v>陈紫妍</v>
      </c>
      <c r="B5801" s="2" t="str">
        <f>"B20221003103"</f>
        <v>B20221003103</v>
      </c>
      <c r="C5801" s="2" t="str">
        <f t="shared" ref="C5801:C5807" si="1475">"女"</f>
        <v>女</v>
      </c>
      <c r="D5801" s="2" t="str">
        <f t="shared" si="1471"/>
        <v>6</v>
      </c>
      <c r="E5801" s="2" t="str">
        <f>"艺术设计学院"</f>
        <v>艺术设计学院</v>
      </c>
    </row>
    <row r="5802" ht="13.5" hidden="1" spans="1:5">
      <c r="A5802" s="2" t="str">
        <f>"曲鑫悦"</f>
        <v>曲鑫悦</v>
      </c>
      <c r="B5802" s="2" t="str">
        <f>"B20230601326"</f>
        <v>B20230601326</v>
      </c>
      <c r="C5802" s="2" t="str">
        <f t="shared" si="1475"/>
        <v>女</v>
      </c>
      <c r="D5802" s="2" t="str">
        <f t="shared" si="1471"/>
        <v>6</v>
      </c>
      <c r="E5802" s="2" t="str">
        <f>"法学院"</f>
        <v>法学院</v>
      </c>
    </row>
    <row r="5803" ht="13.5" hidden="1" spans="1:5">
      <c r="A5803" s="2" t="str">
        <f>"解昕"</f>
        <v>解昕</v>
      </c>
      <c r="B5803" s="2" t="str">
        <f>"B20220201318"</f>
        <v>B20220201318</v>
      </c>
      <c r="C5803" s="2" t="str">
        <f t="shared" ref="C5803:C5808" si="1476">"男"</f>
        <v>男</v>
      </c>
      <c r="D5803" s="2" t="str">
        <f t="shared" si="1471"/>
        <v>6</v>
      </c>
      <c r="E5803" s="2" t="str">
        <f t="shared" ref="E5803:E5808" si="1477">"机电工程学院"</f>
        <v>机电工程学院</v>
      </c>
    </row>
    <row r="5804" ht="13.5" hidden="1" spans="1:5">
      <c r="A5804" s="2" t="str">
        <f>"张雷"</f>
        <v>张雷</v>
      </c>
      <c r="B5804" s="2" t="str">
        <f>"B20230204115"</f>
        <v>B20230204115</v>
      </c>
      <c r="C5804" s="2" t="str">
        <f t="shared" si="1476"/>
        <v>男</v>
      </c>
      <c r="D5804" s="2" t="str">
        <f t="shared" si="1471"/>
        <v>6</v>
      </c>
      <c r="E5804" s="2" t="str">
        <f t="shared" si="1477"/>
        <v>机电工程学院</v>
      </c>
    </row>
    <row r="5805" ht="13.5" hidden="1" spans="1:5">
      <c r="A5805" s="2" t="str">
        <f>"王语娴"</f>
        <v>王语娴</v>
      </c>
      <c r="B5805" s="2" t="str">
        <f>"B20230901338"</f>
        <v>B20230901338</v>
      </c>
      <c r="C5805" s="2" t="str">
        <f t="shared" si="1475"/>
        <v>女</v>
      </c>
      <c r="D5805" s="2" t="str">
        <f t="shared" si="1471"/>
        <v>6</v>
      </c>
      <c r="E5805" s="2" t="str">
        <f t="shared" ref="E5805:E5807" si="1478">"经济与管理学院"</f>
        <v>经济与管理学院</v>
      </c>
    </row>
    <row r="5806" ht="13.5" hidden="1" spans="1:5">
      <c r="A5806" s="2" t="str">
        <f>"张凯雯"</f>
        <v>张凯雯</v>
      </c>
      <c r="B5806" s="2" t="str">
        <f>"B20230902332"</f>
        <v>B20230902332</v>
      </c>
      <c r="C5806" s="2" t="str">
        <f t="shared" si="1475"/>
        <v>女</v>
      </c>
      <c r="D5806" s="2" t="str">
        <f>"6"</f>
        <v>6</v>
      </c>
      <c r="E5806" s="2" t="str">
        <f t="shared" si="1478"/>
        <v>经济与管理学院</v>
      </c>
    </row>
    <row r="5807" ht="13.5" hidden="1" spans="1:5">
      <c r="A5807" s="2" t="str">
        <f>"贺庆"</f>
        <v>贺庆</v>
      </c>
      <c r="B5807" s="2" t="str">
        <f>"B20210902431"</f>
        <v>B20210902431</v>
      </c>
      <c r="C5807" s="2" t="str">
        <f t="shared" si="1475"/>
        <v>女</v>
      </c>
      <c r="D5807" s="2" t="str">
        <f>"6"</f>
        <v>6</v>
      </c>
      <c r="E5807" s="2" t="str">
        <f t="shared" si="1478"/>
        <v>经济与管理学院</v>
      </c>
    </row>
    <row r="5808" ht="13.5" hidden="1" spans="1:5">
      <c r="A5808" s="2" t="str">
        <f>"黄锐"</f>
        <v>黄锐</v>
      </c>
      <c r="B5808" s="2" t="str">
        <f>"B20210201416"</f>
        <v>B20210201416</v>
      </c>
      <c r="C5808" s="2" t="str">
        <f t="shared" si="1476"/>
        <v>男</v>
      </c>
      <c r="D5808" s="2" t="str">
        <f>"6"</f>
        <v>6</v>
      </c>
      <c r="E5808" s="2" t="str">
        <f t="shared" si="1477"/>
        <v>机电工程学院</v>
      </c>
    </row>
    <row r="5809" ht="13.5" hidden="1" spans="1:5">
      <c r="A5809" s="2" t="str">
        <f>"武金瑶"</f>
        <v>武金瑶</v>
      </c>
      <c r="B5809" s="2" t="str">
        <f>"B20230701234"</f>
        <v>B20230701234</v>
      </c>
      <c r="C5809" s="2" t="str">
        <f>"女"</f>
        <v>女</v>
      </c>
      <c r="D5809" s="2" t="str">
        <f>"6"</f>
        <v>6</v>
      </c>
      <c r="E5809" s="2" t="str">
        <f>"马栏山新媒体学院"</f>
        <v>马栏山新媒体学院</v>
      </c>
    </row>
    <row r="5810" ht="13.5" hidden="1" spans="1:5">
      <c r="A5810" s="2" t="str">
        <f>"谌世倡"</f>
        <v>谌世倡</v>
      </c>
      <c r="B5810" s="2" t="str">
        <f>"B20230905114"</f>
        <v>B20230905114</v>
      </c>
      <c r="C5810" s="2" t="str">
        <f t="shared" ref="C5810:C5814" si="1479">"男"</f>
        <v>男</v>
      </c>
      <c r="D5810" s="2" t="str">
        <f>"6"</f>
        <v>6</v>
      </c>
      <c r="E5810" s="2" t="str">
        <f>"经济与管理学院"</f>
        <v>经济与管理学院</v>
      </c>
    </row>
    <row r="5811" ht="13.5" hidden="1" spans="1:5">
      <c r="A5811" s="2" t="str">
        <f>"桂艳萍"</f>
        <v>桂艳萍</v>
      </c>
      <c r="B5811" s="2" t="str">
        <f>"B20210102119"</f>
        <v>B20210102119</v>
      </c>
      <c r="C5811" s="2" t="str">
        <f t="shared" ref="C5811:C5816" si="1480">"女"</f>
        <v>女</v>
      </c>
      <c r="D5811" s="2" t="str">
        <f>"6"</f>
        <v>6</v>
      </c>
      <c r="E5811" s="2" t="str">
        <f t="shared" ref="E5811:E5813" si="1481">"土木工程学院"</f>
        <v>土木工程学院</v>
      </c>
    </row>
    <row r="5812" ht="13.5" hidden="1" spans="1:5">
      <c r="A5812" s="2" t="str">
        <f>"钟世为"</f>
        <v>钟世为</v>
      </c>
      <c r="B5812" s="2" t="str">
        <f>"B20230104229"</f>
        <v>B20230104229</v>
      </c>
      <c r="C5812" s="2" t="str">
        <f t="shared" si="1479"/>
        <v>男</v>
      </c>
      <c r="D5812" s="2" t="str">
        <f>"6"</f>
        <v>6</v>
      </c>
      <c r="E5812" s="2" t="str">
        <f t="shared" si="1481"/>
        <v>土木工程学院</v>
      </c>
    </row>
    <row r="5813" ht="13.5" hidden="1" spans="1:5">
      <c r="A5813" s="2" t="str">
        <f>"安然"</f>
        <v>安然</v>
      </c>
      <c r="B5813" s="2" t="str">
        <f>"B20230101628"</f>
        <v>B20230101628</v>
      </c>
      <c r="C5813" s="2" t="str">
        <f t="shared" si="1479"/>
        <v>男</v>
      </c>
      <c r="D5813" s="2" t="str">
        <f>"6"</f>
        <v>6</v>
      </c>
      <c r="E5813" s="2" t="str">
        <f t="shared" si="1481"/>
        <v>土木工程学院</v>
      </c>
    </row>
    <row r="5814" ht="13.5" hidden="1" spans="1:5">
      <c r="A5814" s="2" t="str">
        <f>"赵子赫"</f>
        <v>赵子赫</v>
      </c>
      <c r="B5814" s="2" t="str">
        <f>"B20230401321"</f>
        <v>B20230401321</v>
      </c>
      <c r="C5814" s="2" t="str">
        <f t="shared" si="1479"/>
        <v>男</v>
      </c>
      <c r="D5814" s="2" t="str">
        <f>"6"</f>
        <v>6</v>
      </c>
      <c r="E5814" s="2" t="str">
        <f>"电子信息与电气工程学院"</f>
        <v>电子信息与电气工程学院</v>
      </c>
    </row>
    <row r="5815" ht="13.5" hidden="1" spans="1:5">
      <c r="A5815" s="2" t="str">
        <f>"李曦淼"</f>
        <v>李曦淼</v>
      </c>
      <c r="B5815" s="2" t="str">
        <f>"B20210802108"</f>
        <v>B20210802108</v>
      </c>
      <c r="C5815" s="2" t="str">
        <f t="shared" si="1480"/>
        <v>女</v>
      </c>
      <c r="D5815" s="2" t="str">
        <f>"6"</f>
        <v>6</v>
      </c>
      <c r="E5815" s="2" t="str">
        <f>"外国语学院"</f>
        <v>外国语学院</v>
      </c>
    </row>
    <row r="5816" ht="13.5" hidden="1" spans="1:5">
      <c r="A5816" s="2" t="str">
        <f>"舒睿子"</f>
        <v>舒睿子</v>
      </c>
      <c r="B5816" s="2" t="str">
        <f>"B20200801322"</f>
        <v>B20200801322</v>
      </c>
      <c r="C5816" s="2" t="str">
        <f t="shared" si="1480"/>
        <v>女</v>
      </c>
      <c r="D5816" s="2" t="str">
        <f>"6"</f>
        <v>6</v>
      </c>
      <c r="E5816" s="2" t="str">
        <f>"外国语学院"</f>
        <v>外国语学院</v>
      </c>
    </row>
    <row r="5817" ht="13.5" hidden="1" spans="1:5">
      <c r="A5817" s="2" t="str">
        <f>"孙红玉"</f>
        <v>孙红玉</v>
      </c>
      <c r="B5817" s="2" t="str">
        <f>"B20210906120"</f>
        <v>B20210906120</v>
      </c>
      <c r="C5817" s="2" t="str">
        <f>"女"</f>
        <v>女</v>
      </c>
      <c r="D5817" s="2" t="str">
        <f>"6"</f>
        <v>6</v>
      </c>
      <c r="E5817" s="2" t="str">
        <f>"经济与管理学院"</f>
        <v>经济与管理学院</v>
      </c>
    </row>
    <row r="5818" ht="13.5" hidden="1" spans="1:5">
      <c r="A5818" s="2" t="str">
        <f>"陈婧瑜"</f>
        <v>陈婧瑜</v>
      </c>
      <c r="B5818" s="2" t="str">
        <f>"B20210601307"</f>
        <v>B20210601307</v>
      </c>
      <c r="C5818" s="2" t="str">
        <f>"女"</f>
        <v>女</v>
      </c>
      <c r="D5818" s="2" t="str">
        <f>"6"</f>
        <v>6</v>
      </c>
      <c r="E5818" s="2" t="str">
        <f t="shared" ref="E5818:E5822" si="1482">"法学院"</f>
        <v>法学院</v>
      </c>
    </row>
    <row r="5819" ht="13.5" hidden="1" spans="1:5">
      <c r="A5819" s="2" t="str">
        <f>"张美星"</f>
        <v>张美星</v>
      </c>
      <c r="B5819" s="2" t="str">
        <f>"B20220504401"</f>
        <v>B20220504401</v>
      </c>
      <c r="C5819" s="2" t="str">
        <f>"女"</f>
        <v>女</v>
      </c>
      <c r="D5819" s="2" t="str">
        <f>"6"</f>
        <v>6</v>
      </c>
      <c r="E5819" s="2" t="str">
        <f>"生物与化学工程学院"</f>
        <v>生物与化学工程学院</v>
      </c>
    </row>
    <row r="5820" ht="13.5" hidden="1" spans="1:5">
      <c r="A5820" s="2" t="str">
        <f>"刘玉铃"</f>
        <v>刘玉铃</v>
      </c>
      <c r="B5820" s="2" t="str">
        <f>"B20230601125"</f>
        <v>B20230601125</v>
      </c>
      <c r="C5820" s="2" t="str">
        <f>"女"</f>
        <v>女</v>
      </c>
      <c r="D5820" s="2" t="str">
        <f>"6"</f>
        <v>6</v>
      </c>
      <c r="E5820" s="2" t="str">
        <f t="shared" si="1482"/>
        <v>法学院</v>
      </c>
    </row>
    <row r="5821" ht="13.5" hidden="1" spans="1:5">
      <c r="A5821" s="2" t="str">
        <f>"罗莹莹"</f>
        <v>罗莹莹</v>
      </c>
      <c r="B5821" s="2" t="str">
        <f>"B20210504211"</f>
        <v>B20210504211</v>
      </c>
      <c r="C5821" s="2" t="str">
        <f>"女"</f>
        <v>女</v>
      </c>
      <c r="D5821" s="2" t="str">
        <f>"6"</f>
        <v>6</v>
      </c>
      <c r="E5821" s="2" t="str">
        <f>"生物与化学工程学院"</f>
        <v>生物与化学工程学院</v>
      </c>
    </row>
    <row r="5822" ht="13.5" hidden="1" spans="1:5">
      <c r="A5822" s="2" t="str">
        <f>"邓伟龙"</f>
        <v>邓伟龙</v>
      </c>
      <c r="B5822" s="2" t="str">
        <f>"B20220601505"</f>
        <v>B20220601505</v>
      </c>
      <c r="C5822" s="2" t="str">
        <f t="shared" ref="C5822:C5827" si="1483">"男"</f>
        <v>男</v>
      </c>
      <c r="D5822" s="2" t="str">
        <f>"6"</f>
        <v>6</v>
      </c>
      <c r="E5822" s="2" t="str">
        <f t="shared" si="1482"/>
        <v>法学院</v>
      </c>
    </row>
    <row r="5823" ht="13.5" hidden="1" spans="1:5">
      <c r="A5823" s="2" t="str">
        <f>"陈跃升"</f>
        <v>陈跃升</v>
      </c>
      <c r="B5823" s="2" t="str">
        <f>"B20230401106"</f>
        <v>B20230401106</v>
      </c>
      <c r="C5823" s="2" t="str">
        <f t="shared" si="1483"/>
        <v>男</v>
      </c>
      <c r="D5823" s="2" t="str">
        <f>"6"</f>
        <v>6</v>
      </c>
      <c r="E5823" s="2" t="str">
        <f>"电子信息与电气工程学院"</f>
        <v>电子信息与电气工程学院</v>
      </c>
    </row>
    <row r="5824" ht="13.5" hidden="1" spans="1:5">
      <c r="A5824" s="2" t="str">
        <f>"刘翀"</f>
        <v>刘翀</v>
      </c>
      <c r="B5824" s="2" t="str">
        <f>"B20230201302"</f>
        <v>B20230201302</v>
      </c>
      <c r="C5824" s="2" t="str">
        <f t="shared" si="1483"/>
        <v>男</v>
      </c>
      <c r="D5824" s="2" t="str">
        <f>"6"</f>
        <v>6</v>
      </c>
      <c r="E5824" s="2" t="str">
        <f>"机电工程学院"</f>
        <v>机电工程学院</v>
      </c>
    </row>
    <row r="5825" ht="13.5" hidden="1" spans="1:5">
      <c r="A5825" s="2" t="str">
        <f>"周立飞"</f>
        <v>周立飞</v>
      </c>
      <c r="B5825" s="2" t="str">
        <f>"B20230802135"</f>
        <v>B20230802135</v>
      </c>
      <c r="C5825" s="2" t="str">
        <f t="shared" si="1483"/>
        <v>男</v>
      </c>
      <c r="D5825" s="2" t="str">
        <f>"6"</f>
        <v>6</v>
      </c>
      <c r="E5825" s="2" t="str">
        <f>"外国语学院"</f>
        <v>外国语学院</v>
      </c>
    </row>
    <row r="5826" ht="13.5" hidden="1" spans="1:5">
      <c r="A5826" s="2" t="str">
        <f>"王梓烨"</f>
        <v>王梓烨</v>
      </c>
      <c r="B5826" s="2" t="str">
        <f>"B20220601320"</f>
        <v>B20220601320</v>
      </c>
      <c r="C5826" s="2" t="str">
        <f t="shared" si="1483"/>
        <v>男</v>
      </c>
      <c r="D5826" s="2" t="str">
        <f>"6"</f>
        <v>6</v>
      </c>
      <c r="E5826" s="2" t="str">
        <f>"法学院"</f>
        <v>法学院</v>
      </c>
    </row>
    <row r="5827" ht="13.5" hidden="1" spans="1:5">
      <c r="A5827" s="2" t="str">
        <f>"吴皓帆"</f>
        <v>吴皓帆</v>
      </c>
      <c r="B5827" s="2" t="str">
        <f>"B20230404119"</f>
        <v>B20230404119</v>
      </c>
      <c r="C5827" s="2" t="str">
        <f t="shared" si="1483"/>
        <v>男</v>
      </c>
      <c r="D5827" s="2" t="str">
        <f>"6"</f>
        <v>6</v>
      </c>
      <c r="E5827" s="2" t="str">
        <f>"电子信息与电气工程学院"</f>
        <v>电子信息与电气工程学院</v>
      </c>
    </row>
    <row r="5828" ht="13.5" hidden="1" spans="1:5">
      <c r="A5828" s="2" t="str">
        <f>"刘湘凤"</f>
        <v>刘湘凤</v>
      </c>
      <c r="B5828" s="2" t="str">
        <f>"B20210905221"</f>
        <v>B20210905221</v>
      </c>
      <c r="C5828" s="2" t="str">
        <f t="shared" ref="C5828:C5830" si="1484">"女"</f>
        <v>女</v>
      </c>
      <c r="D5828" s="2" t="str">
        <f>"6"</f>
        <v>6</v>
      </c>
      <c r="E5828" s="2" t="str">
        <f>"经济与管理学院"</f>
        <v>经济与管理学院</v>
      </c>
    </row>
    <row r="5829" ht="13.5" hidden="1" spans="1:5">
      <c r="A5829" s="2" t="str">
        <f>"江蕙娟"</f>
        <v>江蕙娟</v>
      </c>
      <c r="B5829" s="2" t="str">
        <f>"B20211004214"</f>
        <v>B20211004214</v>
      </c>
      <c r="C5829" s="2" t="str">
        <f t="shared" si="1484"/>
        <v>女</v>
      </c>
      <c r="D5829" s="2" t="str">
        <f>"6"</f>
        <v>6</v>
      </c>
      <c r="E5829" s="2" t="str">
        <f>"艺术设计学院"</f>
        <v>艺术设计学院</v>
      </c>
    </row>
    <row r="5830" ht="13.5" hidden="1" spans="1:5">
      <c r="A5830" s="2" t="str">
        <f>"吕琴"</f>
        <v>吕琴</v>
      </c>
      <c r="B5830" s="2" t="str">
        <f>"B20210505230"</f>
        <v>B20210505230</v>
      </c>
      <c r="C5830" s="2" t="str">
        <f t="shared" si="1484"/>
        <v>女</v>
      </c>
      <c r="D5830" s="2" t="str">
        <f>"6"</f>
        <v>6</v>
      </c>
      <c r="E5830" s="2" t="str">
        <f>"材料与环境工程学院"</f>
        <v>材料与环境工程学院</v>
      </c>
    </row>
    <row r="5831" ht="13.5" hidden="1" spans="1:5">
      <c r="A5831" s="2" t="str">
        <f>"黄明"</f>
        <v>黄明</v>
      </c>
      <c r="B5831" s="2" t="str">
        <f>"B20230402109"</f>
        <v>B20230402109</v>
      </c>
      <c r="C5831" s="2" t="str">
        <f>"男"</f>
        <v>男</v>
      </c>
      <c r="D5831" s="2" t="str">
        <f>"6"</f>
        <v>6</v>
      </c>
      <c r="E5831" s="2" t="str">
        <f>"电子信息与电气工程学院"</f>
        <v>电子信息与电气工程学院</v>
      </c>
    </row>
    <row r="5832" ht="13.5" hidden="1" spans="1:5">
      <c r="A5832" s="2" t="str">
        <f>"谭佳慧"</f>
        <v>谭佳慧</v>
      </c>
      <c r="B5832" s="2" t="str">
        <f>"B20230601520"</f>
        <v>B20230601520</v>
      </c>
      <c r="C5832" s="2" t="str">
        <f>"女"</f>
        <v>女</v>
      </c>
      <c r="D5832" s="2" t="str">
        <f>"6"</f>
        <v>6</v>
      </c>
      <c r="E5832" s="2" t="str">
        <f>"法学院"</f>
        <v>法学院</v>
      </c>
    </row>
    <row r="5833" ht="13.5" hidden="1" spans="1:5">
      <c r="A5833" s="2" t="str">
        <f>"吴佳怡"</f>
        <v>吴佳怡</v>
      </c>
      <c r="B5833" s="2" t="str">
        <f>"B20200701201"</f>
        <v>B20200701201</v>
      </c>
      <c r="C5833" s="2" t="str">
        <f>"女"</f>
        <v>女</v>
      </c>
      <c r="D5833" s="2" t="str">
        <f>"6"</f>
        <v>6</v>
      </c>
      <c r="E5833" s="2" t="str">
        <f>"马栏山新媒体学院"</f>
        <v>马栏山新媒体学院</v>
      </c>
    </row>
    <row r="5834" ht="13.5" hidden="1" spans="1:5">
      <c r="A5834" s="2" t="str">
        <f>"胡颖"</f>
        <v>胡颖</v>
      </c>
      <c r="B5834" s="2" t="str">
        <f>"B20200401326"</f>
        <v>B20200401326</v>
      </c>
      <c r="C5834" s="2" t="str">
        <f>"男"</f>
        <v>男</v>
      </c>
      <c r="D5834" s="2" t="str">
        <f>"6"</f>
        <v>6</v>
      </c>
      <c r="E5834" s="2" t="str">
        <f>"电子信息与电气工程学院"</f>
        <v>电子信息与电气工程学院</v>
      </c>
    </row>
    <row r="5835" ht="13.5" hidden="1" spans="1:5">
      <c r="A5835" s="2" t="str">
        <f>"惠开婧"</f>
        <v>惠开婧</v>
      </c>
      <c r="B5835" s="2" t="str">
        <f>"B20230504416"</f>
        <v>B20230504416</v>
      </c>
      <c r="C5835" s="2" t="str">
        <f>"女"</f>
        <v>女</v>
      </c>
      <c r="D5835" s="2" t="str">
        <f>"6"</f>
        <v>6</v>
      </c>
      <c r="E5835" s="2" t="str">
        <f>"生物与化学工程学院"</f>
        <v>生物与化学工程学院</v>
      </c>
    </row>
    <row r="5836" ht="13.5" hidden="1" spans="1:5">
      <c r="A5836" s="2" t="str">
        <f>"王芷嫣"</f>
        <v>王芷嫣</v>
      </c>
      <c r="B5836" s="2" t="str">
        <f>"B20230701304"</f>
        <v>B20230701304</v>
      </c>
      <c r="C5836" s="2" t="str">
        <f>"女"</f>
        <v>女</v>
      </c>
      <c r="D5836" s="2" t="str">
        <f>"6"</f>
        <v>6</v>
      </c>
      <c r="E5836" s="2" t="str">
        <f>"马栏山新媒体学院"</f>
        <v>马栏山新媒体学院</v>
      </c>
    </row>
    <row r="5837" ht="13.5" hidden="1" spans="1:5">
      <c r="A5837" s="2" t="str">
        <f>"邓利斌"</f>
        <v>邓利斌</v>
      </c>
      <c r="B5837" s="2" t="str">
        <f>"B20200201310"</f>
        <v>B20200201310</v>
      </c>
      <c r="C5837" s="2" t="str">
        <f t="shared" ref="C5837:C5839" si="1485">"男"</f>
        <v>男</v>
      </c>
      <c r="D5837" s="2" t="str">
        <f>"6"</f>
        <v>6</v>
      </c>
      <c r="E5837" s="2" t="str">
        <f>"机电工程学院"</f>
        <v>机电工程学院</v>
      </c>
    </row>
    <row r="5838" ht="13.5" hidden="1" spans="1:5">
      <c r="A5838" s="2" t="str">
        <f>"王伟"</f>
        <v>王伟</v>
      </c>
      <c r="B5838" s="2" t="str">
        <f>"B20210404210"</f>
        <v>B20210404210</v>
      </c>
      <c r="C5838" s="2" t="str">
        <f t="shared" si="1485"/>
        <v>男</v>
      </c>
      <c r="D5838" s="2" t="str">
        <f>"6"</f>
        <v>6</v>
      </c>
      <c r="E5838" s="2" t="str">
        <f>"电子信息与电气工程学院"</f>
        <v>电子信息与电气工程学院</v>
      </c>
    </row>
    <row r="5839" ht="13.5" hidden="1" spans="1:5">
      <c r="A5839" s="2" t="str">
        <f>"陈炳林"</f>
        <v>陈炳林</v>
      </c>
      <c r="B5839" s="2" t="str">
        <f>"B20200101315"</f>
        <v>B20200101315</v>
      </c>
      <c r="C5839" s="2" t="str">
        <f t="shared" si="1485"/>
        <v>男</v>
      </c>
      <c r="D5839" s="2" t="str">
        <f>"6"</f>
        <v>6</v>
      </c>
      <c r="E5839" s="2" t="str">
        <f>"土木工程学院"</f>
        <v>土木工程学院</v>
      </c>
    </row>
    <row r="5840" ht="13.5" hidden="1" spans="1:5">
      <c r="A5840" s="2" t="str">
        <f>"姜晓莹"</f>
        <v>姜晓莹</v>
      </c>
      <c r="B5840" s="2" t="str">
        <f>"B20211003122"</f>
        <v>B20211003122</v>
      </c>
      <c r="C5840" s="2" t="str">
        <f>"女"</f>
        <v>女</v>
      </c>
      <c r="D5840" s="2" t="str">
        <f>"6"</f>
        <v>6</v>
      </c>
      <c r="E5840" s="2" t="str">
        <f>"艺术设计学院"</f>
        <v>艺术设计学院</v>
      </c>
    </row>
    <row r="5841" ht="13.5" hidden="1" spans="1:5">
      <c r="A5841" s="2" t="str">
        <f>"张思琪"</f>
        <v>张思琪</v>
      </c>
      <c r="B5841" s="2" t="str">
        <f>"B20220601422"</f>
        <v>B20220601422</v>
      </c>
      <c r="C5841" s="2" t="str">
        <f>"女"</f>
        <v>女</v>
      </c>
      <c r="D5841" s="2" t="str">
        <f>"6"</f>
        <v>6</v>
      </c>
      <c r="E5841" s="2" t="str">
        <f>"法学院"</f>
        <v>法学院</v>
      </c>
    </row>
    <row r="5842" ht="13.5" hidden="1" spans="1:5">
      <c r="A5842" s="2" t="str">
        <f>"吴颖"</f>
        <v>吴颖</v>
      </c>
      <c r="B5842" s="2" t="str">
        <f>"B20220905126"</f>
        <v>B20220905126</v>
      </c>
      <c r="C5842" s="2" t="str">
        <f>"女"</f>
        <v>女</v>
      </c>
      <c r="D5842" s="2" t="str">
        <f>"6"</f>
        <v>6</v>
      </c>
      <c r="E5842" s="2" t="str">
        <f>"经济与管理学院"</f>
        <v>经济与管理学院</v>
      </c>
    </row>
    <row r="5843" ht="13.5" hidden="1" spans="1:5">
      <c r="A5843" s="2" t="str">
        <f>"陆魁"</f>
        <v>陆魁</v>
      </c>
      <c r="B5843" s="2" t="str">
        <f>"B20210601419"</f>
        <v>B20210601419</v>
      </c>
      <c r="C5843" s="2" t="str">
        <f>"男"</f>
        <v>男</v>
      </c>
      <c r="D5843" s="2" t="str">
        <f>"6"</f>
        <v>6</v>
      </c>
      <c r="E5843" s="2" t="str">
        <f>"法学院"</f>
        <v>法学院</v>
      </c>
    </row>
    <row r="5844" ht="13.5" hidden="1" spans="1:5">
      <c r="A5844" s="2" t="str">
        <f>"谢琳荣"</f>
        <v>谢琳荣</v>
      </c>
      <c r="B5844" s="2" t="str">
        <f>"B20231101222"</f>
        <v>B20231101222</v>
      </c>
      <c r="C5844" s="2" t="str">
        <f>"女"</f>
        <v>女</v>
      </c>
      <c r="D5844" s="2" t="str">
        <f>"6"</f>
        <v>6</v>
      </c>
      <c r="E5844" s="2" t="str">
        <f>"音乐学院"</f>
        <v>音乐学院</v>
      </c>
    </row>
    <row r="5845" ht="13.5" hidden="1" spans="1:5">
      <c r="A5845" s="2" t="str">
        <f>"王瑀彤"</f>
        <v>王瑀彤</v>
      </c>
      <c r="B5845" s="2" t="str">
        <f>"B20231003101"</f>
        <v>B20231003101</v>
      </c>
      <c r="C5845" s="2" t="str">
        <f>"女"</f>
        <v>女</v>
      </c>
      <c r="D5845" s="2" t="str">
        <f>"6"</f>
        <v>6</v>
      </c>
      <c r="E5845" s="2" t="str">
        <f>"艺术设计学院"</f>
        <v>艺术设计学院</v>
      </c>
    </row>
    <row r="5846" ht="13.5" hidden="1" spans="1:5">
      <c r="A5846" s="2" t="str">
        <f>"蔡志雄"</f>
        <v>蔡志雄</v>
      </c>
      <c r="B5846" s="2" t="str">
        <f>"B20220401301"</f>
        <v>B20220401301</v>
      </c>
      <c r="C5846" s="2" t="str">
        <f>"男"</f>
        <v>男</v>
      </c>
      <c r="D5846" s="2" t="str">
        <f>"6"</f>
        <v>6</v>
      </c>
      <c r="E5846" s="2" t="str">
        <f>"电子信息与电气工程学院"</f>
        <v>电子信息与电气工程学院</v>
      </c>
    </row>
    <row r="5847" ht="13.5" hidden="1" spans="1:5">
      <c r="A5847" s="2" t="str">
        <f>"赵正昊"</f>
        <v>赵正昊</v>
      </c>
      <c r="B5847" s="2" t="str">
        <f>"B20230701132"</f>
        <v>B20230701132</v>
      </c>
      <c r="C5847" s="2" t="str">
        <f>"男"</f>
        <v>男</v>
      </c>
      <c r="D5847" s="2" t="str">
        <f t="shared" ref="D5847:D5863" si="1486">"6"</f>
        <v>6</v>
      </c>
      <c r="E5847" s="2" t="str">
        <f>"马栏山新媒体学院"</f>
        <v>马栏山新媒体学院</v>
      </c>
    </row>
    <row r="5848" ht="13.5" hidden="1" spans="1:5">
      <c r="A5848" s="2" t="str">
        <f>"李玮文"</f>
        <v>李玮文</v>
      </c>
      <c r="B5848" s="2" t="str">
        <f>"B20220901112"</f>
        <v>B20220901112</v>
      </c>
      <c r="C5848" s="2" t="str">
        <f>"女"</f>
        <v>女</v>
      </c>
      <c r="D5848" s="2" t="str">
        <f t="shared" si="1486"/>
        <v>6</v>
      </c>
      <c r="E5848" s="2" t="str">
        <f>"经济与管理学院"</f>
        <v>经济与管理学院</v>
      </c>
    </row>
    <row r="5849" ht="13.5" hidden="1" spans="1:5">
      <c r="A5849" s="2" t="str">
        <f>"董靖康"</f>
        <v>董靖康</v>
      </c>
      <c r="B5849" s="2" t="str">
        <f>"B20190103103"</f>
        <v>B20190103103</v>
      </c>
      <c r="C5849" s="2" t="str">
        <f t="shared" ref="C5849:C5852" si="1487">"男"</f>
        <v>男</v>
      </c>
      <c r="D5849" s="2" t="str">
        <f t="shared" si="1486"/>
        <v>6</v>
      </c>
      <c r="E5849" s="2" t="str">
        <f>"土木工程学院"</f>
        <v>土木工程学院</v>
      </c>
    </row>
    <row r="5850" ht="13.5" hidden="1" spans="1:5">
      <c r="A5850" s="2" t="str">
        <f>"徐威"</f>
        <v>徐威</v>
      </c>
      <c r="B5850" s="2" t="str">
        <f>"B20220404230"</f>
        <v>B20220404230</v>
      </c>
      <c r="C5850" s="2" t="str">
        <f t="shared" si="1487"/>
        <v>男</v>
      </c>
      <c r="D5850" s="2" t="str">
        <f t="shared" si="1486"/>
        <v>6</v>
      </c>
      <c r="E5850" s="2" t="str">
        <f>"电子信息与电气工程学院"</f>
        <v>电子信息与电气工程学院</v>
      </c>
    </row>
    <row r="5851" ht="13.5" hidden="1" spans="1:5">
      <c r="A5851" s="2" t="str">
        <f>"黄堉珈"</f>
        <v>黄堉珈</v>
      </c>
      <c r="B5851" s="2" t="str">
        <f>"B20230401203"</f>
        <v>B20230401203</v>
      </c>
      <c r="C5851" s="2" t="str">
        <f t="shared" ref="C5851:C5854" si="1488">"女"</f>
        <v>女</v>
      </c>
      <c r="D5851" s="2" t="str">
        <f t="shared" si="1486"/>
        <v>6</v>
      </c>
      <c r="E5851" s="2" t="str">
        <f>"电子信息与电气工程学院"</f>
        <v>电子信息与电气工程学院</v>
      </c>
    </row>
    <row r="5852" ht="13.5" hidden="1" spans="1:5">
      <c r="A5852" s="2" t="str">
        <f>"李轩皓"</f>
        <v>李轩皓</v>
      </c>
      <c r="B5852" s="2" t="str">
        <f>"B20220202313"</f>
        <v>B20220202313</v>
      </c>
      <c r="C5852" s="2" t="str">
        <f t="shared" si="1487"/>
        <v>男</v>
      </c>
      <c r="D5852" s="2" t="str">
        <f t="shared" si="1486"/>
        <v>6</v>
      </c>
      <c r="E5852" s="2" t="str">
        <f>"机电工程学院"</f>
        <v>机电工程学院</v>
      </c>
    </row>
    <row r="5853" ht="13.5" hidden="1" spans="1:5">
      <c r="A5853" s="2" t="str">
        <f>"李文影"</f>
        <v>李文影</v>
      </c>
      <c r="B5853" s="2" t="str">
        <f>"B20210902337"</f>
        <v>B20210902337</v>
      </c>
      <c r="C5853" s="2" t="str">
        <f t="shared" si="1488"/>
        <v>女</v>
      </c>
      <c r="D5853" s="2" t="str">
        <f t="shared" si="1486"/>
        <v>6</v>
      </c>
      <c r="E5853" s="2" t="str">
        <f>"经济与管理学院"</f>
        <v>经济与管理学院</v>
      </c>
    </row>
    <row r="5854" ht="13.5" hidden="1" spans="1:5">
      <c r="A5854" s="2" t="str">
        <f>"熊歆怡"</f>
        <v>熊歆怡</v>
      </c>
      <c r="B5854" s="2" t="str">
        <f>"B20221302104"</f>
        <v>B20221302104</v>
      </c>
      <c r="C5854" s="2" t="str">
        <f t="shared" si="1488"/>
        <v>女</v>
      </c>
      <c r="D5854" s="2" t="str">
        <f t="shared" si="1486"/>
        <v>6</v>
      </c>
      <c r="E5854" s="2" t="str">
        <f>"材料与环境工程学院"</f>
        <v>材料与环境工程学院</v>
      </c>
    </row>
    <row r="5855" ht="13.5" hidden="1" spans="1:5">
      <c r="A5855" s="2" t="str">
        <f>"罗胜涛"</f>
        <v>罗胜涛</v>
      </c>
      <c r="B5855" s="2" t="str">
        <f>"B20221004211"</f>
        <v>B20221004211</v>
      </c>
      <c r="C5855" s="2" t="str">
        <f t="shared" ref="C5855:C5860" si="1489">"男"</f>
        <v>男</v>
      </c>
      <c r="D5855" s="2" t="str">
        <f t="shared" si="1486"/>
        <v>6</v>
      </c>
      <c r="E5855" s="2" t="str">
        <f>"艺术设计学院"</f>
        <v>艺术设计学院</v>
      </c>
    </row>
    <row r="5856" ht="13.5" hidden="1" spans="1:5">
      <c r="A5856" s="2" t="str">
        <f>"韩佳琦"</f>
        <v>韩佳琦</v>
      </c>
      <c r="B5856" s="2" t="str">
        <f>"B20231002418"</f>
        <v>B20231002418</v>
      </c>
      <c r="C5856" s="2" t="str">
        <f t="shared" ref="C5856:C5861" si="1490">"女"</f>
        <v>女</v>
      </c>
      <c r="D5856" s="2" t="str">
        <f t="shared" si="1486"/>
        <v>6</v>
      </c>
      <c r="E5856" s="2" t="str">
        <f>"艺术设计学院"</f>
        <v>艺术设计学院</v>
      </c>
    </row>
    <row r="5857" ht="13.5" hidden="1" spans="1:5">
      <c r="A5857" s="2" t="str">
        <f>"代峻滔"</f>
        <v>代峻滔</v>
      </c>
      <c r="B5857" s="2" t="str">
        <f>"B20230202202"</f>
        <v>B20230202202</v>
      </c>
      <c r="C5857" s="2" t="str">
        <f t="shared" si="1489"/>
        <v>男</v>
      </c>
      <c r="D5857" s="2" t="str">
        <f t="shared" si="1486"/>
        <v>6</v>
      </c>
      <c r="E5857" s="2" t="str">
        <f>"机电工程学院"</f>
        <v>机电工程学院</v>
      </c>
    </row>
    <row r="5858" ht="13.5" hidden="1" spans="1:5">
      <c r="A5858" s="2" t="str">
        <f>"魏乐乐"</f>
        <v>魏乐乐</v>
      </c>
      <c r="B5858" s="2" t="str">
        <f>"B20210502201"</f>
        <v>B20210502201</v>
      </c>
      <c r="C5858" s="2" t="str">
        <f t="shared" si="1490"/>
        <v>女</v>
      </c>
      <c r="D5858" s="2" t="str">
        <f t="shared" si="1486"/>
        <v>6</v>
      </c>
      <c r="E5858" s="2" t="str">
        <f>"生物与化学工程学院"</f>
        <v>生物与化学工程学院</v>
      </c>
    </row>
    <row r="5859" ht="13.5" hidden="1" spans="1:5">
      <c r="A5859" s="2" t="str">
        <f>"雷晓宇"</f>
        <v>雷晓宇</v>
      </c>
      <c r="B5859" s="2" t="str">
        <f>"B20230101211"</f>
        <v>B20230101211</v>
      </c>
      <c r="C5859" s="2" t="str">
        <f t="shared" si="1489"/>
        <v>男</v>
      </c>
      <c r="D5859" s="2" t="str">
        <f t="shared" si="1486"/>
        <v>6</v>
      </c>
      <c r="E5859" s="2" t="str">
        <f>"土木工程学院"</f>
        <v>土木工程学院</v>
      </c>
    </row>
    <row r="5860" ht="13.5" hidden="1" spans="1:5">
      <c r="A5860" s="2" t="str">
        <f>"李征阳"</f>
        <v>李征阳</v>
      </c>
      <c r="B5860" s="2" t="str">
        <f>"B20231111129"</f>
        <v>B20231111129</v>
      </c>
      <c r="C5860" s="2" t="str">
        <f t="shared" si="1489"/>
        <v>男</v>
      </c>
      <c r="D5860" s="2" t="str">
        <f t="shared" si="1486"/>
        <v>6</v>
      </c>
      <c r="E5860" s="2" t="str">
        <f>"音乐学院"</f>
        <v>音乐学院</v>
      </c>
    </row>
    <row r="5861" ht="13.5" hidden="1" spans="1:5">
      <c r="A5861" s="2" t="str">
        <f>"徐颖"</f>
        <v>徐颖</v>
      </c>
      <c r="B5861" s="2" t="str">
        <f>"B20230101232"</f>
        <v>B20230101232</v>
      </c>
      <c r="C5861" s="2" t="str">
        <f t="shared" si="1490"/>
        <v>女</v>
      </c>
      <c r="D5861" s="2" t="str">
        <f t="shared" si="1486"/>
        <v>6</v>
      </c>
      <c r="E5861" s="2" t="str">
        <f>"土木工程学院"</f>
        <v>土木工程学院</v>
      </c>
    </row>
    <row r="5862" ht="13.5" hidden="1" spans="1:5">
      <c r="A5862" s="2" t="str">
        <f>"陶宏斌"</f>
        <v>陶宏斌</v>
      </c>
      <c r="B5862" s="2" t="str">
        <f>"B20220201310"</f>
        <v>B20220201310</v>
      </c>
      <c r="C5862" s="2" t="str">
        <f>"男"</f>
        <v>男</v>
      </c>
      <c r="D5862" s="2" t="str">
        <f t="shared" si="1486"/>
        <v>6</v>
      </c>
      <c r="E5862" s="2" t="str">
        <f>"机电工程学院"</f>
        <v>机电工程学院</v>
      </c>
    </row>
    <row r="5863" ht="13.5" hidden="1" spans="1:5">
      <c r="A5863" s="2" t="str">
        <f>"文易豪"</f>
        <v>文易豪</v>
      </c>
      <c r="B5863" s="2" t="str">
        <f>"B20230902112"</f>
        <v>B20230902112</v>
      </c>
      <c r="C5863" s="2" t="str">
        <f>"男"</f>
        <v>男</v>
      </c>
      <c r="D5863" s="2" t="str">
        <f t="shared" si="1486"/>
        <v>6</v>
      </c>
      <c r="E5863" s="2" t="str">
        <f>"经济与管理学院"</f>
        <v>经济与管理学院</v>
      </c>
    </row>
    <row r="5864" ht="13.5" hidden="1" spans="1:5">
      <c r="A5864" s="2" t="str">
        <f>"朱凤璐"</f>
        <v>朱凤璐</v>
      </c>
      <c r="B5864" s="2" t="str">
        <f>"B20230802205"</f>
        <v>B20230802205</v>
      </c>
      <c r="C5864" s="2" t="str">
        <f>"女"</f>
        <v>女</v>
      </c>
      <c r="D5864" s="2" t="str">
        <f>"6"</f>
        <v>6</v>
      </c>
      <c r="E5864" s="2" t="str">
        <f>"外国语学院"</f>
        <v>外国语学院</v>
      </c>
    </row>
    <row r="5865" ht="13.5" hidden="1" spans="1:5">
      <c r="A5865" s="2" t="str">
        <f>"姜敏洁"</f>
        <v>姜敏洁</v>
      </c>
      <c r="B5865" s="2" t="str">
        <f>"B20231002211"</f>
        <v>B20231002211</v>
      </c>
      <c r="C5865" s="2" t="str">
        <f>"女"</f>
        <v>女</v>
      </c>
      <c r="D5865" s="2" t="str">
        <f>"6"</f>
        <v>6</v>
      </c>
      <c r="E5865" s="2" t="str">
        <f>"艺术设计学院"</f>
        <v>艺术设计学院</v>
      </c>
    </row>
    <row r="5866" ht="13.5" hidden="1" spans="1:5">
      <c r="A5866" s="2" t="str">
        <f>"刘心悦"</f>
        <v>刘心悦</v>
      </c>
      <c r="B5866" s="2" t="str">
        <f>"B20230504213"</f>
        <v>B20230504213</v>
      </c>
      <c r="C5866" s="2" t="str">
        <f>"女"</f>
        <v>女</v>
      </c>
      <c r="D5866" s="2" t="str">
        <f>"6"</f>
        <v>6</v>
      </c>
      <c r="E5866" s="2" t="str">
        <f>"生物与化学工程学院"</f>
        <v>生物与化学工程学院</v>
      </c>
    </row>
    <row r="5867" ht="13.5" hidden="1" spans="1:5">
      <c r="A5867" s="2" t="str">
        <f>"邱元鹏"</f>
        <v>邱元鹏</v>
      </c>
      <c r="B5867" s="2" t="str">
        <f>"B20210202123"</f>
        <v>B20210202123</v>
      </c>
      <c r="C5867" s="2" t="str">
        <f>"男"</f>
        <v>男</v>
      </c>
      <c r="D5867" s="2" t="str">
        <f>"6"</f>
        <v>6</v>
      </c>
      <c r="E5867" s="2" t="str">
        <f>"机电工程学院"</f>
        <v>机电工程学院</v>
      </c>
    </row>
    <row r="5868" ht="13.5" hidden="1" spans="1:5">
      <c r="A5868" s="2" t="str">
        <f>"欧阳佳欣"</f>
        <v>欧阳佳欣</v>
      </c>
      <c r="B5868" s="2" t="str">
        <f>"B20210906142"</f>
        <v>B20210906142</v>
      </c>
      <c r="C5868" s="2" t="str">
        <f>"男"</f>
        <v>男</v>
      </c>
      <c r="D5868" s="2" t="str">
        <f>"6"</f>
        <v>6</v>
      </c>
      <c r="E5868" s="2" t="str">
        <f>"经济与管理学院"</f>
        <v>经济与管理学院</v>
      </c>
    </row>
    <row r="5869" ht="13.5" hidden="1" spans="1:5">
      <c r="A5869" s="2" t="str">
        <f>"谭必佳"</f>
        <v>谭必佳</v>
      </c>
      <c r="B5869" s="2" t="str">
        <f>"B20221101202"</f>
        <v>B20221101202</v>
      </c>
      <c r="C5869" s="2" t="str">
        <f>"女"</f>
        <v>女</v>
      </c>
      <c r="D5869" s="2" t="str">
        <f>"6"</f>
        <v>6</v>
      </c>
      <c r="E5869" s="2" t="str">
        <f>"音乐学院"</f>
        <v>音乐学院</v>
      </c>
    </row>
    <row r="5870" ht="13.5" hidden="1" spans="1:5">
      <c r="A5870" s="2" t="str">
        <f>"彭宇杰"</f>
        <v>彭宇杰</v>
      </c>
      <c r="B5870" s="2" t="str">
        <f>"B20200101232"</f>
        <v>B20200101232</v>
      </c>
      <c r="C5870" s="2" t="str">
        <f>"男"</f>
        <v>男</v>
      </c>
      <c r="D5870" s="2" t="str">
        <f>"6"</f>
        <v>6</v>
      </c>
      <c r="E5870" s="2" t="str">
        <f>"土木工程学院"</f>
        <v>土木工程学院</v>
      </c>
    </row>
    <row r="5871" ht="13.5" hidden="1" spans="1:5">
      <c r="A5871" s="2" t="str">
        <f>"谢立祥"</f>
        <v>谢立祥</v>
      </c>
      <c r="B5871" s="2" t="str">
        <f>"B20230201410"</f>
        <v>B20230201410</v>
      </c>
      <c r="C5871" s="2" t="str">
        <f t="shared" ref="C5871:C5878" si="1491">"男"</f>
        <v>男</v>
      </c>
      <c r="D5871" s="2" t="str">
        <f t="shared" ref="D5871:D5897" si="1492">"6"</f>
        <v>6</v>
      </c>
      <c r="E5871" s="2" t="str">
        <f>"机电工程学院"</f>
        <v>机电工程学院</v>
      </c>
    </row>
    <row r="5872" ht="13.5" hidden="1" spans="1:5">
      <c r="A5872" s="2" t="str">
        <f>"刘文斌"</f>
        <v>刘文斌</v>
      </c>
      <c r="B5872" s="2" t="str">
        <f>"B20210402209"</f>
        <v>B20210402209</v>
      </c>
      <c r="C5872" s="2" t="str">
        <f t="shared" si="1491"/>
        <v>男</v>
      </c>
      <c r="D5872" s="2" t="str">
        <f t="shared" si="1492"/>
        <v>6</v>
      </c>
      <c r="E5872" s="2" t="str">
        <f t="shared" ref="E5872:E5874" si="1493">"电子信息与电气工程学院"</f>
        <v>电子信息与电气工程学院</v>
      </c>
    </row>
    <row r="5873" ht="13.5" hidden="1" spans="1:5">
      <c r="A5873" s="2" t="str">
        <f>"文翔"</f>
        <v>文翔</v>
      </c>
      <c r="B5873" s="2" t="str">
        <f>"B20210402205"</f>
        <v>B20210402205</v>
      </c>
      <c r="C5873" s="2" t="str">
        <f t="shared" si="1491"/>
        <v>男</v>
      </c>
      <c r="D5873" s="2" t="str">
        <f t="shared" si="1492"/>
        <v>6</v>
      </c>
      <c r="E5873" s="2" t="str">
        <f t="shared" si="1493"/>
        <v>电子信息与电气工程学院</v>
      </c>
    </row>
    <row r="5874" ht="13.5" hidden="1" spans="1:5">
      <c r="A5874" s="2" t="str">
        <f>"阳灏令"</f>
        <v>阳灏令</v>
      </c>
      <c r="B5874" s="2" t="str">
        <f>"B20230402127"</f>
        <v>B20230402127</v>
      </c>
      <c r="C5874" s="2" t="str">
        <f t="shared" si="1491"/>
        <v>男</v>
      </c>
      <c r="D5874" s="2" t="str">
        <f t="shared" si="1492"/>
        <v>6</v>
      </c>
      <c r="E5874" s="2" t="str">
        <f t="shared" si="1493"/>
        <v>电子信息与电气工程学院</v>
      </c>
    </row>
    <row r="5875" ht="13.5" hidden="1" spans="1:5">
      <c r="A5875" s="2" t="str">
        <f>"吴朝辉"</f>
        <v>吴朝辉</v>
      </c>
      <c r="B5875" s="2" t="str">
        <f>"B20220704316"</f>
        <v>B20220704316</v>
      </c>
      <c r="C5875" s="2" t="str">
        <f t="shared" si="1491"/>
        <v>男</v>
      </c>
      <c r="D5875" s="2" t="str">
        <f t="shared" si="1492"/>
        <v>6</v>
      </c>
      <c r="E5875" s="2" t="str">
        <f>"马栏山新媒体学院"</f>
        <v>马栏山新媒体学院</v>
      </c>
    </row>
    <row r="5876" ht="13.5" hidden="1" spans="1:5">
      <c r="A5876" s="2" t="str">
        <f>"张树强"</f>
        <v>张树强</v>
      </c>
      <c r="B5876" s="2" t="str">
        <f>"B20230201311"</f>
        <v>B20230201311</v>
      </c>
      <c r="C5876" s="2" t="str">
        <f t="shared" si="1491"/>
        <v>男</v>
      </c>
      <c r="D5876" s="2" t="str">
        <f t="shared" si="1492"/>
        <v>6</v>
      </c>
      <c r="E5876" s="2" t="str">
        <f>"机电工程学院"</f>
        <v>机电工程学院</v>
      </c>
    </row>
    <row r="5877" ht="13.5" hidden="1" spans="1:5">
      <c r="A5877" s="2" t="str">
        <f>"彭旋"</f>
        <v>彭旋</v>
      </c>
      <c r="B5877" s="2" t="str">
        <f>"B20220801124"</f>
        <v>B20220801124</v>
      </c>
      <c r="C5877" s="2" t="str">
        <f t="shared" si="1491"/>
        <v>男</v>
      </c>
      <c r="D5877" s="2" t="str">
        <f t="shared" si="1492"/>
        <v>6</v>
      </c>
      <c r="E5877" s="2" t="str">
        <f>"外国语学院"</f>
        <v>外国语学院</v>
      </c>
    </row>
    <row r="5878" ht="13.5" hidden="1" spans="1:5">
      <c r="A5878" s="2" t="str">
        <f>"周鹏"</f>
        <v>周鹏</v>
      </c>
      <c r="B5878" s="2" t="str">
        <f>"B20200101313"</f>
        <v>B20200101313</v>
      </c>
      <c r="C5878" s="2" t="str">
        <f t="shared" si="1491"/>
        <v>男</v>
      </c>
      <c r="D5878" s="2" t="str">
        <f t="shared" si="1492"/>
        <v>6</v>
      </c>
      <c r="E5878" s="2" t="str">
        <f>"土木工程学院"</f>
        <v>土木工程学院</v>
      </c>
    </row>
    <row r="5879" ht="13.5" hidden="1" spans="1:5">
      <c r="A5879" s="2" t="str">
        <f>"王馨"</f>
        <v>王馨</v>
      </c>
      <c r="B5879" s="2" t="str">
        <f>"B20210905111"</f>
        <v>B20210905111</v>
      </c>
      <c r="C5879" s="2" t="str">
        <f t="shared" ref="C5879:C5882" si="1494">"女"</f>
        <v>女</v>
      </c>
      <c r="D5879" s="2" t="str">
        <f t="shared" si="1492"/>
        <v>6</v>
      </c>
      <c r="E5879" s="2" t="str">
        <f t="shared" ref="E5879:E5882" si="1495">"经济与管理学院"</f>
        <v>经济与管理学院</v>
      </c>
    </row>
    <row r="5880" ht="13.5" hidden="1" spans="1:5">
      <c r="A5880" s="2" t="str">
        <f>"周雪琴"</f>
        <v>周雪琴</v>
      </c>
      <c r="B5880" s="2" t="str">
        <f>"B20210903122"</f>
        <v>B20210903122</v>
      </c>
      <c r="C5880" s="2" t="str">
        <f t="shared" si="1494"/>
        <v>女</v>
      </c>
      <c r="D5880" s="2" t="str">
        <f t="shared" si="1492"/>
        <v>6</v>
      </c>
      <c r="E5880" s="2" t="str">
        <f t="shared" si="1495"/>
        <v>经济与管理学院</v>
      </c>
    </row>
    <row r="5881" ht="13.5" hidden="1" spans="1:5">
      <c r="A5881" s="2" t="str">
        <f>"张烨"</f>
        <v>张烨</v>
      </c>
      <c r="B5881" s="2" t="str">
        <f>"B20230801218"</f>
        <v>B20230801218</v>
      </c>
      <c r="C5881" s="2" t="str">
        <f t="shared" ref="C5881:C5884" si="1496">"男"</f>
        <v>男</v>
      </c>
      <c r="D5881" s="2" t="str">
        <f t="shared" si="1492"/>
        <v>6</v>
      </c>
      <c r="E5881" s="2" t="str">
        <f>"外国语学院"</f>
        <v>外国语学院</v>
      </c>
    </row>
    <row r="5882" ht="13.5" hidden="1" spans="1:5">
      <c r="A5882" s="2" t="str">
        <f>"谭宇"</f>
        <v>谭宇</v>
      </c>
      <c r="B5882" s="2" t="str">
        <f>"B20210901118"</f>
        <v>B20210901118</v>
      </c>
      <c r="C5882" s="2" t="str">
        <f t="shared" si="1494"/>
        <v>女</v>
      </c>
      <c r="D5882" s="2" t="str">
        <f t="shared" si="1492"/>
        <v>6</v>
      </c>
      <c r="E5882" s="2" t="str">
        <f t="shared" si="1495"/>
        <v>经济与管理学院</v>
      </c>
    </row>
    <row r="5883" ht="13.5" hidden="1" spans="1:5">
      <c r="A5883" s="2" t="str">
        <f>"郭志宇"</f>
        <v>郭志宇</v>
      </c>
      <c r="B5883" s="2" t="str">
        <f>"B20230204215"</f>
        <v>B20230204215</v>
      </c>
      <c r="C5883" s="2" t="str">
        <f t="shared" si="1496"/>
        <v>男</v>
      </c>
      <c r="D5883" s="2" t="str">
        <f t="shared" si="1492"/>
        <v>6</v>
      </c>
      <c r="E5883" s="2" t="str">
        <f>"机电工程学院"</f>
        <v>机电工程学院</v>
      </c>
    </row>
    <row r="5884" ht="13.5" hidden="1" spans="1:5">
      <c r="A5884" s="2" t="str">
        <f>"徐炜杰"</f>
        <v>徐炜杰</v>
      </c>
      <c r="B5884" s="2" t="str">
        <f>"B20200103224"</f>
        <v>B20200103224</v>
      </c>
      <c r="C5884" s="2" t="str">
        <f t="shared" si="1496"/>
        <v>男</v>
      </c>
      <c r="D5884" s="2" t="str">
        <f t="shared" si="1492"/>
        <v>6</v>
      </c>
      <c r="E5884" s="2" t="str">
        <f>"土木工程学院"</f>
        <v>土木工程学院</v>
      </c>
    </row>
    <row r="5885" ht="13.5" hidden="1" spans="1:5">
      <c r="A5885" s="2" t="str">
        <f>"刘佳铭"</f>
        <v>刘佳铭</v>
      </c>
      <c r="B5885" s="2" t="str">
        <f>"B20221302322"</f>
        <v>B20221302322</v>
      </c>
      <c r="C5885" s="2" t="str">
        <f t="shared" ref="C5885:C5888" si="1497">"女"</f>
        <v>女</v>
      </c>
      <c r="D5885" s="2" t="str">
        <f t="shared" si="1492"/>
        <v>6</v>
      </c>
      <c r="E5885" s="2" t="str">
        <f>"材料与环境工程学院"</f>
        <v>材料与环境工程学院</v>
      </c>
    </row>
    <row r="5886" ht="13.5" hidden="1" spans="1:5">
      <c r="A5886" s="2" t="str">
        <f>"彭佩思"</f>
        <v>彭佩思</v>
      </c>
      <c r="B5886" s="2" t="str">
        <f>"B20210902312"</f>
        <v>B20210902312</v>
      </c>
      <c r="C5886" s="2" t="str">
        <f t="shared" si="1497"/>
        <v>女</v>
      </c>
      <c r="D5886" s="2" t="str">
        <f t="shared" si="1492"/>
        <v>6</v>
      </c>
      <c r="E5886" s="2" t="str">
        <f>"经济与管理学院"</f>
        <v>经济与管理学院</v>
      </c>
    </row>
    <row r="5887" ht="13.5" hidden="1" spans="1:5">
      <c r="A5887" s="2" t="str">
        <f>"熊飘飘"</f>
        <v>熊飘飘</v>
      </c>
      <c r="B5887" s="2" t="str">
        <f>"B20210702104"</f>
        <v>B20210702104</v>
      </c>
      <c r="C5887" s="2" t="str">
        <f t="shared" si="1497"/>
        <v>女</v>
      </c>
      <c r="D5887" s="2" t="str">
        <f t="shared" si="1492"/>
        <v>6</v>
      </c>
      <c r="E5887" s="2" t="str">
        <f>"马栏山新媒体学院"</f>
        <v>马栏山新媒体学院</v>
      </c>
    </row>
    <row r="5888" ht="13.5" hidden="1" spans="1:5">
      <c r="A5888" s="2" t="str">
        <f>"陈佳轩"</f>
        <v>陈佳轩</v>
      </c>
      <c r="B5888" s="2" t="str">
        <f>"B20220103106"</f>
        <v>B20220103106</v>
      </c>
      <c r="C5888" s="2" t="str">
        <f t="shared" si="1497"/>
        <v>女</v>
      </c>
      <c r="D5888" s="2" t="str">
        <f t="shared" si="1492"/>
        <v>6</v>
      </c>
      <c r="E5888" s="2" t="str">
        <f>"土木工程学院"</f>
        <v>土木工程学院</v>
      </c>
    </row>
    <row r="5889" ht="13.5" hidden="1" spans="1:5">
      <c r="A5889" s="2" t="str">
        <f>"冉瑞芃"</f>
        <v>冉瑞芃</v>
      </c>
      <c r="B5889" s="2" t="str">
        <f>"B20210404129"</f>
        <v>B20210404129</v>
      </c>
      <c r="C5889" s="2" t="str">
        <f t="shared" ref="C5889:C5895" si="1498">"男"</f>
        <v>男</v>
      </c>
      <c r="D5889" s="2" t="str">
        <f t="shared" si="1492"/>
        <v>6</v>
      </c>
      <c r="E5889" s="2" t="str">
        <f t="shared" ref="E5889:E5893" si="1499">"电子信息与电气工程学院"</f>
        <v>电子信息与电气工程学院</v>
      </c>
    </row>
    <row r="5890" ht="13.5" hidden="1" spans="1:5">
      <c r="A5890" s="2" t="str">
        <f>"喻潇燊"</f>
        <v>喻潇燊</v>
      </c>
      <c r="B5890" s="2" t="str">
        <f>"B20220401102"</f>
        <v>B20220401102</v>
      </c>
      <c r="C5890" s="2" t="str">
        <f t="shared" si="1498"/>
        <v>男</v>
      </c>
      <c r="D5890" s="2" t="str">
        <f t="shared" si="1492"/>
        <v>6</v>
      </c>
      <c r="E5890" s="2" t="str">
        <f t="shared" si="1499"/>
        <v>电子信息与电气工程学院</v>
      </c>
    </row>
    <row r="5891" ht="13.5" hidden="1" spans="1:5">
      <c r="A5891" s="2" t="str">
        <f>"张志豪"</f>
        <v>张志豪</v>
      </c>
      <c r="B5891" s="2" t="str">
        <f>"B20221301235"</f>
        <v>B20221301235</v>
      </c>
      <c r="C5891" s="2" t="str">
        <f t="shared" si="1498"/>
        <v>男</v>
      </c>
      <c r="D5891" s="2" t="str">
        <f t="shared" si="1492"/>
        <v>6</v>
      </c>
      <c r="E5891" s="2" t="str">
        <f>"材料与环境工程学院"</f>
        <v>材料与环境工程学院</v>
      </c>
    </row>
    <row r="5892" ht="13.5" hidden="1" spans="1:5">
      <c r="A5892" s="2" t="str">
        <f>"李湘龙"</f>
        <v>李湘龙</v>
      </c>
      <c r="B5892" s="2" t="str">
        <f>"B20230401211"</f>
        <v>B20230401211</v>
      </c>
      <c r="C5892" s="2" t="str">
        <f t="shared" si="1498"/>
        <v>男</v>
      </c>
      <c r="D5892" s="2" t="str">
        <f t="shared" si="1492"/>
        <v>6</v>
      </c>
      <c r="E5892" s="2" t="str">
        <f t="shared" si="1499"/>
        <v>电子信息与电气工程学院</v>
      </c>
    </row>
    <row r="5893" ht="13.5" hidden="1" spans="1:5">
      <c r="A5893" s="2" t="str">
        <f>"李嘉鑫"</f>
        <v>李嘉鑫</v>
      </c>
      <c r="B5893" s="2" t="str">
        <f>"B20220401428"</f>
        <v>B20220401428</v>
      </c>
      <c r="C5893" s="2" t="str">
        <f t="shared" si="1498"/>
        <v>男</v>
      </c>
      <c r="D5893" s="2" t="str">
        <f t="shared" si="1492"/>
        <v>6</v>
      </c>
      <c r="E5893" s="2" t="str">
        <f t="shared" si="1499"/>
        <v>电子信息与电气工程学院</v>
      </c>
    </row>
    <row r="5894" ht="13.5" hidden="1" spans="1:5">
      <c r="A5894" s="2" t="str">
        <f>"罗楚豪"</f>
        <v>罗楚豪</v>
      </c>
      <c r="B5894" s="2" t="str">
        <f>"B20230202305"</f>
        <v>B20230202305</v>
      </c>
      <c r="C5894" s="2" t="str">
        <f t="shared" si="1498"/>
        <v>男</v>
      </c>
      <c r="D5894" s="2" t="str">
        <f t="shared" si="1492"/>
        <v>6</v>
      </c>
      <c r="E5894" s="2" t="str">
        <f>"机电工程学院"</f>
        <v>机电工程学院</v>
      </c>
    </row>
    <row r="5895" ht="13.5" hidden="1" spans="1:5">
      <c r="A5895" s="2" t="str">
        <f>"邓博文"</f>
        <v>邓博文</v>
      </c>
      <c r="B5895" s="2" t="str">
        <f>"B20220902318"</f>
        <v>B20220902318</v>
      </c>
      <c r="C5895" s="2" t="str">
        <f t="shared" si="1498"/>
        <v>男</v>
      </c>
      <c r="D5895" s="2" t="str">
        <f t="shared" si="1492"/>
        <v>6</v>
      </c>
      <c r="E5895" s="2" t="str">
        <f>"经济与管理学院"</f>
        <v>经济与管理学院</v>
      </c>
    </row>
    <row r="5896" ht="13.5" hidden="1" spans="1:5">
      <c r="A5896" s="2" t="str">
        <f>"杨蕊"</f>
        <v>杨蕊</v>
      </c>
      <c r="B5896" s="2" t="str">
        <f>"B20210904103"</f>
        <v>B20210904103</v>
      </c>
      <c r="C5896" s="2" t="str">
        <f>"女"</f>
        <v>女</v>
      </c>
      <c r="D5896" s="2" t="str">
        <f t="shared" si="1492"/>
        <v>6</v>
      </c>
      <c r="E5896" s="2" t="str">
        <f>"经济与管理学院"</f>
        <v>经济与管理学院</v>
      </c>
    </row>
    <row r="5897" ht="13.5" hidden="1" spans="1:5">
      <c r="A5897" s="2" t="str">
        <f>"赵珍蕊"</f>
        <v>赵珍蕊</v>
      </c>
      <c r="B5897" s="2" t="str">
        <f>"B20230704117"</f>
        <v>B20230704117</v>
      </c>
      <c r="C5897" s="2" t="str">
        <f>"女"</f>
        <v>女</v>
      </c>
      <c r="D5897" s="2" t="str">
        <f t="shared" si="1492"/>
        <v>6</v>
      </c>
      <c r="E5897" s="2" t="str">
        <f>"马栏山新媒体学院"</f>
        <v>马栏山新媒体学院</v>
      </c>
    </row>
    <row r="5898" ht="13.5" hidden="1" spans="1:5">
      <c r="A5898" s="2" t="str">
        <f>"龚宇"</f>
        <v>龚宇</v>
      </c>
      <c r="B5898" s="2" t="str">
        <f>"B20230202104"</f>
        <v>B20230202104</v>
      </c>
      <c r="C5898" s="2" t="str">
        <f>"男"</f>
        <v>男</v>
      </c>
      <c r="D5898" s="2" t="str">
        <f>"6"</f>
        <v>6</v>
      </c>
      <c r="E5898" s="2" t="str">
        <f t="shared" ref="E5898:E5902" si="1500">"机电工程学院"</f>
        <v>机电工程学院</v>
      </c>
    </row>
    <row r="5899" ht="13.5" hidden="1" spans="1:5">
      <c r="A5899" s="2" t="str">
        <f>"孙震宇"</f>
        <v>孙震宇</v>
      </c>
      <c r="B5899" s="2" t="str">
        <f>"B20230402115"</f>
        <v>B20230402115</v>
      </c>
      <c r="C5899" s="2" t="str">
        <f>"男"</f>
        <v>男</v>
      </c>
      <c r="D5899" s="2" t="str">
        <f>"6"</f>
        <v>6</v>
      </c>
      <c r="E5899" s="2" t="str">
        <f>"电子信息与电气工程学院"</f>
        <v>电子信息与电气工程学院</v>
      </c>
    </row>
    <row r="5900" ht="13.5" hidden="1" spans="1:5">
      <c r="A5900" s="2" t="str">
        <f>"张彬"</f>
        <v>张彬</v>
      </c>
      <c r="B5900" s="2" t="str">
        <f>"B20230201415"</f>
        <v>B20230201415</v>
      </c>
      <c r="C5900" s="2" t="str">
        <f>"男"</f>
        <v>男</v>
      </c>
      <c r="D5900" s="2" t="str">
        <f>"6"</f>
        <v>6</v>
      </c>
      <c r="E5900" s="2" t="str">
        <f t="shared" si="1500"/>
        <v>机电工程学院</v>
      </c>
    </row>
    <row r="5901" ht="13.5" hidden="1" spans="1:5">
      <c r="A5901" s="2" t="str">
        <f>"胡一诺"</f>
        <v>胡一诺</v>
      </c>
      <c r="B5901" s="2" t="str">
        <f>"B20210902105"</f>
        <v>B20210902105</v>
      </c>
      <c r="C5901" s="2" t="str">
        <f>"女"</f>
        <v>女</v>
      </c>
      <c r="D5901" s="2" t="str">
        <f>"6"</f>
        <v>6</v>
      </c>
      <c r="E5901" s="2" t="str">
        <f>"经济与管理学院"</f>
        <v>经济与管理学院</v>
      </c>
    </row>
    <row r="5902" ht="13.5" hidden="1" spans="1:5">
      <c r="A5902" s="2" t="str">
        <f>"李浩明"</f>
        <v>李浩明</v>
      </c>
      <c r="B5902" s="2" t="str">
        <f>"B20230201429"</f>
        <v>B20230201429</v>
      </c>
      <c r="C5902" s="2" t="str">
        <f>"男"</f>
        <v>男</v>
      </c>
      <c r="D5902" s="2" t="str">
        <f>"6"</f>
        <v>6</v>
      </c>
      <c r="E5902" s="2" t="str">
        <f t="shared" si="1500"/>
        <v>机电工程学院</v>
      </c>
    </row>
    <row r="5903" ht="13.5" hidden="1" spans="1:5">
      <c r="A5903" s="2" t="str">
        <f>"王伟鹏"</f>
        <v>王伟鹏</v>
      </c>
      <c r="B5903" s="2" t="str">
        <f>"B20220401110"</f>
        <v>B20220401110</v>
      </c>
      <c r="C5903" s="2" t="str">
        <f>"男"</f>
        <v>男</v>
      </c>
      <c r="D5903" s="2" t="str">
        <f>"6"</f>
        <v>6</v>
      </c>
      <c r="E5903" s="2" t="str">
        <f>"电子信息与电气工程学院"</f>
        <v>电子信息与电气工程学院</v>
      </c>
    </row>
    <row r="5904" ht="13.5" hidden="1" spans="1:5">
      <c r="A5904" s="2" t="str">
        <f>"李凡扬"</f>
        <v>李凡扬</v>
      </c>
      <c r="B5904" s="2" t="str">
        <f>"B20220101411"</f>
        <v>B20220101411</v>
      </c>
      <c r="C5904" s="2" t="str">
        <f>"男"</f>
        <v>男</v>
      </c>
      <c r="D5904" s="2" t="str">
        <f>"6"</f>
        <v>6</v>
      </c>
      <c r="E5904" s="2" t="str">
        <f>"土木工程学院"</f>
        <v>土木工程学院</v>
      </c>
    </row>
    <row r="5905" ht="13.5" hidden="1" spans="1:5">
      <c r="A5905" s="2" t="str">
        <f>"张世豪"</f>
        <v>张世豪</v>
      </c>
      <c r="B5905" s="2" t="str">
        <f>"B20230905117"</f>
        <v>B20230905117</v>
      </c>
      <c r="C5905" s="2" t="str">
        <f>"男"</f>
        <v>男</v>
      </c>
      <c r="D5905" s="2" t="str">
        <f>"6"</f>
        <v>6</v>
      </c>
      <c r="E5905" s="2" t="str">
        <f>"经济与管理学院"</f>
        <v>经济与管理学院</v>
      </c>
    </row>
    <row r="5906" ht="13.5" hidden="1" spans="1:5">
      <c r="A5906" s="2" t="str">
        <f>"李英博"</f>
        <v>李英博</v>
      </c>
      <c r="B5906" s="2" t="str">
        <f>"B20230401210"</f>
        <v>B20230401210</v>
      </c>
      <c r="C5906" s="2" t="str">
        <f>"男"</f>
        <v>男</v>
      </c>
      <c r="D5906" s="2" t="str">
        <f>"6"</f>
        <v>6</v>
      </c>
      <c r="E5906" s="2" t="str">
        <f>"电子信息与电气工程学院"</f>
        <v>电子信息与电气工程学院</v>
      </c>
    </row>
    <row r="5907" ht="13.5" hidden="1" spans="1:5">
      <c r="A5907" s="2" t="str">
        <f>"周文亮"</f>
        <v>周文亮</v>
      </c>
      <c r="B5907" s="2" t="str">
        <f>"B20220404119"</f>
        <v>B20220404119</v>
      </c>
      <c r="C5907" s="2" t="str">
        <f>"男"</f>
        <v>男</v>
      </c>
      <c r="D5907" s="2" t="str">
        <f>"6"</f>
        <v>6</v>
      </c>
      <c r="E5907" s="2" t="str">
        <f>"电子信息与电气工程学院"</f>
        <v>电子信息与电气工程学院</v>
      </c>
    </row>
    <row r="5908" ht="13.5" hidden="1" spans="1:5">
      <c r="A5908" s="2" t="str">
        <f>"高夏怡"</f>
        <v>高夏怡</v>
      </c>
      <c r="B5908" s="2" t="str">
        <f>"B20220904237"</f>
        <v>B20220904237</v>
      </c>
      <c r="C5908" s="2" t="str">
        <f>"女"</f>
        <v>女</v>
      </c>
      <c r="D5908" s="2" t="str">
        <f>"6"</f>
        <v>6</v>
      </c>
      <c r="E5908" s="2" t="str">
        <f>"经济与管理学院"</f>
        <v>经济与管理学院</v>
      </c>
    </row>
    <row r="5909" ht="13.5" hidden="1" spans="1:5">
      <c r="A5909" s="2" t="str">
        <f>"贺遐宇"</f>
        <v>贺遐宇</v>
      </c>
      <c r="B5909" s="2" t="str">
        <f>"B20220404227"</f>
        <v>B20220404227</v>
      </c>
      <c r="C5909" s="2" t="str">
        <f>"女"</f>
        <v>女</v>
      </c>
      <c r="D5909" s="2" t="str">
        <f>"6"</f>
        <v>6</v>
      </c>
      <c r="E5909" s="2" t="str">
        <f>"电子信息与电气工程学院"</f>
        <v>电子信息与电气工程学院</v>
      </c>
    </row>
    <row r="5910" ht="13.5" hidden="1" spans="1:5">
      <c r="A5910" s="2" t="str">
        <f>"汪素顺"</f>
        <v>汪素顺</v>
      </c>
      <c r="B5910" s="2" t="str">
        <f>"B20230802130"</f>
        <v>B20230802130</v>
      </c>
      <c r="C5910" s="2" t="str">
        <f>"女"</f>
        <v>女</v>
      </c>
      <c r="D5910" s="2" t="str">
        <f>"6"</f>
        <v>6</v>
      </c>
      <c r="E5910" s="2" t="str">
        <f>"外国语学院"</f>
        <v>外国语学院</v>
      </c>
    </row>
    <row r="5911" ht="13.5" hidden="1" spans="1:5">
      <c r="A5911" s="2" t="str">
        <f>"丁梓宜"</f>
        <v>丁梓宜</v>
      </c>
      <c r="B5911" s="2" t="str">
        <f>"B20210502120"</f>
        <v>B20210502120</v>
      </c>
      <c r="C5911" s="2" t="str">
        <f>"女"</f>
        <v>女</v>
      </c>
      <c r="D5911" s="2" t="str">
        <f>"6"</f>
        <v>6</v>
      </c>
      <c r="E5911" s="2" t="str">
        <f>"生物与化学工程学院"</f>
        <v>生物与化学工程学院</v>
      </c>
    </row>
    <row r="5912" ht="13.5" hidden="1" spans="1:5">
      <c r="A5912" s="2" t="str">
        <f>"徐晨珂"</f>
        <v>徐晨珂</v>
      </c>
      <c r="B5912" s="2" t="str">
        <f>"B20210403131"</f>
        <v>B20210403131</v>
      </c>
      <c r="C5912" s="2" t="str">
        <f t="shared" ref="C5912:C5917" si="1501">"男"</f>
        <v>男</v>
      </c>
      <c r="D5912" s="2" t="str">
        <f>"6"</f>
        <v>6</v>
      </c>
      <c r="E5912" s="2" t="str">
        <f t="shared" ref="E5912:E5917" si="1502">"电子信息与电气工程学院"</f>
        <v>电子信息与电气工程学院</v>
      </c>
    </row>
    <row r="5913" ht="13.5" hidden="1" spans="1:5">
      <c r="A5913" s="2" t="str">
        <f>"钟俊清"</f>
        <v>钟俊清</v>
      </c>
      <c r="B5913" s="2" t="str">
        <f>"B20230901129"</f>
        <v>B20230901129</v>
      </c>
      <c r="C5913" s="2" t="str">
        <f t="shared" ref="C5913:C5916" si="1503">"女"</f>
        <v>女</v>
      </c>
      <c r="D5913" s="2" t="str">
        <f>"6"</f>
        <v>6</v>
      </c>
      <c r="E5913" s="2" t="str">
        <f t="shared" ref="E5913:E5918" si="1504">"经济与管理学院"</f>
        <v>经济与管理学院</v>
      </c>
    </row>
    <row r="5914" ht="13.5" hidden="1" spans="1:5">
      <c r="A5914" s="2" t="str">
        <f>"许甜"</f>
        <v>许甜</v>
      </c>
      <c r="B5914" s="2" t="str">
        <f>"B20230901205"</f>
        <v>B20230901205</v>
      </c>
      <c r="C5914" s="2" t="str">
        <f t="shared" si="1503"/>
        <v>女</v>
      </c>
      <c r="D5914" s="2" t="str">
        <f>"6"</f>
        <v>6</v>
      </c>
      <c r="E5914" s="2" t="str">
        <f t="shared" si="1504"/>
        <v>经济与管理学院</v>
      </c>
    </row>
    <row r="5915" ht="13.5" hidden="1" spans="1:5">
      <c r="A5915" s="2" t="str">
        <f>"曾佳豪"</f>
        <v>曾佳豪</v>
      </c>
      <c r="B5915" s="2" t="str">
        <f>"B20220403304"</f>
        <v>B20220403304</v>
      </c>
      <c r="C5915" s="2" t="str">
        <f t="shared" si="1501"/>
        <v>男</v>
      </c>
      <c r="D5915" s="2" t="str">
        <f>"6"</f>
        <v>6</v>
      </c>
      <c r="E5915" s="2" t="str">
        <f t="shared" si="1502"/>
        <v>电子信息与电气工程学院</v>
      </c>
    </row>
    <row r="5916" ht="13.5" hidden="1" spans="1:5">
      <c r="A5916" s="2" t="str">
        <f>"史丽娜"</f>
        <v>史丽娜</v>
      </c>
      <c r="B5916" s="2" t="str">
        <f>"B20220403313"</f>
        <v>B20220403313</v>
      </c>
      <c r="C5916" s="2" t="str">
        <f t="shared" si="1503"/>
        <v>女</v>
      </c>
      <c r="D5916" s="2" t="str">
        <f>"6"</f>
        <v>6</v>
      </c>
      <c r="E5916" s="2" t="str">
        <f t="shared" si="1502"/>
        <v>电子信息与电气工程学院</v>
      </c>
    </row>
    <row r="5917" ht="13.5" hidden="1" spans="1:5">
      <c r="A5917" s="2" t="str">
        <f>"王俊峰"</f>
        <v>王俊峰</v>
      </c>
      <c r="B5917" s="2" t="str">
        <f>"B20230404106"</f>
        <v>B20230404106</v>
      </c>
      <c r="C5917" s="2" t="str">
        <f t="shared" si="1501"/>
        <v>男</v>
      </c>
      <c r="D5917" s="2" t="str">
        <f>"6"</f>
        <v>6</v>
      </c>
      <c r="E5917" s="2" t="str">
        <f t="shared" si="1502"/>
        <v>电子信息与电气工程学院</v>
      </c>
    </row>
    <row r="5918" ht="13.5" hidden="1" spans="1:5">
      <c r="A5918" s="2" t="str">
        <f>"虞程程"</f>
        <v>虞程程</v>
      </c>
      <c r="B5918" s="2" t="str">
        <f>"B20210902407"</f>
        <v>B20210902407</v>
      </c>
      <c r="C5918" s="2" t="str">
        <f>"女"</f>
        <v>女</v>
      </c>
      <c r="D5918" s="2" t="str">
        <f>"6"</f>
        <v>6</v>
      </c>
      <c r="E5918" s="2" t="str">
        <f t="shared" si="1504"/>
        <v>经济与管理学院</v>
      </c>
    </row>
    <row r="5919" ht="13.5" hidden="1" spans="1:5">
      <c r="A5919" s="2" t="str">
        <f>"刘可悦"</f>
        <v>刘可悦</v>
      </c>
      <c r="B5919" s="2" t="str">
        <f>"B20230601101"</f>
        <v>B20230601101</v>
      </c>
      <c r="C5919" s="2" t="str">
        <f>"女"</f>
        <v>女</v>
      </c>
      <c r="D5919" s="2" t="str">
        <f>"6"</f>
        <v>6</v>
      </c>
      <c r="E5919" s="2" t="str">
        <f>"法学院"</f>
        <v>法学院</v>
      </c>
    </row>
    <row r="5920" ht="13.5" hidden="1" spans="1:5">
      <c r="A5920" s="2" t="str">
        <f>"习子航"</f>
        <v>习子航</v>
      </c>
      <c r="B5920" s="2" t="str">
        <f>"B20230704208"</f>
        <v>B20230704208</v>
      </c>
      <c r="C5920" s="2" t="str">
        <f t="shared" ref="C5920:C5923" si="1505">"男"</f>
        <v>男</v>
      </c>
      <c r="D5920" s="2" t="str">
        <f>"6"</f>
        <v>6</v>
      </c>
      <c r="E5920" s="2" t="str">
        <f>"马栏山新媒体学院"</f>
        <v>马栏山新媒体学院</v>
      </c>
    </row>
    <row r="5921" ht="13.5" hidden="1" spans="1:5">
      <c r="A5921" s="2" t="str">
        <f>"潘文杰"</f>
        <v>潘文杰</v>
      </c>
      <c r="B5921" s="2" t="str">
        <f>"B20230204226"</f>
        <v>B20230204226</v>
      </c>
      <c r="C5921" s="2" t="str">
        <f t="shared" si="1505"/>
        <v>男</v>
      </c>
      <c r="D5921" s="2" t="str">
        <f>"6"</f>
        <v>6</v>
      </c>
      <c r="E5921" s="2" t="str">
        <f>"机电工程学院"</f>
        <v>机电工程学院</v>
      </c>
    </row>
    <row r="5922" ht="13.5" hidden="1" spans="1:5">
      <c r="A5922" s="2" t="str">
        <f>"罗运东"</f>
        <v>罗运东</v>
      </c>
      <c r="B5922" s="2" t="str">
        <f>"B20231001410"</f>
        <v>B20231001410</v>
      </c>
      <c r="C5922" s="2" t="str">
        <f t="shared" si="1505"/>
        <v>男</v>
      </c>
      <c r="D5922" s="2" t="str">
        <f>"6"</f>
        <v>6</v>
      </c>
      <c r="E5922" s="2" t="str">
        <f t="shared" ref="E5922:E5926" si="1506">"艺术设计学院"</f>
        <v>艺术设计学院</v>
      </c>
    </row>
    <row r="5923" ht="13.5" hidden="1" spans="1:5">
      <c r="A5923" s="2" t="str">
        <f>"张明灿"</f>
        <v>张明灿</v>
      </c>
      <c r="B5923" s="2" t="str">
        <f>"B20230404222"</f>
        <v>B20230404222</v>
      </c>
      <c r="C5923" s="2" t="str">
        <f t="shared" si="1505"/>
        <v>男</v>
      </c>
      <c r="D5923" s="2" t="str">
        <f>"6"</f>
        <v>6</v>
      </c>
      <c r="E5923" s="2" t="str">
        <f>"电子信息与电气工程学院"</f>
        <v>电子信息与电气工程学院</v>
      </c>
    </row>
    <row r="5924" ht="13.5" hidden="1" spans="1:5">
      <c r="A5924" s="2" t="str">
        <f>"章悦"</f>
        <v>章悦</v>
      </c>
      <c r="B5924" s="2" t="str">
        <f>"B20220704111"</f>
        <v>B20220704111</v>
      </c>
      <c r="C5924" s="2" t="str">
        <f t="shared" ref="C5924:C5931" si="1507">"女"</f>
        <v>女</v>
      </c>
      <c r="D5924" s="2" t="str">
        <f>"6"</f>
        <v>6</v>
      </c>
      <c r="E5924" s="2" t="str">
        <f>"马栏山新媒体学院"</f>
        <v>马栏山新媒体学院</v>
      </c>
    </row>
    <row r="5925" ht="13.5" hidden="1" spans="1:5">
      <c r="A5925" s="2" t="str">
        <f>"李浩然"</f>
        <v>李浩然</v>
      </c>
      <c r="B5925" s="2" t="str">
        <f>"B20221003114"</f>
        <v>B20221003114</v>
      </c>
      <c r="C5925" s="2" t="str">
        <f t="shared" si="1507"/>
        <v>女</v>
      </c>
      <c r="D5925" s="2" t="str">
        <f>"6"</f>
        <v>6</v>
      </c>
      <c r="E5925" s="2" t="str">
        <f t="shared" si="1506"/>
        <v>艺术设计学院</v>
      </c>
    </row>
    <row r="5926" ht="13.5" hidden="1" spans="1:5">
      <c r="A5926" s="2" t="str">
        <f>"宋学一"</f>
        <v>宋学一</v>
      </c>
      <c r="B5926" s="2" t="str">
        <f>"B20211004217"</f>
        <v>B20211004217</v>
      </c>
      <c r="C5926" s="2" t="str">
        <f>"男"</f>
        <v>男</v>
      </c>
      <c r="D5926" s="2" t="str">
        <f>"6"</f>
        <v>6</v>
      </c>
      <c r="E5926" s="2" t="str">
        <f t="shared" si="1506"/>
        <v>艺术设计学院</v>
      </c>
    </row>
    <row r="5927" ht="13.5" hidden="1" spans="1:5">
      <c r="A5927" s="2" t="str">
        <f>"龚倩颖"</f>
        <v>龚倩颖</v>
      </c>
      <c r="B5927" s="2" t="str">
        <f>"B20230104221"</f>
        <v>B20230104221</v>
      </c>
      <c r="C5927" s="2" t="str">
        <f t="shared" si="1507"/>
        <v>女</v>
      </c>
      <c r="D5927" s="2" t="str">
        <f>"6"</f>
        <v>6</v>
      </c>
      <c r="E5927" s="2" t="str">
        <f>"土木工程学院"</f>
        <v>土木工程学院</v>
      </c>
    </row>
    <row r="5928" ht="13.5" hidden="1" spans="1:5">
      <c r="A5928" s="2" t="str">
        <f>"游冰清"</f>
        <v>游冰清</v>
      </c>
      <c r="B5928" s="2" t="str">
        <f>"B20210101420"</f>
        <v>B20210101420</v>
      </c>
      <c r="C5928" s="2" t="str">
        <f t="shared" si="1507"/>
        <v>女</v>
      </c>
      <c r="D5928" s="2" t="str">
        <f>"6"</f>
        <v>6</v>
      </c>
      <c r="E5928" s="2" t="str">
        <f>"土木工程学院"</f>
        <v>土木工程学院</v>
      </c>
    </row>
    <row r="5929" ht="13.5" hidden="1" spans="1:5">
      <c r="A5929" s="2" t="str">
        <f>"梁冰倩"</f>
        <v>梁冰倩</v>
      </c>
      <c r="B5929" s="2" t="str">
        <f>"B20200903231"</f>
        <v>B20200903231</v>
      </c>
      <c r="C5929" s="2" t="str">
        <f t="shared" si="1507"/>
        <v>女</v>
      </c>
      <c r="D5929" s="2" t="str">
        <f>"6"</f>
        <v>6</v>
      </c>
      <c r="E5929" s="2" t="str">
        <f>"经济与管理学院"</f>
        <v>经济与管理学院</v>
      </c>
    </row>
    <row r="5930" ht="13.5" hidden="1" spans="1:5">
      <c r="A5930" s="2" t="str">
        <f>"向倩楠"</f>
        <v>向倩楠</v>
      </c>
      <c r="B5930" s="2" t="str">
        <f>"B20220504332"</f>
        <v>B20220504332</v>
      </c>
      <c r="C5930" s="2" t="str">
        <f t="shared" si="1507"/>
        <v>女</v>
      </c>
      <c r="D5930" s="2" t="str">
        <f>"6"</f>
        <v>6</v>
      </c>
      <c r="E5930" s="2" t="str">
        <f>"生物与化学工程学院"</f>
        <v>生物与化学工程学院</v>
      </c>
    </row>
    <row r="5931" ht="13.5" hidden="1" spans="1:5">
      <c r="A5931" s="2" t="str">
        <f>"樊丽君"</f>
        <v>樊丽君</v>
      </c>
      <c r="B5931" s="2" t="str">
        <f>"B20211002105"</f>
        <v>B20211002105</v>
      </c>
      <c r="C5931" s="2" t="str">
        <f t="shared" si="1507"/>
        <v>女</v>
      </c>
      <c r="D5931" s="2" t="str">
        <f>"6"</f>
        <v>6</v>
      </c>
      <c r="E5931" s="2" t="str">
        <f>"艺术设计学院"</f>
        <v>艺术设计学院</v>
      </c>
    </row>
    <row r="5932" ht="13.5" hidden="1" spans="1:5">
      <c r="A5932" s="2" t="str">
        <f>"王云霆"</f>
        <v>王云霆</v>
      </c>
      <c r="B5932" s="2" t="str">
        <f>"B20210204112"</f>
        <v>B20210204112</v>
      </c>
      <c r="C5932" s="2" t="str">
        <f>"男"</f>
        <v>男</v>
      </c>
      <c r="D5932" s="2" t="str">
        <f>"6"</f>
        <v>6</v>
      </c>
      <c r="E5932" s="2" t="str">
        <f>"机电工程学院"</f>
        <v>机电工程学院</v>
      </c>
    </row>
    <row r="5933" ht="13.5" hidden="1" spans="1:5">
      <c r="A5933" s="2" t="str">
        <f>"殷秋玉"</f>
        <v>殷秋玉</v>
      </c>
      <c r="B5933" s="2" t="str">
        <f>"B20230906217"</f>
        <v>B20230906217</v>
      </c>
      <c r="C5933" s="2" t="str">
        <f>"女"</f>
        <v>女</v>
      </c>
      <c r="D5933" s="2" t="str">
        <f>"6"</f>
        <v>6</v>
      </c>
      <c r="E5933" s="2" t="str">
        <f>"经济与管理学院"</f>
        <v>经济与管理学院</v>
      </c>
    </row>
    <row r="5934" ht="13.5" hidden="1" spans="1:5">
      <c r="A5934" s="2" t="str">
        <f>"张浚然"</f>
        <v>张浚然</v>
      </c>
      <c r="B5934" s="2" t="str">
        <f>"B20220201226"</f>
        <v>B20220201226</v>
      </c>
      <c r="C5934" s="2" t="str">
        <f>"男"</f>
        <v>男</v>
      </c>
      <c r="D5934" s="2" t="str">
        <f>"6"</f>
        <v>6</v>
      </c>
      <c r="E5934" s="2" t="str">
        <f>"机电工程学院"</f>
        <v>机电工程学院</v>
      </c>
    </row>
    <row r="5935" ht="13.5" hidden="1" spans="1:5">
      <c r="A5935" s="2" t="str">
        <f>"彭湘秦"</f>
        <v>彭湘秦</v>
      </c>
      <c r="B5935" s="2" t="str">
        <f>"B20220906129"</f>
        <v>B20220906129</v>
      </c>
      <c r="C5935" s="2" t="str">
        <f>"女"</f>
        <v>女</v>
      </c>
      <c r="D5935" s="2" t="str">
        <f>"6"</f>
        <v>6</v>
      </c>
      <c r="E5935" s="2" t="str">
        <f>"经济与管理学院"</f>
        <v>经济与管理学院</v>
      </c>
    </row>
    <row r="5936" ht="13.5" hidden="1" spans="1:5">
      <c r="A5936" s="2" t="str">
        <f>"杨妍"</f>
        <v>杨妍</v>
      </c>
      <c r="B5936" s="2" t="str">
        <f>"B20221111215"</f>
        <v>B20221111215</v>
      </c>
      <c r="C5936" s="2" t="str">
        <f>"女"</f>
        <v>女</v>
      </c>
      <c r="D5936" s="2" t="str">
        <f>"6"</f>
        <v>6</v>
      </c>
      <c r="E5936" s="2" t="str">
        <f>"音乐学院"</f>
        <v>音乐学院</v>
      </c>
    </row>
    <row r="5937" ht="13.5" hidden="1" spans="1:5">
      <c r="A5937" s="2" t="str">
        <f>"段志权"</f>
        <v>段志权</v>
      </c>
      <c r="B5937" s="2" t="str">
        <f>"B20230205122"</f>
        <v>B20230205122</v>
      </c>
      <c r="C5937" s="2" t="str">
        <f>"男"</f>
        <v>男</v>
      </c>
      <c r="D5937" s="2" t="str">
        <f>"6"</f>
        <v>6</v>
      </c>
      <c r="E5937" s="2" t="str">
        <f>"机电工程学院"</f>
        <v>机电工程学院</v>
      </c>
    </row>
    <row r="5938" ht="13.5" hidden="1" spans="1:5">
      <c r="A5938" s="2" t="str">
        <f>"蔡思恒"</f>
        <v>蔡思恒</v>
      </c>
      <c r="B5938" s="2" t="str">
        <f>"B20220902336"</f>
        <v>B20220902336</v>
      </c>
      <c r="C5938" s="2" t="str">
        <f t="shared" ref="C5938:C5942" si="1508">"女"</f>
        <v>女</v>
      </c>
      <c r="D5938" s="2" t="str">
        <f>"6"</f>
        <v>6</v>
      </c>
      <c r="E5938" s="2" t="str">
        <f>"经济与管理学院"</f>
        <v>经济与管理学院</v>
      </c>
    </row>
    <row r="5939" ht="13.5" hidden="1" spans="1:5">
      <c r="A5939" s="2" t="str">
        <f>"王鑫"</f>
        <v>王鑫</v>
      </c>
      <c r="B5939" s="2" t="str">
        <f>"B20230102204"</f>
        <v>B20230102204</v>
      </c>
      <c r="C5939" s="2" t="str">
        <f t="shared" ref="C5939:C5944" si="1509">"男"</f>
        <v>男</v>
      </c>
      <c r="D5939" s="2" t="str">
        <f>"6"</f>
        <v>6</v>
      </c>
      <c r="E5939" s="2" t="str">
        <f t="shared" ref="E5939:E5944" si="1510">"土木工程学院"</f>
        <v>土木工程学院</v>
      </c>
    </row>
    <row r="5940" ht="13.5" hidden="1" spans="1:5">
      <c r="A5940" s="2" t="str">
        <f>"周桢铉"</f>
        <v>周桢铉</v>
      </c>
      <c r="B5940" s="2" t="str">
        <f>"B20230906139"</f>
        <v>B20230906139</v>
      </c>
      <c r="C5940" s="2" t="str">
        <f t="shared" si="1509"/>
        <v>男</v>
      </c>
      <c r="D5940" s="2" t="str">
        <f>"6"</f>
        <v>6</v>
      </c>
      <c r="E5940" s="2" t="str">
        <f>"经济与管理学院"</f>
        <v>经济与管理学院</v>
      </c>
    </row>
    <row r="5941" ht="13.5" hidden="1" spans="1:5">
      <c r="A5941" s="2" t="str">
        <f>"贺冰冰"</f>
        <v>贺冰冰</v>
      </c>
      <c r="B5941" s="2" t="str">
        <f>"B20230801309"</f>
        <v>B20230801309</v>
      </c>
      <c r="C5941" s="2" t="str">
        <f t="shared" si="1508"/>
        <v>女</v>
      </c>
      <c r="D5941" s="2" t="str">
        <f>"6"</f>
        <v>6</v>
      </c>
      <c r="E5941" s="2" t="str">
        <f>"外国语学院"</f>
        <v>外国语学院</v>
      </c>
    </row>
    <row r="5942" ht="13.5" hidden="1" spans="1:5">
      <c r="A5942" s="2" t="str">
        <f>"李秋娴"</f>
        <v>李秋娴</v>
      </c>
      <c r="B5942" s="2" t="str">
        <f>"B20220103102"</f>
        <v>B20220103102</v>
      </c>
      <c r="C5942" s="2" t="str">
        <f t="shared" si="1508"/>
        <v>女</v>
      </c>
      <c r="D5942" s="2" t="str">
        <f>"6"</f>
        <v>6</v>
      </c>
      <c r="E5942" s="2" t="str">
        <f t="shared" si="1510"/>
        <v>土木工程学院</v>
      </c>
    </row>
    <row r="5943" ht="13.5" hidden="1" spans="1:5">
      <c r="A5943" s="2" t="str">
        <f>"郑泽杰"</f>
        <v>郑泽杰</v>
      </c>
      <c r="B5943" s="2" t="str">
        <f>"B20230201309"</f>
        <v>B20230201309</v>
      </c>
      <c r="C5943" s="2" t="str">
        <f t="shared" si="1509"/>
        <v>男</v>
      </c>
      <c r="D5943" s="2" t="str">
        <f>"6"</f>
        <v>6</v>
      </c>
      <c r="E5943" s="2" t="str">
        <f>"机电工程学院"</f>
        <v>机电工程学院</v>
      </c>
    </row>
    <row r="5944" ht="13.5" hidden="1" spans="1:5">
      <c r="A5944" s="2" t="str">
        <f>"黎宇"</f>
        <v>黎宇</v>
      </c>
      <c r="B5944" s="2" t="str">
        <f>"B20190102207"</f>
        <v>B20190102207</v>
      </c>
      <c r="C5944" s="2" t="str">
        <f t="shared" si="1509"/>
        <v>男</v>
      </c>
      <c r="D5944" s="2" t="str">
        <f>"6"</f>
        <v>6</v>
      </c>
      <c r="E5944" s="2" t="str">
        <f t="shared" si="1510"/>
        <v>土木工程学院</v>
      </c>
    </row>
    <row r="5945" ht="13.5" hidden="1" spans="1:5">
      <c r="A5945" s="2" t="str">
        <f>"顾子琪"</f>
        <v>顾子琪</v>
      </c>
      <c r="B5945" s="2" t="str">
        <f>"B20210905203"</f>
        <v>B20210905203</v>
      </c>
      <c r="C5945" s="2" t="str">
        <f>"女"</f>
        <v>女</v>
      </c>
      <c r="D5945" s="2" t="str">
        <f>"6"</f>
        <v>6</v>
      </c>
      <c r="E5945" s="2" t="str">
        <f>"经济与管理学院"</f>
        <v>经济与管理学院</v>
      </c>
    </row>
    <row r="5946" ht="13.5" hidden="1" spans="1:5">
      <c r="A5946" s="2" t="str">
        <f>"段方家"</f>
        <v>段方家</v>
      </c>
      <c r="B5946" s="2" t="str">
        <f>"B20200502224"</f>
        <v>B20200502224</v>
      </c>
      <c r="C5946" s="2" t="str">
        <f>"男"</f>
        <v>男</v>
      </c>
      <c r="D5946" s="2" t="str">
        <f>"6"</f>
        <v>6</v>
      </c>
      <c r="E5946" s="2" t="str">
        <f>"生物与环境工程学院"</f>
        <v>生物与环境工程学院</v>
      </c>
    </row>
    <row r="5947" ht="13.5" hidden="1" spans="1:5">
      <c r="A5947" s="2" t="str">
        <f>"康雄"</f>
        <v>康雄</v>
      </c>
      <c r="B5947" s="2" t="str">
        <f>"B20230101205"</f>
        <v>B20230101205</v>
      </c>
      <c r="C5947" s="2" t="str">
        <f>"男"</f>
        <v>男</v>
      </c>
      <c r="D5947" s="2" t="str">
        <f>"6"</f>
        <v>6</v>
      </c>
      <c r="E5947" s="2" t="str">
        <f>"土木工程学院"</f>
        <v>土木工程学院</v>
      </c>
    </row>
    <row r="5948" ht="13.5" hidden="1" spans="1:5">
      <c r="A5948" s="2" t="str">
        <f>"方苏婉"</f>
        <v>方苏婉</v>
      </c>
      <c r="B5948" s="2" t="str">
        <f>"B20210104129"</f>
        <v>B20210104129</v>
      </c>
      <c r="C5948" s="2" t="str">
        <f>"女"</f>
        <v>女</v>
      </c>
      <c r="D5948" s="2" t="str">
        <f>"6"</f>
        <v>6</v>
      </c>
      <c r="E5948" s="2" t="str">
        <f>"土木工程学院"</f>
        <v>土木工程学院</v>
      </c>
    </row>
    <row r="5949" ht="13.5" hidden="1" spans="1:5">
      <c r="A5949" s="2" t="str">
        <f>"李谋涛"</f>
        <v>李谋涛</v>
      </c>
      <c r="B5949" s="2" t="str">
        <f>"B20200401325"</f>
        <v>B20200401325</v>
      </c>
      <c r="C5949" s="2" t="str">
        <f>"男"</f>
        <v>男</v>
      </c>
      <c r="D5949" s="2" t="str">
        <f>"6"</f>
        <v>6</v>
      </c>
      <c r="E5949" s="2" t="str">
        <f>"电子信息与电气工程学院"</f>
        <v>电子信息与电气工程学院</v>
      </c>
    </row>
    <row r="5950" ht="13.5" hidden="1" spans="1:5">
      <c r="A5950" s="2" t="str">
        <f>"黄佳雪"</f>
        <v>黄佳雪</v>
      </c>
      <c r="B5950" s="2" t="str">
        <f>"B20230702229"</f>
        <v>B20230702229</v>
      </c>
      <c r="C5950" s="2" t="str">
        <f>"女"</f>
        <v>女</v>
      </c>
      <c r="D5950" s="2" t="str">
        <f>"6"</f>
        <v>6</v>
      </c>
      <c r="E5950" s="2" t="str">
        <f>"马栏山新媒体学院"</f>
        <v>马栏山新媒体学院</v>
      </c>
    </row>
    <row r="5951" ht="13.5" hidden="1" spans="1:5">
      <c r="A5951" s="2" t="str">
        <f>"钱子林"</f>
        <v>钱子林</v>
      </c>
      <c r="B5951" s="2" t="str">
        <f>"B20221111116"</f>
        <v>B20221111116</v>
      </c>
      <c r="C5951" s="2" t="str">
        <f>"女"</f>
        <v>女</v>
      </c>
      <c r="D5951" s="2" t="str">
        <f>"6"</f>
        <v>6</v>
      </c>
      <c r="E5951" s="2" t="str">
        <f>"音乐学院"</f>
        <v>音乐学院</v>
      </c>
    </row>
    <row r="5952" ht="13.5" hidden="1" spans="1:5">
      <c r="A5952" s="2" t="str">
        <f>"杜聪莹"</f>
        <v>杜聪莹</v>
      </c>
      <c r="B5952" s="2" t="str">
        <f>"B20230103235"</f>
        <v>B20230103235</v>
      </c>
      <c r="C5952" s="2" t="str">
        <f>"女"</f>
        <v>女</v>
      </c>
      <c r="D5952" s="2" t="str">
        <f>"6"</f>
        <v>6</v>
      </c>
      <c r="E5952" s="2" t="str">
        <f>"土木工程学院"</f>
        <v>土木工程学院</v>
      </c>
    </row>
    <row r="5953" ht="13.5" hidden="1" spans="1:5">
      <c r="A5953" s="2" t="str">
        <f>"邹玲"</f>
        <v>邹玲</v>
      </c>
      <c r="B5953" s="2" t="str">
        <f>"B20230702415"</f>
        <v>B20230702415</v>
      </c>
      <c r="C5953" s="2" t="str">
        <f t="shared" ref="C5953:C5958" si="1511">"女"</f>
        <v>女</v>
      </c>
      <c r="D5953" s="2" t="str">
        <f t="shared" ref="D5953:D5970" si="1512">"6"</f>
        <v>6</v>
      </c>
      <c r="E5953" s="2" t="str">
        <f>"马栏山新媒体学院"</f>
        <v>马栏山新媒体学院</v>
      </c>
    </row>
    <row r="5954" ht="13.5" hidden="1" spans="1:5">
      <c r="A5954" s="2" t="str">
        <f>"卢春雨"</f>
        <v>卢春雨</v>
      </c>
      <c r="B5954" s="2" t="str">
        <f>"B20200703419"</f>
        <v>B20200703419</v>
      </c>
      <c r="C5954" s="2" t="str">
        <f>"男"</f>
        <v>男</v>
      </c>
      <c r="D5954" s="2" t="str">
        <f t="shared" si="1512"/>
        <v>6</v>
      </c>
      <c r="E5954" s="2" t="str">
        <f>"马栏山新媒体学院"</f>
        <v>马栏山新媒体学院</v>
      </c>
    </row>
    <row r="5955" ht="13.5" hidden="1" spans="1:5">
      <c r="A5955" s="2" t="str">
        <f>"张紫柔"</f>
        <v>张紫柔</v>
      </c>
      <c r="B5955" s="2" t="str">
        <f>"B20220601527"</f>
        <v>B20220601527</v>
      </c>
      <c r="C5955" s="2" t="str">
        <f t="shared" si="1511"/>
        <v>女</v>
      </c>
      <c r="D5955" s="2" t="str">
        <f t="shared" si="1512"/>
        <v>6</v>
      </c>
      <c r="E5955" s="2" t="str">
        <f>"法学院"</f>
        <v>法学院</v>
      </c>
    </row>
    <row r="5956" ht="13.5" hidden="1" spans="1:5">
      <c r="A5956" s="2" t="str">
        <f>"汪永睿"</f>
        <v>汪永睿</v>
      </c>
      <c r="B5956" s="2" t="str">
        <f>"B20210503225"</f>
        <v>B20210503225</v>
      </c>
      <c r="C5956" s="2" t="str">
        <f>"男"</f>
        <v>男</v>
      </c>
      <c r="D5956" s="2" t="str">
        <f t="shared" si="1512"/>
        <v>6</v>
      </c>
      <c r="E5956" s="2" t="str">
        <f>"材料与环境工程学院"</f>
        <v>材料与环境工程学院</v>
      </c>
    </row>
    <row r="5957" ht="13.5" hidden="1" spans="1:5">
      <c r="A5957" s="2" t="str">
        <f>"张浩天"</f>
        <v>张浩天</v>
      </c>
      <c r="B5957" s="2" t="str">
        <f>"B20210505236"</f>
        <v>B20210505236</v>
      </c>
      <c r="C5957" s="2" t="str">
        <f>"男"</f>
        <v>男</v>
      </c>
      <c r="D5957" s="2" t="str">
        <f t="shared" si="1512"/>
        <v>6</v>
      </c>
      <c r="E5957" s="2" t="str">
        <f>"材料与环境工程学院"</f>
        <v>材料与环境工程学院</v>
      </c>
    </row>
    <row r="5958" ht="13.5" hidden="1" spans="1:5">
      <c r="A5958" s="2" t="str">
        <f>"刘欣"</f>
        <v>刘欣</v>
      </c>
      <c r="B5958" s="2" t="str">
        <f>"B20220702306"</f>
        <v>B20220702306</v>
      </c>
      <c r="C5958" s="2" t="str">
        <f t="shared" si="1511"/>
        <v>女</v>
      </c>
      <c r="D5958" s="2" t="str">
        <f t="shared" si="1512"/>
        <v>6</v>
      </c>
      <c r="E5958" s="2" t="str">
        <f>"马栏山新媒体学院"</f>
        <v>马栏山新媒体学院</v>
      </c>
    </row>
    <row r="5959" ht="13.5" hidden="1" spans="1:5">
      <c r="A5959" s="2" t="str">
        <f>"段缜"</f>
        <v>段缜</v>
      </c>
      <c r="B5959" s="2" t="str">
        <f>"B20230504101"</f>
        <v>B20230504101</v>
      </c>
      <c r="C5959" s="2" t="str">
        <f t="shared" ref="C5959:C5963" si="1513">"男"</f>
        <v>男</v>
      </c>
      <c r="D5959" s="2" t="str">
        <f t="shared" si="1512"/>
        <v>6</v>
      </c>
      <c r="E5959" s="2" t="str">
        <f>"生物与化学工程学院"</f>
        <v>生物与化学工程学院</v>
      </c>
    </row>
    <row r="5960" ht="13.5" hidden="1" spans="1:5">
      <c r="A5960" s="2" t="str">
        <f>"刘书含"</f>
        <v>刘书含</v>
      </c>
      <c r="B5960" s="2" t="str">
        <f>"B20190906108"</f>
        <v>B20190906108</v>
      </c>
      <c r="C5960" s="2" t="str">
        <f t="shared" ref="C5960:C5970" si="1514">"女"</f>
        <v>女</v>
      </c>
      <c r="D5960" s="2" t="str">
        <f t="shared" si="1512"/>
        <v>6</v>
      </c>
      <c r="E5960" s="2" t="str">
        <f>"外国语学院"</f>
        <v>外国语学院</v>
      </c>
    </row>
    <row r="5961" ht="13.5" hidden="1" spans="1:5">
      <c r="A5961" s="2" t="str">
        <f>"张洋"</f>
        <v>张洋</v>
      </c>
      <c r="B5961" s="2" t="str">
        <f>"B20200501117"</f>
        <v>B20200501117</v>
      </c>
      <c r="C5961" s="2" t="str">
        <f t="shared" si="1513"/>
        <v>男</v>
      </c>
      <c r="D5961" s="2" t="str">
        <f t="shared" si="1512"/>
        <v>6</v>
      </c>
      <c r="E5961" s="2" t="str">
        <f>"生物与环境工程学院"</f>
        <v>生物与环境工程学院</v>
      </c>
    </row>
    <row r="5962" ht="13.5" hidden="1" spans="1:5">
      <c r="A5962" s="2" t="str">
        <f>"肖潇"</f>
        <v>肖潇</v>
      </c>
      <c r="B5962" s="2" t="str">
        <f>"B20200502121"</f>
        <v>B20200502121</v>
      </c>
      <c r="C5962" s="2" t="str">
        <f t="shared" si="1513"/>
        <v>男</v>
      </c>
      <c r="D5962" s="2" t="str">
        <f t="shared" si="1512"/>
        <v>6</v>
      </c>
      <c r="E5962" s="2" t="str">
        <f>"生物与环境工程学院"</f>
        <v>生物与环境工程学院</v>
      </c>
    </row>
    <row r="5963" ht="13.5" hidden="1" spans="1:5">
      <c r="A5963" s="2" t="str">
        <f>"刘术聪"</f>
        <v>刘术聪</v>
      </c>
      <c r="B5963" s="2" t="str">
        <f>"B20220502103"</f>
        <v>B20220502103</v>
      </c>
      <c r="C5963" s="2" t="str">
        <f t="shared" si="1513"/>
        <v>男</v>
      </c>
      <c r="D5963" s="2" t="str">
        <f t="shared" si="1512"/>
        <v>6</v>
      </c>
      <c r="E5963" s="2" t="str">
        <f>"生物与化学工程学院"</f>
        <v>生物与化学工程学院</v>
      </c>
    </row>
    <row r="5964" ht="13.5" hidden="1" spans="1:5">
      <c r="A5964" s="2" t="str">
        <f>"刘单涵婧"</f>
        <v>刘单涵婧</v>
      </c>
      <c r="B5964" s="2" t="str">
        <f>"B20220702426"</f>
        <v>B20220702426</v>
      </c>
      <c r="C5964" s="2" t="str">
        <f t="shared" si="1514"/>
        <v>女</v>
      </c>
      <c r="D5964" s="2" t="str">
        <f t="shared" si="1512"/>
        <v>6</v>
      </c>
      <c r="E5964" s="2" t="str">
        <f>"马栏山新媒体学院"</f>
        <v>马栏山新媒体学院</v>
      </c>
    </row>
    <row r="5965" ht="13.5" hidden="1" spans="1:5">
      <c r="A5965" s="2" t="str">
        <f>"吴倩迷"</f>
        <v>吴倩迷</v>
      </c>
      <c r="B5965" s="2" t="str">
        <f>"B20220102131"</f>
        <v>B20220102131</v>
      </c>
      <c r="C5965" s="2" t="str">
        <f t="shared" si="1514"/>
        <v>女</v>
      </c>
      <c r="D5965" s="2" t="str">
        <f t="shared" si="1512"/>
        <v>6</v>
      </c>
      <c r="E5965" s="2" t="str">
        <f>"土木工程学院"</f>
        <v>土木工程学院</v>
      </c>
    </row>
    <row r="5966" ht="13.5" hidden="1" spans="1:5">
      <c r="A5966" s="2" t="str">
        <f>"丛姝懿"</f>
        <v>丛姝懿</v>
      </c>
      <c r="B5966" s="2" t="str">
        <f>"B20201001219"</f>
        <v>B20201001219</v>
      </c>
      <c r="C5966" s="2" t="str">
        <f t="shared" si="1514"/>
        <v>女</v>
      </c>
      <c r="D5966" s="2" t="str">
        <f t="shared" si="1512"/>
        <v>6</v>
      </c>
      <c r="E5966" s="2" t="str">
        <f>"艺术设计学院"</f>
        <v>艺术设计学院</v>
      </c>
    </row>
    <row r="5967" ht="13.5" hidden="1" spans="1:5">
      <c r="A5967" s="2" t="str">
        <f>"潘蕊蕊"</f>
        <v>潘蕊蕊</v>
      </c>
      <c r="B5967" s="2" t="str">
        <f>"B20210902327"</f>
        <v>B20210902327</v>
      </c>
      <c r="C5967" s="2" t="str">
        <f t="shared" si="1514"/>
        <v>女</v>
      </c>
      <c r="D5967" s="2" t="str">
        <f t="shared" si="1512"/>
        <v>6</v>
      </c>
      <c r="E5967" s="2" t="str">
        <f>"经济与管理学院"</f>
        <v>经济与管理学院</v>
      </c>
    </row>
    <row r="5968" ht="13.5" hidden="1" spans="1:5">
      <c r="A5968" s="2" t="str">
        <f>"米忆雯"</f>
        <v>米忆雯</v>
      </c>
      <c r="B5968" s="2" t="str">
        <f>"B20200906113"</f>
        <v>B20200906113</v>
      </c>
      <c r="C5968" s="2" t="str">
        <f t="shared" si="1514"/>
        <v>女</v>
      </c>
      <c r="D5968" s="2" t="str">
        <f t="shared" si="1512"/>
        <v>6</v>
      </c>
      <c r="E5968" s="2" t="str">
        <f>"经济与管理学院"</f>
        <v>经济与管理学院</v>
      </c>
    </row>
    <row r="5969" ht="13.5" hidden="1" spans="1:5">
      <c r="A5969" s="2" t="str">
        <f>"刘诗奕"</f>
        <v>刘诗奕</v>
      </c>
      <c r="B5969" s="2" t="str">
        <f>"B20230701424"</f>
        <v>B20230701424</v>
      </c>
      <c r="C5969" s="2" t="str">
        <f t="shared" si="1514"/>
        <v>女</v>
      </c>
      <c r="D5969" s="2" t="str">
        <f t="shared" si="1512"/>
        <v>6</v>
      </c>
      <c r="E5969" s="2" t="str">
        <f>"马栏山新媒体学院"</f>
        <v>马栏山新媒体学院</v>
      </c>
    </row>
    <row r="5970" ht="13.5" hidden="1" spans="1:5">
      <c r="A5970" s="2" t="str">
        <f>"徐智贤"</f>
        <v>徐智贤</v>
      </c>
      <c r="B5970" s="2" t="str">
        <f>"B20210704316"</f>
        <v>B20210704316</v>
      </c>
      <c r="C5970" s="2" t="str">
        <f t="shared" si="1514"/>
        <v>女</v>
      </c>
      <c r="D5970" s="2" t="str">
        <f t="shared" si="1512"/>
        <v>6</v>
      </c>
      <c r="E5970" s="2" t="str">
        <f>"马栏山新媒体学院"</f>
        <v>马栏山新媒体学院</v>
      </c>
    </row>
    <row r="5971" ht="13.5" hidden="1" spans="1:5">
      <c r="A5971" s="2" t="str">
        <f>"陈慧琳"</f>
        <v>陈慧琳</v>
      </c>
      <c r="B5971" s="2" t="str">
        <f>"B20230504311"</f>
        <v>B20230504311</v>
      </c>
      <c r="C5971" s="2" t="str">
        <f>"女"</f>
        <v>女</v>
      </c>
      <c r="D5971" s="2" t="str">
        <f>"6"</f>
        <v>6</v>
      </c>
      <c r="E5971" s="2" t="str">
        <f>"生物与化学工程学院"</f>
        <v>生物与化学工程学院</v>
      </c>
    </row>
    <row r="5972" ht="13.5" hidden="1" spans="1:5">
      <c r="A5972" s="2" t="str">
        <f>"王宇"</f>
        <v>王宇</v>
      </c>
      <c r="B5972" s="2" t="str">
        <f>"B20210701321"</f>
        <v>B20210701321</v>
      </c>
      <c r="C5972" s="2" t="str">
        <f>"男"</f>
        <v>男</v>
      </c>
      <c r="D5972" s="2" t="str">
        <f>"6"</f>
        <v>6</v>
      </c>
      <c r="E5972" s="2" t="str">
        <f>"马栏山新媒体学院"</f>
        <v>马栏山新媒体学院</v>
      </c>
    </row>
    <row r="5973" ht="13.5" hidden="1" spans="1:5">
      <c r="A5973" s="2" t="str">
        <f>"杨阳"</f>
        <v>杨阳</v>
      </c>
      <c r="B5973" s="2" t="str">
        <f>"B20200704221"</f>
        <v>B20200704221</v>
      </c>
      <c r="C5973" s="2" t="str">
        <f>"女"</f>
        <v>女</v>
      </c>
      <c r="D5973" s="2" t="str">
        <f>"6"</f>
        <v>6</v>
      </c>
      <c r="E5973" s="2" t="str">
        <f>"马栏山新媒体学院"</f>
        <v>马栏山新媒体学院</v>
      </c>
    </row>
    <row r="5974" ht="13.5" hidden="1" spans="1:5">
      <c r="A5974" s="2" t="str">
        <f>"李梦甜"</f>
        <v>李梦甜</v>
      </c>
      <c r="B5974" s="2" t="str">
        <f>"B20230801307"</f>
        <v>B20230801307</v>
      </c>
      <c r="C5974" s="2" t="str">
        <f>"女"</f>
        <v>女</v>
      </c>
      <c r="D5974" s="2" t="str">
        <f>"6"</f>
        <v>6</v>
      </c>
      <c r="E5974" s="2" t="str">
        <f>"外国语学院"</f>
        <v>外国语学院</v>
      </c>
    </row>
    <row r="5975" ht="13.5" hidden="1" spans="1:5">
      <c r="A5975" s="2" t="str">
        <f>"周沛淳"</f>
        <v>周沛淳</v>
      </c>
      <c r="B5975" s="2" t="str">
        <f>"B20220803223"</f>
        <v>B20220803223</v>
      </c>
      <c r="C5975" s="2" t="str">
        <f>"女"</f>
        <v>女</v>
      </c>
      <c r="D5975" s="2" t="str">
        <f>"6"</f>
        <v>6</v>
      </c>
      <c r="E5975" s="2" t="str">
        <f>"外国语学院"</f>
        <v>外国语学院</v>
      </c>
    </row>
    <row r="5976" ht="13.5" hidden="1" spans="1:5">
      <c r="A5976" s="2" t="str">
        <f>"张诚"</f>
        <v>张诚</v>
      </c>
      <c r="B5976" s="2" t="str">
        <f>"B20210906106"</f>
        <v>B20210906106</v>
      </c>
      <c r="C5976" s="2" t="str">
        <f>"男"</f>
        <v>男</v>
      </c>
      <c r="D5976" s="2" t="str">
        <f>"6"</f>
        <v>6</v>
      </c>
      <c r="E5976" s="2" t="str">
        <f>"经济与管理学院"</f>
        <v>经济与管理学院</v>
      </c>
    </row>
    <row r="5977" ht="13.5" hidden="1" spans="1:5">
      <c r="A5977" s="2" t="str">
        <f>"彭宇婕"</f>
        <v>彭宇婕</v>
      </c>
      <c r="B5977" s="2" t="str">
        <f>"B20200704206"</f>
        <v>B20200704206</v>
      </c>
      <c r="C5977" s="2" t="str">
        <f>"女"</f>
        <v>女</v>
      </c>
      <c r="D5977" s="2" t="str">
        <f>"6"</f>
        <v>6</v>
      </c>
      <c r="E5977" s="2" t="str">
        <f>"马栏山新媒体学院"</f>
        <v>马栏山新媒体学院</v>
      </c>
    </row>
    <row r="5978" ht="13.5" hidden="1" spans="1:5">
      <c r="A5978" s="2" t="str">
        <f>"张欣然"</f>
        <v>张欣然</v>
      </c>
      <c r="B5978" s="2" t="str">
        <f>"B20200502229"</f>
        <v>B20200502229</v>
      </c>
      <c r="C5978" s="2" t="str">
        <f>"女"</f>
        <v>女</v>
      </c>
      <c r="D5978" s="2" t="str">
        <f>"6"</f>
        <v>6</v>
      </c>
      <c r="E5978" s="2" t="str">
        <f>"生物与环境工程学院"</f>
        <v>生物与环境工程学院</v>
      </c>
    </row>
    <row r="5979" ht="13.5" hidden="1" spans="1:5">
      <c r="A5979" s="2" t="str">
        <f>"段槿桐"</f>
        <v>段槿桐</v>
      </c>
      <c r="B5979" s="2" t="str">
        <f>"B20200503201"</f>
        <v>B20200503201</v>
      </c>
      <c r="C5979" s="2" t="str">
        <f>"女"</f>
        <v>女</v>
      </c>
      <c r="D5979" s="2" t="str">
        <f>"6"</f>
        <v>6</v>
      </c>
      <c r="E5979" s="2" t="str">
        <f>"生物与环境工程学院"</f>
        <v>生物与环境工程学院</v>
      </c>
    </row>
    <row r="5980" ht="13.5" hidden="1" spans="1:5">
      <c r="A5980" s="2" t="str">
        <f>"陈清扬"</f>
        <v>陈清扬</v>
      </c>
      <c r="B5980" s="2" t="str">
        <f>"B20210704205"</f>
        <v>B20210704205</v>
      </c>
      <c r="C5980" s="2" t="str">
        <f>"女"</f>
        <v>女</v>
      </c>
      <c r="D5980" s="2" t="str">
        <f>"6"</f>
        <v>6</v>
      </c>
      <c r="E5980" s="2" t="str">
        <f>"马栏山新媒体学院"</f>
        <v>马栏山新媒体学院</v>
      </c>
    </row>
    <row r="5981" ht="13.5" hidden="1" spans="1:5">
      <c r="A5981" s="2" t="str">
        <f>"杨棋理"</f>
        <v>杨棋理</v>
      </c>
      <c r="B5981" s="2" t="str">
        <f>"B20230905204"</f>
        <v>B20230905204</v>
      </c>
      <c r="C5981" s="2" t="str">
        <f>"男"</f>
        <v>男</v>
      </c>
      <c r="D5981" s="2" t="str">
        <f>"6"</f>
        <v>6</v>
      </c>
      <c r="E5981" s="2" t="str">
        <f>"经济与管理学院"</f>
        <v>经济与管理学院</v>
      </c>
    </row>
    <row r="5982" ht="13.5" hidden="1" spans="1:5">
      <c r="A5982" s="2" t="str">
        <f>"钱晓珂"</f>
        <v>钱晓珂</v>
      </c>
      <c r="B5982" s="2" t="str">
        <f>"B20230703224"</f>
        <v>B20230703224</v>
      </c>
      <c r="C5982" s="2" t="str">
        <f t="shared" ref="C5982:C5985" si="1515">"女"</f>
        <v>女</v>
      </c>
      <c r="D5982" s="2" t="str">
        <f>"6"</f>
        <v>6</v>
      </c>
      <c r="E5982" s="2" t="str">
        <f>"马栏山新媒体学院"</f>
        <v>马栏山新媒体学院</v>
      </c>
    </row>
    <row r="5983" ht="13.5" hidden="1" spans="1:5">
      <c r="A5983" s="2" t="str">
        <f>"宰雯雯"</f>
        <v>宰雯雯</v>
      </c>
      <c r="B5983" s="2" t="str">
        <f>"B20210702204"</f>
        <v>B20210702204</v>
      </c>
      <c r="C5983" s="2" t="str">
        <f t="shared" si="1515"/>
        <v>女</v>
      </c>
      <c r="D5983" s="2" t="str">
        <f>"6"</f>
        <v>6</v>
      </c>
      <c r="E5983" s="2" t="str">
        <f>"马栏山新媒体学院"</f>
        <v>马栏山新媒体学院</v>
      </c>
    </row>
    <row r="5984" ht="13.5" hidden="1" spans="1:5">
      <c r="A5984" s="2" t="str">
        <f>"李婉洋"</f>
        <v>李婉洋</v>
      </c>
      <c r="B5984" s="2" t="str">
        <f>"B20220904134"</f>
        <v>B20220904134</v>
      </c>
      <c r="C5984" s="2" t="str">
        <f t="shared" si="1515"/>
        <v>女</v>
      </c>
      <c r="D5984" s="2" t="str">
        <f>"6"</f>
        <v>6</v>
      </c>
      <c r="E5984" s="2" t="str">
        <f>"经济与管理学院"</f>
        <v>经济与管理学院</v>
      </c>
    </row>
    <row r="5985" ht="13.5" hidden="1" spans="1:5">
      <c r="A5985" s="2" t="str">
        <f>"符婉婷"</f>
        <v>符婉婷</v>
      </c>
      <c r="B5985" s="2" t="str">
        <f>"B20221111124"</f>
        <v>B20221111124</v>
      </c>
      <c r="C5985" s="2" t="str">
        <f t="shared" si="1515"/>
        <v>女</v>
      </c>
      <c r="D5985" s="2" t="str">
        <f>"6"</f>
        <v>6</v>
      </c>
      <c r="E5985" s="2" t="str">
        <f>"音乐学院"</f>
        <v>音乐学院</v>
      </c>
    </row>
    <row r="5986" ht="13.5" hidden="1" spans="1:5">
      <c r="A5986" s="2" t="str">
        <f>"周圣哲"</f>
        <v>周圣哲</v>
      </c>
      <c r="B5986" s="2" t="str">
        <f>"B20210401319"</f>
        <v>B20210401319</v>
      </c>
      <c r="C5986" s="2" t="str">
        <f>"男"</f>
        <v>男</v>
      </c>
      <c r="D5986" s="2" t="str">
        <f>"6"</f>
        <v>6</v>
      </c>
      <c r="E5986" s="2" t="str">
        <f>"电子信息与电气工程学院"</f>
        <v>电子信息与电气工程学院</v>
      </c>
    </row>
    <row r="5987" ht="13.5" hidden="1" spans="1:5">
      <c r="A5987" s="2" t="str">
        <f>"李玉翔"</f>
        <v>李玉翔</v>
      </c>
      <c r="B5987" s="2" t="str">
        <f>"B20230101511"</f>
        <v>B20230101511</v>
      </c>
      <c r="C5987" s="2" t="str">
        <f>"男"</f>
        <v>男</v>
      </c>
      <c r="D5987" s="2" t="str">
        <f>"6"</f>
        <v>6</v>
      </c>
      <c r="E5987" s="2" t="str">
        <f>"土木工程学院"</f>
        <v>土木工程学院</v>
      </c>
    </row>
    <row r="5988" ht="13.5" hidden="1" spans="1:5">
      <c r="A5988" s="2" t="str">
        <f>"许文强"</f>
        <v>许文强</v>
      </c>
      <c r="B5988" s="2" t="str">
        <f>"B20220401327"</f>
        <v>B20220401327</v>
      </c>
      <c r="C5988" s="2" t="str">
        <f>"男"</f>
        <v>男</v>
      </c>
      <c r="D5988" s="2" t="str">
        <f>"6"</f>
        <v>6</v>
      </c>
      <c r="E5988" s="2" t="str">
        <f>"电子信息与电气工程学院"</f>
        <v>电子信息与电气工程学院</v>
      </c>
    </row>
    <row r="5989" ht="13.5" hidden="1" spans="1:5">
      <c r="A5989" s="2" t="str">
        <f>"王楠栋"</f>
        <v>王楠栋</v>
      </c>
      <c r="B5989" s="2" t="str">
        <f>"B20211003114"</f>
        <v>B20211003114</v>
      </c>
      <c r="C5989" s="2" t="str">
        <f>"男"</f>
        <v>男</v>
      </c>
      <c r="D5989" s="2" t="str">
        <f>"6"</f>
        <v>6</v>
      </c>
      <c r="E5989" s="2" t="str">
        <f>"艺术设计学院"</f>
        <v>艺术设计学院</v>
      </c>
    </row>
    <row r="5990" ht="13.5" hidden="1" spans="1:5">
      <c r="A5990" s="2" t="str">
        <f>"汪杰"</f>
        <v>汪杰</v>
      </c>
      <c r="B5990" s="2" t="str">
        <f>"B20210404107"</f>
        <v>B20210404107</v>
      </c>
      <c r="C5990" s="2" t="str">
        <f>"男"</f>
        <v>男</v>
      </c>
      <c r="D5990" s="2" t="str">
        <f>"6"</f>
        <v>6</v>
      </c>
      <c r="E5990" s="2" t="str">
        <f>"电子信息与电气工程学院"</f>
        <v>电子信息与电气工程学院</v>
      </c>
    </row>
    <row r="5991" ht="13.5" hidden="1" spans="1:5">
      <c r="A5991" s="2" t="str">
        <f>"赖怡"</f>
        <v>赖怡</v>
      </c>
      <c r="B5991" s="2" t="str">
        <f>"B20210402132"</f>
        <v>B20210402132</v>
      </c>
      <c r="C5991" s="2" t="str">
        <f t="shared" ref="C5991:C5995" si="1516">"女"</f>
        <v>女</v>
      </c>
      <c r="D5991" s="2" t="str">
        <f>"6"</f>
        <v>6</v>
      </c>
      <c r="E5991" s="2" t="str">
        <f>"电子信息与电气工程学院"</f>
        <v>电子信息与电气工程学院</v>
      </c>
    </row>
    <row r="5992" ht="13.5" hidden="1" spans="1:5">
      <c r="A5992" s="2" t="str">
        <f>"邓晖泰"</f>
        <v>邓晖泰</v>
      </c>
      <c r="B5992" s="2" t="str">
        <f>"B20231301117"</f>
        <v>B20231301117</v>
      </c>
      <c r="C5992" s="2" t="str">
        <f t="shared" ref="C5992:C5996" si="1517">"男"</f>
        <v>男</v>
      </c>
      <c r="D5992" s="2" t="str">
        <f>"6"</f>
        <v>6</v>
      </c>
      <c r="E5992" s="2" t="str">
        <f>"材料与环境工程学院"</f>
        <v>材料与环境工程学院</v>
      </c>
    </row>
    <row r="5993" ht="13.5" hidden="1" spans="1:5">
      <c r="A5993" s="2" t="str">
        <f>"徐丽"</f>
        <v>徐丽</v>
      </c>
      <c r="B5993" s="2" t="str">
        <f>"B20230703222"</f>
        <v>B20230703222</v>
      </c>
      <c r="C5993" s="2" t="str">
        <f t="shared" si="1516"/>
        <v>女</v>
      </c>
      <c r="D5993" s="2" t="str">
        <f>"6"</f>
        <v>6</v>
      </c>
      <c r="E5993" s="2" t="str">
        <f>"马栏山新媒体学院"</f>
        <v>马栏山新媒体学院</v>
      </c>
    </row>
    <row r="5994" ht="13.5" hidden="1" spans="1:5">
      <c r="A5994" s="2" t="str">
        <f>"叶明杰"</f>
        <v>叶明杰</v>
      </c>
      <c r="B5994" s="2" t="str">
        <f>"B20220102206"</f>
        <v>B20220102206</v>
      </c>
      <c r="C5994" s="2" t="str">
        <f t="shared" si="1517"/>
        <v>男</v>
      </c>
      <c r="D5994" s="2" t="str">
        <f>"6"</f>
        <v>6</v>
      </c>
      <c r="E5994" s="2" t="str">
        <f>"土木工程学院"</f>
        <v>土木工程学院</v>
      </c>
    </row>
    <row r="5995" ht="13.5" hidden="1" spans="1:5">
      <c r="A5995" s="2" t="str">
        <f>"李好"</f>
        <v>李好</v>
      </c>
      <c r="B5995" s="2" t="str">
        <f>"B20220801116"</f>
        <v>B20220801116</v>
      </c>
      <c r="C5995" s="2" t="str">
        <f t="shared" si="1516"/>
        <v>女</v>
      </c>
      <c r="D5995" s="2" t="str">
        <f>"6"</f>
        <v>6</v>
      </c>
      <c r="E5995" s="2" t="str">
        <f>"外国语学院"</f>
        <v>外国语学院</v>
      </c>
    </row>
    <row r="5996" ht="13.5" hidden="1" spans="1:5">
      <c r="A5996" s="2" t="str">
        <f>"杨晓刚"</f>
        <v>杨晓刚</v>
      </c>
      <c r="B5996" s="2" t="str">
        <f>"B20220902222"</f>
        <v>B20220902222</v>
      </c>
      <c r="C5996" s="2" t="str">
        <f t="shared" si="1517"/>
        <v>男</v>
      </c>
      <c r="D5996" s="2" t="str">
        <f>"6"</f>
        <v>6</v>
      </c>
      <c r="E5996" s="2" t="str">
        <f>"经济与管理学院"</f>
        <v>经济与管理学院</v>
      </c>
    </row>
    <row r="5997" ht="13.5" hidden="1" spans="1:5">
      <c r="A5997" s="2" t="str">
        <f>"赵子慧"</f>
        <v>赵子慧</v>
      </c>
      <c r="B5997" s="2" t="str">
        <f>"B20221002218"</f>
        <v>B20221002218</v>
      </c>
      <c r="C5997" s="2" t="str">
        <f>"女"</f>
        <v>女</v>
      </c>
      <c r="D5997" s="2" t="str">
        <f>"6"</f>
        <v>6</v>
      </c>
      <c r="E5997" s="2" t="str">
        <f>"艺术设计学院"</f>
        <v>艺术设计学院</v>
      </c>
    </row>
    <row r="5998" ht="13.5" hidden="1" spans="1:5">
      <c r="A5998" s="2" t="str">
        <f>"肖云静"</f>
        <v>肖云静</v>
      </c>
      <c r="B5998" s="2" t="str">
        <f>"B20221111115"</f>
        <v>B20221111115</v>
      </c>
      <c r="C5998" s="2" t="str">
        <f>"女"</f>
        <v>女</v>
      </c>
      <c r="D5998" s="2" t="str">
        <f>"6"</f>
        <v>6</v>
      </c>
      <c r="E5998" s="2" t="str">
        <f>"音乐学院"</f>
        <v>音乐学院</v>
      </c>
    </row>
    <row r="5999" ht="13.5" hidden="1" spans="1:5">
      <c r="A5999" s="2" t="str">
        <f>"闫理裕"</f>
        <v>闫理裕</v>
      </c>
      <c r="B5999" s="2" t="str">
        <f>"B20231004208"</f>
        <v>B20231004208</v>
      </c>
      <c r="C5999" s="2" t="str">
        <f t="shared" ref="C5999:C6005" si="1518">"男"</f>
        <v>男</v>
      </c>
      <c r="D5999" s="2" t="str">
        <f>"6"</f>
        <v>6</v>
      </c>
      <c r="E5999" s="2" t="str">
        <f>"艺术设计学院"</f>
        <v>艺术设计学院</v>
      </c>
    </row>
    <row r="6000" ht="13.5" hidden="1" spans="1:5">
      <c r="A6000" s="2" t="str">
        <f>"罗昊"</f>
        <v>罗昊</v>
      </c>
      <c r="B6000" s="2" t="str">
        <f>"B20230402333"</f>
        <v>B20230402333</v>
      </c>
      <c r="C6000" s="2" t="str">
        <f t="shared" si="1518"/>
        <v>男</v>
      </c>
      <c r="D6000" s="2" t="str">
        <f>"6"</f>
        <v>6</v>
      </c>
      <c r="E6000" s="2" t="str">
        <f>"电子信息与电气工程学院"</f>
        <v>电子信息与电气工程学院</v>
      </c>
    </row>
    <row r="6001" ht="13.5" hidden="1" spans="1:5">
      <c r="A6001" s="2" t="str">
        <f>"张雅琴"</f>
        <v>张雅琴</v>
      </c>
      <c r="B6001" s="2" t="str">
        <f>"B20230103122"</f>
        <v>B20230103122</v>
      </c>
      <c r="C6001" s="2" t="str">
        <f t="shared" ref="C6001:C6007" si="1519">"女"</f>
        <v>女</v>
      </c>
      <c r="D6001" s="2" t="str">
        <f>"6"</f>
        <v>6</v>
      </c>
      <c r="E6001" s="2" t="str">
        <f>"土木工程学院"</f>
        <v>土木工程学院</v>
      </c>
    </row>
    <row r="6002" ht="13.5" hidden="1" spans="1:5">
      <c r="A6002" s="2" t="str">
        <f>"张谨童"</f>
        <v>张谨童</v>
      </c>
      <c r="B6002" s="2" t="str">
        <f>"B20230704220"</f>
        <v>B20230704220</v>
      </c>
      <c r="C6002" s="2" t="str">
        <f t="shared" si="1519"/>
        <v>女</v>
      </c>
      <c r="D6002" s="2" t="str">
        <f>"6"</f>
        <v>6</v>
      </c>
      <c r="E6002" s="2" t="str">
        <f>"马栏山新媒体学院"</f>
        <v>马栏山新媒体学院</v>
      </c>
    </row>
    <row r="6003" ht="13.5" hidden="1" spans="1:5">
      <c r="A6003" s="2" t="str">
        <f>"张旭"</f>
        <v>张旭</v>
      </c>
      <c r="B6003" s="2" t="str">
        <f>"B20220802126"</f>
        <v>B20220802126</v>
      </c>
      <c r="C6003" s="2" t="str">
        <f t="shared" si="1518"/>
        <v>男</v>
      </c>
      <c r="D6003" s="2" t="str">
        <f>"6"</f>
        <v>6</v>
      </c>
      <c r="E6003" s="2" t="str">
        <f>"外国语学院"</f>
        <v>外国语学院</v>
      </c>
    </row>
    <row r="6004" ht="13.5" hidden="1" spans="1:5">
      <c r="A6004" s="2" t="str">
        <f>"李洪裕"</f>
        <v>李洪裕</v>
      </c>
      <c r="B6004" s="2" t="str">
        <f>"B20230905135"</f>
        <v>B20230905135</v>
      </c>
      <c r="C6004" s="2" t="str">
        <f t="shared" si="1518"/>
        <v>男</v>
      </c>
      <c r="D6004" s="2" t="str">
        <f>"6"</f>
        <v>6</v>
      </c>
      <c r="E6004" s="2" t="str">
        <f>"经济与管理学院"</f>
        <v>经济与管理学院</v>
      </c>
    </row>
    <row r="6005" ht="13.5" hidden="1" spans="1:5">
      <c r="A6005" s="2" t="str">
        <f>"刘红盛"</f>
        <v>刘红盛</v>
      </c>
      <c r="B6005" s="2" t="str">
        <f>"B20210201115"</f>
        <v>B20210201115</v>
      </c>
      <c r="C6005" s="2" t="str">
        <f t="shared" si="1518"/>
        <v>男</v>
      </c>
      <c r="D6005" s="2" t="str">
        <f>"6"</f>
        <v>6</v>
      </c>
      <c r="E6005" s="2" t="str">
        <f>"机电工程学院"</f>
        <v>机电工程学院</v>
      </c>
    </row>
    <row r="6006" ht="13.5" hidden="1" spans="1:5">
      <c r="A6006" s="2" t="str">
        <f>"冯质丽"</f>
        <v>冯质丽</v>
      </c>
      <c r="B6006" s="2" t="str">
        <f>"B20230905118"</f>
        <v>B20230905118</v>
      </c>
      <c r="C6006" s="2" t="str">
        <f t="shared" si="1519"/>
        <v>女</v>
      </c>
      <c r="D6006" s="2" t="str">
        <f>"6"</f>
        <v>6</v>
      </c>
      <c r="E6006" s="2" t="str">
        <f>"经济与管理学院"</f>
        <v>经济与管理学院</v>
      </c>
    </row>
    <row r="6007" ht="13.5" hidden="1" spans="1:5">
      <c r="A6007" s="2" t="str">
        <f>"周悦"</f>
        <v>周悦</v>
      </c>
      <c r="B6007" s="2" t="str">
        <f>"B20230404217"</f>
        <v>B20230404217</v>
      </c>
      <c r="C6007" s="2" t="str">
        <f t="shared" si="1519"/>
        <v>女</v>
      </c>
      <c r="D6007" s="2" t="str">
        <f>"6"</f>
        <v>6</v>
      </c>
      <c r="E6007" s="2" t="str">
        <f>"电子信息与电气工程学院"</f>
        <v>电子信息与电气工程学院</v>
      </c>
    </row>
    <row r="6008" ht="13.5" hidden="1" spans="1:5">
      <c r="A6008" s="2" t="str">
        <f>"王家兴"</f>
        <v>王家兴</v>
      </c>
      <c r="B6008" s="2" t="str">
        <f>"B20231002304"</f>
        <v>B20231002304</v>
      </c>
      <c r="C6008" s="2" t="str">
        <f t="shared" ref="C6008:C6011" si="1520">"男"</f>
        <v>男</v>
      </c>
      <c r="D6008" s="2" t="str">
        <f>"6"</f>
        <v>6</v>
      </c>
      <c r="E6008" s="2" t="str">
        <f>"艺术设计学院"</f>
        <v>艺术设计学院</v>
      </c>
    </row>
    <row r="6009" ht="13.5" hidden="1" spans="1:5">
      <c r="A6009" s="2" t="str">
        <f>"蒋凌风"</f>
        <v>蒋凌风</v>
      </c>
      <c r="B6009" s="2" t="str">
        <f>"B20220802118"</f>
        <v>B20220802118</v>
      </c>
      <c r="C6009" s="2" t="str">
        <f t="shared" si="1520"/>
        <v>男</v>
      </c>
      <c r="D6009" s="2" t="str">
        <f>"6"</f>
        <v>6</v>
      </c>
      <c r="E6009" s="2" t="str">
        <f>"外国语学院"</f>
        <v>外国语学院</v>
      </c>
    </row>
    <row r="6010" ht="13.5" hidden="1" spans="1:5">
      <c r="A6010" s="2" t="str">
        <f>"丁贝希"</f>
        <v>丁贝希</v>
      </c>
      <c r="B6010" s="2" t="str">
        <f>"B20231302102"</f>
        <v>B20231302102</v>
      </c>
      <c r="C6010" s="2" t="str">
        <f t="shared" si="1520"/>
        <v>男</v>
      </c>
      <c r="D6010" s="2" t="str">
        <f>"6"</f>
        <v>6</v>
      </c>
      <c r="E6010" s="2" t="str">
        <f>"材料与环境工程学院"</f>
        <v>材料与环境工程学院</v>
      </c>
    </row>
    <row r="6011" ht="13.5" hidden="1" spans="1:5">
      <c r="A6011" s="2" t="str">
        <f>"赵宜峰"</f>
        <v>赵宜峰</v>
      </c>
      <c r="B6011" s="2" t="str">
        <f>"B20230502135"</f>
        <v>B20230502135</v>
      </c>
      <c r="C6011" s="2" t="str">
        <f t="shared" si="1520"/>
        <v>男</v>
      </c>
      <c r="D6011" s="2" t="str">
        <f>"6"</f>
        <v>6</v>
      </c>
      <c r="E6011" s="2" t="str">
        <f>"生物与化学工程学院"</f>
        <v>生物与化学工程学院</v>
      </c>
    </row>
    <row r="6012" ht="13.5" hidden="1" spans="1:5">
      <c r="A6012" s="2" t="str">
        <f>"刘冰艳"</f>
        <v>刘冰艳</v>
      </c>
      <c r="B6012" s="2" t="str">
        <f>"B20230704126"</f>
        <v>B20230704126</v>
      </c>
      <c r="C6012" s="2" t="str">
        <f t="shared" ref="C6012:C6014" si="1521">"女"</f>
        <v>女</v>
      </c>
      <c r="D6012" s="2" t="str">
        <f>"6"</f>
        <v>6</v>
      </c>
      <c r="E6012" s="2" t="str">
        <f>"马栏山新媒体学院"</f>
        <v>马栏山新媒体学院</v>
      </c>
    </row>
    <row r="6013" ht="13.5" hidden="1" spans="1:5">
      <c r="A6013" s="2" t="str">
        <f>"刘心怡"</f>
        <v>刘心怡</v>
      </c>
      <c r="B6013" s="2" t="str">
        <f>"B20230702428"</f>
        <v>B20230702428</v>
      </c>
      <c r="C6013" s="2" t="str">
        <f t="shared" si="1521"/>
        <v>女</v>
      </c>
      <c r="D6013" s="2" t="str">
        <f>"6"</f>
        <v>6</v>
      </c>
      <c r="E6013" s="2" t="str">
        <f>"马栏山新媒体学院"</f>
        <v>马栏山新媒体学院</v>
      </c>
    </row>
    <row r="6014" ht="13.5" hidden="1" spans="1:5">
      <c r="A6014" s="2" t="str">
        <f>"吴美玲"</f>
        <v>吴美玲</v>
      </c>
      <c r="B6014" s="2" t="str">
        <f>"B20211002209"</f>
        <v>B20211002209</v>
      </c>
      <c r="C6014" s="2" t="str">
        <f t="shared" si="1521"/>
        <v>女</v>
      </c>
      <c r="D6014" s="2" t="str">
        <f>"6"</f>
        <v>6</v>
      </c>
      <c r="E6014" s="2" t="str">
        <f>"艺术设计学院"</f>
        <v>艺术设计学院</v>
      </c>
    </row>
    <row r="6015" ht="13.5" hidden="1" spans="1:5">
      <c r="A6015" s="2" t="str">
        <f>"程思烨"</f>
        <v>程思烨</v>
      </c>
      <c r="B6015" s="2" t="str">
        <f>"B20220703122"</f>
        <v>B20220703122</v>
      </c>
      <c r="C6015" s="2" t="str">
        <f>"女"</f>
        <v>女</v>
      </c>
      <c r="D6015" s="2" t="str">
        <f>"6"</f>
        <v>6</v>
      </c>
      <c r="E6015" s="2" t="str">
        <f>"马栏山新媒体学院"</f>
        <v>马栏山新媒体学院</v>
      </c>
    </row>
    <row r="6016" ht="13.5" hidden="1" spans="1:5">
      <c r="A6016" s="2" t="str">
        <f>"贺铮镕"</f>
        <v>贺铮镕</v>
      </c>
      <c r="B6016" s="2" t="str">
        <f>"B20230504309"</f>
        <v>B20230504309</v>
      </c>
      <c r="C6016" s="2" t="str">
        <f>"男"</f>
        <v>男</v>
      </c>
      <c r="D6016" s="2" t="str">
        <f>"6"</f>
        <v>6</v>
      </c>
      <c r="E6016" s="2" t="str">
        <f>"生物与化学工程学院"</f>
        <v>生物与化学工程学院</v>
      </c>
    </row>
    <row r="6017" ht="13.5" hidden="1" spans="1:5">
      <c r="A6017" s="2" t="str">
        <f>"马子翔"</f>
        <v>马子翔</v>
      </c>
      <c r="B6017" s="2" t="str">
        <f>"B20230504128"</f>
        <v>B20230504128</v>
      </c>
      <c r="C6017" s="2" t="str">
        <f>"男"</f>
        <v>男</v>
      </c>
      <c r="D6017" s="2" t="str">
        <f>"6"</f>
        <v>6</v>
      </c>
      <c r="E6017" s="2" t="str">
        <f>"生物与化学工程学院"</f>
        <v>生物与化学工程学院</v>
      </c>
    </row>
    <row r="6018" ht="13.5" hidden="1" spans="1:5">
      <c r="A6018" s="2" t="str">
        <f>"闫雪"</f>
        <v>闫雪</v>
      </c>
      <c r="B6018" s="2" t="str">
        <f>"B20220703306"</f>
        <v>B20220703306</v>
      </c>
      <c r="C6018" s="2" t="str">
        <f>"女"</f>
        <v>女</v>
      </c>
      <c r="D6018" s="2" t="str">
        <f>"6"</f>
        <v>6</v>
      </c>
      <c r="E6018" s="2" t="str">
        <f>"马栏山新媒体学院"</f>
        <v>马栏山新媒体学院</v>
      </c>
    </row>
    <row r="6019" ht="13.5" hidden="1" spans="1:5">
      <c r="A6019" s="2" t="str">
        <f>"肖文广"</f>
        <v>肖文广</v>
      </c>
      <c r="B6019" s="2" t="str">
        <f>"B20200402230"</f>
        <v>B20200402230</v>
      </c>
      <c r="C6019" s="2" t="str">
        <f>"男"</f>
        <v>男</v>
      </c>
      <c r="D6019" s="2" t="str">
        <f>"6"</f>
        <v>6</v>
      </c>
      <c r="E6019" s="2" t="str">
        <f>"电子信息与电气工程学院"</f>
        <v>电子信息与电气工程学院</v>
      </c>
    </row>
    <row r="6020" ht="13.5" hidden="1" spans="1:5">
      <c r="A6020" s="2" t="str">
        <f>"吴俊峰"</f>
        <v>吴俊峰</v>
      </c>
      <c r="B6020" s="2" t="str">
        <f>"B20230502103"</f>
        <v>B20230502103</v>
      </c>
      <c r="C6020" s="2" t="str">
        <f>"男"</f>
        <v>男</v>
      </c>
      <c r="D6020" s="2" t="str">
        <f>"6"</f>
        <v>6</v>
      </c>
      <c r="E6020" s="2" t="str">
        <f>"生物与化学工程学院"</f>
        <v>生物与化学工程学院</v>
      </c>
    </row>
    <row r="6021" ht="13.5" hidden="1" spans="1:5">
      <c r="A6021" s="2" t="str">
        <f>"徐贝"</f>
        <v>徐贝</v>
      </c>
      <c r="B6021" s="2" t="str">
        <f>"B20200504219"</f>
        <v>B20200504219</v>
      </c>
      <c r="C6021" s="2" t="str">
        <f>"男"</f>
        <v>男</v>
      </c>
      <c r="D6021" s="2" t="str">
        <f>"6"</f>
        <v>6</v>
      </c>
      <c r="E6021" s="2" t="str">
        <f>"生物与环境工程学院"</f>
        <v>生物与环境工程学院</v>
      </c>
    </row>
    <row r="6022" ht="13.5" hidden="1" spans="1:5">
      <c r="A6022" s="2" t="str">
        <f>"刘瑀锡"</f>
        <v>刘瑀锡</v>
      </c>
      <c r="B6022" s="2" t="str">
        <f>"B20221101114"</f>
        <v>B20221101114</v>
      </c>
      <c r="C6022" s="2" t="str">
        <f>"女"</f>
        <v>女</v>
      </c>
      <c r="D6022" s="2" t="str">
        <f>"6"</f>
        <v>6</v>
      </c>
      <c r="E6022" s="2" t="str">
        <f>"音乐学院"</f>
        <v>音乐学院</v>
      </c>
    </row>
    <row r="6023" ht="13.5" hidden="1" spans="1:5">
      <c r="A6023" s="2" t="str">
        <f>"阳思远"</f>
        <v>阳思远</v>
      </c>
      <c r="B6023" s="2" t="str">
        <f>"B20210906118"</f>
        <v>B20210906118</v>
      </c>
      <c r="C6023" s="2" t="str">
        <f>"男"</f>
        <v>男</v>
      </c>
      <c r="D6023" s="2" t="str">
        <f>"6"</f>
        <v>6</v>
      </c>
      <c r="E6023" s="2" t="str">
        <f>"经济与管理学院"</f>
        <v>经济与管理学院</v>
      </c>
    </row>
    <row r="6024" ht="13.5" hidden="1" spans="1:5">
      <c r="A6024" s="2" t="str">
        <f>"莫天玺"</f>
        <v>莫天玺</v>
      </c>
      <c r="B6024" s="2" t="str">
        <f>"B20200201302"</f>
        <v>B20200201302</v>
      </c>
      <c r="C6024" s="2" t="str">
        <f>"男"</f>
        <v>男</v>
      </c>
      <c r="D6024" s="2" t="str">
        <f t="shared" ref="D6024:D6030" si="1522">"6"</f>
        <v>6</v>
      </c>
      <c r="E6024" s="2" t="str">
        <f>"机电工程学院"</f>
        <v>机电工程学院</v>
      </c>
    </row>
    <row r="6025" ht="13.5" hidden="1" spans="1:5">
      <c r="A6025" s="2" t="str">
        <f>"周泽宇"</f>
        <v>周泽宇</v>
      </c>
      <c r="B6025" s="2" t="str">
        <f>"B20230702215"</f>
        <v>B20230702215</v>
      </c>
      <c r="C6025" s="2" t="str">
        <f>"男"</f>
        <v>男</v>
      </c>
      <c r="D6025" s="2" t="str">
        <f t="shared" si="1522"/>
        <v>6</v>
      </c>
      <c r="E6025" s="2" t="str">
        <f>"马栏山新媒体学院"</f>
        <v>马栏山新媒体学院</v>
      </c>
    </row>
    <row r="6026" ht="13.5" hidden="1" spans="1:5">
      <c r="A6026" s="2" t="str">
        <f>"梅素勤"</f>
        <v>梅素勤</v>
      </c>
      <c r="B6026" s="2" t="str">
        <f>"B20231004225"</f>
        <v>B20231004225</v>
      </c>
      <c r="C6026" s="2" t="str">
        <f>"女"</f>
        <v>女</v>
      </c>
      <c r="D6026" s="2" t="str">
        <f t="shared" si="1522"/>
        <v>6</v>
      </c>
      <c r="E6026" s="2" t="str">
        <f>"艺术设计学院"</f>
        <v>艺术设计学院</v>
      </c>
    </row>
    <row r="6027" ht="13.5" hidden="1" spans="1:5">
      <c r="A6027" s="2" t="str">
        <f>"梁选当"</f>
        <v>梁选当</v>
      </c>
      <c r="B6027" s="2" t="str">
        <f>"B20210201404"</f>
        <v>B20210201404</v>
      </c>
      <c r="C6027" s="2" t="str">
        <f t="shared" ref="C6027:C6033" si="1523">"男"</f>
        <v>男</v>
      </c>
      <c r="D6027" s="2" t="str">
        <f t="shared" si="1522"/>
        <v>6</v>
      </c>
      <c r="E6027" s="2" t="str">
        <f t="shared" ref="E6027:E6032" si="1524">"机电工程学院"</f>
        <v>机电工程学院</v>
      </c>
    </row>
    <row r="6028" ht="13.5" hidden="1" spans="1:5">
      <c r="A6028" s="2" t="str">
        <f>"郝祺"</f>
        <v>郝祺</v>
      </c>
      <c r="B6028" s="2" t="str">
        <f>"B20200101501"</f>
        <v>B20200101501</v>
      </c>
      <c r="C6028" s="2" t="str">
        <f t="shared" si="1523"/>
        <v>男</v>
      </c>
      <c r="D6028" s="2" t="str">
        <f t="shared" si="1522"/>
        <v>6</v>
      </c>
      <c r="E6028" s="2" t="str">
        <f t="shared" ref="E6028:E6033" si="1525">"土木工程学院"</f>
        <v>土木工程学院</v>
      </c>
    </row>
    <row r="6029" ht="13.5" hidden="1" spans="1:5">
      <c r="A6029" s="2" t="str">
        <f>"赵冬平"</f>
        <v>赵冬平</v>
      </c>
      <c r="B6029" s="2" t="str">
        <f>"B20231111101"</f>
        <v>B20231111101</v>
      </c>
      <c r="C6029" s="2" t="str">
        <f t="shared" si="1523"/>
        <v>男</v>
      </c>
      <c r="D6029" s="2" t="str">
        <f t="shared" si="1522"/>
        <v>6</v>
      </c>
      <c r="E6029" s="2" t="str">
        <f>"音乐学院"</f>
        <v>音乐学院</v>
      </c>
    </row>
    <row r="6030" ht="13.5" hidden="1" spans="1:5">
      <c r="A6030" s="2" t="str">
        <f>"宋林涛"</f>
        <v>宋林涛</v>
      </c>
      <c r="B6030" s="2" t="str">
        <f>"B20200103226"</f>
        <v>B20200103226</v>
      </c>
      <c r="C6030" s="2" t="str">
        <f t="shared" si="1523"/>
        <v>男</v>
      </c>
      <c r="D6030" s="2" t="str">
        <f t="shared" si="1522"/>
        <v>6</v>
      </c>
      <c r="E6030" s="2" t="str">
        <f t="shared" si="1525"/>
        <v>土木工程学院</v>
      </c>
    </row>
    <row r="6031" ht="13.5" hidden="1" spans="1:5">
      <c r="A6031" s="2" t="str">
        <f>"项宇"</f>
        <v>项宇</v>
      </c>
      <c r="B6031" s="2" t="str">
        <f>"B20210202126"</f>
        <v>B20210202126</v>
      </c>
      <c r="C6031" s="2" t="str">
        <f t="shared" si="1523"/>
        <v>男</v>
      </c>
      <c r="D6031" s="2" t="str">
        <f>"6"</f>
        <v>6</v>
      </c>
      <c r="E6031" s="2" t="str">
        <f t="shared" si="1524"/>
        <v>机电工程学院</v>
      </c>
    </row>
    <row r="6032" ht="13.5" hidden="1" spans="1:5">
      <c r="A6032" s="2" t="str">
        <f>"刘泳嘉"</f>
        <v>刘泳嘉</v>
      </c>
      <c r="B6032" s="2" t="str">
        <f>"B20230202217"</f>
        <v>B20230202217</v>
      </c>
      <c r="C6032" s="2" t="str">
        <f t="shared" si="1523"/>
        <v>男</v>
      </c>
      <c r="D6032" s="2" t="str">
        <f>"6"</f>
        <v>6</v>
      </c>
      <c r="E6032" s="2" t="str">
        <f t="shared" si="1524"/>
        <v>机电工程学院</v>
      </c>
    </row>
    <row r="6033" ht="13.5" hidden="1" spans="1:5">
      <c r="A6033" s="2" t="str">
        <f>"刘曦之"</f>
        <v>刘曦之</v>
      </c>
      <c r="B6033" s="2" t="str">
        <f>"B20200101307"</f>
        <v>B20200101307</v>
      </c>
      <c r="C6033" s="2" t="str">
        <f t="shared" si="1523"/>
        <v>男</v>
      </c>
      <c r="D6033" s="2" t="str">
        <f>"6"</f>
        <v>6</v>
      </c>
      <c r="E6033" s="2" t="str">
        <f t="shared" si="1525"/>
        <v>土木工程学院</v>
      </c>
    </row>
    <row r="6034" ht="13.5" hidden="1" spans="1:5">
      <c r="A6034" s="2" t="str">
        <f>"尹赛儿"</f>
        <v>尹赛儿</v>
      </c>
      <c r="B6034" s="2" t="str">
        <f>"B20230703314"</f>
        <v>B20230703314</v>
      </c>
      <c r="C6034" s="2" t="str">
        <f>"女"</f>
        <v>女</v>
      </c>
      <c r="D6034" s="2" t="str">
        <f>"6"</f>
        <v>6</v>
      </c>
      <c r="E6034" s="2" t="str">
        <f>"马栏山新媒体学院"</f>
        <v>马栏山新媒体学院</v>
      </c>
    </row>
    <row r="6035" ht="13.5" hidden="1" spans="1:5">
      <c r="A6035" s="2" t="str">
        <f>"陈嘉龙"</f>
        <v>陈嘉龙</v>
      </c>
      <c r="B6035" s="2" t="str">
        <f>"B20220403332"</f>
        <v>B20220403332</v>
      </c>
      <c r="C6035" s="2" t="str">
        <f>"男"</f>
        <v>男</v>
      </c>
      <c r="D6035" s="2" t="str">
        <f>"6"</f>
        <v>6</v>
      </c>
      <c r="E6035" s="2" t="str">
        <f>"电子信息与电气工程学院"</f>
        <v>电子信息与电气工程学院</v>
      </c>
    </row>
    <row r="6036" ht="13.5" hidden="1" spans="1:5">
      <c r="A6036" s="2" t="str">
        <f>"窦晨航"</f>
        <v>窦晨航</v>
      </c>
      <c r="B6036" s="2" t="str">
        <f>"B20220204303"</f>
        <v>B20220204303</v>
      </c>
      <c r="C6036" s="2" t="str">
        <f>"男"</f>
        <v>男</v>
      </c>
      <c r="D6036" s="2" t="str">
        <f>"6"</f>
        <v>6</v>
      </c>
      <c r="E6036" s="2" t="str">
        <f>"机电工程学院"</f>
        <v>机电工程学院</v>
      </c>
    </row>
    <row r="6037" ht="13.5" hidden="1" spans="1:5">
      <c r="A6037" s="2" t="str">
        <f>"姚萍"</f>
        <v>姚萍</v>
      </c>
      <c r="B6037" s="2" t="str">
        <f>"B20231401211"</f>
        <v>B20231401211</v>
      </c>
      <c r="C6037" s="2" t="str">
        <f>"女"</f>
        <v>女</v>
      </c>
      <c r="D6037" s="2" t="str">
        <f t="shared" ref="D6037:D6065" si="1526">"6"</f>
        <v>6</v>
      </c>
      <c r="E6037" s="2" t="str">
        <f>"马克思主义学院"</f>
        <v>马克思主义学院</v>
      </c>
    </row>
    <row r="6038" ht="13.5" hidden="1" spans="1:5">
      <c r="A6038" s="2" t="str">
        <f>"陆芊芊"</f>
        <v>陆芊芊</v>
      </c>
      <c r="B6038" s="2" t="str">
        <f>"B20220903131"</f>
        <v>B20220903131</v>
      </c>
      <c r="C6038" s="2" t="str">
        <f>"女"</f>
        <v>女</v>
      </c>
      <c r="D6038" s="2" t="str">
        <f t="shared" si="1526"/>
        <v>6</v>
      </c>
      <c r="E6038" s="2" t="str">
        <f t="shared" ref="E6038:E6041" si="1527">"经济与管理学院"</f>
        <v>经济与管理学院</v>
      </c>
    </row>
    <row r="6039" ht="13.5" hidden="1" spans="1:5">
      <c r="A6039" s="2" t="str">
        <f>"杨宇明"</f>
        <v>杨宇明</v>
      </c>
      <c r="B6039" s="2" t="str">
        <f>"B20221301215"</f>
        <v>B20221301215</v>
      </c>
      <c r="C6039" s="2" t="str">
        <f t="shared" ref="C6039:C6044" si="1528">"男"</f>
        <v>男</v>
      </c>
      <c r="D6039" s="2" t="str">
        <f t="shared" si="1526"/>
        <v>6</v>
      </c>
      <c r="E6039" s="2" t="str">
        <f>"材料与环境工程学院"</f>
        <v>材料与环境工程学院</v>
      </c>
    </row>
    <row r="6040" ht="13.5" hidden="1" spans="1:5">
      <c r="A6040" s="2" t="str">
        <f>"殷乐悦"</f>
        <v>殷乐悦</v>
      </c>
      <c r="B6040" s="2" t="str">
        <f>"B20230904136"</f>
        <v>B20230904136</v>
      </c>
      <c r="C6040" s="2" t="str">
        <f t="shared" ref="C6040:C6043" si="1529">"女"</f>
        <v>女</v>
      </c>
      <c r="D6040" s="2" t="str">
        <f t="shared" si="1526"/>
        <v>6</v>
      </c>
      <c r="E6040" s="2" t="str">
        <f t="shared" si="1527"/>
        <v>经济与管理学院</v>
      </c>
    </row>
    <row r="6041" ht="13.5" hidden="1" spans="1:5">
      <c r="A6041" s="2" t="str">
        <f>"谢雨彤"</f>
        <v>谢雨彤</v>
      </c>
      <c r="B6041" s="2" t="str">
        <f>"B20200901134"</f>
        <v>B20200901134</v>
      </c>
      <c r="C6041" s="2" t="str">
        <f t="shared" si="1529"/>
        <v>女</v>
      </c>
      <c r="D6041" s="2" t="str">
        <f t="shared" si="1526"/>
        <v>6</v>
      </c>
      <c r="E6041" s="2" t="str">
        <f t="shared" si="1527"/>
        <v>经济与管理学院</v>
      </c>
    </row>
    <row r="6042" ht="13.5" hidden="1" spans="1:5">
      <c r="A6042" s="2" t="str">
        <f>"曾佳炜"</f>
        <v>曾佳炜</v>
      </c>
      <c r="B6042" s="2" t="str">
        <f>"B20210401103"</f>
        <v>B20210401103</v>
      </c>
      <c r="C6042" s="2" t="str">
        <f t="shared" si="1528"/>
        <v>男</v>
      </c>
      <c r="D6042" s="2" t="str">
        <f t="shared" si="1526"/>
        <v>6</v>
      </c>
      <c r="E6042" s="2" t="str">
        <f t="shared" ref="E6042:E6045" si="1530">"电子信息与电气工程学院"</f>
        <v>电子信息与电气工程学院</v>
      </c>
    </row>
    <row r="6043" ht="13.5" hidden="1" spans="1:5">
      <c r="A6043" s="2" t="str">
        <f>"何舒回"</f>
        <v>何舒回</v>
      </c>
      <c r="B6043" s="2" t="str">
        <f>"B20221301103"</f>
        <v>B20221301103</v>
      </c>
      <c r="C6043" s="2" t="str">
        <f t="shared" si="1529"/>
        <v>女</v>
      </c>
      <c r="D6043" s="2" t="str">
        <f t="shared" si="1526"/>
        <v>6</v>
      </c>
      <c r="E6043" s="2" t="str">
        <f>"材料与环境工程学院"</f>
        <v>材料与环境工程学院</v>
      </c>
    </row>
    <row r="6044" ht="13.5" hidden="1" spans="1:5">
      <c r="A6044" s="2" t="str">
        <f>"龙渺"</f>
        <v>龙渺</v>
      </c>
      <c r="B6044" s="2" t="str">
        <f>"B20220401117"</f>
        <v>B20220401117</v>
      </c>
      <c r="C6044" s="2" t="str">
        <f t="shared" si="1528"/>
        <v>男</v>
      </c>
      <c r="D6044" s="2" t="str">
        <f t="shared" si="1526"/>
        <v>6</v>
      </c>
      <c r="E6044" s="2" t="str">
        <f t="shared" si="1530"/>
        <v>电子信息与电气工程学院</v>
      </c>
    </row>
    <row r="6045" ht="13.5" hidden="1" spans="1:5">
      <c r="A6045" s="2" t="str">
        <f>"邓丹妮"</f>
        <v>邓丹妮</v>
      </c>
      <c r="B6045" s="2" t="str">
        <f>"B20210401326"</f>
        <v>B20210401326</v>
      </c>
      <c r="C6045" s="2" t="str">
        <f t="shared" ref="C6045:C6049" si="1531">"女"</f>
        <v>女</v>
      </c>
      <c r="D6045" s="2" t="str">
        <f t="shared" si="1526"/>
        <v>6</v>
      </c>
      <c r="E6045" s="2" t="str">
        <f t="shared" si="1530"/>
        <v>电子信息与电气工程学院</v>
      </c>
    </row>
    <row r="6046" ht="13.5" hidden="1" spans="1:5">
      <c r="A6046" s="2" t="str">
        <f>"张园园"</f>
        <v>张园园</v>
      </c>
      <c r="B6046" s="2" t="str">
        <f>"B20220802129"</f>
        <v>B20220802129</v>
      </c>
      <c r="C6046" s="2" t="str">
        <f t="shared" si="1531"/>
        <v>女</v>
      </c>
      <c r="D6046" s="2" t="str">
        <f t="shared" si="1526"/>
        <v>6</v>
      </c>
      <c r="E6046" s="2" t="str">
        <f>"外国语学院"</f>
        <v>外国语学院</v>
      </c>
    </row>
    <row r="6047" ht="13.5" hidden="1" spans="1:5">
      <c r="A6047" s="2" t="str">
        <f>"徐益"</f>
        <v>徐益</v>
      </c>
      <c r="B6047" s="2" t="str">
        <f>"B20220905114"</f>
        <v>B20220905114</v>
      </c>
      <c r="C6047" s="2" t="str">
        <f t="shared" si="1531"/>
        <v>女</v>
      </c>
      <c r="D6047" s="2" t="str">
        <f t="shared" si="1526"/>
        <v>6</v>
      </c>
      <c r="E6047" s="2" t="str">
        <f t="shared" ref="E6047:E6049" si="1532">"经济与管理学院"</f>
        <v>经济与管理学院</v>
      </c>
    </row>
    <row r="6048" ht="13.5" hidden="1" spans="1:5">
      <c r="A6048" s="2" t="str">
        <f>"唐丹"</f>
        <v>唐丹</v>
      </c>
      <c r="B6048" s="2" t="str">
        <f>"B20210906126"</f>
        <v>B20210906126</v>
      </c>
      <c r="C6048" s="2" t="str">
        <f t="shared" si="1531"/>
        <v>女</v>
      </c>
      <c r="D6048" s="2" t="str">
        <f t="shared" si="1526"/>
        <v>6</v>
      </c>
      <c r="E6048" s="2" t="str">
        <f t="shared" si="1532"/>
        <v>经济与管理学院</v>
      </c>
    </row>
    <row r="6049" ht="13.5" hidden="1" spans="1:5">
      <c r="A6049" s="2" t="str">
        <f>"黄智娟"</f>
        <v>黄智娟</v>
      </c>
      <c r="B6049" s="2" t="str">
        <f>"B20210906232"</f>
        <v>B20210906232</v>
      </c>
      <c r="C6049" s="2" t="str">
        <f t="shared" si="1531"/>
        <v>女</v>
      </c>
      <c r="D6049" s="2" t="str">
        <f t="shared" si="1526"/>
        <v>6</v>
      </c>
      <c r="E6049" s="2" t="str">
        <f t="shared" si="1532"/>
        <v>经济与管理学院</v>
      </c>
    </row>
    <row r="6050" ht="13.5" hidden="1" spans="1:5">
      <c r="A6050" s="2" t="str">
        <f>"周志忠"</f>
        <v>周志忠</v>
      </c>
      <c r="B6050" s="2" t="str">
        <f>"B20220405118"</f>
        <v>B20220405118</v>
      </c>
      <c r="C6050" s="2" t="str">
        <f>"男"</f>
        <v>男</v>
      </c>
      <c r="D6050" s="2" t="str">
        <f t="shared" si="1526"/>
        <v>6</v>
      </c>
      <c r="E6050" s="2" t="str">
        <f>"电子信息与电气工程学院"</f>
        <v>电子信息与电气工程学院</v>
      </c>
    </row>
    <row r="6051" ht="13.5" hidden="1" spans="1:5">
      <c r="A6051" s="2" t="str">
        <f>"钟雨桐"</f>
        <v>钟雨桐</v>
      </c>
      <c r="B6051" s="2" t="str">
        <f>"B20230404226"</f>
        <v>B20230404226</v>
      </c>
      <c r="C6051" s="2" t="str">
        <f t="shared" ref="C6051:C6055" si="1533">"女"</f>
        <v>女</v>
      </c>
      <c r="D6051" s="2" t="str">
        <f t="shared" si="1526"/>
        <v>6</v>
      </c>
      <c r="E6051" s="2" t="str">
        <f>"电子信息与电气工程学院"</f>
        <v>电子信息与电气工程学院</v>
      </c>
    </row>
    <row r="6052" ht="13.5" hidden="1" spans="1:5">
      <c r="A6052" s="2" t="str">
        <f>"郑雅馨"</f>
        <v>郑雅馨</v>
      </c>
      <c r="B6052" s="2" t="str">
        <f>"B20231001419"</f>
        <v>B20231001419</v>
      </c>
      <c r="C6052" s="2" t="str">
        <f t="shared" si="1533"/>
        <v>女</v>
      </c>
      <c r="D6052" s="2" t="str">
        <f t="shared" si="1526"/>
        <v>6</v>
      </c>
      <c r="E6052" s="2" t="str">
        <f>"艺术设计学院"</f>
        <v>艺术设计学院</v>
      </c>
    </row>
    <row r="6053" ht="13.5" hidden="1" spans="1:5">
      <c r="A6053" s="2" t="str">
        <f>"何泰铭"</f>
        <v>何泰铭</v>
      </c>
      <c r="B6053" s="2" t="str">
        <f>"B20210501112"</f>
        <v>B20210501112</v>
      </c>
      <c r="C6053" s="2" t="str">
        <f t="shared" ref="C6053:C6061" si="1534">"男"</f>
        <v>男</v>
      </c>
      <c r="D6053" s="2" t="str">
        <f t="shared" si="1526"/>
        <v>6</v>
      </c>
      <c r="E6053" s="2" t="str">
        <f t="shared" ref="E6053:E6058" si="1535">"生物与化学工程学院"</f>
        <v>生物与化学工程学院</v>
      </c>
    </row>
    <row r="6054" ht="13.5" hidden="1" spans="1:5">
      <c r="A6054" s="2" t="str">
        <f>"谢汶澄"</f>
        <v>谢汶澄</v>
      </c>
      <c r="B6054" s="2" t="str">
        <f>"B20230504216"</f>
        <v>B20230504216</v>
      </c>
      <c r="C6054" s="2" t="str">
        <f t="shared" si="1533"/>
        <v>女</v>
      </c>
      <c r="D6054" s="2" t="str">
        <f t="shared" si="1526"/>
        <v>6</v>
      </c>
      <c r="E6054" s="2" t="str">
        <f t="shared" si="1535"/>
        <v>生物与化学工程学院</v>
      </c>
    </row>
    <row r="6055" ht="13.5" hidden="1" spans="1:5">
      <c r="A6055" s="2" t="str">
        <f>"田冰莹"</f>
        <v>田冰莹</v>
      </c>
      <c r="B6055" s="2" t="str">
        <f>"B20230201306"</f>
        <v>B20230201306</v>
      </c>
      <c r="C6055" s="2" t="str">
        <f t="shared" si="1533"/>
        <v>女</v>
      </c>
      <c r="D6055" s="2" t="str">
        <f t="shared" si="1526"/>
        <v>6</v>
      </c>
      <c r="E6055" s="2" t="str">
        <f>"机电工程学院"</f>
        <v>机电工程学院</v>
      </c>
    </row>
    <row r="6056" ht="13.5" hidden="1" spans="1:5">
      <c r="A6056" s="2" t="str">
        <f>"罗乐"</f>
        <v>罗乐</v>
      </c>
      <c r="B6056" s="2" t="str">
        <f>"B20220401107"</f>
        <v>B20220401107</v>
      </c>
      <c r="C6056" s="2" t="str">
        <f t="shared" si="1534"/>
        <v>男</v>
      </c>
      <c r="D6056" s="2" t="str">
        <f t="shared" si="1526"/>
        <v>6</v>
      </c>
      <c r="E6056" s="2" t="str">
        <f>"电子信息与电气工程学院"</f>
        <v>电子信息与电气工程学院</v>
      </c>
    </row>
    <row r="6057" ht="13.5" hidden="1" spans="1:5">
      <c r="A6057" s="2" t="str">
        <f>"周可意"</f>
        <v>周可意</v>
      </c>
      <c r="B6057" s="2" t="str">
        <f>"B20230502220"</f>
        <v>B20230502220</v>
      </c>
      <c r="C6057" s="2" t="str">
        <f>"女"</f>
        <v>女</v>
      </c>
      <c r="D6057" s="2" t="str">
        <f t="shared" si="1526"/>
        <v>6</v>
      </c>
      <c r="E6057" s="2" t="str">
        <f t="shared" si="1535"/>
        <v>生物与化学工程学院</v>
      </c>
    </row>
    <row r="6058" ht="13.5" hidden="1" spans="1:5">
      <c r="A6058" s="2" t="str">
        <f>"谢康"</f>
        <v>谢康</v>
      </c>
      <c r="B6058" s="2" t="str">
        <f>"B20230502113"</f>
        <v>B20230502113</v>
      </c>
      <c r="C6058" s="2" t="str">
        <f t="shared" si="1534"/>
        <v>男</v>
      </c>
      <c r="D6058" s="2" t="str">
        <f t="shared" si="1526"/>
        <v>6</v>
      </c>
      <c r="E6058" s="2" t="str">
        <f t="shared" si="1535"/>
        <v>生物与化学工程学院</v>
      </c>
    </row>
    <row r="6059" ht="13.5" hidden="1" spans="1:5">
      <c r="A6059" s="2" t="str">
        <f>"胡昌泽"</f>
        <v>胡昌泽</v>
      </c>
      <c r="B6059" s="2" t="str">
        <f>"B20220401310"</f>
        <v>B20220401310</v>
      </c>
      <c r="C6059" s="2" t="str">
        <f t="shared" si="1534"/>
        <v>男</v>
      </c>
      <c r="D6059" s="2" t="str">
        <f t="shared" si="1526"/>
        <v>6</v>
      </c>
      <c r="E6059" s="2" t="str">
        <f>"电子信息与电气工程学院"</f>
        <v>电子信息与电气工程学院</v>
      </c>
    </row>
    <row r="6060" ht="13.5" hidden="1" spans="1:5">
      <c r="A6060" s="2" t="str">
        <f>"曾旭"</f>
        <v>曾旭</v>
      </c>
      <c r="B6060" s="2" t="str">
        <f>"B20230906203"</f>
        <v>B20230906203</v>
      </c>
      <c r="C6060" s="2" t="str">
        <f t="shared" si="1534"/>
        <v>男</v>
      </c>
      <c r="D6060" s="2" t="str">
        <f t="shared" si="1526"/>
        <v>6</v>
      </c>
      <c r="E6060" s="2" t="str">
        <f>"经济与管理学院"</f>
        <v>经济与管理学院</v>
      </c>
    </row>
    <row r="6061" ht="13.5" hidden="1" spans="1:5">
      <c r="A6061" s="2" t="str">
        <f>"莫小龙"</f>
        <v>莫小龙</v>
      </c>
      <c r="B6061" s="2" t="str">
        <f>"B20230101526"</f>
        <v>B20230101526</v>
      </c>
      <c r="C6061" s="2" t="str">
        <f t="shared" si="1534"/>
        <v>男</v>
      </c>
      <c r="D6061" s="2" t="str">
        <f t="shared" si="1526"/>
        <v>6</v>
      </c>
      <c r="E6061" s="2" t="str">
        <f>"土木工程学院"</f>
        <v>土木工程学院</v>
      </c>
    </row>
    <row r="6062" ht="13.5" hidden="1" spans="1:5">
      <c r="A6062" s="2" t="str">
        <f>"邹若芸"</f>
        <v>邹若芸</v>
      </c>
      <c r="B6062" s="2" t="str">
        <f>"B20231101313"</f>
        <v>B20231101313</v>
      </c>
      <c r="C6062" s="2" t="str">
        <f t="shared" ref="C6062:C6065" si="1536">"女"</f>
        <v>女</v>
      </c>
      <c r="D6062" s="2" t="str">
        <f t="shared" si="1526"/>
        <v>6</v>
      </c>
      <c r="E6062" s="2" t="str">
        <f>"音乐学院"</f>
        <v>音乐学院</v>
      </c>
    </row>
    <row r="6063" ht="13.5" hidden="1" spans="1:5">
      <c r="A6063" s="2" t="str">
        <f>"邹金金"</f>
        <v>邹金金</v>
      </c>
      <c r="B6063" s="2" t="str">
        <f>"B20230901216"</f>
        <v>B20230901216</v>
      </c>
      <c r="C6063" s="2" t="str">
        <f t="shared" si="1536"/>
        <v>女</v>
      </c>
      <c r="D6063" s="2" t="str">
        <f t="shared" si="1526"/>
        <v>6</v>
      </c>
      <c r="E6063" s="2" t="str">
        <f>"经济与管理学院"</f>
        <v>经济与管理学院</v>
      </c>
    </row>
    <row r="6064" ht="13.5" hidden="1" spans="1:5">
      <c r="A6064" s="2" t="str">
        <f>"张嘉"</f>
        <v>张嘉</v>
      </c>
      <c r="B6064" s="2" t="str">
        <f>"B20230701320"</f>
        <v>B20230701320</v>
      </c>
      <c r="C6064" s="2" t="str">
        <f t="shared" si="1536"/>
        <v>女</v>
      </c>
      <c r="D6064" s="2" t="str">
        <f t="shared" si="1526"/>
        <v>6</v>
      </c>
      <c r="E6064" s="2" t="str">
        <f>"马栏山新媒体学院"</f>
        <v>马栏山新媒体学院</v>
      </c>
    </row>
    <row r="6065" ht="13.5" hidden="1" spans="1:5">
      <c r="A6065" s="2" t="str">
        <f>"王佳洁"</f>
        <v>王佳洁</v>
      </c>
      <c r="B6065" s="2" t="str">
        <f>"B20220502113"</f>
        <v>B20220502113</v>
      </c>
      <c r="C6065" s="2" t="str">
        <f t="shared" si="1536"/>
        <v>女</v>
      </c>
      <c r="D6065" s="2" t="str">
        <f t="shared" si="1526"/>
        <v>6</v>
      </c>
      <c r="E6065" s="2" t="str">
        <f>"生物与化学工程学院"</f>
        <v>生物与化学工程学院</v>
      </c>
    </row>
    <row r="6066" ht="13.5" hidden="1" spans="1:5">
      <c r="A6066" s="2" t="str">
        <f>"蒋玲凤"</f>
        <v>蒋玲凤</v>
      </c>
      <c r="B6066" s="2" t="str">
        <f>"B20190901418"</f>
        <v>B20190901418</v>
      </c>
      <c r="C6066" s="2" t="str">
        <f>"女"</f>
        <v>女</v>
      </c>
      <c r="D6066" s="2" t="str">
        <f>"6"</f>
        <v>6</v>
      </c>
      <c r="E6066" s="2" t="str">
        <f>"法学院"</f>
        <v>法学院</v>
      </c>
    </row>
    <row r="6067" ht="13.5" hidden="1" spans="1:5">
      <c r="A6067" s="2" t="str">
        <f>"王子越"</f>
        <v>王子越</v>
      </c>
      <c r="B6067" s="2" t="str">
        <f>"B20221101211"</f>
        <v>B20221101211</v>
      </c>
      <c r="C6067" s="2" t="str">
        <f>"男"</f>
        <v>男</v>
      </c>
      <c r="D6067" s="2" t="str">
        <f>"6"</f>
        <v>6</v>
      </c>
      <c r="E6067" s="2" t="str">
        <f>"音乐学院"</f>
        <v>音乐学院</v>
      </c>
    </row>
    <row r="6068" ht="13.5" hidden="1" spans="1:5">
      <c r="A6068" s="2" t="str">
        <f>"唐嘉怡"</f>
        <v>唐嘉怡</v>
      </c>
      <c r="B6068" s="2" t="str">
        <f>"B20230504121"</f>
        <v>B20230504121</v>
      </c>
      <c r="C6068" s="2" t="str">
        <f>"女"</f>
        <v>女</v>
      </c>
      <c r="D6068" s="2" t="str">
        <f>"6"</f>
        <v>6</v>
      </c>
      <c r="E6068" s="2" t="str">
        <f>"生物与化学工程学院"</f>
        <v>生物与化学工程学院</v>
      </c>
    </row>
    <row r="6069" ht="13.5" hidden="1" spans="1:5">
      <c r="A6069" s="2" t="str">
        <f>"向蕾"</f>
        <v>向蕾</v>
      </c>
      <c r="B6069" s="2" t="str">
        <f>"B20230906228"</f>
        <v>B20230906228</v>
      </c>
      <c r="C6069" s="2" t="str">
        <f>"女"</f>
        <v>女</v>
      </c>
      <c r="D6069" s="2" t="str">
        <f>"6"</f>
        <v>6</v>
      </c>
      <c r="E6069" s="2" t="str">
        <f>"经济与管理学院"</f>
        <v>经济与管理学院</v>
      </c>
    </row>
    <row r="6070" ht="13.5" hidden="1" spans="1:5">
      <c r="A6070" s="2" t="str">
        <f>"肖子垚"</f>
        <v>肖子垚</v>
      </c>
      <c r="B6070" s="2" t="str">
        <f>"B20200204209"</f>
        <v>B20200204209</v>
      </c>
      <c r="C6070" s="2" t="str">
        <f>"男"</f>
        <v>男</v>
      </c>
      <c r="D6070" s="2" t="str">
        <f>"6"</f>
        <v>6</v>
      </c>
      <c r="E6070" s="2" t="str">
        <f>"机电工程学院"</f>
        <v>机电工程学院</v>
      </c>
    </row>
    <row r="6071" ht="13.5" hidden="1" spans="1:5">
      <c r="A6071" s="2" t="str">
        <f>"张应娇"</f>
        <v>张应娇</v>
      </c>
      <c r="B6071" s="2" t="str">
        <f>"B20230702305"</f>
        <v>B20230702305</v>
      </c>
      <c r="C6071" s="2" t="str">
        <f>"女"</f>
        <v>女</v>
      </c>
      <c r="D6071" s="2" t="str">
        <f>"6"</f>
        <v>6</v>
      </c>
      <c r="E6071" s="2" t="str">
        <f>"马栏山新媒体学院"</f>
        <v>马栏山新媒体学院</v>
      </c>
    </row>
    <row r="6072" ht="13.5" hidden="1" spans="1:5">
      <c r="A6072" s="2" t="str">
        <f>"王虎彪"</f>
        <v>王虎彪</v>
      </c>
      <c r="B6072" s="2" t="str">
        <f>"B20210505130"</f>
        <v>B20210505130</v>
      </c>
      <c r="C6072" s="2" t="str">
        <f>"男"</f>
        <v>男</v>
      </c>
      <c r="D6072" s="2" t="str">
        <f>"6"</f>
        <v>6</v>
      </c>
      <c r="E6072" s="2" t="str">
        <f>"材料与环境工程学院"</f>
        <v>材料与环境工程学院</v>
      </c>
    </row>
    <row r="6073" ht="13.5" hidden="1" spans="1:5">
      <c r="A6073" s="2" t="str">
        <f>"贺科元"</f>
        <v>贺科元</v>
      </c>
      <c r="B6073" s="2" t="str">
        <f>"B20210101613"</f>
        <v>B20210101613</v>
      </c>
      <c r="C6073" s="2" t="str">
        <f>"男"</f>
        <v>男</v>
      </c>
      <c r="D6073" s="2" t="str">
        <f>"6"</f>
        <v>6</v>
      </c>
      <c r="E6073" s="2" t="str">
        <f>"土木工程学院"</f>
        <v>土木工程学院</v>
      </c>
    </row>
    <row r="6074" ht="13.5" hidden="1" spans="1:5">
      <c r="A6074" s="2" t="str">
        <f>"陈昱旭"</f>
        <v>陈昱旭</v>
      </c>
      <c r="B6074" s="2" t="str">
        <f>"B20230403113"</f>
        <v>B20230403113</v>
      </c>
      <c r="C6074" s="2" t="str">
        <f>"男"</f>
        <v>男</v>
      </c>
      <c r="D6074" s="2" t="str">
        <f>"6"</f>
        <v>6</v>
      </c>
      <c r="E6074" s="2" t="str">
        <f>"电子信息与电气工程学院"</f>
        <v>电子信息与电气工程学院</v>
      </c>
    </row>
    <row r="6075" ht="13.5" hidden="1" spans="1:5">
      <c r="A6075" s="2" t="str">
        <f>"苏粤新"</f>
        <v>苏粤新</v>
      </c>
      <c r="B6075" s="2" t="str">
        <f>"B20200202103"</f>
        <v>B20200202103</v>
      </c>
      <c r="C6075" s="2" t="str">
        <f>"男"</f>
        <v>男</v>
      </c>
      <c r="D6075" s="2" t="str">
        <f>"6"</f>
        <v>6</v>
      </c>
      <c r="E6075" s="2" t="str">
        <f>"机电工程学院"</f>
        <v>机电工程学院</v>
      </c>
    </row>
    <row r="6076" ht="13.5" hidden="1" spans="1:5">
      <c r="A6076" s="2" t="str">
        <f>"李子奇"</f>
        <v>李子奇</v>
      </c>
      <c r="B6076" s="2" t="str">
        <f>"B20200203116"</f>
        <v>B20200203116</v>
      </c>
      <c r="C6076" s="2" t="str">
        <f>"男"</f>
        <v>男</v>
      </c>
      <c r="D6076" s="2" t="str">
        <f>"6"</f>
        <v>6</v>
      </c>
      <c r="E6076" s="2" t="str">
        <f>"机电工程学院"</f>
        <v>机电工程学院</v>
      </c>
    </row>
    <row r="6077" ht="13.5" hidden="1" spans="1:5">
      <c r="A6077" s="2" t="str">
        <f>"陈佳"</f>
        <v>陈佳</v>
      </c>
      <c r="B6077" s="2" t="str">
        <f>"B20230202119"</f>
        <v>B20230202119</v>
      </c>
      <c r="C6077" s="2" t="str">
        <f t="shared" ref="C6077:C6080" si="1537">"女"</f>
        <v>女</v>
      </c>
      <c r="D6077" s="2" t="str">
        <f>"6"</f>
        <v>6</v>
      </c>
      <c r="E6077" s="2" t="str">
        <f>"机电工程学院"</f>
        <v>机电工程学院</v>
      </c>
    </row>
    <row r="6078" ht="13.5" hidden="1" spans="1:5">
      <c r="A6078" s="2" t="str">
        <f>"杨燕"</f>
        <v>杨燕</v>
      </c>
      <c r="B6078" s="2" t="str">
        <f>"B20230701328"</f>
        <v>B20230701328</v>
      </c>
      <c r="C6078" s="2" t="str">
        <f t="shared" si="1537"/>
        <v>女</v>
      </c>
      <c r="D6078" s="2" t="str">
        <f>"6"</f>
        <v>6</v>
      </c>
      <c r="E6078" s="2" t="str">
        <f>"马栏山新媒体学院"</f>
        <v>马栏山新媒体学院</v>
      </c>
    </row>
    <row r="6079" ht="13.5" hidden="1" spans="1:5">
      <c r="A6079" s="2" t="str">
        <f>"李晨杨"</f>
        <v>李晨杨</v>
      </c>
      <c r="B6079" s="2" t="str">
        <f>"B20211004204"</f>
        <v>B20211004204</v>
      </c>
      <c r="C6079" s="2" t="str">
        <f t="shared" si="1537"/>
        <v>女</v>
      </c>
      <c r="D6079" s="2" t="str">
        <f>"6"</f>
        <v>6</v>
      </c>
      <c r="E6079" s="2" t="str">
        <f t="shared" ref="E6079:E6083" si="1538">"艺术设计学院"</f>
        <v>艺术设计学院</v>
      </c>
    </row>
    <row r="6080" ht="13.5" hidden="1" spans="1:5">
      <c r="A6080" s="2" t="str">
        <f>"李淑涵"</f>
        <v>李淑涵</v>
      </c>
      <c r="B6080" s="2" t="str">
        <f>"B20211004213"</f>
        <v>B20211004213</v>
      </c>
      <c r="C6080" s="2" t="str">
        <f t="shared" si="1537"/>
        <v>女</v>
      </c>
      <c r="D6080" s="2" t="str">
        <f>"6"</f>
        <v>6</v>
      </c>
      <c r="E6080" s="2" t="str">
        <f t="shared" si="1538"/>
        <v>艺术设计学院</v>
      </c>
    </row>
    <row r="6081" ht="13.5" hidden="1" spans="1:5">
      <c r="A6081" s="2" t="str">
        <f>"谢梓轩"</f>
        <v>谢梓轩</v>
      </c>
      <c r="B6081" s="2" t="str">
        <f>"B20220504320"</f>
        <v>B20220504320</v>
      </c>
      <c r="C6081" s="2" t="str">
        <f t="shared" ref="C6081:C6087" si="1539">"男"</f>
        <v>男</v>
      </c>
      <c r="D6081" s="2" t="str">
        <f>"6"</f>
        <v>6</v>
      </c>
      <c r="E6081" s="2" t="str">
        <f>"生物与化学工程学院"</f>
        <v>生物与化学工程学院</v>
      </c>
    </row>
    <row r="6082" ht="13.5" hidden="1" spans="1:5">
      <c r="A6082" s="2" t="str">
        <f>"谢虹园"</f>
        <v>谢虹园</v>
      </c>
      <c r="B6082" s="2" t="str">
        <f>"B20180704202"</f>
        <v>B20180704202</v>
      </c>
      <c r="C6082" s="2" t="str">
        <f t="shared" si="1539"/>
        <v>男</v>
      </c>
      <c r="D6082" s="2" t="str">
        <f>"6"</f>
        <v>6</v>
      </c>
      <c r="E6082" s="2" t="str">
        <f>"马栏山新媒体学院"</f>
        <v>马栏山新媒体学院</v>
      </c>
    </row>
    <row r="6083" ht="13.5" hidden="1" spans="1:5">
      <c r="A6083" s="2" t="str">
        <f>"李雅倩"</f>
        <v>李雅倩</v>
      </c>
      <c r="B6083" s="2" t="str">
        <f>"B20201002310"</f>
        <v>B20201002310</v>
      </c>
      <c r="C6083" s="2" t="str">
        <f>"女"</f>
        <v>女</v>
      </c>
      <c r="D6083" s="2" t="str">
        <f>"6"</f>
        <v>6</v>
      </c>
      <c r="E6083" s="2" t="str">
        <f t="shared" si="1538"/>
        <v>艺术设计学院</v>
      </c>
    </row>
    <row r="6084" ht="13.5" hidden="1" spans="1:5">
      <c r="A6084" s="2" t="str">
        <f>"晏睿翔"</f>
        <v>晏睿翔</v>
      </c>
      <c r="B6084" s="2" t="str">
        <f>"B20210103208"</f>
        <v>B20210103208</v>
      </c>
      <c r="C6084" s="2" t="str">
        <f t="shared" si="1539"/>
        <v>男</v>
      </c>
      <c r="D6084" s="2" t="str">
        <f>"6"</f>
        <v>6</v>
      </c>
      <c r="E6084" s="2" t="str">
        <f>"土木工程学院"</f>
        <v>土木工程学院</v>
      </c>
    </row>
    <row r="6085" ht="13.5" hidden="1" spans="1:5">
      <c r="A6085" s="2" t="str">
        <f>"雷俊"</f>
        <v>雷俊</v>
      </c>
      <c r="B6085" s="2" t="str">
        <f>"B20200404115"</f>
        <v>B20200404115</v>
      </c>
      <c r="C6085" s="2" t="str">
        <f t="shared" si="1539"/>
        <v>男</v>
      </c>
      <c r="D6085" s="2" t="str">
        <f>"6"</f>
        <v>6</v>
      </c>
      <c r="E6085" s="2" t="str">
        <f t="shared" ref="E6085:E6089" si="1540">"电子信息与电气工程学院"</f>
        <v>电子信息与电气工程学院</v>
      </c>
    </row>
    <row r="6086" ht="13.5" hidden="1" spans="1:5">
      <c r="A6086" s="2" t="str">
        <f>"刘曙江"</f>
        <v>刘曙江</v>
      </c>
      <c r="B6086" s="2" t="str">
        <f>"B20210101625"</f>
        <v>B20210101625</v>
      </c>
      <c r="C6086" s="2" t="str">
        <f t="shared" si="1539"/>
        <v>男</v>
      </c>
      <c r="D6086" s="2" t="str">
        <f>"6"</f>
        <v>6</v>
      </c>
      <c r="E6086" s="2" t="str">
        <f>"土木工程学院"</f>
        <v>土木工程学院</v>
      </c>
    </row>
    <row r="6087" ht="13.5" hidden="1" spans="1:5">
      <c r="A6087" s="2" t="str">
        <f>"邵炜淇"</f>
        <v>邵炜淇</v>
      </c>
      <c r="B6087" s="2" t="str">
        <f>"B20200403206"</f>
        <v>B20200403206</v>
      </c>
      <c r="C6087" s="2" t="str">
        <f t="shared" si="1539"/>
        <v>男</v>
      </c>
      <c r="D6087" s="2" t="str">
        <f>"6"</f>
        <v>6</v>
      </c>
      <c r="E6087" s="2" t="str">
        <f t="shared" si="1540"/>
        <v>电子信息与电气工程学院</v>
      </c>
    </row>
    <row r="6088" ht="13.5" hidden="1" spans="1:5">
      <c r="A6088" s="2" t="str">
        <f>"胡奇楠"</f>
        <v>胡奇楠</v>
      </c>
      <c r="B6088" s="2" t="str">
        <f>"B20211101201"</f>
        <v>B20211101201</v>
      </c>
      <c r="C6088" s="2" t="str">
        <f>"女"</f>
        <v>女</v>
      </c>
      <c r="D6088" s="2" t="str">
        <f>"6"</f>
        <v>6</v>
      </c>
      <c r="E6088" s="2" t="str">
        <f>"音乐学院"</f>
        <v>音乐学院</v>
      </c>
    </row>
    <row r="6089" ht="13.5" hidden="1" spans="1:5">
      <c r="A6089" s="2" t="str">
        <f>"龙飞"</f>
        <v>龙飞</v>
      </c>
      <c r="B6089" s="2" t="str">
        <f>"B20230402122"</f>
        <v>B20230402122</v>
      </c>
      <c r="C6089" s="2" t="str">
        <f t="shared" ref="C6089:C6092" si="1541">"男"</f>
        <v>男</v>
      </c>
      <c r="D6089" s="2" t="str">
        <f>"6"</f>
        <v>6</v>
      </c>
      <c r="E6089" s="2" t="str">
        <f t="shared" si="1540"/>
        <v>电子信息与电气工程学院</v>
      </c>
    </row>
    <row r="6090" ht="13.5" hidden="1" spans="1:5">
      <c r="A6090" s="2" t="str">
        <f>"杨爽"</f>
        <v>杨爽</v>
      </c>
      <c r="B6090" s="2" t="str">
        <f>"B20220701204"</f>
        <v>B20220701204</v>
      </c>
      <c r="C6090" s="2" t="str">
        <f t="shared" si="1541"/>
        <v>男</v>
      </c>
      <c r="D6090" s="2" t="str">
        <f t="shared" ref="D6090:D6153" si="1542">"6"</f>
        <v>6</v>
      </c>
      <c r="E6090" s="2" t="str">
        <f>"马栏山新媒体学院"</f>
        <v>马栏山新媒体学院</v>
      </c>
    </row>
    <row r="6091" ht="13.5" hidden="1" spans="1:5">
      <c r="A6091" s="2" t="str">
        <f>"王翔宇"</f>
        <v>王翔宇</v>
      </c>
      <c r="B6091" s="2" t="str">
        <f>"B20210601319"</f>
        <v>B20210601319</v>
      </c>
      <c r="C6091" s="2" t="str">
        <f t="shared" si="1541"/>
        <v>男</v>
      </c>
      <c r="D6091" s="2" t="str">
        <f t="shared" si="1542"/>
        <v>6</v>
      </c>
      <c r="E6091" s="2" t="str">
        <f>"法学院"</f>
        <v>法学院</v>
      </c>
    </row>
    <row r="6092" ht="13.5" hidden="1" spans="1:5">
      <c r="A6092" s="2" t="str">
        <f>"欧斌"</f>
        <v>欧斌</v>
      </c>
      <c r="B6092" s="2" t="str">
        <f>"B20210102215"</f>
        <v>B20210102215</v>
      </c>
      <c r="C6092" s="2" t="str">
        <f t="shared" si="1541"/>
        <v>男</v>
      </c>
      <c r="D6092" s="2" t="str">
        <f t="shared" si="1542"/>
        <v>6</v>
      </c>
      <c r="E6092" s="2" t="str">
        <f>"土木工程学院"</f>
        <v>土木工程学院</v>
      </c>
    </row>
    <row r="6093" ht="13.5" hidden="1" spans="1:5">
      <c r="A6093" s="2" t="str">
        <f>"麻晓凤"</f>
        <v>麻晓凤</v>
      </c>
      <c r="B6093" s="2" t="str">
        <f>"B20210104223"</f>
        <v>B20210104223</v>
      </c>
      <c r="C6093" s="2" t="str">
        <f t="shared" ref="C6093:C6099" si="1543">"女"</f>
        <v>女</v>
      </c>
      <c r="D6093" s="2" t="str">
        <f t="shared" si="1542"/>
        <v>6</v>
      </c>
      <c r="E6093" s="2" t="str">
        <f>"土木工程学院"</f>
        <v>土木工程学院</v>
      </c>
    </row>
    <row r="6094" ht="13.5" hidden="1" spans="1:5">
      <c r="A6094" s="2" t="str">
        <f>"郑婷婷"</f>
        <v>郑婷婷</v>
      </c>
      <c r="B6094" s="2" t="str">
        <f>"B20200701129"</f>
        <v>B20200701129</v>
      </c>
      <c r="C6094" s="2" t="str">
        <f t="shared" si="1543"/>
        <v>女</v>
      </c>
      <c r="D6094" s="2" t="str">
        <f t="shared" si="1542"/>
        <v>6</v>
      </c>
      <c r="E6094" s="2" t="str">
        <f>"马栏山新媒体学院"</f>
        <v>马栏山新媒体学院</v>
      </c>
    </row>
    <row r="6095" ht="13.5" hidden="1" spans="1:5">
      <c r="A6095" s="2" t="str">
        <f>"艾林根"</f>
        <v>艾林根</v>
      </c>
      <c r="B6095" s="2" t="str">
        <f>"B20210201417"</f>
        <v>B20210201417</v>
      </c>
      <c r="C6095" s="2" t="str">
        <f t="shared" ref="C6095:C6100" si="1544">"男"</f>
        <v>男</v>
      </c>
      <c r="D6095" s="2" t="str">
        <f t="shared" si="1542"/>
        <v>6</v>
      </c>
      <c r="E6095" s="2" t="str">
        <f>"机电工程学院"</f>
        <v>机电工程学院</v>
      </c>
    </row>
    <row r="6096" ht="13.5" hidden="1" spans="1:5">
      <c r="A6096" s="2" t="str">
        <f>"何瑞祥"</f>
        <v>何瑞祥</v>
      </c>
      <c r="B6096" s="2" t="str">
        <f>"B20230201212"</f>
        <v>B20230201212</v>
      </c>
      <c r="C6096" s="2" t="str">
        <f t="shared" si="1544"/>
        <v>男</v>
      </c>
      <c r="D6096" s="2" t="str">
        <f t="shared" si="1542"/>
        <v>6</v>
      </c>
      <c r="E6096" s="2" t="str">
        <f>"机电工程学院"</f>
        <v>机电工程学院</v>
      </c>
    </row>
    <row r="6097" ht="13.5" hidden="1" spans="1:5">
      <c r="A6097" s="2" t="str">
        <f>"张慧"</f>
        <v>张慧</v>
      </c>
      <c r="B6097" s="2" t="str">
        <f>"B20220801130"</f>
        <v>B20220801130</v>
      </c>
      <c r="C6097" s="2" t="str">
        <f t="shared" si="1543"/>
        <v>女</v>
      </c>
      <c r="D6097" s="2" t="str">
        <f t="shared" si="1542"/>
        <v>6</v>
      </c>
      <c r="E6097" s="2" t="str">
        <f>"外国语学院"</f>
        <v>外国语学院</v>
      </c>
    </row>
    <row r="6098" ht="13.5" hidden="1" spans="1:5">
      <c r="A6098" s="2" t="str">
        <f>"段张雪"</f>
        <v>段张雪</v>
      </c>
      <c r="B6098" s="2" t="str">
        <f>"B20230802225"</f>
        <v>B20230802225</v>
      </c>
      <c r="C6098" s="2" t="str">
        <f t="shared" si="1543"/>
        <v>女</v>
      </c>
      <c r="D6098" s="2" t="str">
        <f t="shared" si="1542"/>
        <v>6</v>
      </c>
      <c r="E6098" s="2" t="str">
        <f>"外国语学院"</f>
        <v>外国语学院</v>
      </c>
    </row>
    <row r="6099" ht="13.5" hidden="1" spans="1:5">
      <c r="A6099" s="2" t="str">
        <f>"陈佳佳"</f>
        <v>陈佳佳</v>
      </c>
      <c r="B6099" s="2" t="str">
        <f>"B20230703114"</f>
        <v>B20230703114</v>
      </c>
      <c r="C6099" s="2" t="str">
        <f t="shared" si="1543"/>
        <v>女</v>
      </c>
      <c r="D6099" s="2" t="str">
        <f t="shared" si="1542"/>
        <v>6</v>
      </c>
      <c r="E6099" s="2" t="str">
        <f>"马栏山新媒体学院"</f>
        <v>马栏山新媒体学院</v>
      </c>
    </row>
    <row r="6100" ht="13.5" hidden="1" spans="1:5">
      <c r="A6100" s="2" t="str">
        <f>"谭奇辉"</f>
        <v>谭奇辉</v>
      </c>
      <c r="B6100" s="2" t="str">
        <f>"B20200101133"</f>
        <v>B20200101133</v>
      </c>
      <c r="C6100" s="2" t="str">
        <f t="shared" si="1544"/>
        <v>男</v>
      </c>
      <c r="D6100" s="2" t="str">
        <f t="shared" si="1542"/>
        <v>6</v>
      </c>
      <c r="E6100" s="2" t="str">
        <f>"土木工程学院"</f>
        <v>土木工程学院</v>
      </c>
    </row>
    <row r="6101" ht="13.5" hidden="1" spans="1:5">
      <c r="A6101" s="2" t="str">
        <f>"黄可可"</f>
        <v>黄可可</v>
      </c>
      <c r="B6101" s="2" t="str">
        <f>"B20231001211"</f>
        <v>B20231001211</v>
      </c>
      <c r="C6101" s="2" t="str">
        <f>"女"</f>
        <v>女</v>
      </c>
      <c r="D6101" s="2" t="str">
        <f t="shared" si="1542"/>
        <v>6</v>
      </c>
      <c r="E6101" s="2" t="str">
        <f>"艺术设计学院"</f>
        <v>艺术设计学院</v>
      </c>
    </row>
    <row r="6102" ht="13.5" hidden="1" spans="1:5">
      <c r="A6102" s="2" t="str">
        <f>"甘一玮"</f>
        <v>甘一玮</v>
      </c>
      <c r="B6102" s="2" t="str">
        <f>"B20210404226"</f>
        <v>B20210404226</v>
      </c>
      <c r="C6102" s="2" t="str">
        <f t="shared" ref="C6102:C6105" si="1545">"男"</f>
        <v>男</v>
      </c>
      <c r="D6102" s="2" t="str">
        <f t="shared" si="1542"/>
        <v>6</v>
      </c>
      <c r="E6102" s="2" t="str">
        <f>"电子信息与电气工程学院"</f>
        <v>电子信息与电气工程学院</v>
      </c>
    </row>
    <row r="6103" ht="13.5" hidden="1" spans="1:5">
      <c r="A6103" s="2" t="str">
        <f>"田埂"</f>
        <v>田埂</v>
      </c>
      <c r="B6103" s="2" t="str">
        <f>"B20220204102"</f>
        <v>B20220204102</v>
      </c>
      <c r="C6103" s="2" t="str">
        <f t="shared" si="1545"/>
        <v>男</v>
      </c>
      <c r="D6103" s="2" t="str">
        <f t="shared" si="1542"/>
        <v>6</v>
      </c>
      <c r="E6103" s="2" t="str">
        <f>"机电工程学院"</f>
        <v>机电工程学院</v>
      </c>
    </row>
    <row r="6104" ht="13.5" hidden="1" spans="1:5">
      <c r="A6104" s="2" t="str">
        <f>"梁富秋"</f>
        <v>梁富秋</v>
      </c>
      <c r="B6104" s="2" t="str">
        <f>"B20230802210"</f>
        <v>B20230802210</v>
      </c>
      <c r="C6104" s="2" t="str">
        <f t="shared" si="1545"/>
        <v>男</v>
      </c>
      <c r="D6104" s="2" t="str">
        <f t="shared" si="1542"/>
        <v>6</v>
      </c>
      <c r="E6104" s="2" t="str">
        <f>"外国语学院"</f>
        <v>外国语学院</v>
      </c>
    </row>
    <row r="6105" ht="13.5" hidden="1" spans="1:5">
      <c r="A6105" s="2" t="str">
        <f>"唐巍"</f>
        <v>唐巍</v>
      </c>
      <c r="B6105" s="2" t="str">
        <f>"B20220401132"</f>
        <v>B20220401132</v>
      </c>
      <c r="C6105" s="2" t="str">
        <f t="shared" si="1545"/>
        <v>男</v>
      </c>
      <c r="D6105" s="2" t="str">
        <f t="shared" si="1542"/>
        <v>6</v>
      </c>
      <c r="E6105" s="2" t="str">
        <f>"电子信息与电气工程学院"</f>
        <v>电子信息与电气工程学院</v>
      </c>
    </row>
    <row r="6106" ht="13.5" hidden="1" spans="1:5">
      <c r="A6106" s="2" t="str">
        <f>"黄方倩"</f>
        <v>黄方倩</v>
      </c>
      <c r="B6106" s="2" t="str">
        <f>"B20210801619"</f>
        <v>B20210801619</v>
      </c>
      <c r="C6106" s="2" t="str">
        <f t="shared" ref="C6106:C6110" si="1546">"女"</f>
        <v>女</v>
      </c>
      <c r="D6106" s="2" t="str">
        <f t="shared" si="1542"/>
        <v>6</v>
      </c>
      <c r="E6106" s="2" t="str">
        <f>"外国语学院"</f>
        <v>外国语学院</v>
      </c>
    </row>
    <row r="6107" ht="13.5" hidden="1" spans="1:5">
      <c r="A6107" s="2" t="str">
        <f>"黄宇坚"</f>
        <v>黄宇坚</v>
      </c>
      <c r="B6107" s="2" t="str">
        <f>"B20220204327"</f>
        <v>B20220204327</v>
      </c>
      <c r="C6107" s="2" t="str">
        <f t="shared" ref="C6107:C6115" si="1547">"男"</f>
        <v>男</v>
      </c>
      <c r="D6107" s="2" t="str">
        <f t="shared" si="1542"/>
        <v>6</v>
      </c>
      <c r="E6107" s="2" t="str">
        <f>"机电工程学院"</f>
        <v>机电工程学院</v>
      </c>
    </row>
    <row r="6108" ht="13.5" hidden="1" spans="1:5">
      <c r="A6108" s="2" t="str">
        <f>"常乐"</f>
        <v>常乐</v>
      </c>
      <c r="B6108" s="2" t="str">
        <f>"B20230705118"</f>
        <v>B20230705118</v>
      </c>
      <c r="C6108" s="2" t="str">
        <f t="shared" si="1546"/>
        <v>女</v>
      </c>
      <c r="D6108" s="2" t="str">
        <f t="shared" si="1542"/>
        <v>6</v>
      </c>
      <c r="E6108" s="2" t="str">
        <f>"马栏山新媒体学院"</f>
        <v>马栏山新媒体学院</v>
      </c>
    </row>
    <row r="6109" ht="13.5" hidden="1" spans="1:5">
      <c r="A6109" s="2" t="str">
        <f>"陈晓莹"</f>
        <v>陈晓莹</v>
      </c>
      <c r="B6109" s="2" t="str">
        <f>"B20230905202"</f>
        <v>B20230905202</v>
      </c>
      <c r="C6109" s="2" t="str">
        <f t="shared" si="1546"/>
        <v>女</v>
      </c>
      <c r="D6109" s="2" t="str">
        <f t="shared" si="1542"/>
        <v>6</v>
      </c>
      <c r="E6109" s="2" t="str">
        <f>"经济与管理学院"</f>
        <v>经济与管理学院</v>
      </c>
    </row>
    <row r="6110" ht="13.5" hidden="1" spans="1:5">
      <c r="A6110" s="2" t="str">
        <f>"郑依萍"</f>
        <v>郑依萍</v>
      </c>
      <c r="B6110" s="2" t="str">
        <f>"B20210102132"</f>
        <v>B20210102132</v>
      </c>
      <c r="C6110" s="2" t="str">
        <f t="shared" si="1546"/>
        <v>女</v>
      </c>
      <c r="D6110" s="2" t="str">
        <f t="shared" si="1542"/>
        <v>6</v>
      </c>
      <c r="E6110" s="2" t="str">
        <f>"土木工程学院"</f>
        <v>土木工程学院</v>
      </c>
    </row>
    <row r="6111" ht="13.5" hidden="1" spans="1:5">
      <c r="A6111" s="2" t="str">
        <f>"符鑫科"</f>
        <v>符鑫科</v>
      </c>
      <c r="B6111" s="2" t="str">
        <f>"B20230504301"</f>
        <v>B20230504301</v>
      </c>
      <c r="C6111" s="2" t="str">
        <f t="shared" si="1547"/>
        <v>男</v>
      </c>
      <c r="D6111" s="2" t="str">
        <f t="shared" si="1542"/>
        <v>6</v>
      </c>
      <c r="E6111" s="2" t="str">
        <f>"生物与化学工程学院"</f>
        <v>生物与化学工程学院</v>
      </c>
    </row>
    <row r="6112" ht="13.5" hidden="1" spans="1:5">
      <c r="A6112" s="2" t="str">
        <f>"李泽庚"</f>
        <v>李泽庚</v>
      </c>
      <c r="B6112" s="2" t="str">
        <f>"B20210403128"</f>
        <v>B20210403128</v>
      </c>
      <c r="C6112" s="2" t="str">
        <f t="shared" si="1547"/>
        <v>男</v>
      </c>
      <c r="D6112" s="2" t="str">
        <f t="shared" si="1542"/>
        <v>6</v>
      </c>
      <c r="E6112" s="2" t="str">
        <f>"电子信息与电气工程学院"</f>
        <v>电子信息与电气工程学院</v>
      </c>
    </row>
    <row r="6113" ht="13.5" hidden="1" spans="1:5">
      <c r="A6113" s="2" t="str">
        <f>"邓宇杰"</f>
        <v>邓宇杰</v>
      </c>
      <c r="B6113" s="2" t="str">
        <f>"B20220801120"</f>
        <v>B20220801120</v>
      </c>
      <c r="C6113" s="2" t="str">
        <f t="shared" si="1547"/>
        <v>男</v>
      </c>
      <c r="D6113" s="2" t="str">
        <f t="shared" si="1542"/>
        <v>6</v>
      </c>
      <c r="E6113" s="2" t="str">
        <f>"外国语学院"</f>
        <v>外国语学院</v>
      </c>
    </row>
    <row r="6114" ht="13.5" hidden="1" spans="1:5">
      <c r="A6114" s="2" t="str">
        <f>"宋宏轩"</f>
        <v>宋宏轩</v>
      </c>
      <c r="B6114" s="2" t="str">
        <f>"B20230202212"</f>
        <v>B20230202212</v>
      </c>
      <c r="C6114" s="2" t="str">
        <f t="shared" si="1547"/>
        <v>男</v>
      </c>
      <c r="D6114" s="2" t="str">
        <f t="shared" si="1542"/>
        <v>6</v>
      </c>
      <c r="E6114" s="2" t="str">
        <f>"机电工程学院"</f>
        <v>机电工程学院</v>
      </c>
    </row>
    <row r="6115" ht="13.5" hidden="1" spans="1:5">
      <c r="A6115" s="2" t="str">
        <f>"王锐涵"</f>
        <v>王锐涵</v>
      </c>
      <c r="B6115" s="2" t="str">
        <f>"B20230701415"</f>
        <v>B20230701415</v>
      </c>
      <c r="C6115" s="2" t="str">
        <f t="shared" si="1547"/>
        <v>男</v>
      </c>
      <c r="D6115" s="2" t="str">
        <f t="shared" si="1542"/>
        <v>6</v>
      </c>
      <c r="E6115" s="2" t="str">
        <f>"马栏山新媒体学院"</f>
        <v>马栏山新媒体学院</v>
      </c>
    </row>
    <row r="6116" ht="13.5" hidden="1" spans="1:5">
      <c r="A6116" s="2" t="str">
        <f>"谢诗琴"</f>
        <v>谢诗琴</v>
      </c>
      <c r="B6116" s="2" t="str">
        <f>"B20210904330"</f>
        <v>B20210904330</v>
      </c>
      <c r="C6116" s="2" t="str">
        <f t="shared" ref="C6116:C6119" si="1548">"女"</f>
        <v>女</v>
      </c>
      <c r="D6116" s="2" t="str">
        <f t="shared" si="1542"/>
        <v>6</v>
      </c>
      <c r="E6116" s="2" t="str">
        <f t="shared" ref="E6116:E6118" si="1549">"经济与管理学院"</f>
        <v>经济与管理学院</v>
      </c>
    </row>
    <row r="6117" ht="13.5" hidden="1" spans="1:5">
      <c r="A6117" s="2" t="str">
        <f>"曾晖"</f>
        <v>曾晖</v>
      </c>
      <c r="B6117" s="2" t="str">
        <f>"B20210904327"</f>
        <v>B20210904327</v>
      </c>
      <c r="C6117" s="2" t="str">
        <f t="shared" si="1548"/>
        <v>女</v>
      </c>
      <c r="D6117" s="2" t="str">
        <f t="shared" si="1542"/>
        <v>6</v>
      </c>
      <c r="E6117" s="2" t="str">
        <f t="shared" si="1549"/>
        <v>经济与管理学院</v>
      </c>
    </row>
    <row r="6118" ht="13.5" hidden="1" spans="1:5">
      <c r="A6118" s="2" t="str">
        <f>"陈雅琦"</f>
        <v>陈雅琦</v>
      </c>
      <c r="B6118" s="2" t="str">
        <f>"B20200902404"</f>
        <v>B20200902404</v>
      </c>
      <c r="C6118" s="2" t="str">
        <f t="shared" si="1548"/>
        <v>女</v>
      </c>
      <c r="D6118" s="2" t="str">
        <f t="shared" si="1542"/>
        <v>6</v>
      </c>
      <c r="E6118" s="2" t="str">
        <f t="shared" si="1549"/>
        <v>经济与管理学院</v>
      </c>
    </row>
    <row r="6119" ht="13.5" hidden="1" spans="1:5">
      <c r="A6119" s="2" t="str">
        <f>"黄李成"</f>
        <v>黄李成</v>
      </c>
      <c r="B6119" s="2" t="str">
        <f>"B20230702411"</f>
        <v>B20230702411</v>
      </c>
      <c r="C6119" s="2" t="str">
        <f t="shared" si="1548"/>
        <v>女</v>
      </c>
      <c r="D6119" s="2" t="str">
        <f t="shared" si="1542"/>
        <v>6</v>
      </c>
      <c r="E6119" s="2" t="str">
        <f>"马栏山新媒体学院"</f>
        <v>马栏山新媒体学院</v>
      </c>
    </row>
    <row r="6120" ht="13.5" hidden="1" spans="1:5">
      <c r="A6120" s="2" t="str">
        <f>"向波"</f>
        <v>向波</v>
      </c>
      <c r="B6120" s="2" t="str">
        <f>"B20230202325"</f>
        <v>B20230202325</v>
      </c>
      <c r="C6120" s="2" t="str">
        <f t="shared" ref="C6120:C6123" si="1550">"男"</f>
        <v>男</v>
      </c>
      <c r="D6120" s="2" t="str">
        <f t="shared" si="1542"/>
        <v>6</v>
      </c>
      <c r="E6120" s="2" t="str">
        <f>"机电工程学院"</f>
        <v>机电工程学院</v>
      </c>
    </row>
    <row r="6121" ht="13.5" hidden="1" spans="1:5">
      <c r="A6121" s="2" t="str">
        <f>"梁柏浩"</f>
        <v>梁柏浩</v>
      </c>
      <c r="B6121" s="2" t="str">
        <f>"B20230204210"</f>
        <v>B20230204210</v>
      </c>
      <c r="C6121" s="2" t="str">
        <f t="shared" si="1550"/>
        <v>男</v>
      </c>
      <c r="D6121" s="2" t="str">
        <f t="shared" si="1542"/>
        <v>6</v>
      </c>
      <c r="E6121" s="2" t="str">
        <f>"机电工程学院"</f>
        <v>机电工程学院</v>
      </c>
    </row>
    <row r="6122" ht="13.5" hidden="1" spans="1:5">
      <c r="A6122" s="2" t="str">
        <f>"胡文俊"</f>
        <v>胡文俊</v>
      </c>
      <c r="B6122" s="2" t="str">
        <f>"B20200101622"</f>
        <v>B20200101622</v>
      </c>
      <c r="C6122" s="2" t="str">
        <f t="shared" si="1550"/>
        <v>男</v>
      </c>
      <c r="D6122" s="2" t="str">
        <f t="shared" si="1542"/>
        <v>6</v>
      </c>
      <c r="E6122" s="2" t="str">
        <f>"土木工程学院"</f>
        <v>土木工程学院</v>
      </c>
    </row>
    <row r="6123" ht="13.5" hidden="1" spans="1:5">
      <c r="A6123" s="2" t="str">
        <f>"陈志豪"</f>
        <v>陈志豪</v>
      </c>
      <c r="B6123" s="2" t="str">
        <f>"B20220802105"</f>
        <v>B20220802105</v>
      </c>
      <c r="C6123" s="2" t="str">
        <f t="shared" si="1550"/>
        <v>男</v>
      </c>
      <c r="D6123" s="2" t="str">
        <f t="shared" si="1542"/>
        <v>6</v>
      </c>
      <c r="E6123" s="2" t="str">
        <f>"外国语学院"</f>
        <v>外国语学院</v>
      </c>
    </row>
    <row r="6124" ht="13.5" hidden="1" spans="1:5">
      <c r="A6124" s="2" t="str">
        <f>"黄素巍"</f>
        <v>黄素巍</v>
      </c>
      <c r="B6124" s="2" t="str">
        <f>"B20210802320"</f>
        <v>B20210802320</v>
      </c>
      <c r="C6124" s="2" t="str">
        <f t="shared" ref="C6124:C6129" si="1551">"女"</f>
        <v>女</v>
      </c>
      <c r="D6124" s="2" t="str">
        <f t="shared" si="1542"/>
        <v>6</v>
      </c>
      <c r="E6124" s="2" t="str">
        <f>"外国语学院"</f>
        <v>外国语学院</v>
      </c>
    </row>
    <row r="6125" ht="13.5" hidden="1" spans="1:5">
      <c r="A6125" s="2" t="str">
        <f>"叶齐娜"</f>
        <v>叶齐娜</v>
      </c>
      <c r="B6125" s="2" t="str">
        <f>"B20220704118"</f>
        <v>B20220704118</v>
      </c>
      <c r="C6125" s="2" t="str">
        <f t="shared" si="1551"/>
        <v>女</v>
      </c>
      <c r="D6125" s="2" t="str">
        <f t="shared" si="1542"/>
        <v>6</v>
      </c>
      <c r="E6125" s="2" t="str">
        <f>"马栏山新媒体学院"</f>
        <v>马栏山新媒体学院</v>
      </c>
    </row>
    <row r="6126" ht="13.5" hidden="1" spans="1:5">
      <c r="A6126" s="2" t="str">
        <f>"刘鹏"</f>
        <v>刘鹏</v>
      </c>
      <c r="B6126" s="2" t="str">
        <f>"B20220403129"</f>
        <v>B20220403129</v>
      </c>
      <c r="C6126" s="2" t="str">
        <f t="shared" ref="C6126:C6131" si="1552">"男"</f>
        <v>男</v>
      </c>
      <c r="D6126" s="2" t="str">
        <f t="shared" si="1542"/>
        <v>6</v>
      </c>
      <c r="E6126" s="2" t="str">
        <f>"电子信息与电气工程学院"</f>
        <v>电子信息与电气工程学院</v>
      </c>
    </row>
    <row r="6127" ht="13.5" hidden="1" spans="1:5">
      <c r="A6127" s="2" t="str">
        <f>"谌烨谋"</f>
        <v>谌烨谋</v>
      </c>
      <c r="B6127" s="2" t="str">
        <f>"B20230101410"</f>
        <v>B20230101410</v>
      </c>
      <c r="C6127" s="2" t="str">
        <f t="shared" si="1552"/>
        <v>男</v>
      </c>
      <c r="D6127" s="2" t="str">
        <f t="shared" si="1542"/>
        <v>6</v>
      </c>
      <c r="E6127" s="2" t="str">
        <f>"土木工程学院"</f>
        <v>土木工程学院</v>
      </c>
    </row>
    <row r="6128" ht="13.5" hidden="1" spans="1:5">
      <c r="A6128" s="2" t="str">
        <f>"李雨函"</f>
        <v>李雨函</v>
      </c>
      <c r="B6128" s="2" t="str">
        <f>"B20220901207"</f>
        <v>B20220901207</v>
      </c>
      <c r="C6128" s="2" t="str">
        <f t="shared" si="1551"/>
        <v>女</v>
      </c>
      <c r="D6128" s="2" t="str">
        <f t="shared" si="1542"/>
        <v>6</v>
      </c>
      <c r="E6128" s="2" t="str">
        <f>"经济与管理学院"</f>
        <v>经济与管理学院</v>
      </c>
    </row>
    <row r="6129" ht="13.5" hidden="1" spans="1:5">
      <c r="A6129" s="2" t="str">
        <f>"刘婷君"</f>
        <v>刘婷君</v>
      </c>
      <c r="B6129" s="2" t="str">
        <f>"B20220402131"</f>
        <v>B20220402131</v>
      </c>
      <c r="C6129" s="2" t="str">
        <f t="shared" si="1551"/>
        <v>女</v>
      </c>
      <c r="D6129" s="2" t="str">
        <f t="shared" si="1542"/>
        <v>6</v>
      </c>
      <c r="E6129" s="2" t="str">
        <f>"电子信息与电气工程学院"</f>
        <v>电子信息与电气工程学院</v>
      </c>
    </row>
    <row r="6130" ht="13.5" hidden="1" spans="1:5">
      <c r="A6130" s="2" t="str">
        <f>"肖宇祺"</f>
        <v>肖宇祺</v>
      </c>
      <c r="B6130" s="2" t="str">
        <f>"B20230803124"</f>
        <v>B20230803124</v>
      </c>
      <c r="C6130" s="2" t="str">
        <f t="shared" si="1552"/>
        <v>男</v>
      </c>
      <c r="D6130" s="2" t="str">
        <f t="shared" si="1542"/>
        <v>6</v>
      </c>
      <c r="E6130" s="2" t="str">
        <f>"外国语学院"</f>
        <v>外国语学院</v>
      </c>
    </row>
    <row r="6131" ht="13.5" hidden="1" spans="1:5">
      <c r="A6131" s="2" t="str">
        <f>"徐晨"</f>
        <v>徐晨</v>
      </c>
      <c r="B6131" s="2" t="str">
        <f>"B20221302306"</f>
        <v>B20221302306</v>
      </c>
      <c r="C6131" s="2" t="str">
        <f t="shared" si="1552"/>
        <v>男</v>
      </c>
      <c r="D6131" s="2" t="str">
        <f t="shared" si="1542"/>
        <v>6</v>
      </c>
      <c r="E6131" s="2" t="str">
        <f>"材料与环境工程学院"</f>
        <v>材料与环境工程学院</v>
      </c>
    </row>
    <row r="6132" ht="13.5" hidden="1" spans="1:5">
      <c r="A6132" s="2" t="str">
        <f>"丁郡"</f>
        <v>丁郡</v>
      </c>
      <c r="B6132" s="2" t="str">
        <f>"B20210801624"</f>
        <v>B20210801624</v>
      </c>
      <c r="C6132" s="2" t="str">
        <f>"女"</f>
        <v>女</v>
      </c>
      <c r="D6132" s="2" t="str">
        <f t="shared" si="1542"/>
        <v>6</v>
      </c>
      <c r="E6132" s="2" t="str">
        <f>"外国语学院"</f>
        <v>外国语学院</v>
      </c>
    </row>
    <row r="6133" ht="13.5" hidden="1" spans="1:5">
      <c r="A6133" s="2" t="str">
        <f>"黄圣哲"</f>
        <v>黄圣哲</v>
      </c>
      <c r="B6133" s="2" t="str">
        <f>"B20230204211"</f>
        <v>B20230204211</v>
      </c>
      <c r="C6133" s="2" t="str">
        <f t="shared" ref="C6133:C6139" si="1553">"男"</f>
        <v>男</v>
      </c>
      <c r="D6133" s="2" t="str">
        <f t="shared" si="1542"/>
        <v>6</v>
      </c>
      <c r="E6133" s="2" t="str">
        <f>"机电工程学院"</f>
        <v>机电工程学院</v>
      </c>
    </row>
    <row r="6134" ht="13.5" hidden="1" spans="1:5">
      <c r="A6134" s="2" t="str">
        <f>"邓立平"</f>
        <v>邓立平</v>
      </c>
      <c r="B6134" s="2" t="str">
        <f>"B20200102110"</f>
        <v>B20200102110</v>
      </c>
      <c r="C6134" s="2" t="str">
        <f t="shared" si="1553"/>
        <v>男</v>
      </c>
      <c r="D6134" s="2" t="str">
        <f t="shared" si="1542"/>
        <v>6</v>
      </c>
      <c r="E6134" s="2" t="str">
        <f>"土木工程学院"</f>
        <v>土木工程学院</v>
      </c>
    </row>
    <row r="6135" ht="13.5" hidden="1" spans="1:5">
      <c r="A6135" s="2" t="str">
        <f>"郭雨馨"</f>
        <v>郭雨馨</v>
      </c>
      <c r="B6135" s="2" t="str">
        <f>"B20230902336"</f>
        <v>B20230902336</v>
      </c>
      <c r="C6135" s="2" t="str">
        <f>"女"</f>
        <v>女</v>
      </c>
      <c r="D6135" s="2" t="str">
        <f t="shared" si="1542"/>
        <v>6</v>
      </c>
      <c r="E6135" s="2" t="str">
        <f>"经济与管理学院"</f>
        <v>经济与管理学院</v>
      </c>
    </row>
    <row r="6136" ht="13.5" hidden="1" spans="1:5">
      <c r="A6136" s="2" t="str">
        <f>"刘超"</f>
        <v>刘超</v>
      </c>
      <c r="B6136" s="2" t="str">
        <f>"B20230104202"</f>
        <v>B20230104202</v>
      </c>
      <c r="C6136" s="2" t="str">
        <f t="shared" si="1553"/>
        <v>男</v>
      </c>
      <c r="D6136" s="2" t="str">
        <f t="shared" si="1542"/>
        <v>6</v>
      </c>
      <c r="E6136" s="2" t="str">
        <f>"土木工程学院"</f>
        <v>土木工程学院</v>
      </c>
    </row>
    <row r="6137" ht="13.5" hidden="1" spans="1:5">
      <c r="A6137" s="2" t="str">
        <f>"李升佑"</f>
        <v>李升佑</v>
      </c>
      <c r="B6137" s="2" t="str">
        <f>"B20230501221"</f>
        <v>B20230501221</v>
      </c>
      <c r="C6137" s="2" t="str">
        <f t="shared" si="1553"/>
        <v>男</v>
      </c>
      <c r="D6137" s="2" t="str">
        <f t="shared" si="1542"/>
        <v>6</v>
      </c>
      <c r="E6137" s="2" t="str">
        <f>"生物与化学工程学院"</f>
        <v>生物与化学工程学院</v>
      </c>
    </row>
    <row r="6138" ht="13.5" hidden="1" spans="1:5">
      <c r="A6138" s="2" t="str">
        <f>"张宝元"</f>
        <v>张宝元</v>
      </c>
      <c r="B6138" s="2" t="str">
        <f>"B20210906144"</f>
        <v>B20210906144</v>
      </c>
      <c r="C6138" s="2" t="str">
        <f t="shared" si="1553"/>
        <v>男</v>
      </c>
      <c r="D6138" s="2" t="str">
        <f t="shared" si="1542"/>
        <v>6</v>
      </c>
      <c r="E6138" s="2" t="str">
        <f>"经济与管理学院"</f>
        <v>经济与管理学院</v>
      </c>
    </row>
    <row r="6139" ht="13.5" hidden="1" spans="1:5">
      <c r="A6139" s="2" t="str">
        <f>"李湘明"</f>
        <v>李湘明</v>
      </c>
      <c r="B6139" s="2" t="str">
        <f>"B20230504321"</f>
        <v>B20230504321</v>
      </c>
      <c r="C6139" s="2" t="str">
        <f t="shared" si="1553"/>
        <v>男</v>
      </c>
      <c r="D6139" s="2" t="str">
        <f t="shared" si="1542"/>
        <v>6</v>
      </c>
      <c r="E6139" s="2" t="str">
        <f>"生物与化学工程学院"</f>
        <v>生物与化学工程学院</v>
      </c>
    </row>
    <row r="6140" ht="13.5" hidden="1" spans="1:5">
      <c r="A6140" s="2" t="str">
        <f>"陈英"</f>
        <v>陈英</v>
      </c>
      <c r="B6140" s="2" t="str">
        <f>"B20210402314"</f>
        <v>B20210402314</v>
      </c>
      <c r="C6140" s="2" t="str">
        <f t="shared" ref="C6140:C6142" si="1554">"女"</f>
        <v>女</v>
      </c>
      <c r="D6140" s="2" t="str">
        <f t="shared" si="1542"/>
        <v>6</v>
      </c>
      <c r="E6140" s="2" t="str">
        <f>"电子信息与电气工程学院"</f>
        <v>电子信息与电气工程学院</v>
      </c>
    </row>
    <row r="6141" ht="13.5" hidden="1" spans="1:5">
      <c r="A6141" s="2" t="str">
        <f>"王霞"</f>
        <v>王霞</v>
      </c>
      <c r="B6141" s="2" t="str">
        <f>"B20210906145"</f>
        <v>B20210906145</v>
      </c>
      <c r="C6141" s="2" t="str">
        <f t="shared" si="1554"/>
        <v>女</v>
      </c>
      <c r="D6141" s="2" t="str">
        <f t="shared" si="1542"/>
        <v>6</v>
      </c>
      <c r="E6141" s="2" t="str">
        <f>"经济与管理学院"</f>
        <v>经济与管理学院</v>
      </c>
    </row>
    <row r="6142" ht="13.5" hidden="1" spans="1:5">
      <c r="A6142" s="2" t="str">
        <f>"文伊航"</f>
        <v>文伊航</v>
      </c>
      <c r="B6142" s="2" t="str">
        <f>"B20220801224"</f>
        <v>B20220801224</v>
      </c>
      <c r="C6142" s="2" t="str">
        <f t="shared" si="1554"/>
        <v>女</v>
      </c>
      <c r="D6142" s="2" t="str">
        <f t="shared" si="1542"/>
        <v>6</v>
      </c>
      <c r="E6142" s="2" t="str">
        <f>"外国语学院"</f>
        <v>外国语学院</v>
      </c>
    </row>
    <row r="6143" ht="13.5" hidden="1" spans="1:5">
      <c r="A6143" s="2" t="str">
        <f>"彭霜林"</f>
        <v>彭霜林</v>
      </c>
      <c r="B6143" s="2" t="str">
        <f>"B20220403120"</f>
        <v>B20220403120</v>
      </c>
      <c r="C6143" s="2" t="str">
        <f>"男"</f>
        <v>男</v>
      </c>
      <c r="D6143" s="2" t="str">
        <f t="shared" si="1542"/>
        <v>6</v>
      </c>
      <c r="E6143" s="2" t="str">
        <f>"电子信息与电气工程学院"</f>
        <v>电子信息与电气工程学院</v>
      </c>
    </row>
    <row r="6144" ht="13.5" hidden="1" spans="1:5">
      <c r="A6144" s="2" t="str">
        <f>"全春蕾"</f>
        <v>全春蕾</v>
      </c>
      <c r="B6144" s="2" t="str">
        <f>"B20230701323"</f>
        <v>B20230701323</v>
      </c>
      <c r="C6144" s="2" t="str">
        <f t="shared" ref="C6144:C6147" si="1555">"女"</f>
        <v>女</v>
      </c>
      <c r="D6144" s="2" t="str">
        <f t="shared" si="1542"/>
        <v>6</v>
      </c>
      <c r="E6144" s="2" t="str">
        <f>"马栏山新媒体学院"</f>
        <v>马栏山新媒体学院</v>
      </c>
    </row>
    <row r="6145" ht="13.5" hidden="1" spans="1:5">
      <c r="A6145" s="2" t="str">
        <f>"吴洁薇"</f>
        <v>吴洁薇</v>
      </c>
      <c r="B6145" s="2" t="str">
        <f>"B20211001319"</f>
        <v>B20211001319</v>
      </c>
      <c r="C6145" s="2" t="str">
        <f t="shared" si="1555"/>
        <v>女</v>
      </c>
      <c r="D6145" s="2" t="str">
        <f t="shared" si="1542"/>
        <v>6</v>
      </c>
      <c r="E6145" s="2" t="str">
        <f>"艺术设计学院"</f>
        <v>艺术设计学院</v>
      </c>
    </row>
    <row r="6146" ht="13.5" hidden="1" spans="1:5">
      <c r="A6146" s="2" t="str">
        <f>"程盈盈"</f>
        <v>程盈盈</v>
      </c>
      <c r="B6146" s="2" t="str">
        <f>"B20221003117"</f>
        <v>B20221003117</v>
      </c>
      <c r="C6146" s="2" t="str">
        <f t="shared" si="1555"/>
        <v>女</v>
      </c>
      <c r="D6146" s="2" t="str">
        <f t="shared" si="1542"/>
        <v>6</v>
      </c>
      <c r="E6146" s="2" t="str">
        <f>"艺术设计学院"</f>
        <v>艺术设计学院</v>
      </c>
    </row>
    <row r="6147" ht="13.5" hidden="1" spans="1:5">
      <c r="A6147" s="2" t="str">
        <f>"唐秋月"</f>
        <v>唐秋月</v>
      </c>
      <c r="B6147" s="2" t="str">
        <f>"B20230802213"</f>
        <v>B20230802213</v>
      </c>
      <c r="C6147" s="2" t="str">
        <f t="shared" si="1555"/>
        <v>女</v>
      </c>
      <c r="D6147" s="2" t="str">
        <f t="shared" si="1542"/>
        <v>6</v>
      </c>
      <c r="E6147" s="2" t="str">
        <f>"外国语学院"</f>
        <v>外国语学院</v>
      </c>
    </row>
    <row r="6148" ht="13.5" hidden="1" spans="1:5">
      <c r="A6148" s="2" t="str">
        <f>"杜永典"</f>
        <v>杜永典</v>
      </c>
      <c r="B6148" s="2" t="str">
        <f>"B20230101507"</f>
        <v>B20230101507</v>
      </c>
      <c r="C6148" s="2" t="str">
        <f t="shared" ref="C6148:C6153" si="1556">"男"</f>
        <v>男</v>
      </c>
      <c r="D6148" s="2" t="str">
        <f t="shared" si="1542"/>
        <v>6</v>
      </c>
      <c r="E6148" s="2" t="str">
        <f t="shared" ref="E6148:E6152" si="1557">"土木工程学院"</f>
        <v>土木工程学院</v>
      </c>
    </row>
    <row r="6149" ht="13.5" hidden="1" spans="1:5">
      <c r="A6149" s="2" t="str">
        <f>"黄一凡"</f>
        <v>黄一凡</v>
      </c>
      <c r="B6149" s="2" t="str">
        <f>"B20230401110"</f>
        <v>B20230401110</v>
      </c>
      <c r="C6149" s="2" t="str">
        <f t="shared" si="1556"/>
        <v>男</v>
      </c>
      <c r="D6149" s="2" t="str">
        <f t="shared" si="1542"/>
        <v>6</v>
      </c>
      <c r="E6149" s="2" t="str">
        <f t="shared" ref="E6149:E6155" si="1558">"电子信息与电气工程学院"</f>
        <v>电子信息与电气工程学院</v>
      </c>
    </row>
    <row r="6150" ht="13.5" hidden="1" spans="1:5">
      <c r="A6150" s="2" t="str">
        <f>"赵潇柯"</f>
        <v>赵潇柯</v>
      </c>
      <c r="B6150" s="2" t="str">
        <f>"B20220403133"</f>
        <v>B20220403133</v>
      </c>
      <c r="C6150" s="2" t="str">
        <f>"女"</f>
        <v>女</v>
      </c>
      <c r="D6150" s="2" t="str">
        <f t="shared" si="1542"/>
        <v>6</v>
      </c>
      <c r="E6150" s="2" t="str">
        <f t="shared" si="1558"/>
        <v>电子信息与电气工程学院</v>
      </c>
    </row>
    <row r="6151" ht="13.5" hidden="1" spans="1:5">
      <c r="A6151" s="2" t="str">
        <f>"王斌铉"</f>
        <v>王斌铉</v>
      </c>
      <c r="B6151" s="2" t="str">
        <f>"B20200101509"</f>
        <v>B20200101509</v>
      </c>
      <c r="C6151" s="2" t="str">
        <f t="shared" si="1556"/>
        <v>男</v>
      </c>
      <c r="D6151" s="2" t="str">
        <f t="shared" si="1542"/>
        <v>6</v>
      </c>
      <c r="E6151" s="2" t="str">
        <f t="shared" si="1557"/>
        <v>土木工程学院</v>
      </c>
    </row>
    <row r="6152" ht="13.5" hidden="1" spans="1:5">
      <c r="A6152" s="2" t="str">
        <f>"刘家成"</f>
        <v>刘家成</v>
      </c>
      <c r="B6152" s="2" t="str">
        <f>"B20230104209"</f>
        <v>B20230104209</v>
      </c>
      <c r="C6152" s="2" t="str">
        <f t="shared" si="1556"/>
        <v>男</v>
      </c>
      <c r="D6152" s="2" t="str">
        <f t="shared" si="1542"/>
        <v>6</v>
      </c>
      <c r="E6152" s="2" t="str">
        <f t="shared" si="1557"/>
        <v>土木工程学院</v>
      </c>
    </row>
    <row r="6153" ht="13.5" hidden="1" spans="1:5">
      <c r="A6153" s="2" t="str">
        <f>"彭贝尔"</f>
        <v>彭贝尔</v>
      </c>
      <c r="B6153" s="2" t="str">
        <f>"B20230802201"</f>
        <v>B20230802201</v>
      </c>
      <c r="C6153" s="2" t="str">
        <f t="shared" si="1556"/>
        <v>男</v>
      </c>
      <c r="D6153" s="2" t="str">
        <f t="shared" si="1542"/>
        <v>6</v>
      </c>
      <c r="E6153" s="2" t="str">
        <f>"外国语学院"</f>
        <v>外国语学院</v>
      </c>
    </row>
    <row r="6154" ht="13.5" hidden="1" spans="1:5">
      <c r="A6154" s="2" t="str">
        <f>"姜宛均"</f>
        <v>姜宛均</v>
      </c>
      <c r="B6154" s="2" t="str">
        <f>"B20210402303"</f>
        <v>B20210402303</v>
      </c>
      <c r="C6154" s="2" t="str">
        <f>"女"</f>
        <v>女</v>
      </c>
      <c r="D6154" s="2" t="str">
        <f>"6"</f>
        <v>6</v>
      </c>
      <c r="E6154" s="2" t="str">
        <f t="shared" si="1558"/>
        <v>电子信息与电气工程学院</v>
      </c>
    </row>
    <row r="6155" ht="13.5" hidden="1" spans="1:5">
      <c r="A6155" s="2" t="str">
        <f>"邓俊豪"</f>
        <v>邓俊豪</v>
      </c>
      <c r="B6155" s="2" t="str">
        <f>"B20220401113"</f>
        <v>B20220401113</v>
      </c>
      <c r="C6155" s="2" t="str">
        <f>"男"</f>
        <v>男</v>
      </c>
      <c r="D6155" s="2" t="str">
        <f>"6"</f>
        <v>6</v>
      </c>
      <c r="E6155" s="2" t="str">
        <f t="shared" si="1558"/>
        <v>电子信息与电气工程学院</v>
      </c>
    </row>
    <row r="6156" ht="13.5" hidden="1" spans="1:5">
      <c r="A6156" s="2" t="str">
        <f>"姜楠"</f>
        <v>姜楠</v>
      </c>
      <c r="B6156" s="2" t="str">
        <f>"B20220704104"</f>
        <v>B20220704104</v>
      </c>
      <c r="C6156" s="2" t="str">
        <f>"女"</f>
        <v>女</v>
      </c>
      <c r="D6156" s="2" t="str">
        <f>"6"</f>
        <v>6</v>
      </c>
      <c r="E6156" s="2" t="str">
        <f>"马栏山新媒体学院"</f>
        <v>马栏山新媒体学院</v>
      </c>
    </row>
    <row r="6157" ht="13.5" hidden="1" spans="1:5">
      <c r="A6157" s="2" t="str">
        <f>"蒋礼"</f>
        <v>蒋礼</v>
      </c>
      <c r="B6157" s="2" t="str">
        <f>"B20210202132"</f>
        <v>B20210202132</v>
      </c>
      <c r="C6157" s="2" t="str">
        <f>"男"</f>
        <v>男</v>
      </c>
      <c r="D6157" s="2" t="str">
        <f>"6"</f>
        <v>6</v>
      </c>
      <c r="E6157" s="2" t="str">
        <f>"机电工程学院"</f>
        <v>机电工程学院</v>
      </c>
    </row>
    <row r="6158" ht="13.5" hidden="1" spans="1:5">
      <c r="A6158" s="2" t="str">
        <f>"吴立萍"</f>
        <v>吴立萍</v>
      </c>
      <c r="B6158" s="2" t="str">
        <f>"B20210202207"</f>
        <v>B20210202207</v>
      </c>
      <c r="C6158" s="2" t="str">
        <f>"男"</f>
        <v>男</v>
      </c>
      <c r="D6158" s="2" t="str">
        <f>"6"</f>
        <v>6</v>
      </c>
      <c r="E6158" s="2" t="str">
        <f>"机电工程学院"</f>
        <v>机电工程学院</v>
      </c>
    </row>
    <row r="6159" ht="13.5" hidden="1" spans="1:5">
      <c r="A6159" s="2" t="str">
        <f>"尚琪"</f>
        <v>尚琪</v>
      </c>
      <c r="B6159" s="2" t="str">
        <f>"B20231111206"</f>
        <v>B20231111206</v>
      </c>
      <c r="C6159" s="2" t="str">
        <f t="shared" ref="C6159:C6164" si="1559">"女"</f>
        <v>女</v>
      </c>
      <c r="D6159" s="2" t="str">
        <f>"6"</f>
        <v>6</v>
      </c>
      <c r="E6159" s="2" t="str">
        <f>"音乐学院"</f>
        <v>音乐学院</v>
      </c>
    </row>
    <row r="6160" ht="13.5" hidden="1" spans="1:5">
      <c r="A6160" s="2" t="str">
        <f>"郑超"</f>
        <v>郑超</v>
      </c>
      <c r="B6160" s="2" t="str">
        <f>"B20230101213"</f>
        <v>B20230101213</v>
      </c>
      <c r="C6160" s="2" t="str">
        <f t="shared" ref="C6160:C6162" si="1560">"男"</f>
        <v>男</v>
      </c>
      <c r="D6160" s="2" t="str">
        <f>"6"</f>
        <v>6</v>
      </c>
      <c r="E6160" s="2" t="str">
        <f>"土木工程学院"</f>
        <v>土木工程学院</v>
      </c>
    </row>
    <row r="6161" ht="13.5" hidden="1" spans="1:5">
      <c r="A6161" s="2" t="str">
        <f>"邝伟杰"</f>
        <v>邝伟杰</v>
      </c>
      <c r="B6161" s="2" t="str">
        <f>"B20220401203"</f>
        <v>B20220401203</v>
      </c>
      <c r="C6161" s="2" t="str">
        <f t="shared" si="1560"/>
        <v>男</v>
      </c>
      <c r="D6161" s="2" t="str">
        <f>"6"</f>
        <v>6</v>
      </c>
      <c r="E6161" s="2" t="str">
        <f>"电子信息与电气工程学院"</f>
        <v>电子信息与电气工程学院</v>
      </c>
    </row>
    <row r="6162" ht="13.5" hidden="1" spans="1:5">
      <c r="A6162" s="2" t="str">
        <f>"王升伟"</f>
        <v>王升伟</v>
      </c>
      <c r="B6162" s="2" t="str">
        <f>"B20220202331"</f>
        <v>B20220202331</v>
      </c>
      <c r="C6162" s="2" t="str">
        <f t="shared" si="1560"/>
        <v>男</v>
      </c>
      <c r="D6162" s="2" t="str">
        <f>"6"</f>
        <v>6</v>
      </c>
      <c r="E6162" s="2" t="str">
        <f>"机电工程学院"</f>
        <v>机电工程学院</v>
      </c>
    </row>
    <row r="6163" ht="13.5" hidden="1" spans="1:5">
      <c r="A6163" s="2" t="str">
        <f>"徐慧芬"</f>
        <v>徐慧芬</v>
      </c>
      <c r="B6163" s="2" t="str">
        <f>"B20210901111"</f>
        <v>B20210901111</v>
      </c>
      <c r="C6163" s="2" t="str">
        <f t="shared" si="1559"/>
        <v>女</v>
      </c>
      <c r="D6163" s="2" t="str">
        <f>"6"</f>
        <v>6</v>
      </c>
      <c r="E6163" s="2" t="str">
        <f t="shared" ref="E6163:E6166" si="1561">"经济与管理学院"</f>
        <v>经济与管理学院</v>
      </c>
    </row>
    <row r="6164" ht="13.5" hidden="1" spans="1:5">
      <c r="A6164" s="2" t="str">
        <f>"肖宇"</f>
        <v>肖宇</v>
      </c>
      <c r="B6164" s="2" t="str">
        <f>"B20230902211"</f>
        <v>B20230902211</v>
      </c>
      <c r="C6164" s="2" t="str">
        <f t="shared" si="1559"/>
        <v>女</v>
      </c>
      <c r="D6164" s="2" t="str">
        <f>"6"</f>
        <v>6</v>
      </c>
      <c r="E6164" s="2" t="str">
        <f t="shared" si="1561"/>
        <v>经济与管理学院</v>
      </c>
    </row>
    <row r="6165" ht="13.5" hidden="1" spans="1:5">
      <c r="A6165" s="2" t="str">
        <f>"陶帆"</f>
        <v>陶帆</v>
      </c>
      <c r="B6165" s="2" t="str">
        <f>"B20220906235"</f>
        <v>B20220906235</v>
      </c>
      <c r="C6165" s="2" t="str">
        <f t="shared" ref="C6165:C6168" si="1562">"男"</f>
        <v>男</v>
      </c>
      <c r="D6165" s="2" t="str">
        <f>"6"</f>
        <v>6</v>
      </c>
      <c r="E6165" s="2" t="str">
        <f t="shared" si="1561"/>
        <v>经济与管理学院</v>
      </c>
    </row>
    <row r="6166" ht="13.5" hidden="1" spans="1:5">
      <c r="A6166" s="2" t="str">
        <f>"王萍艳"</f>
        <v>王萍艳</v>
      </c>
      <c r="B6166" s="2" t="str">
        <f>"B20230902313"</f>
        <v>B20230902313</v>
      </c>
      <c r="C6166" s="2" t="str">
        <f t="shared" ref="C6166:C6170" si="1563">"女"</f>
        <v>女</v>
      </c>
      <c r="D6166" s="2" t="str">
        <f>"6"</f>
        <v>6</v>
      </c>
      <c r="E6166" s="2" t="str">
        <f t="shared" si="1561"/>
        <v>经济与管理学院</v>
      </c>
    </row>
    <row r="6167" ht="13.5" hidden="1" spans="1:5">
      <c r="A6167" s="2" t="str">
        <f>"廖柏宇"</f>
        <v>廖柏宇</v>
      </c>
      <c r="B6167" s="2" t="str">
        <f>"B20230402307"</f>
        <v>B20230402307</v>
      </c>
      <c r="C6167" s="2" t="str">
        <f t="shared" si="1562"/>
        <v>男</v>
      </c>
      <c r="D6167" s="2" t="str">
        <f>"6"</f>
        <v>6</v>
      </c>
      <c r="E6167" s="2" t="str">
        <f t="shared" ref="E6167:E6171" si="1564">"电子信息与电气工程学院"</f>
        <v>电子信息与电气工程学院</v>
      </c>
    </row>
    <row r="6168" ht="13.5" hidden="1" spans="1:5">
      <c r="A6168" s="2" t="str">
        <f>"曹志豪"</f>
        <v>曹志豪</v>
      </c>
      <c r="B6168" s="2" t="str">
        <f>"B20230404115"</f>
        <v>B20230404115</v>
      </c>
      <c r="C6168" s="2" t="str">
        <f t="shared" si="1562"/>
        <v>男</v>
      </c>
      <c r="D6168" s="2" t="str">
        <f>"6"</f>
        <v>6</v>
      </c>
      <c r="E6168" s="2" t="str">
        <f t="shared" si="1564"/>
        <v>电子信息与电气工程学院</v>
      </c>
    </row>
    <row r="6169" ht="13.5" hidden="1" spans="1:5">
      <c r="A6169" s="2" t="str">
        <f>"胡语菲"</f>
        <v>胡语菲</v>
      </c>
      <c r="B6169" s="2" t="str">
        <f>"B20231111109"</f>
        <v>B20231111109</v>
      </c>
      <c r="C6169" s="2" t="str">
        <f t="shared" si="1563"/>
        <v>女</v>
      </c>
      <c r="D6169" s="2" t="str">
        <f>"6"</f>
        <v>6</v>
      </c>
      <c r="E6169" s="2" t="str">
        <f>"音乐学院"</f>
        <v>音乐学院</v>
      </c>
    </row>
    <row r="6170" ht="13.5" hidden="1" spans="1:5">
      <c r="A6170" s="2" t="str">
        <f>"何亦涵"</f>
        <v>何亦涵</v>
      </c>
      <c r="B6170" s="2" t="str">
        <f>"B20230902309"</f>
        <v>B20230902309</v>
      </c>
      <c r="C6170" s="2" t="str">
        <f t="shared" si="1563"/>
        <v>女</v>
      </c>
      <c r="D6170" s="2" t="str">
        <f>"6"</f>
        <v>6</v>
      </c>
      <c r="E6170" s="2" t="str">
        <f>"经济与管理学院"</f>
        <v>经济与管理学院</v>
      </c>
    </row>
    <row r="6171" ht="13.5" hidden="1" spans="1:5">
      <c r="A6171" s="2" t="str">
        <f>"吴凡"</f>
        <v>吴凡</v>
      </c>
      <c r="B6171" s="2" t="str">
        <f>"B20230401320"</f>
        <v>B20230401320</v>
      </c>
      <c r="C6171" s="2" t="str">
        <f t="shared" ref="C6171:C6175" si="1565">"男"</f>
        <v>男</v>
      </c>
      <c r="D6171" s="2" t="str">
        <f>"6"</f>
        <v>6</v>
      </c>
      <c r="E6171" s="2" t="str">
        <f t="shared" si="1564"/>
        <v>电子信息与电气工程学院</v>
      </c>
    </row>
    <row r="6172" ht="13.5" hidden="1" spans="1:5">
      <c r="A6172" s="2" t="str">
        <f>"刘琪"</f>
        <v>刘琪</v>
      </c>
      <c r="B6172" s="2" t="str">
        <f>"B20220803220"</f>
        <v>B20220803220</v>
      </c>
      <c r="C6172" s="2" t="str">
        <f t="shared" ref="C6172:C6178" si="1566">"女"</f>
        <v>女</v>
      </c>
      <c r="D6172" s="2" t="str">
        <f>"6"</f>
        <v>6</v>
      </c>
      <c r="E6172" s="2" t="str">
        <f>"外国语学院"</f>
        <v>外国语学院</v>
      </c>
    </row>
    <row r="6173" ht="13.5" hidden="1" spans="1:5">
      <c r="A6173" s="2" t="str">
        <f>"戴裕航"</f>
        <v>戴裕航</v>
      </c>
      <c r="B6173" s="2" t="str">
        <f>"B20230902328"</f>
        <v>B20230902328</v>
      </c>
      <c r="C6173" s="2" t="str">
        <f t="shared" si="1565"/>
        <v>男</v>
      </c>
      <c r="D6173" s="2" t="str">
        <f>"6"</f>
        <v>6</v>
      </c>
      <c r="E6173" s="2" t="str">
        <f>"经济与管理学院"</f>
        <v>经济与管理学院</v>
      </c>
    </row>
    <row r="6174" ht="13.5" hidden="1" spans="1:5">
      <c r="A6174" s="2" t="str">
        <f>"黄渊隆"</f>
        <v>黄渊隆</v>
      </c>
      <c r="B6174" s="2" t="str">
        <f>"B20230402215"</f>
        <v>B20230402215</v>
      </c>
      <c r="C6174" s="2" t="str">
        <f t="shared" si="1565"/>
        <v>男</v>
      </c>
      <c r="D6174" s="2" t="str">
        <f>"6"</f>
        <v>6</v>
      </c>
      <c r="E6174" s="2" t="str">
        <f>"电子信息与电气工程学院"</f>
        <v>电子信息与电气工程学院</v>
      </c>
    </row>
    <row r="6175" ht="13.5" hidden="1" spans="1:5">
      <c r="A6175" s="2" t="str">
        <f>"贺子钊"</f>
        <v>贺子钊</v>
      </c>
      <c r="B6175" s="2" t="str">
        <f>"B20230403302"</f>
        <v>B20230403302</v>
      </c>
      <c r="C6175" s="2" t="str">
        <f t="shared" si="1565"/>
        <v>男</v>
      </c>
      <c r="D6175" s="2" t="str">
        <f>"6"</f>
        <v>6</v>
      </c>
      <c r="E6175" s="2" t="str">
        <f>"电子信息与电气工程学院"</f>
        <v>电子信息与电气工程学院</v>
      </c>
    </row>
    <row r="6176" ht="13.5" hidden="1" spans="1:5">
      <c r="A6176" s="2" t="str">
        <f>"王先仙"</f>
        <v>王先仙</v>
      </c>
      <c r="B6176" s="2" t="str">
        <f>"B20230504434"</f>
        <v>B20230504434</v>
      </c>
      <c r="C6176" s="2" t="str">
        <f t="shared" si="1566"/>
        <v>女</v>
      </c>
      <c r="D6176" s="2" t="str">
        <f>"6"</f>
        <v>6</v>
      </c>
      <c r="E6176" s="2" t="str">
        <f>"生物与化学工程学院"</f>
        <v>生物与化学工程学院</v>
      </c>
    </row>
    <row r="6177" ht="13.5" hidden="1" spans="1:5">
      <c r="A6177" s="2" t="str">
        <f>"张新怡"</f>
        <v>张新怡</v>
      </c>
      <c r="B6177" s="2" t="str">
        <f>"B20230901112"</f>
        <v>B20230901112</v>
      </c>
      <c r="C6177" s="2" t="str">
        <f t="shared" si="1566"/>
        <v>女</v>
      </c>
      <c r="D6177" s="2" t="str">
        <f>"6"</f>
        <v>6</v>
      </c>
      <c r="E6177" s="2" t="str">
        <f>"经济与管理学院"</f>
        <v>经济与管理学院</v>
      </c>
    </row>
    <row r="6178" ht="13.5" hidden="1" spans="1:5">
      <c r="A6178" s="2" t="str">
        <f>"刘晓祺"</f>
        <v>刘晓祺</v>
      </c>
      <c r="B6178" s="2" t="str">
        <f>"B20231111123"</f>
        <v>B20231111123</v>
      </c>
      <c r="C6178" s="2" t="str">
        <f t="shared" si="1566"/>
        <v>女</v>
      </c>
      <c r="D6178" s="2" t="str">
        <f>"6"</f>
        <v>6</v>
      </c>
      <c r="E6178" s="2" t="str">
        <f>"音乐学院"</f>
        <v>音乐学院</v>
      </c>
    </row>
    <row r="6179" ht="13.5" hidden="1" spans="1:5">
      <c r="A6179" s="2" t="str">
        <f>"刘涛"</f>
        <v>刘涛</v>
      </c>
      <c r="B6179" s="2" t="str">
        <f>"B20220101532"</f>
        <v>B20220101532</v>
      </c>
      <c r="C6179" s="2" t="str">
        <f t="shared" ref="C6179:C6181" si="1567">"男"</f>
        <v>男</v>
      </c>
      <c r="D6179" s="2" t="str">
        <f>"6"</f>
        <v>6</v>
      </c>
      <c r="E6179" s="2" t="str">
        <f>"土木工程学院"</f>
        <v>土木工程学院</v>
      </c>
    </row>
    <row r="6180" ht="13.5" hidden="1" spans="1:5">
      <c r="A6180" s="2" t="str">
        <f>"周哲"</f>
        <v>周哲</v>
      </c>
      <c r="B6180" s="2" t="str">
        <f>"B20220401214"</f>
        <v>B20220401214</v>
      </c>
      <c r="C6180" s="2" t="str">
        <f t="shared" si="1567"/>
        <v>男</v>
      </c>
      <c r="D6180" s="2" t="str">
        <f>"6"</f>
        <v>6</v>
      </c>
      <c r="E6180" s="2" t="str">
        <f>"电子信息与电气工程学院"</f>
        <v>电子信息与电气工程学院</v>
      </c>
    </row>
    <row r="6181" ht="13.5" hidden="1" spans="1:5">
      <c r="A6181" s="2" t="str">
        <f>"唐继来"</f>
        <v>唐继来</v>
      </c>
      <c r="B6181" s="2" t="str">
        <f>"B20200103106"</f>
        <v>B20200103106</v>
      </c>
      <c r="C6181" s="2" t="str">
        <f t="shared" si="1567"/>
        <v>男</v>
      </c>
      <c r="D6181" s="2" t="str">
        <f>"6"</f>
        <v>6</v>
      </c>
      <c r="E6181" s="2" t="str">
        <f>"土木工程学院"</f>
        <v>土木工程学院</v>
      </c>
    </row>
    <row r="6182" ht="13.5" hidden="1" spans="1:5">
      <c r="A6182" s="2" t="str">
        <f>"樊思淇"</f>
        <v>樊思淇</v>
      </c>
      <c r="B6182" s="2" t="str">
        <f>"B20210906111"</f>
        <v>B20210906111</v>
      </c>
      <c r="C6182" s="2" t="str">
        <f>"女"</f>
        <v>女</v>
      </c>
      <c r="D6182" s="2" t="str">
        <f>"6"</f>
        <v>6</v>
      </c>
      <c r="E6182" s="2" t="str">
        <f>"经济与管理学院"</f>
        <v>经济与管理学院</v>
      </c>
    </row>
    <row r="6183" ht="13.5" hidden="1" spans="1:5">
      <c r="A6183" s="2" t="str">
        <f>"汤蓓"</f>
        <v>汤蓓</v>
      </c>
      <c r="B6183" s="2" t="str">
        <f>"B20210906117"</f>
        <v>B20210906117</v>
      </c>
      <c r="C6183" s="2" t="str">
        <f>"女"</f>
        <v>女</v>
      </c>
      <c r="D6183" s="2" t="str">
        <f>"6"</f>
        <v>6</v>
      </c>
      <c r="E6183" s="2" t="str">
        <f>"经济与管理学院"</f>
        <v>经济与管理学院</v>
      </c>
    </row>
    <row r="6184" ht="13.5" hidden="1" spans="1:5">
      <c r="A6184" s="2" t="str">
        <f>"唐凯"</f>
        <v>唐凯</v>
      </c>
      <c r="B6184" s="2" t="str">
        <f>"B20200101606"</f>
        <v>B20200101606</v>
      </c>
      <c r="C6184" s="2" t="str">
        <f>"男"</f>
        <v>男</v>
      </c>
      <c r="D6184" s="2" t="str">
        <f>"6"</f>
        <v>6</v>
      </c>
      <c r="E6184" s="2" t="str">
        <f>"土木工程学院"</f>
        <v>土木工程学院</v>
      </c>
    </row>
    <row r="6185" ht="13.5" hidden="1" spans="1:5">
      <c r="A6185" s="2" t="str">
        <f>"谢俊辉"</f>
        <v>谢俊辉</v>
      </c>
      <c r="B6185" s="2" t="str">
        <f>"B20221301104"</f>
        <v>B20221301104</v>
      </c>
      <c r="C6185" s="2" t="str">
        <f>"男"</f>
        <v>男</v>
      </c>
      <c r="D6185" s="2" t="str">
        <f t="shared" ref="D6185:D6206" si="1568">"6"</f>
        <v>6</v>
      </c>
      <c r="E6185" s="2" t="str">
        <f>"材料与环境工程学院"</f>
        <v>材料与环境工程学院</v>
      </c>
    </row>
    <row r="6186" ht="13.5" hidden="1" spans="1:5">
      <c r="A6186" s="2" t="str">
        <f>"成思远"</f>
        <v>成思远</v>
      </c>
      <c r="B6186" s="2" t="str">
        <f>"B20200101625"</f>
        <v>B20200101625</v>
      </c>
      <c r="C6186" s="2" t="str">
        <f>"男"</f>
        <v>男</v>
      </c>
      <c r="D6186" s="2" t="str">
        <f t="shared" si="1568"/>
        <v>6</v>
      </c>
      <c r="E6186" s="2" t="str">
        <f>"土木工程学院"</f>
        <v>土木工程学院</v>
      </c>
    </row>
    <row r="6187" ht="13.5" hidden="1" spans="1:5">
      <c r="A6187" s="2" t="str">
        <f>"朱俊杰"</f>
        <v>朱俊杰</v>
      </c>
      <c r="B6187" s="2" t="str">
        <f>"B20200601220"</f>
        <v>B20200601220</v>
      </c>
      <c r="C6187" s="2" t="str">
        <f>"男"</f>
        <v>男</v>
      </c>
      <c r="D6187" s="2" t="str">
        <f t="shared" si="1568"/>
        <v>6</v>
      </c>
      <c r="E6187" s="2" t="str">
        <f>"法学院"</f>
        <v>法学院</v>
      </c>
    </row>
    <row r="6188" ht="13.5" hidden="1" spans="1:5">
      <c r="A6188" s="2" t="str">
        <f>"白佳茵"</f>
        <v>白佳茵</v>
      </c>
      <c r="B6188" s="2" t="str">
        <f>"B20230704418"</f>
        <v>B20230704418</v>
      </c>
      <c r="C6188" s="2" t="str">
        <f t="shared" ref="C6188:C6193" si="1569">"女"</f>
        <v>女</v>
      </c>
      <c r="D6188" s="2" t="str">
        <f t="shared" si="1568"/>
        <v>6</v>
      </c>
      <c r="E6188" s="2" t="str">
        <f t="shared" ref="E6188:E6193" si="1570">"马栏山新媒体学院"</f>
        <v>马栏山新媒体学院</v>
      </c>
    </row>
    <row r="6189" ht="13.5" hidden="1" spans="1:5">
      <c r="A6189" s="2" t="str">
        <f>"陈羿翔"</f>
        <v>陈羿翔</v>
      </c>
      <c r="B6189" s="2" t="str">
        <f>"B20230205118"</f>
        <v>B20230205118</v>
      </c>
      <c r="C6189" s="2" t="str">
        <f t="shared" ref="C6189:C6195" si="1571">"男"</f>
        <v>男</v>
      </c>
      <c r="D6189" s="2" t="str">
        <f t="shared" si="1568"/>
        <v>6</v>
      </c>
      <c r="E6189" s="2" t="str">
        <f>"机电工程学院"</f>
        <v>机电工程学院</v>
      </c>
    </row>
    <row r="6190" ht="13.5" hidden="1" spans="1:5">
      <c r="A6190" s="2" t="str">
        <f>"吕嘉"</f>
        <v>吕嘉</v>
      </c>
      <c r="B6190" s="2" t="str">
        <f>"B20230902203"</f>
        <v>B20230902203</v>
      </c>
      <c r="C6190" s="2" t="str">
        <f t="shared" si="1569"/>
        <v>女</v>
      </c>
      <c r="D6190" s="2" t="str">
        <f t="shared" si="1568"/>
        <v>6</v>
      </c>
      <c r="E6190" s="2" t="str">
        <f>"经济与管理学院"</f>
        <v>经济与管理学院</v>
      </c>
    </row>
    <row r="6191" ht="13.5" hidden="1" spans="1:5">
      <c r="A6191" s="2" t="str">
        <f>"伍沛霖"</f>
        <v>伍沛霖</v>
      </c>
      <c r="B6191" s="2" t="str">
        <f>"B20230403312"</f>
        <v>B20230403312</v>
      </c>
      <c r="C6191" s="2" t="str">
        <f t="shared" si="1571"/>
        <v>男</v>
      </c>
      <c r="D6191" s="2" t="str">
        <f t="shared" si="1568"/>
        <v>6</v>
      </c>
      <c r="E6191" s="2" t="str">
        <f>"电子信息与电气工程学院"</f>
        <v>电子信息与电气工程学院</v>
      </c>
    </row>
    <row r="6192" ht="13.5" hidden="1" spans="1:5">
      <c r="A6192" s="2" t="str">
        <f>"何向晴"</f>
        <v>何向晴</v>
      </c>
      <c r="B6192" s="2" t="str">
        <f>"B20220701325"</f>
        <v>B20220701325</v>
      </c>
      <c r="C6192" s="2" t="str">
        <f t="shared" si="1569"/>
        <v>女</v>
      </c>
      <c r="D6192" s="2" t="str">
        <f t="shared" si="1568"/>
        <v>6</v>
      </c>
      <c r="E6192" s="2" t="str">
        <f t="shared" si="1570"/>
        <v>马栏山新媒体学院</v>
      </c>
    </row>
    <row r="6193" ht="13.5" hidden="1" spans="1:5">
      <c r="A6193" s="2" t="str">
        <f>"游梓馨"</f>
        <v>游梓馨</v>
      </c>
      <c r="B6193" s="2" t="str">
        <f>"B20200704104"</f>
        <v>B20200704104</v>
      </c>
      <c r="C6193" s="2" t="str">
        <f t="shared" si="1569"/>
        <v>女</v>
      </c>
      <c r="D6193" s="2" t="str">
        <f t="shared" si="1568"/>
        <v>6</v>
      </c>
      <c r="E6193" s="2" t="str">
        <f t="shared" si="1570"/>
        <v>马栏山新媒体学院</v>
      </c>
    </row>
    <row r="6194" ht="13.5" hidden="1" spans="1:5">
      <c r="A6194" s="2" t="str">
        <f>"曾艺成"</f>
        <v>曾艺成</v>
      </c>
      <c r="B6194" s="2" t="str">
        <f>"B20230202209"</f>
        <v>B20230202209</v>
      </c>
      <c r="C6194" s="2" t="str">
        <f t="shared" si="1571"/>
        <v>男</v>
      </c>
      <c r="D6194" s="2" t="str">
        <f t="shared" si="1568"/>
        <v>6</v>
      </c>
      <c r="E6194" s="2" t="str">
        <f>"机电工程学院"</f>
        <v>机电工程学院</v>
      </c>
    </row>
    <row r="6195" ht="13.5" hidden="1" spans="1:5">
      <c r="A6195" s="2" t="str">
        <f>"覃乐平"</f>
        <v>覃乐平</v>
      </c>
      <c r="B6195" s="2" t="str">
        <f>"B20231004112"</f>
        <v>B20231004112</v>
      </c>
      <c r="C6195" s="2" t="str">
        <f t="shared" si="1571"/>
        <v>男</v>
      </c>
      <c r="D6195" s="2" t="str">
        <f t="shared" si="1568"/>
        <v>6</v>
      </c>
      <c r="E6195" s="2" t="str">
        <f>"艺术设计学院"</f>
        <v>艺术设计学院</v>
      </c>
    </row>
    <row r="6196" ht="13.5" hidden="1" spans="1:5">
      <c r="A6196" s="2" t="str">
        <f>"李子怡"</f>
        <v>李子怡</v>
      </c>
      <c r="B6196" s="2" t="str">
        <f>"B20210901345"</f>
        <v>B20210901345</v>
      </c>
      <c r="C6196" s="2" t="str">
        <f t="shared" ref="C6196:C6199" si="1572">"女"</f>
        <v>女</v>
      </c>
      <c r="D6196" s="2" t="str">
        <f t="shared" si="1568"/>
        <v>6</v>
      </c>
      <c r="E6196" s="2" t="str">
        <f>"经济与管理学院"</f>
        <v>经济与管理学院</v>
      </c>
    </row>
    <row r="6197" ht="13.5" hidden="1" spans="1:5">
      <c r="A6197" s="2" t="str">
        <f>"曹玉晴"</f>
        <v>曹玉晴</v>
      </c>
      <c r="B6197" s="2" t="str">
        <f>"B20230403334"</f>
        <v>B20230403334</v>
      </c>
      <c r="C6197" s="2" t="str">
        <f t="shared" si="1572"/>
        <v>女</v>
      </c>
      <c r="D6197" s="2" t="str">
        <f t="shared" si="1568"/>
        <v>6</v>
      </c>
      <c r="E6197" s="2" t="str">
        <f>"电子信息与电气工程学院"</f>
        <v>电子信息与电气工程学院</v>
      </c>
    </row>
    <row r="6198" ht="13.5" hidden="1" spans="1:5">
      <c r="A6198" s="2" t="str">
        <f>"易南平"</f>
        <v>易南平</v>
      </c>
      <c r="B6198" s="2" t="str">
        <f>"B20231302312"</f>
        <v>B20231302312</v>
      </c>
      <c r="C6198" s="2" t="str">
        <f t="shared" si="1572"/>
        <v>女</v>
      </c>
      <c r="D6198" s="2" t="str">
        <f t="shared" si="1568"/>
        <v>6</v>
      </c>
      <c r="E6198" s="2" t="str">
        <f>"材料与环境工程学院"</f>
        <v>材料与环境工程学院</v>
      </c>
    </row>
    <row r="6199" ht="13.5" hidden="1" spans="1:5">
      <c r="A6199" s="2" t="str">
        <f>"詹静宜"</f>
        <v>詹静宜</v>
      </c>
      <c r="B6199" s="2" t="str">
        <f>"B20220802131"</f>
        <v>B20220802131</v>
      </c>
      <c r="C6199" s="2" t="str">
        <f t="shared" si="1572"/>
        <v>女</v>
      </c>
      <c r="D6199" s="2" t="str">
        <f t="shared" si="1568"/>
        <v>6</v>
      </c>
      <c r="E6199" s="2" t="str">
        <f>"外国语学院"</f>
        <v>外国语学院</v>
      </c>
    </row>
    <row r="6200" ht="13.5" hidden="1" spans="1:5">
      <c r="A6200" s="2" t="str">
        <f>"胡长鑫"</f>
        <v>胡长鑫</v>
      </c>
      <c r="B6200" s="2" t="str">
        <f>"B20230504328"</f>
        <v>B20230504328</v>
      </c>
      <c r="C6200" s="2" t="str">
        <f t="shared" ref="C6200:C6203" si="1573">"男"</f>
        <v>男</v>
      </c>
      <c r="D6200" s="2" t="str">
        <f t="shared" si="1568"/>
        <v>6</v>
      </c>
      <c r="E6200" s="2" t="str">
        <f>"生物与化学工程学院"</f>
        <v>生物与化学工程学院</v>
      </c>
    </row>
    <row r="6201" ht="13.5" hidden="1" spans="1:5">
      <c r="A6201" s="2" t="str">
        <f>"李明香"</f>
        <v>李明香</v>
      </c>
      <c r="B6201" s="2" t="str">
        <f>"B20210102233"</f>
        <v>B20210102233</v>
      </c>
      <c r="C6201" s="2" t="str">
        <f t="shared" ref="C6201:C6206" si="1574">"女"</f>
        <v>女</v>
      </c>
      <c r="D6201" s="2" t="str">
        <f t="shared" si="1568"/>
        <v>6</v>
      </c>
      <c r="E6201" s="2" t="str">
        <f>"土木工程学院"</f>
        <v>土木工程学院</v>
      </c>
    </row>
    <row r="6202" ht="13.5" hidden="1" spans="1:5">
      <c r="A6202" s="2" t="str">
        <f>"喻硕凯"</f>
        <v>喻硕凯</v>
      </c>
      <c r="B6202" s="2" t="str">
        <f>"B20220904224"</f>
        <v>B20220904224</v>
      </c>
      <c r="C6202" s="2" t="str">
        <f t="shared" si="1573"/>
        <v>男</v>
      </c>
      <c r="D6202" s="2" t="str">
        <f t="shared" si="1568"/>
        <v>6</v>
      </c>
      <c r="E6202" s="2" t="str">
        <f>"经济与管理学院"</f>
        <v>经济与管理学院</v>
      </c>
    </row>
    <row r="6203" ht="13.5" hidden="1" spans="1:5">
      <c r="A6203" s="2" t="str">
        <f>"肖海铭"</f>
        <v>肖海铭</v>
      </c>
      <c r="B6203" s="2" t="str">
        <f>"B20200101610"</f>
        <v>B20200101610</v>
      </c>
      <c r="C6203" s="2" t="str">
        <f t="shared" si="1573"/>
        <v>男</v>
      </c>
      <c r="D6203" s="2" t="str">
        <f t="shared" si="1568"/>
        <v>6</v>
      </c>
      <c r="E6203" s="2" t="str">
        <f>"土木工程学院"</f>
        <v>土木工程学院</v>
      </c>
    </row>
    <row r="6204" ht="13.5" hidden="1" spans="1:5">
      <c r="A6204" s="2" t="str">
        <f>"符连茜"</f>
        <v>符连茜</v>
      </c>
      <c r="B6204" s="2" t="str">
        <f>"B20230904126"</f>
        <v>B20230904126</v>
      </c>
      <c r="C6204" s="2" t="str">
        <f t="shared" si="1574"/>
        <v>女</v>
      </c>
      <c r="D6204" s="2" t="str">
        <f t="shared" si="1568"/>
        <v>6</v>
      </c>
      <c r="E6204" s="2" t="str">
        <f>"经济与管理学院"</f>
        <v>经济与管理学院</v>
      </c>
    </row>
    <row r="6205" ht="13.5" hidden="1" spans="1:5">
      <c r="A6205" s="2" t="str">
        <f>"吴越"</f>
        <v>吴越</v>
      </c>
      <c r="B6205" s="2" t="str">
        <f>"B20220802212"</f>
        <v>B20220802212</v>
      </c>
      <c r="C6205" s="2" t="str">
        <f t="shared" si="1574"/>
        <v>女</v>
      </c>
      <c r="D6205" s="2" t="str">
        <f t="shared" si="1568"/>
        <v>6</v>
      </c>
      <c r="E6205" s="2" t="str">
        <f>"外国语学院"</f>
        <v>外国语学院</v>
      </c>
    </row>
    <row r="6206" ht="13.5" hidden="1" spans="1:5">
      <c r="A6206" s="2" t="str">
        <f>"詹文蝶"</f>
        <v>詹文蝶</v>
      </c>
      <c r="B6206" s="2" t="str">
        <f>"B20230704225"</f>
        <v>B20230704225</v>
      </c>
      <c r="C6206" s="2" t="str">
        <f t="shared" si="1574"/>
        <v>女</v>
      </c>
      <c r="D6206" s="2" t="str">
        <f t="shared" si="1568"/>
        <v>6</v>
      </c>
      <c r="E6206" s="2" t="str">
        <f>"马栏山新媒体学院"</f>
        <v>马栏山新媒体学院</v>
      </c>
    </row>
    <row r="6207" ht="13.5" hidden="1" spans="1:5">
      <c r="A6207" s="2" t="str">
        <f>"徐雅琴"</f>
        <v>徐雅琴</v>
      </c>
      <c r="B6207" s="2" t="str">
        <f>"B20230905217"</f>
        <v>B20230905217</v>
      </c>
      <c r="C6207" s="2" t="str">
        <f t="shared" ref="C6207:C6211" si="1575">"女"</f>
        <v>女</v>
      </c>
      <c r="D6207" s="2" t="str">
        <f>"6"</f>
        <v>6</v>
      </c>
      <c r="E6207" s="2" t="str">
        <f>"经济与管理学院"</f>
        <v>经济与管理学院</v>
      </c>
    </row>
    <row r="6208" ht="13.5" hidden="1" spans="1:5">
      <c r="A6208" s="2" t="str">
        <f>"向慧蓓"</f>
        <v>向慧蓓</v>
      </c>
      <c r="B6208" s="2" t="str">
        <f>"B20230901324"</f>
        <v>B20230901324</v>
      </c>
      <c r="C6208" s="2" t="str">
        <f t="shared" si="1575"/>
        <v>女</v>
      </c>
      <c r="D6208" s="2" t="str">
        <f>"6"</f>
        <v>6</v>
      </c>
      <c r="E6208" s="2" t="str">
        <f>"经济与管理学院"</f>
        <v>经济与管理学院</v>
      </c>
    </row>
    <row r="6209" ht="13.5" hidden="1" spans="1:5">
      <c r="A6209" s="2" t="str">
        <f>"谭文骅"</f>
        <v>谭文骅</v>
      </c>
      <c r="B6209" s="2" t="str">
        <f>"B20220201102"</f>
        <v>B20220201102</v>
      </c>
      <c r="C6209" s="2" t="str">
        <f>"男"</f>
        <v>男</v>
      </c>
      <c r="D6209" s="2" t="str">
        <f>"6"</f>
        <v>6</v>
      </c>
      <c r="E6209" s="2" t="str">
        <f>"机电工程学院"</f>
        <v>机电工程学院</v>
      </c>
    </row>
    <row r="6210" ht="13.5" hidden="1" spans="1:5">
      <c r="A6210" s="2" t="str">
        <f>"黄城"</f>
        <v>黄城</v>
      </c>
      <c r="B6210" s="2" t="str">
        <f>"B20210601310"</f>
        <v>B20210601310</v>
      </c>
      <c r="C6210" s="2" t="str">
        <f>"男"</f>
        <v>男</v>
      </c>
      <c r="D6210" s="2" t="str">
        <f>"6"</f>
        <v>6</v>
      </c>
      <c r="E6210" s="2" t="str">
        <f>"法学院"</f>
        <v>法学院</v>
      </c>
    </row>
    <row r="6211" ht="13.5" hidden="1" spans="1:5">
      <c r="A6211" s="2" t="str">
        <f>"王尹雯"</f>
        <v>王尹雯</v>
      </c>
      <c r="B6211" s="2" t="str">
        <f>"B20230704415"</f>
        <v>B20230704415</v>
      </c>
      <c r="C6211" s="2" t="str">
        <f t="shared" si="1575"/>
        <v>女</v>
      </c>
      <c r="D6211" s="2" t="str">
        <f>"6"</f>
        <v>6</v>
      </c>
      <c r="E6211" s="2" t="str">
        <f>"马栏山新媒体学院"</f>
        <v>马栏山新媒体学院</v>
      </c>
    </row>
    <row r="6212" ht="13.5" hidden="1" spans="1:5">
      <c r="A6212" s="2" t="str">
        <f>"袁浩洋"</f>
        <v>袁浩洋</v>
      </c>
      <c r="B6212" s="2" t="str">
        <f>"B20230103208"</f>
        <v>B20230103208</v>
      </c>
      <c r="C6212" s="2" t="str">
        <f>"男"</f>
        <v>男</v>
      </c>
      <c r="D6212" s="2" t="str">
        <f>"6"</f>
        <v>6</v>
      </c>
      <c r="E6212" s="2" t="str">
        <f>"土木工程学院"</f>
        <v>土木工程学院</v>
      </c>
    </row>
    <row r="6213" ht="13.5" hidden="1" spans="1:5">
      <c r="A6213" s="2" t="str">
        <f>"许菲燃"</f>
        <v>许菲燃</v>
      </c>
      <c r="B6213" s="2" t="str">
        <f>"B20220703109"</f>
        <v>B20220703109</v>
      </c>
      <c r="C6213" s="2" t="str">
        <f>"女"</f>
        <v>女</v>
      </c>
      <c r="D6213" s="2" t="str">
        <f>"6"</f>
        <v>6</v>
      </c>
      <c r="E6213" s="2" t="str">
        <f>"马栏山新媒体学院"</f>
        <v>马栏山新媒体学院</v>
      </c>
    </row>
    <row r="6214" ht="13.5" hidden="1" spans="1:5">
      <c r="A6214" s="2" t="str">
        <f>"郭彤"</f>
        <v>郭彤</v>
      </c>
      <c r="B6214" s="2" t="str">
        <f>"B20210903102"</f>
        <v>B20210903102</v>
      </c>
      <c r="C6214" s="2" t="str">
        <f>"女"</f>
        <v>女</v>
      </c>
      <c r="D6214" s="2" t="str">
        <f>"6"</f>
        <v>6</v>
      </c>
      <c r="E6214" s="2" t="str">
        <f>"经济与管理学院"</f>
        <v>经济与管理学院</v>
      </c>
    </row>
    <row r="6215" ht="13.5" hidden="1" spans="1:5">
      <c r="A6215" s="2" t="str">
        <f>"裴其莹"</f>
        <v>裴其莹</v>
      </c>
      <c r="B6215" s="2" t="str">
        <f>"B20231002113"</f>
        <v>B20231002113</v>
      </c>
      <c r="C6215" s="2" t="str">
        <f>"女"</f>
        <v>女</v>
      </c>
      <c r="D6215" s="2" t="str">
        <f>"6"</f>
        <v>6</v>
      </c>
      <c r="E6215" s="2" t="str">
        <f>"艺术设计学院"</f>
        <v>艺术设计学院</v>
      </c>
    </row>
    <row r="6216" ht="13.5" hidden="1" spans="1:5">
      <c r="A6216" s="2" t="str">
        <f>"李京娉"</f>
        <v>李京娉</v>
      </c>
      <c r="B6216" s="2" t="str">
        <f>"B20221111226"</f>
        <v>B20221111226</v>
      </c>
      <c r="C6216" s="2" t="str">
        <f>"女"</f>
        <v>女</v>
      </c>
      <c r="D6216" s="2" t="str">
        <f>"6"</f>
        <v>6</v>
      </c>
      <c r="E6216" s="2" t="str">
        <f>"音乐学院"</f>
        <v>音乐学院</v>
      </c>
    </row>
    <row r="6217" ht="13.5" hidden="1" spans="1:5">
      <c r="A6217" s="2" t="str">
        <f>"彭诗来"</f>
        <v>彭诗来</v>
      </c>
      <c r="B6217" s="2" t="str">
        <f>"B20230504313"</f>
        <v>B20230504313</v>
      </c>
      <c r="C6217" s="2" t="str">
        <f>"女"</f>
        <v>女</v>
      </c>
      <c r="D6217" s="2" t="str">
        <f>"6"</f>
        <v>6</v>
      </c>
      <c r="E6217" s="2" t="str">
        <f>"生物与化学工程学院"</f>
        <v>生物与化学工程学院</v>
      </c>
    </row>
    <row r="6218" ht="13.5" hidden="1" spans="1:5">
      <c r="A6218" s="2" t="str">
        <f>"陆延柏"</f>
        <v>陆延柏</v>
      </c>
      <c r="B6218" s="2" t="str">
        <f>"B20210503217"</f>
        <v>B20210503217</v>
      </c>
      <c r="C6218" s="2" t="str">
        <f>"男"</f>
        <v>男</v>
      </c>
      <c r="D6218" s="2" t="str">
        <f>"6"</f>
        <v>6</v>
      </c>
      <c r="E6218" s="2" t="str">
        <f>"材料与环境工程学院"</f>
        <v>材料与环境工程学院</v>
      </c>
    </row>
    <row r="6219" ht="13.5" hidden="1" spans="1:5">
      <c r="A6219" s="2" t="str">
        <f>"龙晶晶"</f>
        <v>龙晶晶</v>
      </c>
      <c r="B6219" s="2" t="str">
        <f>"B20220901126"</f>
        <v>B20220901126</v>
      </c>
      <c r="C6219" s="2" t="str">
        <f>"女"</f>
        <v>女</v>
      </c>
      <c r="D6219" s="2" t="str">
        <f>"6"</f>
        <v>6</v>
      </c>
      <c r="E6219" s="2" t="str">
        <f>"经济与管理学院"</f>
        <v>经济与管理学院</v>
      </c>
    </row>
    <row r="6220" ht="13.5" hidden="1" spans="1:5">
      <c r="A6220" s="2" t="str">
        <f>"谢英达"</f>
        <v>谢英达</v>
      </c>
      <c r="B6220" s="2" t="str">
        <f>"B20210903112"</f>
        <v>B20210903112</v>
      </c>
      <c r="C6220" s="2" t="str">
        <f>"男"</f>
        <v>男</v>
      </c>
      <c r="D6220" s="2" t="str">
        <f>"6"</f>
        <v>6</v>
      </c>
      <c r="E6220" s="2" t="str">
        <f>"外国语学院"</f>
        <v>外国语学院</v>
      </c>
    </row>
    <row r="6221" ht="13.5" hidden="1" spans="1:5">
      <c r="A6221" s="2" t="str">
        <f>"左晴"</f>
        <v>左晴</v>
      </c>
      <c r="B6221" s="2" t="str">
        <f>"B20200501222"</f>
        <v>B20200501222</v>
      </c>
      <c r="C6221" s="2" t="str">
        <f>"女"</f>
        <v>女</v>
      </c>
      <c r="D6221" s="2" t="str">
        <f>"6"</f>
        <v>6</v>
      </c>
      <c r="E6221" s="2" t="str">
        <f>"生物与环境工程学院"</f>
        <v>生物与环境工程学院</v>
      </c>
    </row>
    <row r="6222" ht="13.5" hidden="1" spans="1:5">
      <c r="A6222" s="2" t="str">
        <f>"徐鹏飞"</f>
        <v>徐鹏飞</v>
      </c>
      <c r="B6222" s="2" t="str">
        <f>"B20230502136"</f>
        <v>B20230502136</v>
      </c>
      <c r="C6222" s="2" t="str">
        <f>"男"</f>
        <v>男</v>
      </c>
      <c r="D6222" s="2" t="str">
        <f>"6"</f>
        <v>6</v>
      </c>
      <c r="E6222" s="2" t="str">
        <f>"生物与化学工程学院"</f>
        <v>生物与化学工程学院</v>
      </c>
    </row>
    <row r="6223" ht="13.5" hidden="1" spans="1:5">
      <c r="A6223" s="2" t="str">
        <f>"肖成锋"</f>
        <v>肖成锋</v>
      </c>
      <c r="B6223" s="2" t="str">
        <f>"B20230801321"</f>
        <v>B20230801321</v>
      </c>
      <c r="C6223" s="2" t="str">
        <f>"女"</f>
        <v>女</v>
      </c>
      <c r="D6223" s="2" t="str">
        <f>"6"</f>
        <v>6</v>
      </c>
      <c r="E6223" s="2" t="str">
        <f>"外国语学院"</f>
        <v>外国语学院</v>
      </c>
    </row>
    <row r="6224" ht="13.5" hidden="1" spans="1:5">
      <c r="A6224" s="2" t="str">
        <f>"左雪玲"</f>
        <v>左雪玲</v>
      </c>
      <c r="B6224" s="2" t="str">
        <f>"B20230701334"</f>
        <v>B20230701334</v>
      </c>
      <c r="C6224" s="2" t="str">
        <f>"女"</f>
        <v>女</v>
      </c>
      <c r="D6224" s="2" t="str">
        <f>"6"</f>
        <v>6</v>
      </c>
      <c r="E6224" s="2" t="str">
        <f>"马栏山新媒体学院"</f>
        <v>马栏山新媒体学院</v>
      </c>
    </row>
    <row r="6225" ht="13.5" hidden="1" spans="1:5">
      <c r="A6225" s="2" t="str">
        <f>"黄淼鑫"</f>
        <v>黄淼鑫</v>
      </c>
      <c r="B6225" s="2" t="str">
        <f>"B20210404229"</f>
        <v>B20210404229</v>
      </c>
      <c r="C6225" s="2" t="str">
        <f>"男"</f>
        <v>男</v>
      </c>
      <c r="D6225" s="2" t="str">
        <f>"6"</f>
        <v>6</v>
      </c>
      <c r="E6225" s="2" t="str">
        <f>"电子信息与电气工程学院"</f>
        <v>电子信息与电气工程学院</v>
      </c>
    </row>
    <row r="6226" ht="13.5" hidden="1" spans="1:5">
      <c r="A6226" s="2" t="str">
        <f>"冯福霖"</f>
        <v>冯福霖</v>
      </c>
      <c r="B6226" s="2" t="str">
        <f>"B20200201217"</f>
        <v>B20200201217</v>
      </c>
      <c r="C6226" s="2" t="str">
        <f>"男"</f>
        <v>男</v>
      </c>
      <c r="D6226" s="2" t="str">
        <f>"6"</f>
        <v>6</v>
      </c>
      <c r="E6226" s="2" t="str">
        <f>"机电工程学院"</f>
        <v>机电工程学院</v>
      </c>
    </row>
    <row r="6227" ht="13.5" hidden="1" spans="1:5">
      <c r="A6227" s="2" t="str">
        <f>"徐嘉艺"</f>
        <v>徐嘉艺</v>
      </c>
      <c r="B6227" s="2" t="str">
        <f>"B20230702423"</f>
        <v>B20230702423</v>
      </c>
      <c r="C6227" s="2" t="str">
        <f t="shared" ref="C6227:C6231" si="1576">"女"</f>
        <v>女</v>
      </c>
      <c r="D6227" s="2" t="str">
        <f>"6"</f>
        <v>6</v>
      </c>
      <c r="E6227" s="2" t="str">
        <f>"马栏山新媒体学院"</f>
        <v>马栏山新媒体学院</v>
      </c>
    </row>
    <row r="6228" ht="13.5" hidden="1" spans="1:5">
      <c r="A6228" s="2" t="str">
        <f>"王亚玲"</f>
        <v>王亚玲</v>
      </c>
      <c r="B6228" s="2" t="str">
        <f>"B20201003104"</f>
        <v>B20201003104</v>
      </c>
      <c r="C6228" s="2" t="str">
        <f t="shared" si="1576"/>
        <v>女</v>
      </c>
      <c r="D6228" s="2" t="str">
        <f>"6"</f>
        <v>6</v>
      </c>
      <c r="E6228" s="2" t="str">
        <f>"艺术设计学院"</f>
        <v>艺术设计学院</v>
      </c>
    </row>
    <row r="6229" ht="13.5" hidden="1" spans="1:5">
      <c r="A6229" s="2" t="str">
        <f>"刘为"</f>
        <v>刘为</v>
      </c>
      <c r="B6229" s="2" t="str">
        <f>"B20200202324"</f>
        <v>B20200202324</v>
      </c>
      <c r="C6229" s="2" t="str">
        <f t="shared" ref="C6229:C6233" si="1577">"男"</f>
        <v>男</v>
      </c>
      <c r="D6229" s="2" t="str">
        <f>"6"</f>
        <v>6</v>
      </c>
      <c r="E6229" s="2" t="str">
        <f>"机电工程学院"</f>
        <v>机电工程学院</v>
      </c>
    </row>
    <row r="6230" ht="13.5" hidden="1" spans="1:5">
      <c r="A6230" s="2" t="str">
        <f>"周天莉"</f>
        <v>周天莉</v>
      </c>
      <c r="B6230" s="2" t="str">
        <f>"B20230702104"</f>
        <v>B20230702104</v>
      </c>
      <c r="C6230" s="2" t="str">
        <f t="shared" si="1576"/>
        <v>女</v>
      </c>
      <c r="D6230" s="2" t="str">
        <f>"6"</f>
        <v>6</v>
      </c>
      <c r="E6230" s="2" t="str">
        <f>"马栏山新媒体学院"</f>
        <v>马栏山新媒体学院</v>
      </c>
    </row>
    <row r="6231" ht="13.5" hidden="1" spans="1:5">
      <c r="A6231" s="2" t="str">
        <f>"贺清"</f>
        <v>贺清</v>
      </c>
      <c r="B6231" s="2" t="str">
        <f>"B20200906221"</f>
        <v>B20200906221</v>
      </c>
      <c r="C6231" s="2" t="str">
        <f t="shared" si="1576"/>
        <v>女</v>
      </c>
      <c r="D6231" s="2" t="str">
        <f>"6"</f>
        <v>6</v>
      </c>
      <c r="E6231" s="2" t="str">
        <f>"经济与管理学院"</f>
        <v>经济与管理学院</v>
      </c>
    </row>
    <row r="6232" ht="13.5" hidden="1" spans="1:5">
      <c r="A6232" s="2" t="str">
        <f>"舒茗祺"</f>
        <v>舒茗祺</v>
      </c>
      <c r="B6232" s="2" t="str">
        <f>"B20230802132"</f>
        <v>B20230802132</v>
      </c>
      <c r="C6232" s="2" t="str">
        <f t="shared" si="1577"/>
        <v>男</v>
      </c>
      <c r="D6232" s="2" t="str">
        <f>"6"</f>
        <v>6</v>
      </c>
      <c r="E6232" s="2" t="str">
        <f>"外国语学院"</f>
        <v>外国语学院</v>
      </c>
    </row>
    <row r="6233" ht="13.5" hidden="1" spans="1:5">
      <c r="A6233" s="2" t="str">
        <f>"文瀚林"</f>
        <v>文瀚林</v>
      </c>
      <c r="B6233" s="2" t="str">
        <f>"B20230502102"</f>
        <v>B20230502102</v>
      </c>
      <c r="C6233" s="2" t="str">
        <f t="shared" si="1577"/>
        <v>男</v>
      </c>
      <c r="D6233" s="2" t="str">
        <f>"6"</f>
        <v>6</v>
      </c>
      <c r="E6233" s="2" t="str">
        <f>"生物与化学工程学院"</f>
        <v>生物与化学工程学院</v>
      </c>
    </row>
    <row r="6234" ht="13.5" hidden="1" spans="1:5">
      <c r="A6234" s="2" t="str">
        <f>"罗欣"</f>
        <v>罗欣</v>
      </c>
      <c r="B6234" s="2" t="str">
        <f>"B20230601328"</f>
        <v>B20230601328</v>
      </c>
      <c r="C6234" s="2" t="str">
        <f>"女"</f>
        <v>女</v>
      </c>
      <c r="D6234" s="2" t="str">
        <f>"6"</f>
        <v>6</v>
      </c>
      <c r="E6234" s="2" t="str">
        <f>"法学院"</f>
        <v>法学院</v>
      </c>
    </row>
    <row r="6235" ht="13.5" hidden="1" spans="1:5">
      <c r="A6235" s="2" t="str">
        <f>"陈俊文"</f>
        <v>陈俊文</v>
      </c>
      <c r="B6235" s="2" t="str">
        <f>"B20230101218"</f>
        <v>B20230101218</v>
      </c>
      <c r="C6235" s="2" t="str">
        <f>"男"</f>
        <v>男</v>
      </c>
      <c r="D6235" s="2" t="str">
        <f>"6"</f>
        <v>6</v>
      </c>
      <c r="E6235" s="2" t="str">
        <f>"土木工程学院"</f>
        <v>土木工程学院</v>
      </c>
    </row>
    <row r="6236" ht="13.5" hidden="1" spans="1:5">
      <c r="A6236" s="2" t="str">
        <f>"曾小煌"</f>
        <v>曾小煌</v>
      </c>
      <c r="B6236" s="2" t="str">
        <f>"B20221001103"</f>
        <v>B20221001103</v>
      </c>
      <c r="C6236" s="2" t="str">
        <f>"男"</f>
        <v>男</v>
      </c>
      <c r="D6236" s="2" t="str">
        <f>"6"</f>
        <v>6</v>
      </c>
      <c r="E6236" s="2" t="str">
        <f>"艺术设计学院"</f>
        <v>艺术设计学院</v>
      </c>
    </row>
    <row r="6237" ht="13.5" hidden="1" spans="1:5">
      <c r="A6237" s="2" t="str">
        <f>"黄丽莎"</f>
        <v>黄丽莎</v>
      </c>
      <c r="B6237" s="2" t="str">
        <f>"B20200103233"</f>
        <v>B20200103233</v>
      </c>
      <c r="C6237" s="2" t="str">
        <f t="shared" ref="C6237:C6244" si="1578">"女"</f>
        <v>女</v>
      </c>
      <c r="D6237" s="2" t="str">
        <f t="shared" ref="D6237:D6261" si="1579">"6"</f>
        <v>6</v>
      </c>
      <c r="E6237" s="2" t="str">
        <f>"土木工程学院"</f>
        <v>土木工程学院</v>
      </c>
    </row>
    <row r="6238" ht="13.5" hidden="1" spans="1:5">
      <c r="A6238" s="2" t="str">
        <f>"林峰"</f>
        <v>林峰</v>
      </c>
      <c r="B6238" s="2" t="str">
        <f>"B20230502222"</f>
        <v>B20230502222</v>
      </c>
      <c r="C6238" s="2" t="str">
        <f t="shared" ref="C6238:C6240" si="1580">"男"</f>
        <v>男</v>
      </c>
      <c r="D6238" s="2" t="str">
        <f t="shared" si="1579"/>
        <v>6</v>
      </c>
      <c r="E6238" s="2" t="str">
        <f>"生物与化学工程学院"</f>
        <v>生物与化学工程学院</v>
      </c>
    </row>
    <row r="6239" ht="13.5" hidden="1" spans="1:5">
      <c r="A6239" s="2" t="str">
        <f>"吴金鹏"</f>
        <v>吴金鹏</v>
      </c>
      <c r="B6239" s="2" t="str">
        <f>"B20230502219"</f>
        <v>B20230502219</v>
      </c>
      <c r="C6239" s="2" t="str">
        <f t="shared" si="1580"/>
        <v>男</v>
      </c>
      <c r="D6239" s="2" t="str">
        <f t="shared" si="1579"/>
        <v>6</v>
      </c>
      <c r="E6239" s="2" t="str">
        <f>"生物与化学工程学院"</f>
        <v>生物与化学工程学院</v>
      </c>
    </row>
    <row r="6240" ht="13.5" hidden="1" spans="1:5">
      <c r="A6240" s="2" t="str">
        <f>"丁扬凯"</f>
        <v>丁扬凯</v>
      </c>
      <c r="B6240" s="2" t="str">
        <f>"B20200505103"</f>
        <v>B20200505103</v>
      </c>
      <c r="C6240" s="2" t="str">
        <f t="shared" si="1580"/>
        <v>男</v>
      </c>
      <c r="D6240" s="2" t="str">
        <f t="shared" si="1579"/>
        <v>6</v>
      </c>
      <c r="E6240" s="2" t="str">
        <f>"材料与环境工程学院"</f>
        <v>材料与环境工程学院</v>
      </c>
    </row>
    <row r="6241" ht="13.5" hidden="1" spans="1:5">
      <c r="A6241" s="2" t="str">
        <f>"李欣蔚"</f>
        <v>李欣蔚</v>
      </c>
      <c r="B6241" s="2" t="str">
        <f>"B20211003120"</f>
        <v>B20211003120</v>
      </c>
      <c r="C6241" s="2" t="str">
        <f t="shared" si="1578"/>
        <v>女</v>
      </c>
      <c r="D6241" s="2" t="str">
        <f t="shared" si="1579"/>
        <v>6</v>
      </c>
      <c r="E6241" s="2" t="str">
        <f t="shared" ref="E6241:E6244" si="1581">"艺术设计学院"</f>
        <v>艺术设计学院</v>
      </c>
    </row>
    <row r="6242" ht="13.5" hidden="1" spans="1:5">
      <c r="A6242" s="2" t="str">
        <f>"赵馨月"</f>
        <v>赵馨月</v>
      </c>
      <c r="B6242" s="2" t="str">
        <f>"B20221003212"</f>
        <v>B20221003212</v>
      </c>
      <c r="C6242" s="2" t="str">
        <f t="shared" si="1578"/>
        <v>女</v>
      </c>
      <c r="D6242" s="2" t="str">
        <f t="shared" si="1579"/>
        <v>6</v>
      </c>
      <c r="E6242" s="2" t="str">
        <f t="shared" si="1581"/>
        <v>艺术设计学院</v>
      </c>
    </row>
    <row r="6243" ht="13.5" hidden="1" spans="1:5">
      <c r="A6243" s="2" t="str">
        <f>"贺子芸"</f>
        <v>贺子芸</v>
      </c>
      <c r="B6243" s="2" t="str">
        <f>"B20210802120"</f>
        <v>B20210802120</v>
      </c>
      <c r="C6243" s="2" t="str">
        <f t="shared" si="1578"/>
        <v>女</v>
      </c>
      <c r="D6243" s="2" t="str">
        <f t="shared" si="1579"/>
        <v>6</v>
      </c>
      <c r="E6243" s="2" t="str">
        <f>"外国语学院"</f>
        <v>外国语学院</v>
      </c>
    </row>
    <row r="6244" ht="13.5" hidden="1" spans="1:5">
      <c r="A6244" s="2" t="str">
        <f>"魏立雅"</f>
        <v>魏立雅</v>
      </c>
      <c r="B6244" s="2" t="str">
        <f>"B20201004102"</f>
        <v>B20201004102</v>
      </c>
      <c r="C6244" s="2" t="str">
        <f t="shared" si="1578"/>
        <v>女</v>
      </c>
      <c r="D6244" s="2" t="str">
        <f t="shared" si="1579"/>
        <v>6</v>
      </c>
      <c r="E6244" s="2" t="str">
        <f t="shared" si="1581"/>
        <v>艺术设计学院</v>
      </c>
    </row>
    <row r="6245" ht="13.5" hidden="1" spans="1:5">
      <c r="A6245" s="2" t="str">
        <f>"易韬略"</f>
        <v>易韬略</v>
      </c>
      <c r="B6245" s="2" t="str">
        <f>"B20220201322"</f>
        <v>B20220201322</v>
      </c>
      <c r="C6245" s="2" t="str">
        <f>"男"</f>
        <v>男</v>
      </c>
      <c r="D6245" s="2" t="str">
        <f t="shared" si="1579"/>
        <v>6</v>
      </c>
      <c r="E6245" s="2" t="str">
        <f>"机电工程学院"</f>
        <v>机电工程学院</v>
      </c>
    </row>
    <row r="6246" ht="13.5" hidden="1" spans="1:5">
      <c r="A6246" s="2" t="str">
        <f>"曾姝芸"</f>
        <v>曾姝芸</v>
      </c>
      <c r="B6246" s="2" t="str">
        <f>"B20210103227"</f>
        <v>B20210103227</v>
      </c>
      <c r="C6246" s="2" t="str">
        <f t="shared" ref="C6246:C6251" si="1582">"女"</f>
        <v>女</v>
      </c>
      <c r="D6246" s="2" t="str">
        <f t="shared" si="1579"/>
        <v>6</v>
      </c>
      <c r="E6246" s="2" t="str">
        <f>"土木工程学院"</f>
        <v>土木工程学院</v>
      </c>
    </row>
    <row r="6247" ht="13.5" hidden="1" spans="1:5">
      <c r="A6247" s="2" t="str">
        <f>"刘佳骆"</f>
        <v>刘佳骆</v>
      </c>
      <c r="B6247" s="2" t="str">
        <f>"B20220103125"</f>
        <v>B20220103125</v>
      </c>
      <c r="C6247" s="2" t="str">
        <f>"男"</f>
        <v>男</v>
      </c>
      <c r="D6247" s="2" t="str">
        <f t="shared" si="1579"/>
        <v>6</v>
      </c>
      <c r="E6247" s="2" t="str">
        <f>"土木工程学院"</f>
        <v>土木工程学院</v>
      </c>
    </row>
    <row r="6248" ht="13.5" hidden="1" spans="1:5">
      <c r="A6248" s="2" t="str">
        <f>"闫安东"</f>
        <v>闫安东</v>
      </c>
      <c r="B6248" s="2" t="str">
        <f>"B20200704222"</f>
        <v>B20200704222</v>
      </c>
      <c r="C6248" s="2" t="str">
        <f t="shared" si="1582"/>
        <v>女</v>
      </c>
      <c r="D6248" s="2" t="str">
        <f t="shared" si="1579"/>
        <v>6</v>
      </c>
      <c r="E6248" s="2" t="str">
        <f t="shared" ref="E6248:E6251" si="1583">"马栏山新媒体学院"</f>
        <v>马栏山新媒体学院</v>
      </c>
    </row>
    <row r="6249" ht="13.5" hidden="1" spans="1:5">
      <c r="A6249" s="2" t="str">
        <f>"刘娟"</f>
        <v>刘娟</v>
      </c>
      <c r="B6249" s="2" t="str">
        <f>"B20210504217"</f>
        <v>B20210504217</v>
      </c>
      <c r="C6249" s="2" t="str">
        <f t="shared" si="1582"/>
        <v>女</v>
      </c>
      <c r="D6249" s="2" t="str">
        <f t="shared" si="1579"/>
        <v>6</v>
      </c>
      <c r="E6249" s="2" t="str">
        <f>"生物与化学工程学院"</f>
        <v>生物与化学工程学院</v>
      </c>
    </row>
    <row r="6250" ht="13.5" hidden="1" spans="1:5">
      <c r="A6250" s="2" t="str">
        <f>"李佳音"</f>
        <v>李佳音</v>
      </c>
      <c r="B6250" s="2" t="str">
        <f>"B20200703103"</f>
        <v>B20200703103</v>
      </c>
      <c r="C6250" s="2" t="str">
        <f t="shared" si="1582"/>
        <v>女</v>
      </c>
      <c r="D6250" s="2" t="str">
        <f t="shared" si="1579"/>
        <v>6</v>
      </c>
      <c r="E6250" s="2" t="str">
        <f t="shared" si="1583"/>
        <v>马栏山新媒体学院</v>
      </c>
    </row>
    <row r="6251" ht="13.5" hidden="1" spans="1:5">
      <c r="A6251" s="2" t="str">
        <f>"宋松燕"</f>
        <v>宋松燕</v>
      </c>
      <c r="B6251" s="2" t="str">
        <f>"B20210702123"</f>
        <v>B20210702123</v>
      </c>
      <c r="C6251" s="2" t="str">
        <f t="shared" si="1582"/>
        <v>女</v>
      </c>
      <c r="D6251" s="2" t="str">
        <f t="shared" si="1579"/>
        <v>6</v>
      </c>
      <c r="E6251" s="2" t="str">
        <f t="shared" si="1583"/>
        <v>马栏山新媒体学院</v>
      </c>
    </row>
    <row r="6252" ht="13.5" hidden="1" spans="1:5">
      <c r="A6252" s="2" t="str">
        <f>"罗凌飞"</f>
        <v>罗凌飞</v>
      </c>
      <c r="B6252" s="2" t="str">
        <f>"B20220401207"</f>
        <v>B20220401207</v>
      </c>
      <c r="C6252" s="2" t="str">
        <f t="shared" ref="C6252:C6257" si="1584">"男"</f>
        <v>男</v>
      </c>
      <c r="D6252" s="2" t="str">
        <f t="shared" si="1579"/>
        <v>6</v>
      </c>
      <c r="E6252" s="2" t="str">
        <f>"电子信息与电气工程学院"</f>
        <v>电子信息与电气工程学院</v>
      </c>
    </row>
    <row r="6253" ht="13.5" hidden="1" spans="1:5">
      <c r="A6253" s="2" t="str">
        <f>"周嘉仪"</f>
        <v>周嘉仪</v>
      </c>
      <c r="B6253" s="2" t="str">
        <f>"B20210904207"</f>
        <v>B20210904207</v>
      </c>
      <c r="C6253" s="2" t="str">
        <f t="shared" ref="C6253:C6255" si="1585">"女"</f>
        <v>女</v>
      </c>
      <c r="D6253" s="2" t="str">
        <f t="shared" si="1579"/>
        <v>6</v>
      </c>
      <c r="E6253" s="2" t="str">
        <f>"经济与管理学院"</f>
        <v>经济与管理学院</v>
      </c>
    </row>
    <row r="6254" ht="13.5" hidden="1" spans="1:5">
      <c r="A6254" s="2" t="str">
        <f>"陈文银"</f>
        <v>陈文银</v>
      </c>
      <c r="B6254" s="2" t="str">
        <f>"B20231101310"</f>
        <v>B20231101310</v>
      </c>
      <c r="C6254" s="2" t="str">
        <f t="shared" si="1585"/>
        <v>女</v>
      </c>
      <c r="D6254" s="2" t="str">
        <f t="shared" si="1579"/>
        <v>6</v>
      </c>
      <c r="E6254" s="2" t="str">
        <f>"音乐学院"</f>
        <v>音乐学院</v>
      </c>
    </row>
    <row r="6255" ht="13.5" hidden="1" spans="1:5">
      <c r="A6255" s="2" t="str">
        <f>"黄羽姗"</f>
        <v>黄羽姗</v>
      </c>
      <c r="B6255" s="2" t="str">
        <f>"B20230902307"</f>
        <v>B20230902307</v>
      </c>
      <c r="C6255" s="2" t="str">
        <f t="shared" si="1585"/>
        <v>女</v>
      </c>
      <c r="D6255" s="2" t="str">
        <f t="shared" si="1579"/>
        <v>6</v>
      </c>
      <c r="E6255" s="2" t="str">
        <f>"经济与管理学院"</f>
        <v>经济与管理学院</v>
      </c>
    </row>
    <row r="6256" ht="13.5" hidden="1" spans="1:5">
      <c r="A6256" s="2" t="str">
        <f>"陈俊鹏"</f>
        <v>陈俊鹏</v>
      </c>
      <c r="B6256" s="2" t="str">
        <f>"B20200201123"</f>
        <v>B20200201123</v>
      </c>
      <c r="C6256" s="2" t="str">
        <f t="shared" si="1584"/>
        <v>男</v>
      </c>
      <c r="D6256" s="2" t="str">
        <f t="shared" si="1579"/>
        <v>6</v>
      </c>
      <c r="E6256" s="2" t="str">
        <f>"机电工程学院"</f>
        <v>机电工程学院</v>
      </c>
    </row>
    <row r="6257" ht="13.5" hidden="1" spans="1:5">
      <c r="A6257" s="2" t="str">
        <f>"吴家辉"</f>
        <v>吴家辉</v>
      </c>
      <c r="B6257" s="2" t="str">
        <f>"B20211002423"</f>
        <v>B20211002423</v>
      </c>
      <c r="C6257" s="2" t="str">
        <f t="shared" si="1584"/>
        <v>男</v>
      </c>
      <c r="D6257" s="2" t="str">
        <f t="shared" si="1579"/>
        <v>6</v>
      </c>
      <c r="E6257" s="2" t="str">
        <f>"艺术设计学院"</f>
        <v>艺术设计学院</v>
      </c>
    </row>
    <row r="6258" ht="13.5" hidden="1" spans="1:5">
      <c r="A6258" s="2" t="str">
        <f>"贾丹"</f>
        <v>贾丹</v>
      </c>
      <c r="B6258" s="2" t="str">
        <f>"B20230601425"</f>
        <v>B20230601425</v>
      </c>
      <c r="C6258" s="2" t="str">
        <f>"女"</f>
        <v>女</v>
      </c>
      <c r="D6258" s="2" t="str">
        <f t="shared" si="1579"/>
        <v>6</v>
      </c>
      <c r="E6258" s="2" t="str">
        <f>"法学院"</f>
        <v>法学院</v>
      </c>
    </row>
    <row r="6259" ht="13.5" hidden="1" spans="1:5">
      <c r="A6259" s="2" t="str">
        <f>"温广宁"</f>
        <v>温广宁</v>
      </c>
      <c r="B6259" s="2" t="str">
        <f>"B20190502202"</f>
        <v>B20190502202</v>
      </c>
      <c r="C6259" s="2" t="str">
        <f>"男"</f>
        <v>男</v>
      </c>
      <c r="D6259" s="2" t="str">
        <f t="shared" si="1579"/>
        <v>6</v>
      </c>
      <c r="E6259" s="2" t="str">
        <f>"马栏山新媒体学院"</f>
        <v>马栏山新媒体学院</v>
      </c>
    </row>
    <row r="6260" ht="13.5" hidden="1" spans="1:5">
      <c r="A6260" s="2" t="str">
        <f>"谢作玟"</f>
        <v>谢作玟</v>
      </c>
      <c r="B6260" s="2" t="str">
        <f>"B20231401225"</f>
        <v>B20231401225</v>
      </c>
      <c r="C6260" s="2" t="str">
        <f>"女"</f>
        <v>女</v>
      </c>
      <c r="D6260" s="2" t="str">
        <f t="shared" si="1579"/>
        <v>6</v>
      </c>
      <c r="E6260" s="2" t="str">
        <f>"马克思主义学院"</f>
        <v>马克思主义学院</v>
      </c>
    </row>
    <row r="6261" ht="13.5" hidden="1" spans="1:5">
      <c r="A6261" s="2" t="str">
        <f>"向志新"</f>
        <v>向志新</v>
      </c>
      <c r="B6261" s="2" t="str">
        <f>"B20210505205"</f>
        <v>B20210505205</v>
      </c>
      <c r="C6261" s="2" t="str">
        <f>"男"</f>
        <v>男</v>
      </c>
      <c r="D6261" s="2" t="str">
        <f t="shared" si="1579"/>
        <v>6</v>
      </c>
      <c r="E6261" s="2" t="str">
        <f>"材料与环境工程学院"</f>
        <v>材料与环境工程学院</v>
      </c>
    </row>
    <row r="6262" ht="13.5" hidden="1" spans="1:5">
      <c r="A6262" s="2" t="str">
        <f>"黄正达"</f>
        <v>黄正达</v>
      </c>
      <c r="B6262" s="2" t="str">
        <f>"B20230201430"</f>
        <v>B20230201430</v>
      </c>
      <c r="C6262" s="2" t="str">
        <f>"男"</f>
        <v>男</v>
      </c>
      <c r="D6262" s="2" t="str">
        <f>"6"</f>
        <v>6</v>
      </c>
      <c r="E6262" s="2" t="str">
        <f>"机电工程学院"</f>
        <v>机电工程学院</v>
      </c>
    </row>
    <row r="6263" ht="13.5" hidden="1" spans="1:5">
      <c r="A6263" s="2" t="str">
        <f>"王曦瑶"</f>
        <v>王曦瑶</v>
      </c>
      <c r="B6263" s="2" t="str">
        <f>"B20220801111"</f>
        <v>B20220801111</v>
      </c>
      <c r="C6263" s="2" t="str">
        <f t="shared" ref="C6263:C6267" si="1586">"女"</f>
        <v>女</v>
      </c>
      <c r="D6263" s="2" t="str">
        <f>"6"</f>
        <v>6</v>
      </c>
      <c r="E6263" s="2" t="str">
        <f>"外国语学院"</f>
        <v>外国语学院</v>
      </c>
    </row>
    <row r="6264" ht="13.5" hidden="1" spans="1:5">
      <c r="A6264" s="2" t="str">
        <f>"刘辉"</f>
        <v>刘辉</v>
      </c>
      <c r="B6264" s="2" t="str">
        <f>"B20230205229"</f>
        <v>B20230205229</v>
      </c>
      <c r="C6264" s="2" t="str">
        <f t="shared" ref="C6264:C6268" si="1587">"男"</f>
        <v>男</v>
      </c>
      <c r="D6264" s="2" t="str">
        <f>"6"</f>
        <v>6</v>
      </c>
      <c r="E6264" s="2" t="str">
        <f>"机电工程学院"</f>
        <v>机电工程学院</v>
      </c>
    </row>
    <row r="6265" ht="13.5" hidden="1" spans="1:5">
      <c r="A6265" s="2" t="str">
        <f>"郭雅澜"</f>
        <v>郭雅澜</v>
      </c>
      <c r="B6265" s="2" t="str">
        <f>"B20231001308"</f>
        <v>B20231001308</v>
      </c>
      <c r="C6265" s="2" t="str">
        <f t="shared" si="1586"/>
        <v>女</v>
      </c>
      <c r="D6265" s="2" t="str">
        <f>"6"</f>
        <v>6</v>
      </c>
      <c r="E6265" s="2" t="str">
        <f>"艺术设计学院"</f>
        <v>艺术设计学院</v>
      </c>
    </row>
    <row r="6266" ht="13.5" hidden="1" spans="1:5">
      <c r="A6266" s="2" t="str">
        <f>"朱文祥"</f>
        <v>朱文祥</v>
      </c>
      <c r="B6266" s="2" t="str">
        <f>"B20230401107"</f>
        <v>B20230401107</v>
      </c>
      <c r="C6266" s="2" t="str">
        <f t="shared" si="1587"/>
        <v>男</v>
      </c>
      <c r="D6266" s="2" t="str">
        <f>"6"</f>
        <v>6</v>
      </c>
      <c r="E6266" s="2" t="str">
        <f>"电子信息与电气工程学院"</f>
        <v>电子信息与电气工程学院</v>
      </c>
    </row>
    <row r="6267" ht="13.5" hidden="1" spans="1:5">
      <c r="A6267" s="2" t="str">
        <f>"王肖寒"</f>
        <v>王肖寒</v>
      </c>
      <c r="B6267" s="2" t="str">
        <f>"B20201001322"</f>
        <v>B20201001322</v>
      </c>
      <c r="C6267" s="2" t="str">
        <f t="shared" si="1586"/>
        <v>女</v>
      </c>
      <c r="D6267" s="2" t="str">
        <f>"6"</f>
        <v>6</v>
      </c>
      <c r="E6267" s="2" t="str">
        <f>"艺术设计学院"</f>
        <v>艺术设计学院</v>
      </c>
    </row>
    <row r="6268" ht="13.5" hidden="1" spans="1:5">
      <c r="A6268" s="2" t="str">
        <f>"张维"</f>
        <v>张维</v>
      </c>
      <c r="B6268" s="2" t="str">
        <f>"B20200905107"</f>
        <v>B20200905107</v>
      </c>
      <c r="C6268" s="2" t="str">
        <f t="shared" si="1587"/>
        <v>男</v>
      </c>
      <c r="D6268" s="2" t="str">
        <f>"6"</f>
        <v>6</v>
      </c>
      <c r="E6268" s="2" t="str">
        <f>"经济与管理学院"</f>
        <v>经济与管理学院</v>
      </c>
    </row>
    <row r="6269" ht="13.5" hidden="1" spans="1:5">
      <c r="A6269" s="2" t="str">
        <f>"黄静洁"</f>
        <v>黄静洁</v>
      </c>
      <c r="B6269" s="2" t="str">
        <f>"B20230901209"</f>
        <v>B20230901209</v>
      </c>
      <c r="C6269" s="2" t="str">
        <f t="shared" ref="C6269:C6272" si="1588">"女"</f>
        <v>女</v>
      </c>
      <c r="D6269" s="2" t="str">
        <f>"6"</f>
        <v>6</v>
      </c>
      <c r="E6269" s="2" t="str">
        <f>"经济与管理学院"</f>
        <v>经济与管理学院</v>
      </c>
    </row>
    <row r="6270" ht="13.5" hidden="1" spans="1:5">
      <c r="A6270" s="2" t="str">
        <f>"戴楠凤"</f>
        <v>戴楠凤</v>
      </c>
      <c r="B6270" s="2" t="str">
        <f>"B20230502217"</f>
        <v>B20230502217</v>
      </c>
      <c r="C6270" s="2" t="str">
        <f t="shared" si="1588"/>
        <v>女</v>
      </c>
      <c r="D6270" s="2" t="str">
        <f>"6"</f>
        <v>6</v>
      </c>
      <c r="E6270" s="2" t="str">
        <f>"生物与化学工程学院"</f>
        <v>生物与化学工程学院</v>
      </c>
    </row>
    <row r="6271" ht="13.5" hidden="1" spans="1:5">
      <c r="A6271" s="2" t="str">
        <f>"赵子骏"</f>
        <v>赵子骏</v>
      </c>
      <c r="B6271" s="2" t="str">
        <f>"B20200401403"</f>
        <v>B20200401403</v>
      </c>
      <c r="C6271" s="2" t="str">
        <f>"男"</f>
        <v>男</v>
      </c>
      <c r="D6271" s="2" t="str">
        <f>"6"</f>
        <v>6</v>
      </c>
      <c r="E6271" s="2" t="str">
        <f>"电子信息与电气工程学院"</f>
        <v>电子信息与电气工程学院</v>
      </c>
    </row>
    <row r="6272" ht="13.5" hidden="1" spans="1:5">
      <c r="A6272" s="2" t="str">
        <f>"邵子嘉"</f>
        <v>邵子嘉</v>
      </c>
      <c r="B6272" s="2" t="str">
        <f>"B20210601129"</f>
        <v>B20210601129</v>
      </c>
      <c r="C6272" s="2" t="str">
        <f t="shared" si="1588"/>
        <v>女</v>
      </c>
      <c r="D6272" s="2" t="str">
        <f>"6"</f>
        <v>6</v>
      </c>
      <c r="E6272" s="2" t="str">
        <f>"法学院"</f>
        <v>法学院</v>
      </c>
    </row>
    <row r="6273" ht="13.5" hidden="1" spans="1:5">
      <c r="A6273" s="2" t="str">
        <f>"黎欧阳"</f>
        <v>黎欧阳</v>
      </c>
      <c r="B6273" s="2" t="str">
        <f>"B20230202218"</f>
        <v>B20230202218</v>
      </c>
      <c r="C6273" s="2" t="str">
        <f>"男"</f>
        <v>男</v>
      </c>
      <c r="D6273" s="2" t="str">
        <f>"6"</f>
        <v>6</v>
      </c>
      <c r="E6273" s="2" t="str">
        <f>"机电工程学院"</f>
        <v>机电工程学院</v>
      </c>
    </row>
    <row r="6274" ht="13.5" hidden="1" spans="1:5">
      <c r="A6274" s="2" t="str">
        <f>"易蒙"</f>
        <v>易蒙</v>
      </c>
      <c r="B6274" s="2" t="str">
        <f>"B20220104106"</f>
        <v>B20220104106</v>
      </c>
      <c r="C6274" s="2" t="str">
        <f>"女"</f>
        <v>女</v>
      </c>
      <c r="D6274" s="2" t="str">
        <f>"6"</f>
        <v>6</v>
      </c>
      <c r="E6274" s="2" t="str">
        <f>"土木工程学院"</f>
        <v>土木工程学院</v>
      </c>
    </row>
    <row r="6275" ht="13.5" hidden="1" spans="1:5">
      <c r="A6275" s="2" t="str">
        <f>"刘雅辉"</f>
        <v>刘雅辉</v>
      </c>
      <c r="B6275" s="2" t="str">
        <f>"B20221101107"</f>
        <v>B20221101107</v>
      </c>
      <c r="C6275" s="2" t="str">
        <f>"女"</f>
        <v>女</v>
      </c>
      <c r="D6275" s="2" t="str">
        <f>"6"</f>
        <v>6</v>
      </c>
      <c r="E6275" s="2" t="str">
        <f>"音乐学院"</f>
        <v>音乐学院</v>
      </c>
    </row>
    <row r="6276" ht="13.5" hidden="1" spans="1:5">
      <c r="A6276" s="2" t="str">
        <f>"康天琪"</f>
        <v>康天琪</v>
      </c>
      <c r="B6276" s="2" t="str">
        <f>"B20210803214"</f>
        <v>B20210803214</v>
      </c>
      <c r="C6276" s="2" t="str">
        <f>"女"</f>
        <v>女</v>
      </c>
      <c r="D6276" s="2" t="str">
        <f>"6"</f>
        <v>6</v>
      </c>
      <c r="E6276" s="2" t="str">
        <f>"外国语学院"</f>
        <v>外国语学院</v>
      </c>
    </row>
    <row r="6277" ht="13.5" hidden="1" spans="1:5">
      <c r="A6277" s="2" t="str">
        <f>"许萍"</f>
        <v>许萍</v>
      </c>
      <c r="B6277" s="2" t="str">
        <f>"B20231111120"</f>
        <v>B20231111120</v>
      </c>
      <c r="C6277" s="2" t="str">
        <f>"女"</f>
        <v>女</v>
      </c>
      <c r="D6277" s="2" t="str">
        <f>"6"</f>
        <v>6</v>
      </c>
      <c r="E6277" s="2" t="str">
        <f>"音乐学院"</f>
        <v>音乐学院</v>
      </c>
    </row>
    <row r="6278" ht="13.5" hidden="1" spans="1:5">
      <c r="A6278" s="2" t="str">
        <f>"邓清"</f>
        <v>邓清</v>
      </c>
      <c r="B6278" s="2" t="str">
        <f>"B20210704120"</f>
        <v>B20210704120</v>
      </c>
      <c r="C6278" s="2" t="str">
        <f>"女"</f>
        <v>女</v>
      </c>
      <c r="D6278" s="2" t="str">
        <f>"6"</f>
        <v>6</v>
      </c>
      <c r="E6278" s="2" t="str">
        <f>"马栏山新媒体学院"</f>
        <v>马栏山新媒体学院</v>
      </c>
    </row>
    <row r="6279" ht="13.5" hidden="1" spans="1:5">
      <c r="A6279" s="2" t="str">
        <f>"杨毅"</f>
        <v>杨毅</v>
      </c>
      <c r="B6279" s="2" t="str">
        <f>"B20220504409"</f>
        <v>B20220504409</v>
      </c>
      <c r="C6279" s="2" t="str">
        <f>"男"</f>
        <v>男</v>
      </c>
      <c r="D6279" s="2" t="str">
        <f>"6"</f>
        <v>6</v>
      </c>
      <c r="E6279" s="2" t="str">
        <f>"生物与化学工程学院"</f>
        <v>生物与化学工程学院</v>
      </c>
    </row>
    <row r="6280" ht="13.5" hidden="1" spans="1:5">
      <c r="A6280" s="2" t="str">
        <f>"章子康"</f>
        <v>章子康</v>
      </c>
      <c r="B6280" s="2" t="str">
        <f>"B20230202105"</f>
        <v>B20230202105</v>
      </c>
      <c r="C6280" s="2" t="str">
        <f>"男"</f>
        <v>男</v>
      </c>
      <c r="D6280" s="2" t="str">
        <f>"6"</f>
        <v>6</v>
      </c>
      <c r="E6280" s="2" t="str">
        <f>"机电工程学院"</f>
        <v>机电工程学院</v>
      </c>
    </row>
    <row r="6281" ht="13.5" hidden="1" spans="1:5">
      <c r="A6281" s="2" t="str">
        <f>"刘悦荣"</f>
        <v>刘悦荣</v>
      </c>
      <c r="B6281" s="2" t="str">
        <f>"B20220903230"</f>
        <v>B20220903230</v>
      </c>
      <c r="C6281" s="2" t="str">
        <f>"男"</f>
        <v>男</v>
      </c>
      <c r="D6281" s="2" t="str">
        <f>"6"</f>
        <v>6</v>
      </c>
      <c r="E6281" s="2" t="str">
        <f t="shared" ref="E6281:E6284" si="1589">"经济与管理学院"</f>
        <v>经济与管理学院</v>
      </c>
    </row>
    <row r="6282" ht="13.5" hidden="1" spans="1:5">
      <c r="A6282" s="2" t="str">
        <f>"林琪"</f>
        <v>林琪</v>
      </c>
      <c r="B6282" s="2" t="str">
        <f>"B20230403130"</f>
        <v>B20230403130</v>
      </c>
      <c r="C6282" s="2" t="str">
        <f>"男"</f>
        <v>男</v>
      </c>
      <c r="D6282" s="2" t="str">
        <f>"6"</f>
        <v>6</v>
      </c>
      <c r="E6282" s="2" t="str">
        <f>"电子信息与电气工程学院"</f>
        <v>电子信息与电气工程学院</v>
      </c>
    </row>
    <row r="6283" ht="13.5" hidden="1" spans="1:5">
      <c r="A6283" s="2" t="str">
        <f>"张家玉"</f>
        <v>张家玉</v>
      </c>
      <c r="B6283" s="2" t="str">
        <f>"B20210901325"</f>
        <v>B20210901325</v>
      </c>
      <c r="C6283" s="2" t="str">
        <f t="shared" ref="C6283:C6286" si="1590">"女"</f>
        <v>女</v>
      </c>
      <c r="D6283" s="2" t="str">
        <f>"6"</f>
        <v>6</v>
      </c>
      <c r="E6283" s="2" t="str">
        <f t="shared" si="1589"/>
        <v>经济与管理学院</v>
      </c>
    </row>
    <row r="6284" ht="13.5" hidden="1" spans="1:5">
      <c r="A6284" s="2" t="str">
        <f>"胡爽"</f>
        <v>胡爽</v>
      </c>
      <c r="B6284" s="2" t="str">
        <f>"B20210905240"</f>
        <v>B20210905240</v>
      </c>
      <c r="C6284" s="2" t="str">
        <f t="shared" si="1590"/>
        <v>女</v>
      </c>
      <c r="D6284" s="2" t="str">
        <f>"6"</f>
        <v>6</v>
      </c>
      <c r="E6284" s="2" t="str">
        <f t="shared" si="1589"/>
        <v>经济与管理学院</v>
      </c>
    </row>
    <row r="6285" ht="13.5" hidden="1" spans="1:5">
      <c r="A6285" s="2" t="str">
        <f>"向柳燕"</f>
        <v>向柳燕</v>
      </c>
      <c r="B6285" s="2" t="str">
        <f>"B20210801115"</f>
        <v>B20210801115</v>
      </c>
      <c r="C6285" s="2" t="str">
        <f t="shared" si="1590"/>
        <v>女</v>
      </c>
      <c r="D6285" s="2" t="str">
        <f>"6"</f>
        <v>6</v>
      </c>
      <c r="E6285" s="2" t="str">
        <f>"外国语学院"</f>
        <v>外国语学院</v>
      </c>
    </row>
    <row r="6286" ht="13.5" hidden="1" spans="1:5">
      <c r="A6286" s="2" t="str">
        <f>"罗媛"</f>
        <v>罗媛</v>
      </c>
      <c r="B6286" s="2" t="str">
        <f>"B20230702216"</f>
        <v>B20230702216</v>
      </c>
      <c r="C6286" s="2" t="str">
        <f t="shared" si="1590"/>
        <v>女</v>
      </c>
      <c r="D6286" s="2" t="str">
        <f>"6"</f>
        <v>6</v>
      </c>
      <c r="E6286" s="2" t="str">
        <f>"马栏山新媒体学院"</f>
        <v>马栏山新媒体学院</v>
      </c>
    </row>
    <row r="6287" ht="13.5" hidden="1" spans="1:5">
      <c r="A6287" s="2" t="str">
        <f>"李逸凡"</f>
        <v>李逸凡</v>
      </c>
      <c r="B6287" s="2" t="str">
        <f>"B20220204219"</f>
        <v>B20220204219</v>
      </c>
      <c r="C6287" s="2" t="str">
        <f t="shared" ref="C6287:C6292" si="1591">"男"</f>
        <v>男</v>
      </c>
      <c r="D6287" s="2" t="str">
        <f>"6"</f>
        <v>6</v>
      </c>
      <c r="E6287" s="2" t="str">
        <f>"机电工程学院"</f>
        <v>机电工程学院</v>
      </c>
    </row>
    <row r="6288" ht="13.5" hidden="1" spans="1:5">
      <c r="A6288" s="2" t="str">
        <f>"陈今伶"</f>
        <v>陈今伶</v>
      </c>
      <c r="B6288" s="2" t="str">
        <f>"B20221301212"</f>
        <v>B20221301212</v>
      </c>
      <c r="C6288" s="2" t="str">
        <f t="shared" ref="C6288:C6295" si="1592">"女"</f>
        <v>女</v>
      </c>
      <c r="D6288" s="2" t="str">
        <f>"6"</f>
        <v>6</v>
      </c>
      <c r="E6288" s="2" t="str">
        <f>"材料与环境工程学院"</f>
        <v>材料与环境工程学院</v>
      </c>
    </row>
    <row r="6289" ht="13.5" hidden="1" spans="1:5">
      <c r="A6289" s="2" t="str">
        <f>"刘智康"</f>
        <v>刘智康</v>
      </c>
      <c r="B6289" s="2" t="str">
        <f>"B20210202115"</f>
        <v>B20210202115</v>
      </c>
      <c r="C6289" s="2" t="str">
        <f t="shared" si="1591"/>
        <v>男</v>
      </c>
      <c r="D6289" s="2" t="str">
        <f>"6"</f>
        <v>6</v>
      </c>
      <c r="E6289" s="2" t="str">
        <f>"机电工程学院"</f>
        <v>机电工程学院</v>
      </c>
    </row>
    <row r="6290" ht="13.5" hidden="1" spans="1:5">
      <c r="A6290" s="2" t="str">
        <f>"湛紫轩"</f>
        <v>湛紫轩</v>
      </c>
      <c r="B6290" s="2" t="str">
        <f>"B20210403214"</f>
        <v>B20210403214</v>
      </c>
      <c r="C6290" s="2" t="str">
        <f t="shared" si="1592"/>
        <v>女</v>
      </c>
      <c r="D6290" s="2" t="str">
        <f>"6"</f>
        <v>6</v>
      </c>
      <c r="E6290" s="2" t="str">
        <f>"电子信息与电气工程学院"</f>
        <v>电子信息与电气工程学院</v>
      </c>
    </row>
    <row r="6291" ht="13.5" hidden="1" spans="1:5">
      <c r="A6291" s="2" t="str">
        <f>"刘志隆"</f>
        <v>刘志隆</v>
      </c>
      <c r="B6291" s="2" t="str">
        <f>"B20230901202"</f>
        <v>B20230901202</v>
      </c>
      <c r="C6291" s="2" t="str">
        <f t="shared" si="1591"/>
        <v>男</v>
      </c>
      <c r="D6291" s="2" t="str">
        <f>"6"</f>
        <v>6</v>
      </c>
      <c r="E6291" s="2" t="str">
        <f t="shared" ref="E6291:E6295" si="1593">"经济与管理学院"</f>
        <v>经济与管理学院</v>
      </c>
    </row>
    <row r="6292" ht="13.5" hidden="1" spans="1:5">
      <c r="A6292" s="2" t="str">
        <f>"许福超"</f>
        <v>许福超</v>
      </c>
      <c r="B6292" s="2" t="str">
        <f>"B20230902208"</f>
        <v>B20230902208</v>
      </c>
      <c r="C6292" s="2" t="str">
        <f t="shared" si="1591"/>
        <v>男</v>
      </c>
      <c r="D6292" s="2" t="str">
        <f>"6"</f>
        <v>6</v>
      </c>
      <c r="E6292" s="2" t="str">
        <f t="shared" si="1593"/>
        <v>经济与管理学院</v>
      </c>
    </row>
    <row r="6293" ht="13.5" hidden="1" spans="1:5">
      <c r="A6293" s="2" t="str">
        <f>"窦思彤"</f>
        <v>窦思彤</v>
      </c>
      <c r="B6293" s="2" t="str">
        <f>"B20230704219"</f>
        <v>B20230704219</v>
      </c>
      <c r="C6293" s="2" t="str">
        <f t="shared" si="1592"/>
        <v>女</v>
      </c>
      <c r="D6293" s="2" t="str">
        <f>"6"</f>
        <v>6</v>
      </c>
      <c r="E6293" s="2" t="str">
        <f>"马栏山新媒体学院"</f>
        <v>马栏山新媒体学院</v>
      </c>
    </row>
    <row r="6294" ht="13.5" hidden="1" spans="1:5">
      <c r="A6294" s="2" t="str">
        <f>"张阳"</f>
        <v>张阳</v>
      </c>
      <c r="B6294" s="2" t="str">
        <f>"B20210901210"</f>
        <v>B20210901210</v>
      </c>
      <c r="C6294" s="2" t="str">
        <f t="shared" si="1592"/>
        <v>女</v>
      </c>
      <c r="D6294" s="2" t="str">
        <f>"6"</f>
        <v>6</v>
      </c>
      <c r="E6294" s="2" t="str">
        <f t="shared" si="1593"/>
        <v>经济与管理学院</v>
      </c>
    </row>
    <row r="6295" ht="13.5" hidden="1" spans="1:5">
      <c r="A6295" s="2" t="str">
        <f>"刘佳仪"</f>
        <v>刘佳仪</v>
      </c>
      <c r="B6295" s="2" t="str">
        <f>"B20230901323"</f>
        <v>B20230901323</v>
      </c>
      <c r="C6295" s="2" t="str">
        <f t="shared" si="1592"/>
        <v>女</v>
      </c>
      <c r="D6295" s="2" t="str">
        <f>"6"</f>
        <v>6</v>
      </c>
      <c r="E6295" s="2" t="str">
        <f t="shared" si="1593"/>
        <v>经济与管理学院</v>
      </c>
    </row>
    <row r="6296" ht="13.5" hidden="1" spans="1:5">
      <c r="A6296" s="2" t="str">
        <f>"易德嘉"</f>
        <v>易德嘉</v>
      </c>
      <c r="B6296" s="2" t="str">
        <f>"B20210201331"</f>
        <v>B20210201331</v>
      </c>
      <c r="C6296" s="2" t="str">
        <f t="shared" ref="C6296:C6301" si="1594">"男"</f>
        <v>男</v>
      </c>
      <c r="D6296" s="2" t="str">
        <f>"6"</f>
        <v>6</v>
      </c>
      <c r="E6296" s="2" t="str">
        <f>"机电工程学院"</f>
        <v>机电工程学院</v>
      </c>
    </row>
    <row r="6297" ht="13.5" hidden="1" spans="1:5">
      <c r="A6297" s="2" t="str">
        <f>"朱悦嘉"</f>
        <v>朱悦嘉</v>
      </c>
      <c r="B6297" s="2" t="str">
        <f>"B20220705127"</f>
        <v>B20220705127</v>
      </c>
      <c r="C6297" s="2" t="str">
        <f t="shared" ref="C6297:C6300" si="1595">"女"</f>
        <v>女</v>
      </c>
      <c r="D6297" s="2" t="str">
        <f>"6"</f>
        <v>6</v>
      </c>
      <c r="E6297" s="2" t="str">
        <f>"马栏山新媒体学院"</f>
        <v>马栏山新媒体学院</v>
      </c>
    </row>
    <row r="6298" ht="13.5" hidden="1" spans="1:5">
      <c r="A6298" s="2" t="str">
        <f>"杨晗"</f>
        <v>杨晗</v>
      </c>
      <c r="B6298" s="2" t="str">
        <f>"B20230801207"</f>
        <v>B20230801207</v>
      </c>
      <c r="C6298" s="2" t="str">
        <f t="shared" si="1595"/>
        <v>女</v>
      </c>
      <c r="D6298" s="2" t="str">
        <f>"6"</f>
        <v>6</v>
      </c>
      <c r="E6298" s="2" t="str">
        <f>"外国语学院"</f>
        <v>外国语学院</v>
      </c>
    </row>
    <row r="6299" ht="13.5" hidden="1" spans="1:5">
      <c r="A6299" s="2" t="str">
        <f>"陈必胜"</f>
        <v>陈必胜</v>
      </c>
      <c r="B6299" s="2" t="str">
        <f>"B20210202216"</f>
        <v>B20210202216</v>
      </c>
      <c r="C6299" s="2" t="str">
        <f t="shared" si="1594"/>
        <v>男</v>
      </c>
      <c r="D6299" s="2" t="str">
        <f>"6"</f>
        <v>6</v>
      </c>
      <c r="E6299" s="2" t="str">
        <f>"机电工程学院"</f>
        <v>机电工程学院</v>
      </c>
    </row>
    <row r="6300" ht="13.5" hidden="1" spans="1:5">
      <c r="A6300" s="2" t="str">
        <f>"邓思敏"</f>
        <v>邓思敏</v>
      </c>
      <c r="B6300" s="2" t="str">
        <f>"B20231302424"</f>
        <v>B20231302424</v>
      </c>
      <c r="C6300" s="2" t="str">
        <f t="shared" si="1595"/>
        <v>女</v>
      </c>
      <c r="D6300" s="2" t="str">
        <f>"6"</f>
        <v>6</v>
      </c>
      <c r="E6300" s="2" t="str">
        <f>"材料与环境工程学院"</f>
        <v>材料与环境工程学院</v>
      </c>
    </row>
    <row r="6301" ht="13.5" hidden="1" spans="1:5">
      <c r="A6301" s="2" t="str">
        <f>"肖和明"</f>
        <v>肖和明</v>
      </c>
      <c r="B6301" s="2" t="str">
        <f>"B20230504124"</f>
        <v>B20230504124</v>
      </c>
      <c r="C6301" s="2" t="str">
        <f t="shared" si="1594"/>
        <v>男</v>
      </c>
      <c r="D6301" s="2" t="str">
        <f>"6"</f>
        <v>6</v>
      </c>
      <c r="E6301" s="2" t="str">
        <f>"生物与化学工程学院"</f>
        <v>生物与化学工程学院</v>
      </c>
    </row>
    <row r="6302" ht="13.5" hidden="1" spans="1:5">
      <c r="A6302" s="2" t="str">
        <f>"罗瑶婕"</f>
        <v>罗瑶婕</v>
      </c>
      <c r="B6302" s="2" t="str">
        <f>"B20200802218"</f>
        <v>B20200802218</v>
      </c>
      <c r="C6302" s="2" t="str">
        <f>"女"</f>
        <v>女</v>
      </c>
      <c r="D6302" s="2" t="str">
        <f>"6"</f>
        <v>6</v>
      </c>
      <c r="E6302" s="2" t="str">
        <f>"外国语学院"</f>
        <v>外国语学院</v>
      </c>
    </row>
    <row r="6303" ht="13.5" hidden="1" spans="1:5">
      <c r="A6303" s="2" t="str">
        <f>"肖健乐"</f>
        <v>肖健乐</v>
      </c>
      <c r="B6303" s="2" t="str">
        <f>"B20230601417"</f>
        <v>B20230601417</v>
      </c>
      <c r="C6303" s="2" t="str">
        <f>"男"</f>
        <v>男</v>
      </c>
      <c r="D6303" s="2" t="str">
        <f>"6"</f>
        <v>6</v>
      </c>
      <c r="E6303" s="2" t="str">
        <f>"法学院"</f>
        <v>法学院</v>
      </c>
    </row>
    <row r="6304" ht="13.5" hidden="1" spans="1:5">
      <c r="A6304" s="2" t="str">
        <f>"谢阳意"</f>
        <v>谢阳意</v>
      </c>
      <c r="B6304" s="2" t="str">
        <f>"B20220101626"</f>
        <v>B20220101626</v>
      </c>
      <c r="C6304" s="2" t="str">
        <f t="shared" ref="C6303:C6308" si="1596">"女"</f>
        <v>女</v>
      </c>
      <c r="D6304" s="2" t="str">
        <f>"6"</f>
        <v>6</v>
      </c>
      <c r="E6304" s="2" t="str">
        <f>"土木工程学院"</f>
        <v>土木工程学院</v>
      </c>
    </row>
    <row r="6305" ht="13.5" hidden="1" spans="1:5">
      <c r="A6305" s="2" t="str">
        <f>"王璐"</f>
        <v>王璐</v>
      </c>
      <c r="B6305" s="2" t="str">
        <f>"B20230405134"</f>
        <v>B20230405134</v>
      </c>
      <c r="C6305" s="2" t="str">
        <f t="shared" si="1596"/>
        <v>女</v>
      </c>
      <c r="D6305" s="2" t="str">
        <f>"6"</f>
        <v>6</v>
      </c>
      <c r="E6305" s="2" t="str">
        <f>"电子信息与电气工程学院"</f>
        <v>电子信息与电气工程学院</v>
      </c>
    </row>
    <row r="6306" ht="13.5" hidden="1" spans="1:5">
      <c r="A6306" s="2" t="str">
        <f>"郭昱君"</f>
        <v>郭昱君</v>
      </c>
      <c r="B6306" s="2" t="str">
        <f>"B20201003216"</f>
        <v>B20201003216</v>
      </c>
      <c r="C6306" s="2" t="str">
        <f t="shared" si="1596"/>
        <v>女</v>
      </c>
      <c r="D6306" s="2" t="str">
        <f>"6"</f>
        <v>6</v>
      </c>
      <c r="E6306" s="2" t="str">
        <f>"艺术设计学院"</f>
        <v>艺术设计学院</v>
      </c>
    </row>
    <row r="6307" ht="13.5" hidden="1" spans="1:5">
      <c r="A6307" s="2" t="str">
        <f>"叶妍"</f>
        <v>叶妍</v>
      </c>
      <c r="B6307" s="2" t="str">
        <f>"B20210204232"</f>
        <v>B20210204232</v>
      </c>
      <c r="C6307" s="2" t="str">
        <f t="shared" si="1596"/>
        <v>女</v>
      </c>
      <c r="D6307" s="2" t="str">
        <f>"6"</f>
        <v>6</v>
      </c>
      <c r="E6307" s="2" t="str">
        <f>"机电工程学院"</f>
        <v>机电工程学院</v>
      </c>
    </row>
    <row r="6308" ht="13.5" hidden="1" spans="1:5">
      <c r="A6308" s="2" t="str">
        <f>"张玉婷"</f>
        <v>张玉婷</v>
      </c>
      <c r="B6308" s="2" t="str">
        <f>"B20210903101"</f>
        <v>B20210903101</v>
      </c>
      <c r="C6308" s="2" t="str">
        <f t="shared" si="1596"/>
        <v>女</v>
      </c>
      <c r="D6308" s="2" t="str">
        <f>"6"</f>
        <v>6</v>
      </c>
      <c r="E6308" s="2" t="str">
        <f>"经济与管理学院"</f>
        <v>经济与管理学院</v>
      </c>
    </row>
    <row r="6309" ht="13.5" hidden="1" spans="1:5">
      <c r="A6309" s="2" t="str">
        <f>"王紫嫣"</f>
        <v>王紫嫣</v>
      </c>
      <c r="B6309" s="2" t="str">
        <f>"B20211101221"</f>
        <v>B20211101221</v>
      </c>
      <c r="C6309" s="2" t="str">
        <f>"女"</f>
        <v>女</v>
      </c>
      <c r="D6309" s="2" t="str">
        <f>"6"</f>
        <v>6</v>
      </c>
      <c r="E6309" s="2" t="str">
        <f>"音乐学院"</f>
        <v>音乐学院</v>
      </c>
    </row>
    <row r="6310" ht="13.5" hidden="1" spans="1:5">
      <c r="A6310" s="2" t="str">
        <f>"蒋友平"</f>
        <v>蒋友平</v>
      </c>
      <c r="B6310" s="2" t="str">
        <f>"B20200802222"</f>
        <v>B20200802222</v>
      </c>
      <c r="C6310" s="2" t="str">
        <f>"女"</f>
        <v>女</v>
      </c>
      <c r="D6310" s="2" t="str">
        <f>"6"</f>
        <v>6</v>
      </c>
      <c r="E6310" s="2" t="str">
        <f>"外国语学院"</f>
        <v>外国语学院</v>
      </c>
    </row>
    <row r="6311" ht="13.5" hidden="1" spans="1:5">
      <c r="A6311" s="2" t="str">
        <f>"吴昊"</f>
        <v>吴昊</v>
      </c>
      <c r="B6311" s="2" t="str">
        <f>"B20220904135"</f>
        <v>B20220904135</v>
      </c>
      <c r="C6311" s="2" t="str">
        <f>"女"</f>
        <v>女</v>
      </c>
      <c r="D6311" s="2" t="str">
        <f>"6"</f>
        <v>6</v>
      </c>
      <c r="E6311" s="2" t="str">
        <f t="shared" ref="E6311:E6314" si="1597">"经济与管理学院"</f>
        <v>经济与管理学院</v>
      </c>
    </row>
    <row r="6312" ht="13.5" hidden="1" spans="1:5">
      <c r="A6312" s="2" t="str">
        <f>"刘潺瑾"</f>
        <v>刘潺瑾</v>
      </c>
      <c r="B6312" s="2" t="str">
        <f>"B20230601122"</f>
        <v>B20230601122</v>
      </c>
      <c r="C6312" s="2" t="str">
        <f>"女"</f>
        <v>女</v>
      </c>
      <c r="D6312" s="2" t="str">
        <f>"6"</f>
        <v>6</v>
      </c>
      <c r="E6312" s="2" t="str">
        <f>"法学院"</f>
        <v>法学院</v>
      </c>
    </row>
    <row r="6313" ht="13.5" hidden="1" spans="1:5">
      <c r="A6313" s="2" t="str">
        <f>"郑智化"</f>
        <v>郑智化</v>
      </c>
      <c r="B6313" s="2" t="str">
        <f>"B20220903135"</f>
        <v>B20220903135</v>
      </c>
      <c r="C6313" s="2" t="str">
        <f>"男"</f>
        <v>男</v>
      </c>
      <c r="D6313" s="2" t="str">
        <f>"6"</f>
        <v>6</v>
      </c>
      <c r="E6313" s="2" t="str">
        <f t="shared" si="1597"/>
        <v>经济与管理学院</v>
      </c>
    </row>
    <row r="6314" ht="13.5" hidden="1" spans="1:5">
      <c r="A6314" s="2" t="str">
        <f>"张喆"</f>
        <v>张喆</v>
      </c>
      <c r="B6314" s="2" t="str">
        <f>"B20220903136"</f>
        <v>B20220903136</v>
      </c>
      <c r="C6314" s="2" t="str">
        <f>"男"</f>
        <v>男</v>
      </c>
      <c r="D6314" s="2" t="str">
        <f>"6"</f>
        <v>6</v>
      </c>
      <c r="E6314" s="2" t="str">
        <f t="shared" si="1597"/>
        <v>经济与管理学院</v>
      </c>
    </row>
    <row r="6315" ht="13.5" hidden="1" spans="1:5">
      <c r="A6315" s="2" t="str">
        <f>"鲁赟"</f>
        <v>鲁赟</v>
      </c>
      <c r="B6315" s="2" t="str">
        <f>"B20230402203"</f>
        <v>B20230402203</v>
      </c>
      <c r="C6315" s="2" t="str">
        <f>"男"</f>
        <v>男</v>
      </c>
      <c r="D6315" s="2" t="str">
        <f>"6"</f>
        <v>6</v>
      </c>
      <c r="E6315" s="2" t="str">
        <f>"电子信息与电气工程学院"</f>
        <v>电子信息与电气工程学院</v>
      </c>
    </row>
    <row r="6316" ht="13.5" hidden="1" spans="1:5">
      <c r="A6316" s="2" t="str">
        <f>"谭敏敏"</f>
        <v>谭敏敏</v>
      </c>
      <c r="B6316" s="2" t="str">
        <f>"B20210906211"</f>
        <v>B20210906211</v>
      </c>
      <c r="C6316" s="2" t="str">
        <f t="shared" ref="C6316:C6320" si="1598">"女"</f>
        <v>女</v>
      </c>
      <c r="D6316" s="2" t="str">
        <f t="shared" ref="D6316:D6327" si="1599">"6"</f>
        <v>6</v>
      </c>
      <c r="E6316" s="2" t="str">
        <f>"经济与管理学院"</f>
        <v>经济与管理学院</v>
      </c>
    </row>
    <row r="6317" ht="13.5" hidden="1" spans="1:5">
      <c r="A6317" s="2" t="str">
        <f>"陈华"</f>
        <v>陈华</v>
      </c>
      <c r="B6317" s="2" t="str">
        <f>"B20220202333"</f>
        <v>B20220202333</v>
      </c>
      <c r="C6317" s="2" t="str">
        <f t="shared" ref="C6317:C6321" si="1600">"男"</f>
        <v>男</v>
      </c>
      <c r="D6317" s="2" t="str">
        <f t="shared" si="1599"/>
        <v>6</v>
      </c>
      <c r="E6317" s="2" t="str">
        <f>"机电工程学院"</f>
        <v>机电工程学院</v>
      </c>
    </row>
    <row r="6318" ht="13.5" hidden="1" spans="1:5">
      <c r="A6318" s="2" t="str">
        <f>"熊欣宇"</f>
        <v>熊欣宇</v>
      </c>
      <c r="B6318" s="2" t="str">
        <f>"B20220902211"</f>
        <v>B20220902211</v>
      </c>
      <c r="C6318" s="2" t="str">
        <f t="shared" si="1598"/>
        <v>女</v>
      </c>
      <c r="D6318" s="2" t="str">
        <f t="shared" si="1599"/>
        <v>6</v>
      </c>
      <c r="E6318" s="2" t="str">
        <f>"经济与管理学院"</f>
        <v>经济与管理学院</v>
      </c>
    </row>
    <row r="6319" ht="13.5" hidden="1" spans="1:5">
      <c r="A6319" s="2" t="str">
        <f>"蔡宇星"</f>
        <v>蔡宇星</v>
      </c>
      <c r="B6319" s="2" t="str">
        <f>"B20210102209"</f>
        <v>B20210102209</v>
      </c>
      <c r="C6319" s="2" t="str">
        <f t="shared" si="1600"/>
        <v>男</v>
      </c>
      <c r="D6319" s="2" t="str">
        <f t="shared" si="1599"/>
        <v>6</v>
      </c>
      <c r="E6319" s="2" t="str">
        <f>"土木工程学院"</f>
        <v>土木工程学院</v>
      </c>
    </row>
    <row r="6320" ht="13.5" hidden="1" spans="1:5">
      <c r="A6320" s="2" t="str">
        <f>"林瑞婕"</f>
        <v>林瑞婕</v>
      </c>
      <c r="B6320" s="2" t="str">
        <f>"B20200803227"</f>
        <v>B20200803227</v>
      </c>
      <c r="C6320" s="2" t="str">
        <f t="shared" si="1598"/>
        <v>女</v>
      </c>
      <c r="D6320" s="2" t="str">
        <f t="shared" si="1599"/>
        <v>6</v>
      </c>
      <c r="E6320" s="2" t="str">
        <f>"外国语学院"</f>
        <v>外国语学院</v>
      </c>
    </row>
    <row r="6321" ht="13.5" hidden="1" spans="1:5">
      <c r="A6321" s="2" t="str">
        <f>"陈烜帆"</f>
        <v>陈烜帆</v>
      </c>
      <c r="B6321" s="2" t="str">
        <f>"B20230205303"</f>
        <v>B20230205303</v>
      </c>
      <c r="C6321" s="2" t="str">
        <f t="shared" si="1600"/>
        <v>男</v>
      </c>
      <c r="D6321" s="2" t="str">
        <f t="shared" si="1599"/>
        <v>6</v>
      </c>
      <c r="E6321" s="2" t="str">
        <f>"机电工程学院"</f>
        <v>机电工程学院</v>
      </c>
    </row>
    <row r="6322" ht="13.5" hidden="1" spans="1:5">
      <c r="A6322" s="2" t="str">
        <f>"谢素惠"</f>
        <v>谢素惠</v>
      </c>
      <c r="B6322" s="2" t="str">
        <f>"B20210902226"</f>
        <v>B20210902226</v>
      </c>
      <c r="C6322" s="2" t="str">
        <f t="shared" ref="C6322:C6324" si="1601">"女"</f>
        <v>女</v>
      </c>
      <c r="D6322" s="2" t="str">
        <f t="shared" si="1599"/>
        <v>6</v>
      </c>
      <c r="E6322" s="2" t="str">
        <f t="shared" ref="E6322:E6325" si="1602">"经济与管理学院"</f>
        <v>经济与管理学院</v>
      </c>
    </row>
    <row r="6323" ht="13.5" hidden="1" spans="1:5">
      <c r="A6323" s="2" t="str">
        <f>"蒋晴岚"</f>
        <v>蒋晴岚</v>
      </c>
      <c r="B6323" s="2" t="str">
        <f>"B20230701118"</f>
        <v>B20230701118</v>
      </c>
      <c r="C6323" s="2" t="str">
        <f t="shared" si="1601"/>
        <v>女</v>
      </c>
      <c r="D6323" s="2" t="str">
        <f t="shared" si="1599"/>
        <v>6</v>
      </c>
      <c r="E6323" s="2" t="str">
        <f>"马栏山新媒体学院"</f>
        <v>马栏山新媒体学院</v>
      </c>
    </row>
    <row r="6324" ht="13.5" hidden="1" spans="1:5">
      <c r="A6324" s="2" t="str">
        <f>"廖子嫣"</f>
        <v>廖子嫣</v>
      </c>
      <c r="B6324" s="2" t="str">
        <f>"B20230906106"</f>
        <v>B20230906106</v>
      </c>
      <c r="C6324" s="2" t="str">
        <f t="shared" si="1601"/>
        <v>女</v>
      </c>
      <c r="D6324" s="2" t="str">
        <f t="shared" si="1599"/>
        <v>6</v>
      </c>
      <c r="E6324" s="2" t="str">
        <f t="shared" si="1602"/>
        <v>经济与管理学院</v>
      </c>
    </row>
    <row r="6325" ht="13.5" hidden="1" spans="1:5">
      <c r="A6325" s="2" t="str">
        <f>"彭旺"</f>
        <v>彭旺</v>
      </c>
      <c r="B6325" s="2" t="str">
        <f>"B20220904109"</f>
        <v>B20220904109</v>
      </c>
      <c r="C6325" s="2" t="str">
        <f t="shared" ref="C6325:C6327" si="1603">"男"</f>
        <v>男</v>
      </c>
      <c r="D6325" s="2" t="str">
        <f t="shared" si="1599"/>
        <v>6</v>
      </c>
      <c r="E6325" s="2" t="str">
        <f t="shared" si="1602"/>
        <v>经济与管理学院</v>
      </c>
    </row>
    <row r="6326" ht="13.5" hidden="1" spans="1:5">
      <c r="A6326" s="2" t="str">
        <f>"覃鹏"</f>
        <v>覃鹏</v>
      </c>
      <c r="B6326" s="2" t="str">
        <f>"B20231111220"</f>
        <v>B20231111220</v>
      </c>
      <c r="C6326" s="2" t="str">
        <f t="shared" si="1603"/>
        <v>男</v>
      </c>
      <c r="D6326" s="2" t="str">
        <f t="shared" si="1599"/>
        <v>6</v>
      </c>
      <c r="E6326" s="2" t="str">
        <f>"音乐学院"</f>
        <v>音乐学院</v>
      </c>
    </row>
    <row r="6327" ht="13.5" hidden="1" spans="1:5">
      <c r="A6327" s="2" t="str">
        <f>"刘顺"</f>
        <v>刘顺</v>
      </c>
      <c r="B6327" s="2" t="str">
        <f>"B20230403214"</f>
        <v>B20230403214</v>
      </c>
      <c r="C6327" s="2" t="str">
        <f t="shared" si="1603"/>
        <v>男</v>
      </c>
      <c r="D6327" s="2" t="str">
        <f t="shared" si="1599"/>
        <v>6</v>
      </c>
      <c r="E6327" s="2" t="str">
        <f>"电子信息与电气工程学院"</f>
        <v>电子信息与电气工程学院</v>
      </c>
    </row>
    <row r="6328" ht="13.5" hidden="1" spans="1:5">
      <c r="A6328" s="2" t="str">
        <f>"满李方晴"</f>
        <v>满李方晴</v>
      </c>
      <c r="B6328" s="2" t="str">
        <f>"B20231002302"</f>
        <v>B20231002302</v>
      </c>
      <c r="C6328" s="2" t="str">
        <f t="shared" ref="C6328:C6331" si="1604">"女"</f>
        <v>女</v>
      </c>
      <c r="D6328" s="2" t="str">
        <f>"6"</f>
        <v>6</v>
      </c>
      <c r="E6328" s="2" t="str">
        <f>"艺术设计学院"</f>
        <v>艺术设计学院</v>
      </c>
    </row>
    <row r="6329" ht="13.5" hidden="1" spans="1:5">
      <c r="A6329" s="2" t="str">
        <f>"贺琴"</f>
        <v>贺琴</v>
      </c>
      <c r="B6329" s="2" t="str">
        <f>"B20210905141"</f>
        <v>B20210905141</v>
      </c>
      <c r="C6329" s="2" t="str">
        <f t="shared" si="1604"/>
        <v>女</v>
      </c>
      <c r="D6329" s="2" t="str">
        <f>"6"</f>
        <v>6</v>
      </c>
      <c r="E6329" s="2" t="str">
        <f>"经济与管理学院"</f>
        <v>经济与管理学院</v>
      </c>
    </row>
    <row r="6330" ht="13.5" hidden="1" spans="1:5">
      <c r="A6330" s="2" t="str">
        <f>"徐晓庆"</f>
        <v>徐晓庆</v>
      </c>
      <c r="B6330" s="2" t="str">
        <f>"B20230401408"</f>
        <v>B20230401408</v>
      </c>
      <c r="C6330" s="2" t="str">
        <f>"男"</f>
        <v>男</v>
      </c>
      <c r="D6330" s="2" t="str">
        <f>"6"</f>
        <v>6</v>
      </c>
      <c r="E6330" s="2" t="str">
        <f>"电子信息与电气工程学院"</f>
        <v>电子信息与电气工程学院</v>
      </c>
    </row>
    <row r="6331" ht="13.5" hidden="1" spans="1:5">
      <c r="A6331" s="2" t="str">
        <f>"李晶琳"</f>
        <v>李晶琳</v>
      </c>
      <c r="B6331" s="2" t="str">
        <f>"B20220801509"</f>
        <v>B20220801509</v>
      </c>
      <c r="C6331" s="2" t="str">
        <f t="shared" si="1604"/>
        <v>女</v>
      </c>
      <c r="D6331" s="2" t="str">
        <f>"6"</f>
        <v>6</v>
      </c>
      <c r="E6331" s="2" t="str">
        <f>"外国语学院"</f>
        <v>外国语学院</v>
      </c>
    </row>
    <row r="6332" ht="13.5" hidden="1" spans="1:5">
      <c r="A6332" s="2" t="str">
        <f>"伍文科"</f>
        <v>伍文科</v>
      </c>
      <c r="B6332" s="2" t="str">
        <f>"B20220404208"</f>
        <v>B20220404208</v>
      </c>
      <c r="C6332" s="2" t="str">
        <f>"男"</f>
        <v>男</v>
      </c>
      <c r="D6332" s="2" t="str">
        <f>"6"</f>
        <v>6</v>
      </c>
      <c r="E6332" s="2" t="str">
        <f>"电子信息与电气工程学院"</f>
        <v>电子信息与电气工程学院</v>
      </c>
    </row>
    <row r="6333" ht="13.5" hidden="1" spans="1:5">
      <c r="A6333" s="2" t="str">
        <f>"贺刘炜"</f>
        <v>贺刘炜</v>
      </c>
      <c r="B6333" s="2" t="str">
        <f>"B20230904137"</f>
        <v>B20230904137</v>
      </c>
      <c r="C6333" s="2" t="str">
        <f>"男"</f>
        <v>男</v>
      </c>
      <c r="D6333" s="2" t="str">
        <f>"6"</f>
        <v>6</v>
      </c>
      <c r="E6333" s="2" t="str">
        <f>"经济与管理学院"</f>
        <v>经济与管理学院</v>
      </c>
    </row>
    <row r="6334" ht="13.5" hidden="1" spans="1:5">
      <c r="A6334" s="2" t="str">
        <f>"唐文毅"</f>
        <v>唐文毅</v>
      </c>
      <c r="B6334" s="2" t="str">
        <f>"B20230205127"</f>
        <v>B20230205127</v>
      </c>
      <c r="C6334" s="2" t="str">
        <f>"男"</f>
        <v>男</v>
      </c>
      <c r="D6334" s="2" t="str">
        <f>"6"</f>
        <v>6</v>
      </c>
      <c r="E6334" s="2" t="str">
        <f>"机电工程学院"</f>
        <v>机电工程学院</v>
      </c>
    </row>
    <row r="6335" ht="13.5" hidden="1" spans="1:5">
      <c r="A6335" s="2" t="str">
        <f>"王玛丽"</f>
        <v>王玛丽</v>
      </c>
      <c r="B6335" s="2" t="str">
        <f>"B20230801328"</f>
        <v>B20230801328</v>
      </c>
      <c r="C6335" s="2" t="str">
        <f>"女"</f>
        <v>女</v>
      </c>
      <c r="D6335" s="2" t="str">
        <f>"6"</f>
        <v>6</v>
      </c>
      <c r="E6335" s="2" t="str">
        <f>"外国语学院"</f>
        <v>外国语学院</v>
      </c>
    </row>
    <row r="6336" ht="13.5" hidden="1" spans="1:5">
      <c r="A6336" s="2" t="str">
        <f>"陈倩怡"</f>
        <v>陈倩怡</v>
      </c>
      <c r="B6336" s="2" t="str">
        <f>"B20210902107"</f>
        <v>B20210902107</v>
      </c>
      <c r="C6336" s="2" t="str">
        <f>"女"</f>
        <v>女</v>
      </c>
      <c r="D6336" s="2" t="str">
        <f>"6"</f>
        <v>6</v>
      </c>
      <c r="E6336" s="2" t="str">
        <f>"经济与管理学院"</f>
        <v>经济与管理学院</v>
      </c>
    </row>
    <row r="6337" ht="13.5" hidden="1" spans="1:5">
      <c r="A6337" s="2" t="str">
        <f>"邓文强"</f>
        <v>邓文强</v>
      </c>
      <c r="B6337" s="2" t="str">
        <f>"B20210401129"</f>
        <v>B20210401129</v>
      </c>
      <c r="C6337" s="2" t="str">
        <f t="shared" ref="C6337:C6344" si="1605">"男"</f>
        <v>男</v>
      </c>
      <c r="D6337" s="2" t="str">
        <f>"6"</f>
        <v>6</v>
      </c>
      <c r="E6337" s="2" t="str">
        <f t="shared" ref="E6337:E6342" si="1606">"电子信息与电气工程学院"</f>
        <v>电子信息与电气工程学院</v>
      </c>
    </row>
    <row r="6338" ht="13.5" hidden="1" spans="1:5">
      <c r="A6338" s="2" t="str">
        <f>"谢婧婷"</f>
        <v>谢婧婷</v>
      </c>
      <c r="B6338" s="2" t="str">
        <f>"B20220801319"</f>
        <v>B20220801319</v>
      </c>
      <c r="C6338" s="2" t="str">
        <f t="shared" ref="C6338:C6341" si="1607">"女"</f>
        <v>女</v>
      </c>
      <c r="D6338" s="2" t="str">
        <f>"6"</f>
        <v>6</v>
      </c>
      <c r="E6338" s="2" t="str">
        <f>"外国语学院"</f>
        <v>外国语学院</v>
      </c>
    </row>
    <row r="6339" ht="13.5" hidden="1" spans="1:5">
      <c r="A6339" s="2" t="str">
        <f>"赵子慧"</f>
        <v>赵子慧</v>
      </c>
      <c r="B6339" s="2" t="str">
        <f>"B20220905134"</f>
        <v>B20220905134</v>
      </c>
      <c r="C6339" s="2" t="str">
        <f t="shared" si="1607"/>
        <v>女</v>
      </c>
      <c r="D6339" s="2" t="str">
        <f>"6"</f>
        <v>6</v>
      </c>
      <c r="E6339" s="2" t="str">
        <f>"经济与管理学院"</f>
        <v>经济与管理学院</v>
      </c>
    </row>
    <row r="6340" ht="13.5" hidden="1" spans="1:5">
      <c r="A6340" s="2" t="str">
        <f>"伍可"</f>
        <v>伍可</v>
      </c>
      <c r="B6340" s="2" t="str">
        <f>"B20230401431"</f>
        <v>B20230401431</v>
      </c>
      <c r="C6340" s="2" t="str">
        <f t="shared" si="1605"/>
        <v>男</v>
      </c>
      <c r="D6340" s="2" t="str">
        <f>"6"</f>
        <v>6</v>
      </c>
      <c r="E6340" s="2" t="str">
        <f t="shared" si="1606"/>
        <v>电子信息与电气工程学院</v>
      </c>
    </row>
    <row r="6341" ht="13.5" hidden="1" spans="1:5">
      <c r="A6341" s="2" t="str">
        <f>"蒋佳"</f>
        <v>蒋佳</v>
      </c>
      <c r="B6341" s="2" t="str">
        <f>"B20221111114"</f>
        <v>B20221111114</v>
      </c>
      <c r="C6341" s="2" t="str">
        <f t="shared" si="1607"/>
        <v>女</v>
      </c>
      <c r="D6341" s="2" t="str">
        <f>"6"</f>
        <v>6</v>
      </c>
      <c r="E6341" s="2" t="str">
        <f>"音乐学院"</f>
        <v>音乐学院</v>
      </c>
    </row>
    <row r="6342" ht="13.5" hidden="1" spans="1:5">
      <c r="A6342" s="2" t="str">
        <f>"彭舜泓"</f>
        <v>彭舜泓</v>
      </c>
      <c r="B6342" s="2" t="str">
        <f>"B20200403208"</f>
        <v>B20200403208</v>
      </c>
      <c r="C6342" s="2" t="str">
        <f t="shared" si="1605"/>
        <v>男</v>
      </c>
      <c r="D6342" s="2" t="str">
        <f>"6"</f>
        <v>6</v>
      </c>
      <c r="E6342" s="2" t="str">
        <f t="shared" si="1606"/>
        <v>电子信息与电气工程学院</v>
      </c>
    </row>
    <row r="6343" ht="13.5" hidden="1" spans="1:5">
      <c r="A6343" s="2" t="str">
        <f>"马明达"</f>
        <v>马明达</v>
      </c>
      <c r="B6343" s="2" t="str">
        <f>"B20230901136"</f>
        <v>B20230901136</v>
      </c>
      <c r="C6343" s="2" t="str">
        <f t="shared" si="1605"/>
        <v>男</v>
      </c>
      <c r="D6343" s="2" t="str">
        <f>"6"</f>
        <v>6</v>
      </c>
      <c r="E6343" s="2" t="str">
        <f>"经济与管理学院"</f>
        <v>经济与管理学院</v>
      </c>
    </row>
    <row r="6344" ht="13.5" hidden="1" spans="1:5">
      <c r="A6344" s="2" t="str">
        <f>"何志轩"</f>
        <v>何志轩</v>
      </c>
      <c r="B6344" s="2" t="str">
        <f>"B20230202102"</f>
        <v>B20230202102</v>
      </c>
      <c r="C6344" s="2" t="str">
        <f t="shared" si="1605"/>
        <v>男</v>
      </c>
      <c r="D6344" s="2" t="str">
        <f>"6"</f>
        <v>6</v>
      </c>
      <c r="E6344" s="2" t="str">
        <f>"机电工程学院"</f>
        <v>机电工程学院</v>
      </c>
    </row>
    <row r="6345" ht="13.5" hidden="1" spans="1:5">
      <c r="A6345" s="2" t="str">
        <f>"廖如初"</f>
        <v>廖如初</v>
      </c>
      <c r="B6345" s="2" t="str">
        <f>"B20221111208"</f>
        <v>B20221111208</v>
      </c>
      <c r="C6345" s="2" t="str">
        <f>"女"</f>
        <v>女</v>
      </c>
      <c r="D6345" s="2" t="str">
        <f>"6"</f>
        <v>6</v>
      </c>
      <c r="E6345" s="2" t="str">
        <f>"音乐学院"</f>
        <v>音乐学院</v>
      </c>
    </row>
    <row r="6346" ht="13.5" hidden="1" spans="1:5">
      <c r="A6346" s="2" t="str">
        <f>"张妙"</f>
        <v>张妙</v>
      </c>
      <c r="B6346" s="2" t="str">
        <f>"B20230702225"</f>
        <v>B20230702225</v>
      </c>
      <c r="C6346" s="2" t="str">
        <f>"女"</f>
        <v>女</v>
      </c>
      <c r="D6346" s="2" t="str">
        <f>"6"</f>
        <v>6</v>
      </c>
      <c r="E6346" s="2" t="str">
        <f>"马栏山新媒体学院"</f>
        <v>马栏山新媒体学院</v>
      </c>
    </row>
    <row r="6347" ht="13.5" hidden="1" spans="1:5">
      <c r="A6347" s="2" t="str">
        <f>"彭博"</f>
        <v>彭博</v>
      </c>
      <c r="B6347" s="2" t="str">
        <f>"B20230201322"</f>
        <v>B20230201322</v>
      </c>
      <c r="C6347" s="2" t="str">
        <f>"男"</f>
        <v>男</v>
      </c>
      <c r="D6347" s="2" t="str">
        <f>"6"</f>
        <v>6</v>
      </c>
      <c r="E6347" s="2" t="str">
        <f>"机电工程学院"</f>
        <v>机电工程学院</v>
      </c>
    </row>
    <row r="6348" ht="13.5" hidden="1" spans="1:5">
      <c r="A6348" s="2" t="str">
        <f>"朱燕芳"</f>
        <v>朱燕芳</v>
      </c>
      <c r="B6348" s="2" t="str">
        <f>"B20210801420"</f>
        <v>B20210801420</v>
      </c>
      <c r="C6348" s="2" t="str">
        <f>"女"</f>
        <v>女</v>
      </c>
      <c r="D6348" s="2" t="str">
        <f>"6"</f>
        <v>6</v>
      </c>
      <c r="E6348" s="2" t="str">
        <f>"外国语学院"</f>
        <v>外国语学院</v>
      </c>
    </row>
    <row r="6349" ht="13.5" hidden="1" spans="1:5">
      <c r="A6349" s="2" t="str">
        <f>"周娜"</f>
        <v>周娜</v>
      </c>
      <c r="B6349" s="2" t="str">
        <f>"B20230903202"</f>
        <v>B20230903202</v>
      </c>
      <c r="C6349" s="2" t="str">
        <f>"女"</f>
        <v>女</v>
      </c>
      <c r="D6349" s="2" t="str">
        <f>"6"</f>
        <v>6</v>
      </c>
      <c r="E6349" s="2" t="str">
        <f>"经济与管理学院"</f>
        <v>经济与管理学院</v>
      </c>
    </row>
    <row r="6350" ht="13.5" hidden="1" spans="1:5">
      <c r="A6350" s="2" t="str">
        <f>"曾维桥"</f>
        <v>曾维桥</v>
      </c>
      <c r="B6350" s="2" t="str">
        <f>"B20230904106"</f>
        <v>B20230904106</v>
      </c>
      <c r="C6350" s="2" t="str">
        <f>"男"</f>
        <v>男</v>
      </c>
      <c r="D6350" s="2" t="str">
        <f>"6"</f>
        <v>6</v>
      </c>
      <c r="E6350" s="2" t="str">
        <f>"经济与管理学院"</f>
        <v>经济与管理学院</v>
      </c>
    </row>
    <row r="6351" ht="13.5" hidden="1" spans="1:5">
      <c r="A6351" s="2" t="str">
        <f>"刘振雄"</f>
        <v>刘振雄</v>
      </c>
      <c r="B6351" s="2" t="str">
        <f>"B20230404127"</f>
        <v>B20230404127</v>
      </c>
      <c r="C6351" s="2" t="str">
        <f>"男"</f>
        <v>男</v>
      </c>
      <c r="D6351" s="2" t="str">
        <f>"6"</f>
        <v>6</v>
      </c>
      <c r="E6351" s="2" t="str">
        <f>"电子信息与电气工程学院"</f>
        <v>电子信息与电气工程学院</v>
      </c>
    </row>
    <row r="6352" ht="13.5" hidden="1" spans="1:5">
      <c r="A6352" s="2" t="str">
        <f>"吴景如"</f>
        <v>吴景如</v>
      </c>
      <c r="B6352" s="2" t="str">
        <f>"B20220504331"</f>
        <v>B20220504331</v>
      </c>
      <c r="C6352" s="2" t="str">
        <f>"女"</f>
        <v>女</v>
      </c>
      <c r="D6352" s="2" t="str">
        <f>"6"</f>
        <v>6</v>
      </c>
      <c r="E6352" s="2" t="str">
        <f>"生物与化学工程学院"</f>
        <v>生物与化学工程学院</v>
      </c>
    </row>
    <row r="6353" ht="13.5" hidden="1" spans="1:5">
      <c r="A6353" s="2" t="str">
        <f>"王玉凌"</f>
        <v>王玉凌</v>
      </c>
      <c r="B6353" s="2" t="str">
        <f>"B20230601228"</f>
        <v>B20230601228</v>
      </c>
      <c r="C6353" s="2" t="str">
        <f>"女"</f>
        <v>女</v>
      </c>
      <c r="D6353" s="2" t="str">
        <f>"6"</f>
        <v>6</v>
      </c>
      <c r="E6353" s="2" t="str">
        <f>"法学院"</f>
        <v>法学院</v>
      </c>
    </row>
    <row r="6354" ht="13.5" hidden="1" spans="1:5">
      <c r="A6354" s="2" t="str">
        <f>"陈文杰"</f>
        <v>陈文杰</v>
      </c>
      <c r="B6354" s="2" t="str">
        <f>"B20230402329"</f>
        <v>B20230402329</v>
      </c>
      <c r="C6354" s="2" t="str">
        <f>"男"</f>
        <v>男</v>
      </c>
      <c r="D6354" s="2" t="str">
        <f>"6"</f>
        <v>6</v>
      </c>
      <c r="E6354" s="2" t="str">
        <f>"电子信息与电气工程学院"</f>
        <v>电子信息与电气工程学院</v>
      </c>
    </row>
    <row r="6355" ht="13.5" hidden="1" spans="1:5">
      <c r="A6355" s="2" t="str">
        <f>"郑倩婷"</f>
        <v>郑倩婷</v>
      </c>
      <c r="B6355" s="2" t="str">
        <f>"B20220502211"</f>
        <v>B20220502211</v>
      </c>
      <c r="C6355" s="2" t="str">
        <f t="shared" ref="C6355:C6358" si="1608">"女"</f>
        <v>女</v>
      </c>
      <c r="D6355" s="2" t="str">
        <f>"6"</f>
        <v>6</v>
      </c>
      <c r="E6355" s="2" t="str">
        <f>"生物与化学工程学院"</f>
        <v>生物与化学工程学院</v>
      </c>
    </row>
    <row r="6356" ht="13.5" hidden="1" spans="1:5">
      <c r="A6356" s="2" t="str">
        <f>"沈旭"</f>
        <v>沈旭</v>
      </c>
      <c r="B6356" s="2" t="str">
        <f>"B20221302121"</f>
        <v>B20221302121</v>
      </c>
      <c r="C6356" s="2" t="str">
        <f t="shared" si="1608"/>
        <v>女</v>
      </c>
      <c r="D6356" s="2" t="str">
        <f>"6"</f>
        <v>6</v>
      </c>
      <c r="E6356" s="2" t="str">
        <f>"材料与环境工程学院"</f>
        <v>材料与环境工程学院</v>
      </c>
    </row>
    <row r="6357" ht="13.5" hidden="1" spans="1:5">
      <c r="A6357" s="2" t="str">
        <f>"许晨曦"</f>
        <v>许晨曦</v>
      </c>
      <c r="B6357" s="2" t="str">
        <f>"B20220901314"</f>
        <v>B20220901314</v>
      </c>
      <c r="C6357" s="2" t="str">
        <f t="shared" si="1608"/>
        <v>女</v>
      </c>
      <c r="D6357" s="2" t="str">
        <f>"6"</f>
        <v>6</v>
      </c>
      <c r="E6357" s="2" t="str">
        <f>"经济与管理学院"</f>
        <v>经济与管理学院</v>
      </c>
    </row>
    <row r="6358" ht="13.5" hidden="1" spans="1:5">
      <c r="A6358" s="2" t="str">
        <f>"沈家苗"</f>
        <v>沈家苗</v>
      </c>
      <c r="B6358" s="2" t="str">
        <f>"B20211002101"</f>
        <v>B20211002101</v>
      </c>
      <c r="C6358" s="2" t="str">
        <f t="shared" si="1608"/>
        <v>女</v>
      </c>
      <c r="D6358" s="2" t="str">
        <f>"6"</f>
        <v>6</v>
      </c>
      <c r="E6358" s="2" t="str">
        <f>"艺术设计学院"</f>
        <v>艺术设计学院</v>
      </c>
    </row>
    <row r="6359" ht="13.5" hidden="1" spans="1:5">
      <c r="A6359" s="2" t="str">
        <f>"周嘉涵"</f>
        <v>周嘉涵</v>
      </c>
      <c r="B6359" s="2" t="str">
        <f>"B20230504312"</f>
        <v>B20230504312</v>
      </c>
      <c r="C6359" s="2" t="str">
        <f>"男"</f>
        <v>男</v>
      </c>
      <c r="D6359" s="2" t="str">
        <f>"6"</f>
        <v>6</v>
      </c>
      <c r="E6359" s="2" t="str">
        <f>"生物与化学工程学院"</f>
        <v>生物与化学工程学院</v>
      </c>
    </row>
    <row r="6360" ht="13.5" hidden="1" spans="1:5">
      <c r="A6360" s="2" t="str">
        <f>"唐震霆"</f>
        <v>唐震霆</v>
      </c>
      <c r="B6360" s="2" t="str">
        <f>"B20210906236"</f>
        <v>B20210906236</v>
      </c>
      <c r="C6360" s="2" t="str">
        <f>"男"</f>
        <v>男</v>
      </c>
      <c r="D6360" s="2" t="str">
        <f>"6"</f>
        <v>6</v>
      </c>
      <c r="E6360" s="2" t="str">
        <f>"经济与管理学院"</f>
        <v>经济与管理学院</v>
      </c>
    </row>
    <row r="6361" ht="13.5" hidden="1" spans="1:5">
      <c r="A6361" s="2" t="str">
        <f>"刘弘丽"</f>
        <v>刘弘丽</v>
      </c>
      <c r="B6361" s="2" t="str">
        <f>"B20231001119"</f>
        <v>B20231001119</v>
      </c>
      <c r="C6361" s="2" t="str">
        <f>"女"</f>
        <v>女</v>
      </c>
      <c r="D6361" s="2" t="str">
        <f>"6"</f>
        <v>6</v>
      </c>
      <c r="E6361" s="2" t="str">
        <f>"艺术设计学院"</f>
        <v>艺术设计学院</v>
      </c>
    </row>
    <row r="6362" ht="13.5" hidden="1" spans="1:5">
      <c r="A6362" s="2" t="str">
        <f>"沈晴"</f>
        <v>沈晴</v>
      </c>
      <c r="B6362" s="2" t="str">
        <f>"B20200701212"</f>
        <v>B20200701212</v>
      </c>
      <c r="C6362" s="2" t="str">
        <f>"女"</f>
        <v>女</v>
      </c>
      <c r="D6362" s="2" t="str">
        <f>"6"</f>
        <v>6</v>
      </c>
      <c r="E6362" s="2" t="str">
        <f>"马栏山新媒体学院"</f>
        <v>马栏山新媒体学院</v>
      </c>
    </row>
    <row r="6363" ht="13.5" hidden="1" spans="1:5">
      <c r="A6363" s="2" t="str">
        <f>"赵潇卓"</f>
        <v>赵潇卓</v>
      </c>
      <c r="B6363" s="2" t="str">
        <f>"B20230501207"</f>
        <v>B20230501207</v>
      </c>
      <c r="C6363" s="2" t="str">
        <f>"男"</f>
        <v>男</v>
      </c>
      <c r="D6363" s="2" t="str">
        <f>"6"</f>
        <v>6</v>
      </c>
      <c r="E6363" s="2" t="str">
        <f>"生物与化学工程学院"</f>
        <v>生物与化学工程学院</v>
      </c>
    </row>
    <row r="6364" ht="13.5" hidden="1" spans="1:5">
      <c r="A6364" s="2" t="str">
        <f>"王哲"</f>
        <v>王哲</v>
      </c>
      <c r="B6364" s="2" t="str">
        <f>"B20230702418"</f>
        <v>B20230702418</v>
      </c>
      <c r="C6364" s="2" t="str">
        <f>"男"</f>
        <v>男</v>
      </c>
      <c r="D6364" s="2" t="str">
        <f>"6"</f>
        <v>6</v>
      </c>
      <c r="E6364" s="2" t="str">
        <f>"马栏山新媒体学院"</f>
        <v>马栏山新媒体学院</v>
      </c>
    </row>
    <row r="6365" ht="13.5" hidden="1" spans="1:5">
      <c r="A6365" s="2" t="str">
        <f>"毛恺峰"</f>
        <v>毛恺峰</v>
      </c>
      <c r="B6365" s="2" t="str">
        <f>"B20230504119"</f>
        <v>B20230504119</v>
      </c>
      <c r="C6365" s="2" t="str">
        <f>"男"</f>
        <v>男</v>
      </c>
      <c r="D6365" s="2" t="str">
        <f>"6"</f>
        <v>6</v>
      </c>
      <c r="E6365" s="2" t="str">
        <f>"生物与化学工程学院"</f>
        <v>生物与化学工程学院</v>
      </c>
    </row>
    <row r="6366" ht="13.5" hidden="1" spans="1:5">
      <c r="A6366" s="2" t="str">
        <f>"曹睿"</f>
        <v>曹睿</v>
      </c>
      <c r="B6366" s="2" t="str">
        <f>"B20210503226"</f>
        <v>B20210503226</v>
      </c>
      <c r="C6366" s="2" t="str">
        <f>"男"</f>
        <v>男</v>
      </c>
      <c r="D6366" s="2" t="str">
        <f t="shared" ref="D6366:D6384" si="1609">"6"</f>
        <v>6</v>
      </c>
      <c r="E6366" s="2" t="str">
        <f>"材料与环境工程学院"</f>
        <v>材料与环境工程学院</v>
      </c>
    </row>
    <row r="6367" ht="13.5" hidden="1" spans="1:5">
      <c r="A6367" s="2" t="str">
        <f>"宋梦玲"</f>
        <v>宋梦玲</v>
      </c>
      <c r="B6367" s="2" t="str">
        <f>"B20230504316"</f>
        <v>B20230504316</v>
      </c>
      <c r="C6367" s="2" t="str">
        <f t="shared" ref="C6367:C6370" si="1610">"女"</f>
        <v>女</v>
      </c>
      <c r="D6367" s="2" t="str">
        <f t="shared" si="1609"/>
        <v>6</v>
      </c>
      <c r="E6367" s="2" t="str">
        <f>"生物与化学工程学院"</f>
        <v>生物与化学工程学院</v>
      </c>
    </row>
    <row r="6368" ht="13.5" hidden="1" spans="1:5">
      <c r="A6368" s="2" t="str">
        <f>"成然"</f>
        <v>成然</v>
      </c>
      <c r="B6368" s="2" t="str">
        <f>"B20200502208"</f>
        <v>B20200502208</v>
      </c>
      <c r="C6368" s="2" t="str">
        <f t="shared" si="1610"/>
        <v>女</v>
      </c>
      <c r="D6368" s="2" t="str">
        <f t="shared" si="1609"/>
        <v>6</v>
      </c>
      <c r="E6368" s="2" t="str">
        <f>"生物与环境工程学院"</f>
        <v>生物与环境工程学院</v>
      </c>
    </row>
    <row r="6369" ht="13.5" hidden="1" spans="1:5">
      <c r="A6369" s="2" t="str">
        <f>"肖晟东"</f>
        <v>肖晟东</v>
      </c>
      <c r="B6369" s="2" t="str">
        <f>"B20230403117"</f>
        <v>B20230403117</v>
      </c>
      <c r="C6369" s="2" t="str">
        <f>"男"</f>
        <v>男</v>
      </c>
      <c r="D6369" s="2" t="str">
        <f t="shared" si="1609"/>
        <v>6</v>
      </c>
      <c r="E6369" s="2" t="str">
        <f>"电子信息与电气工程学院"</f>
        <v>电子信息与电气工程学院</v>
      </c>
    </row>
    <row r="6370" ht="13.5" hidden="1" spans="1:5">
      <c r="A6370" s="2" t="str">
        <f>"许艺萱"</f>
        <v>许艺萱</v>
      </c>
      <c r="B6370" s="2" t="str">
        <f>"B20230702314"</f>
        <v>B20230702314</v>
      </c>
      <c r="C6370" s="2" t="str">
        <f t="shared" si="1610"/>
        <v>女</v>
      </c>
      <c r="D6370" s="2" t="str">
        <f t="shared" si="1609"/>
        <v>6</v>
      </c>
      <c r="E6370" s="2" t="str">
        <f t="shared" ref="E6370:E6375" si="1611">"马栏山新媒体学院"</f>
        <v>马栏山新媒体学院</v>
      </c>
    </row>
    <row r="6371" ht="13.5" hidden="1" spans="1:5">
      <c r="A6371" s="2" t="str">
        <f>"尹琦洋"</f>
        <v>尹琦洋</v>
      </c>
      <c r="B6371" s="2" t="str">
        <f>"B20230701412"</f>
        <v>B20230701412</v>
      </c>
      <c r="C6371" s="2" t="str">
        <f>"男"</f>
        <v>男</v>
      </c>
      <c r="D6371" s="2" t="str">
        <f t="shared" si="1609"/>
        <v>6</v>
      </c>
      <c r="E6371" s="2" t="str">
        <f t="shared" si="1611"/>
        <v>马栏山新媒体学院</v>
      </c>
    </row>
    <row r="6372" ht="13.5" hidden="1" spans="1:5">
      <c r="A6372" s="2" t="str">
        <f>"陈依瞳"</f>
        <v>陈依瞳</v>
      </c>
      <c r="B6372" s="2" t="str">
        <f>"B20211004210"</f>
        <v>B20211004210</v>
      </c>
      <c r="C6372" s="2" t="str">
        <f t="shared" ref="C6372:C6376" si="1612">"女"</f>
        <v>女</v>
      </c>
      <c r="D6372" s="2" t="str">
        <f t="shared" si="1609"/>
        <v>6</v>
      </c>
      <c r="E6372" s="2" t="str">
        <f>"艺术设计学院"</f>
        <v>艺术设计学院</v>
      </c>
    </row>
    <row r="6373" ht="13.5" hidden="1" spans="1:5">
      <c r="A6373" s="2" t="str">
        <f>"纪林静"</f>
        <v>纪林静</v>
      </c>
      <c r="B6373" s="2" t="str">
        <f>"B20210203125"</f>
        <v>B20210203125</v>
      </c>
      <c r="C6373" s="2" t="str">
        <f t="shared" si="1612"/>
        <v>女</v>
      </c>
      <c r="D6373" s="2" t="str">
        <f t="shared" si="1609"/>
        <v>6</v>
      </c>
      <c r="E6373" s="2" t="str">
        <f>"机电工程学院"</f>
        <v>机电工程学院</v>
      </c>
    </row>
    <row r="6374" ht="13.5" hidden="1" spans="1:5">
      <c r="A6374" s="2" t="str">
        <f>"邱添"</f>
        <v>邱添</v>
      </c>
      <c r="B6374" s="2" t="str">
        <f>"B20220802135"</f>
        <v>B20220802135</v>
      </c>
      <c r="C6374" s="2" t="str">
        <f t="shared" si="1612"/>
        <v>女</v>
      </c>
      <c r="D6374" s="2" t="str">
        <f t="shared" si="1609"/>
        <v>6</v>
      </c>
      <c r="E6374" s="2" t="str">
        <f>"外国语学院"</f>
        <v>外国语学院</v>
      </c>
    </row>
    <row r="6375" ht="13.5" hidden="1" spans="1:5">
      <c r="A6375" s="2" t="str">
        <f>"欧慧萍"</f>
        <v>欧慧萍</v>
      </c>
      <c r="B6375" s="2" t="str">
        <f>"B20200702102"</f>
        <v>B20200702102</v>
      </c>
      <c r="C6375" s="2" t="str">
        <f t="shared" si="1612"/>
        <v>女</v>
      </c>
      <c r="D6375" s="2" t="str">
        <f t="shared" si="1609"/>
        <v>6</v>
      </c>
      <c r="E6375" s="2" t="str">
        <f t="shared" si="1611"/>
        <v>马栏山新媒体学院</v>
      </c>
    </row>
    <row r="6376" ht="13.5" hidden="1" spans="1:5">
      <c r="A6376" s="2" t="str">
        <f>"代微"</f>
        <v>代微</v>
      </c>
      <c r="B6376" s="2" t="str">
        <f>"B20201002312"</f>
        <v>B20201002312</v>
      </c>
      <c r="C6376" s="2" t="str">
        <f t="shared" si="1612"/>
        <v>女</v>
      </c>
      <c r="D6376" s="2" t="str">
        <f t="shared" si="1609"/>
        <v>6</v>
      </c>
      <c r="E6376" s="2" t="str">
        <f>"艺术设计学院"</f>
        <v>艺术设计学院</v>
      </c>
    </row>
    <row r="6377" ht="13.5" hidden="1" spans="1:5">
      <c r="A6377" s="2" t="str">
        <f>"周漩"</f>
        <v>周漩</v>
      </c>
      <c r="B6377" s="2" t="str">
        <f>"B20210103225"</f>
        <v>B20210103225</v>
      </c>
      <c r="C6377" s="2" t="str">
        <f>"男"</f>
        <v>男</v>
      </c>
      <c r="D6377" s="2" t="str">
        <f t="shared" si="1609"/>
        <v>6</v>
      </c>
      <c r="E6377" s="2" t="str">
        <f>"土木工程学院"</f>
        <v>土木工程学院</v>
      </c>
    </row>
    <row r="6378" ht="13.5" hidden="1" spans="1:5">
      <c r="A6378" s="2" t="str">
        <f>"孙玉文"</f>
        <v>孙玉文</v>
      </c>
      <c r="B6378" s="2" t="str">
        <f>"B20201002114"</f>
        <v>B20201002114</v>
      </c>
      <c r="C6378" s="2" t="str">
        <f t="shared" ref="C6378:C6383" si="1613">"女"</f>
        <v>女</v>
      </c>
      <c r="D6378" s="2" t="str">
        <f t="shared" si="1609"/>
        <v>6</v>
      </c>
      <c r="E6378" s="2" t="str">
        <f>"艺术设计学院"</f>
        <v>艺术设计学院</v>
      </c>
    </row>
    <row r="6379" ht="13.5" hidden="1" spans="1:5">
      <c r="A6379" s="2" t="str">
        <f>"程奥"</f>
        <v>程奥</v>
      </c>
      <c r="B6379" s="2" t="str">
        <f>"B20200904223"</f>
        <v>B20200904223</v>
      </c>
      <c r="C6379" s="2" t="str">
        <f>"男"</f>
        <v>男</v>
      </c>
      <c r="D6379" s="2" t="str">
        <f t="shared" si="1609"/>
        <v>6</v>
      </c>
      <c r="E6379" s="2" t="str">
        <f>"经济与管理学院"</f>
        <v>经济与管理学院</v>
      </c>
    </row>
    <row r="6380" ht="13.5" hidden="1" spans="1:5">
      <c r="A6380" s="2" t="str">
        <f>"雷狄桦"</f>
        <v>雷狄桦</v>
      </c>
      <c r="B6380" s="2" t="str">
        <f>"B20200704120"</f>
        <v>B20200704120</v>
      </c>
      <c r="C6380" s="2" t="str">
        <f t="shared" si="1613"/>
        <v>女</v>
      </c>
      <c r="D6380" s="2" t="str">
        <f t="shared" si="1609"/>
        <v>6</v>
      </c>
      <c r="E6380" s="2" t="str">
        <f>"马栏山新媒体学院"</f>
        <v>马栏山新媒体学院</v>
      </c>
    </row>
    <row r="6381" ht="13.5" hidden="1" spans="1:5">
      <c r="A6381" s="2" t="str">
        <f>"莫汐"</f>
        <v>莫汐</v>
      </c>
      <c r="B6381" s="2" t="str">
        <f>"B20230601126"</f>
        <v>B20230601126</v>
      </c>
      <c r="C6381" s="2" t="str">
        <f t="shared" si="1613"/>
        <v>女</v>
      </c>
      <c r="D6381" s="2" t="str">
        <f t="shared" si="1609"/>
        <v>6</v>
      </c>
      <c r="E6381" s="2" t="str">
        <f>"法学院"</f>
        <v>法学院</v>
      </c>
    </row>
    <row r="6382" ht="13.5" hidden="1" spans="1:5">
      <c r="A6382" s="2" t="str">
        <f>"彭景芳"</f>
        <v>彭景芳</v>
      </c>
      <c r="B6382" s="2" t="str">
        <f>"B20220502116"</f>
        <v>B20220502116</v>
      </c>
      <c r="C6382" s="2" t="str">
        <f t="shared" si="1613"/>
        <v>女</v>
      </c>
      <c r="D6382" s="2" t="str">
        <f t="shared" si="1609"/>
        <v>6</v>
      </c>
      <c r="E6382" s="2" t="str">
        <f t="shared" ref="E6382:E6386" si="1614">"生物与化学工程学院"</f>
        <v>生物与化学工程学院</v>
      </c>
    </row>
    <row r="6383" ht="13.5" hidden="1" spans="1:5">
      <c r="A6383" s="2" t="str">
        <f>"郭广邑"</f>
        <v>郭广邑</v>
      </c>
      <c r="B6383" s="2" t="str">
        <f>"B20211101108"</f>
        <v>B20211101108</v>
      </c>
      <c r="C6383" s="2" t="str">
        <f t="shared" si="1613"/>
        <v>女</v>
      </c>
      <c r="D6383" s="2" t="str">
        <f t="shared" si="1609"/>
        <v>6</v>
      </c>
      <c r="E6383" s="2" t="str">
        <f>"音乐学院"</f>
        <v>音乐学院</v>
      </c>
    </row>
    <row r="6384" ht="13.5" hidden="1" spans="1:5">
      <c r="A6384" s="2" t="str">
        <f>"邱松林"</f>
        <v>邱松林</v>
      </c>
      <c r="B6384" s="2" t="str">
        <f>"B20210401115"</f>
        <v>B20210401115</v>
      </c>
      <c r="C6384" s="2" t="str">
        <f>"男"</f>
        <v>男</v>
      </c>
      <c r="D6384" s="2" t="str">
        <f t="shared" si="1609"/>
        <v>6</v>
      </c>
      <c r="E6384" s="2" t="str">
        <f>"电子信息与电气工程学院"</f>
        <v>电子信息与电气工程学院</v>
      </c>
    </row>
    <row r="6385" ht="13.5" hidden="1" spans="1:5">
      <c r="A6385" s="2" t="str">
        <f>"雷雨薇"</f>
        <v>雷雨薇</v>
      </c>
      <c r="B6385" s="2" t="str">
        <f>"B20220504314"</f>
        <v>B20220504314</v>
      </c>
      <c r="C6385" s="2" t="str">
        <f t="shared" ref="C6385:C6389" si="1615">"女"</f>
        <v>女</v>
      </c>
      <c r="D6385" s="2" t="str">
        <f>"6"</f>
        <v>6</v>
      </c>
      <c r="E6385" s="2" t="str">
        <f t="shared" si="1614"/>
        <v>生物与化学工程学院</v>
      </c>
    </row>
    <row r="6386" ht="13.5" hidden="1" spans="1:5">
      <c r="A6386" s="2" t="str">
        <f>"胡紫轩"</f>
        <v>胡紫轩</v>
      </c>
      <c r="B6386" s="2" t="str">
        <f>"B20220504322"</f>
        <v>B20220504322</v>
      </c>
      <c r="C6386" s="2" t="str">
        <f t="shared" si="1615"/>
        <v>女</v>
      </c>
      <c r="D6386" s="2" t="str">
        <f>"6"</f>
        <v>6</v>
      </c>
      <c r="E6386" s="2" t="str">
        <f t="shared" si="1614"/>
        <v>生物与化学工程学院</v>
      </c>
    </row>
    <row r="6387" ht="13.5" hidden="1" spans="1:5">
      <c r="A6387" s="2" t="str">
        <f>"卢柳伊"</f>
        <v>卢柳伊</v>
      </c>
      <c r="B6387" s="2" t="str">
        <f>"B20220902133"</f>
        <v>B20220902133</v>
      </c>
      <c r="C6387" s="2" t="str">
        <f t="shared" si="1615"/>
        <v>女</v>
      </c>
      <c r="D6387" s="2" t="str">
        <f>"6"</f>
        <v>6</v>
      </c>
      <c r="E6387" s="2" t="str">
        <f>"经济与管理学院"</f>
        <v>经济与管理学院</v>
      </c>
    </row>
    <row r="6388" ht="13.5" hidden="1" spans="1:5">
      <c r="A6388" s="2" t="str">
        <f>"温雨歆"</f>
        <v>温雨歆</v>
      </c>
      <c r="B6388" s="2" t="str">
        <f>"B20211004206"</f>
        <v>B20211004206</v>
      </c>
      <c r="C6388" s="2" t="str">
        <f t="shared" si="1615"/>
        <v>女</v>
      </c>
      <c r="D6388" s="2" t="str">
        <f>"6"</f>
        <v>6</v>
      </c>
      <c r="E6388" s="2" t="str">
        <f>"艺术设计学院"</f>
        <v>艺术设计学院</v>
      </c>
    </row>
    <row r="6389" ht="13.5" hidden="1" spans="1:5">
      <c r="A6389" s="2" t="str">
        <f>"杨紫瑶"</f>
        <v>杨紫瑶</v>
      </c>
      <c r="B6389" s="2" t="str">
        <f>"B20210904331"</f>
        <v>B20210904331</v>
      </c>
      <c r="C6389" s="2" t="str">
        <f t="shared" si="1615"/>
        <v>女</v>
      </c>
      <c r="D6389" s="2" t="str">
        <f>"6"</f>
        <v>6</v>
      </c>
      <c r="E6389" s="2" t="str">
        <f>"经济与管理学院"</f>
        <v>经济与管理学院</v>
      </c>
    </row>
    <row r="6390" ht="13.5" hidden="1" spans="1:5">
      <c r="A6390" s="2" t="str">
        <f>"王莎"</f>
        <v>王莎</v>
      </c>
      <c r="B6390" s="2" t="str">
        <f>"B20221111216"</f>
        <v>B20221111216</v>
      </c>
      <c r="C6390" s="2" t="str">
        <f t="shared" ref="C6390:C6394" si="1616">"女"</f>
        <v>女</v>
      </c>
      <c r="D6390" s="2" t="str">
        <f>"6"</f>
        <v>6</v>
      </c>
      <c r="E6390" s="2" t="str">
        <f>"音乐学院"</f>
        <v>音乐学院</v>
      </c>
    </row>
    <row r="6391" ht="13.5" hidden="1" spans="1:5">
      <c r="A6391" s="2" t="str">
        <f>"路慧宣"</f>
        <v>路慧宣</v>
      </c>
      <c r="B6391" s="2" t="str">
        <f>"B20231111124"</f>
        <v>B20231111124</v>
      </c>
      <c r="C6391" s="2" t="str">
        <f t="shared" si="1616"/>
        <v>女</v>
      </c>
      <c r="D6391" s="2" t="str">
        <f>"6"</f>
        <v>6</v>
      </c>
      <c r="E6391" s="2" t="str">
        <f>"音乐学院"</f>
        <v>音乐学院</v>
      </c>
    </row>
    <row r="6392" ht="13.5" hidden="1" spans="1:5">
      <c r="A6392" s="2" t="str">
        <f>"胡雨娟"</f>
        <v>胡雨娟</v>
      </c>
      <c r="B6392" s="2" t="str">
        <f>"B20210202402"</f>
        <v>B20210202402</v>
      </c>
      <c r="C6392" s="2" t="str">
        <f t="shared" si="1616"/>
        <v>女</v>
      </c>
      <c r="D6392" s="2" t="str">
        <f>"6"</f>
        <v>6</v>
      </c>
      <c r="E6392" s="2" t="str">
        <f>"机电工程学院"</f>
        <v>机电工程学院</v>
      </c>
    </row>
    <row r="6393" ht="13.5" hidden="1" spans="1:5">
      <c r="A6393" s="2" t="str">
        <f>"梅若玲"</f>
        <v>梅若玲</v>
      </c>
      <c r="B6393" s="2" t="str">
        <f>"B20231401121"</f>
        <v>B20231401121</v>
      </c>
      <c r="C6393" s="2" t="str">
        <f t="shared" si="1616"/>
        <v>女</v>
      </c>
      <c r="D6393" s="2" t="str">
        <f>"6"</f>
        <v>6</v>
      </c>
      <c r="E6393" s="2" t="str">
        <f>"马克思主义学院"</f>
        <v>马克思主义学院</v>
      </c>
    </row>
    <row r="6394" ht="13.5" hidden="1" spans="1:5">
      <c r="A6394" s="2" t="str">
        <f>"郭婧宇"</f>
        <v>郭婧宇</v>
      </c>
      <c r="B6394" s="2" t="str">
        <f>"B20210904236"</f>
        <v>B20210904236</v>
      </c>
      <c r="C6394" s="2" t="str">
        <f t="shared" si="1616"/>
        <v>女</v>
      </c>
      <c r="D6394" s="2" t="str">
        <f>"6"</f>
        <v>6</v>
      </c>
      <c r="E6394" s="2" t="str">
        <f>"经济与管理学院"</f>
        <v>经济与管理学院</v>
      </c>
    </row>
    <row r="6395" ht="13.5" hidden="1" spans="1:5">
      <c r="A6395" s="2" t="str">
        <f>"匡源鸿"</f>
        <v>匡源鸿</v>
      </c>
      <c r="B6395" s="2" t="str">
        <f>"B20231302319"</f>
        <v>B20231302319</v>
      </c>
      <c r="C6395" s="2" t="str">
        <f t="shared" ref="C6395:C6400" si="1617">"男"</f>
        <v>男</v>
      </c>
      <c r="D6395" s="2" t="str">
        <f>"6"</f>
        <v>6</v>
      </c>
      <c r="E6395" s="2" t="str">
        <f>"材料与环境工程学院"</f>
        <v>材料与环境工程学院</v>
      </c>
    </row>
    <row r="6396" ht="13.5" hidden="1" spans="1:5">
      <c r="A6396" s="2" t="str">
        <f>"周佳"</f>
        <v>周佳</v>
      </c>
      <c r="B6396" s="2" t="str">
        <f>"B20210901218"</f>
        <v>B20210901218</v>
      </c>
      <c r="C6396" s="2" t="str">
        <f>"女"</f>
        <v>女</v>
      </c>
      <c r="D6396" s="2" t="str">
        <f>"6"</f>
        <v>6</v>
      </c>
      <c r="E6396" s="2" t="str">
        <f>"经济与管理学院"</f>
        <v>经济与管理学院</v>
      </c>
    </row>
    <row r="6397" ht="13.5" hidden="1" spans="1:5">
      <c r="A6397" s="2" t="str">
        <f>"王多"</f>
        <v>王多</v>
      </c>
      <c r="B6397" s="2" t="str">
        <f>"B20210102235"</f>
        <v>B20210102235</v>
      </c>
      <c r="C6397" s="2" t="str">
        <f>"女"</f>
        <v>女</v>
      </c>
      <c r="D6397" s="2" t="str">
        <f>"6"</f>
        <v>6</v>
      </c>
      <c r="E6397" s="2" t="str">
        <f>"土木工程学院"</f>
        <v>土木工程学院</v>
      </c>
    </row>
    <row r="6398" ht="13.5" hidden="1" spans="1:5">
      <c r="A6398" s="2" t="str">
        <f>"谢晃瑜"</f>
        <v>谢晃瑜</v>
      </c>
      <c r="B6398" s="2" t="str">
        <f>"B20220101519"</f>
        <v>B20220101519</v>
      </c>
      <c r="C6398" s="2" t="str">
        <f t="shared" si="1617"/>
        <v>男</v>
      </c>
      <c r="D6398" s="2" t="str">
        <f>"6"</f>
        <v>6</v>
      </c>
      <c r="E6398" s="2" t="str">
        <f>"土木工程学院"</f>
        <v>土木工程学院</v>
      </c>
    </row>
    <row r="6399" ht="13.5" hidden="1" spans="1:5">
      <c r="A6399" s="2" t="str">
        <f>"张胜坤"</f>
        <v>张胜坤</v>
      </c>
      <c r="B6399" s="2" t="str">
        <f>"B20210201302"</f>
        <v>B20210201302</v>
      </c>
      <c r="C6399" s="2" t="str">
        <f t="shared" si="1617"/>
        <v>男</v>
      </c>
      <c r="D6399" s="2" t="str">
        <f>"6"</f>
        <v>6</v>
      </c>
      <c r="E6399" s="2" t="str">
        <f>"机电工程学院"</f>
        <v>机电工程学院</v>
      </c>
    </row>
    <row r="6400" ht="13.5" hidden="1" spans="1:5">
      <c r="A6400" s="2" t="str">
        <f>"赵天铭"</f>
        <v>赵天铭</v>
      </c>
      <c r="B6400" s="2" t="str">
        <f>"B20220202229"</f>
        <v>B20220202229</v>
      </c>
      <c r="C6400" s="2" t="str">
        <f t="shared" si="1617"/>
        <v>男</v>
      </c>
      <c r="D6400" s="2" t="str">
        <f>"6"</f>
        <v>6</v>
      </c>
      <c r="E6400" s="2" t="str">
        <f>"机电工程学院"</f>
        <v>机电工程学院</v>
      </c>
    </row>
    <row r="6401" ht="13.5" hidden="1" spans="1:5">
      <c r="A6401" s="2" t="str">
        <f>"李晨露"</f>
        <v>李晨露</v>
      </c>
      <c r="B6401" s="2" t="str">
        <f>"B20220201229"</f>
        <v>B20220201229</v>
      </c>
      <c r="C6401" s="2" t="str">
        <f>"女"</f>
        <v>女</v>
      </c>
      <c r="D6401" s="2" t="str">
        <f t="shared" ref="D6401:D6446" si="1618">"6"</f>
        <v>6</v>
      </c>
      <c r="E6401" s="2" t="str">
        <f>"机电工程学院"</f>
        <v>机电工程学院</v>
      </c>
    </row>
    <row r="6402" ht="13.5" hidden="1" spans="1:5">
      <c r="A6402" s="2" t="str">
        <f>"郑青林"</f>
        <v>郑青林</v>
      </c>
      <c r="B6402" s="2" t="str">
        <f>"B20230204129"</f>
        <v>B20230204129</v>
      </c>
      <c r="C6402" s="2" t="str">
        <f t="shared" ref="C6402:C6410" si="1619">"男"</f>
        <v>男</v>
      </c>
      <c r="D6402" s="2" t="str">
        <f t="shared" si="1618"/>
        <v>6</v>
      </c>
      <c r="E6402" s="2" t="str">
        <f>"机电工程学院"</f>
        <v>机电工程学院</v>
      </c>
    </row>
    <row r="6403" ht="13.5" hidden="1" spans="1:5">
      <c r="A6403" s="2" t="str">
        <f>"兰征焕"</f>
        <v>兰征焕</v>
      </c>
      <c r="B6403" s="2" t="str">
        <f>"B20200404105"</f>
        <v>B20200404105</v>
      </c>
      <c r="C6403" s="2" t="str">
        <f t="shared" si="1619"/>
        <v>男</v>
      </c>
      <c r="D6403" s="2" t="str">
        <f t="shared" si="1618"/>
        <v>6</v>
      </c>
      <c r="E6403" s="2" t="str">
        <f t="shared" ref="E6403:E6408" si="1620">"电子信息与电气工程学院"</f>
        <v>电子信息与电气工程学院</v>
      </c>
    </row>
    <row r="6404" ht="13.5" hidden="1" spans="1:5">
      <c r="A6404" s="2" t="str">
        <f>"潘子荣"</f>
        <v>潘子荣</v>
      </c>
      <c r="B6404" s="2" t="str">
        <f>"B20220502236"</f>
        <v>B20220502236</v>
      </c>
      <c r="C6404" s="2" t="str">
        <f>"女"</f>
        <v>女</v>
      </c>
      <c r="D6404" s="2" t="str">
        <f t="shared" si="1618"/>
        <v>6</v>
      </c>
      <c r="E6404" s="2" t="str">
        <f>"生物与化学工程学院"</f>
        <v>生物与化学工程学院</v>
      </c>
    </row>
    <row r="6405" ht="13.5" hidden="1" spans="1:5">
      <c r="A6405" s="2" t="str">
        <f>"廖豪"</f>
        <v>廖豪</v>
      </c>
      <c r="B6405" s="2" t="str">
        <f>"B20210102109"</f>
        <v>B20210102109</v>
      </c>
      <c r="C6405" s="2" t="str">
        <f t="shared" si="1619"/>
        <v>男</v>
      </c>
      <c r="D6405" s="2" t="str">
        <f t="shared" si="1618"/>
        <v>6</v>
      </c>
      <c r="E6405" s="2" t="str">
        <f t="shared" ref="E6405:E6409" si="1621">"土木工程学院"</f>
        <v>土木工程学院</v>
      </c>
    </row>
    <row r="6406" ht="13.5" hidden="1" spans="1:5">
      <c r="A6406" s="2" t="str">
        <f>"肖泽鹏"</f>
        <v>肖泽鹏</v>
      </c>
      <c r="B6406" s="2" t="str">
        <f>"B20210102108"</f>
        <v>B20210102108</v>
      </c>
      <c r="C6406" s="2" t="str">
        <f t="shared" si="1619"/>
        <v>男</v>
      </c>
      <c r="D6406" s="2" t="str">
        <f t="shared" si="1618"/>
        <v>6</v>
      </c>
      <c r="E6406" s="2" t="str">
        <f t="shared" si="1621"/>
        <v>土木工程学院</v>
      </c>
    </row>
    <row r="6407" ht="13.5" hidden="1" spans="1:5">
      <c r="A6407" s="2" t="str">
        <f>"李珺玮"</f>
        <v>李珺玮</v>
      </c>
      <c r="B6407" s="2" t="str">
        <f>"B20230401332"</f>
        <v>B20230401332</v>
      </c>
      <c r="C6407" s="2" t="str">
        <f t="shared" si="1619"/>
        <v>男</v>
      </c>
      <c r="D6407" s="2" t="str">
        <f t="shared" si="1618"/>
        <v>6</v>
      </c>
      <c r="E6407" s="2" t="str">
        <f t="shared" si="1620"/>
        <v>电子信息与电气工程学院</v>
      </c>
    </row>
    <row r="6408" ht="13.5" hidden="1" spans="1:5">
      <c r="A6408" s="2" t="str">
        <f>"周鹏"</f>
        <v>周鹏</v>
      </c>
      <c r="B6408" s="2" t="str">
        <f>"B20210403123"</f>
        <v>B20210403123</v>
      </c>
      <c r="C6408" s="2" t="str">
        <f t="shared" si="1619"/>
        <v>男</v>
      </c>
      <c r="D6408" s="2" t="str">
        <f t="shared" si="1618"/>
        <v>6</v>
      </c>
      <c r="E6408" s="2" t="str">
        <f t="shared" si="1620"/>
        <v>电子信息与电气工程学院</v>
      </c>
    </row>
    <row r="6409" ht="13.5" hidden="1" spans="1:5">
      <c r="A6409" s="2" t="str">
        <f>"苏佳欣"</f>
        <v>苏佳欣</v>
      </c>
      <c r="B6409" s="2" t="str">
        <f>"B20230101423"</f>
        <v>B20230101423</v>
      </c>
      <c r="C6409" s="2" t="str">
        <f t="shared" si="1619"/>
        <v>男</v>
      </c>
      <c r="D6409" s="2" t="str">
        <f t="shared" si="1618"/>
        <v>6</v>
      </c>
      <c r="E6409" s="2" t="str">
        <f t="shared" si="1621"/>
        <v>土木工程学院</v>
      </c>
    </row>
    <row r="6410" ht="13.5" hidden="1" spans="1:5">
      <c r="A6410" s="2" t="str">
        <f>"袁思远"</f>
        <v>袁思远</v>
      </c>
      <c r="B6410" s="2" t="str">
        <f>"B20210404101"</f>
        <v>B20210404101</v>
      </c>
      <c r="C6410" s="2" t="str">
        <f t="shared" si="1619"/>
        <v>男</v>
      </c>
      <c r="D6410" s="2" t="str">
        <f t="shared" si="1618"/>
        <v>6</v>
      </c>
      <c r="E6410" s="2" t="str">
        <f>"电子信息与电气工程学院"</f>
        <v>电子信息与电气工程学院</v>
      </c>
    </row>
    <row r="6411" ht="13.5" hidden="1" spans="1:5">
      <c r="A6411" s="2" t="str">
        <f>"胡纤"</f>
        <v>胡纤</v>
      </c>
      <c r="B6411" s="2" t="str">
        <f>"B20230901211"</f>
        <v>B20230901211</v>
      </c>
      <c r="C6411" s="2" t="str">
        <f>"女"</f>
        <v>女</v>
      </c>
      <c r="D6411" s="2" t="str">
        <f t="shared" si="1618"/>
        <v>6</v>
      </c>
      <c r="E6411" s="2" t="str">
        <f>"经济与管理学院"</f>
        <v>经济与管理学院</v>
      </c>
    </row>
    <row r="6412" ht="13.5" hidden="1" spans="1:5">
      <c r="A6412" s="2" t="str">
        <f>"潘昊"</f>
        <v>潘昊</v>
      </c>
      <c r="B6412" s="2" t="str">
        <f>"B20230501115"</f>
        <v>B20230501115</v>
      </c>
      <c r="C6412" s="2" t="str">
        <f t="shared" ref="C6412:C6417" si="1622">"男"</f>
        <v>男</v>
      </c>
      <c r="D6412" s="2" t="str">
        <f t="shared" si="1618"/>
        <v>6</v>
      </c>
      <c r="E6412" s="2" t="str">
        <f>"生物与化学工程学院"</f>
        <v>生物与化学工程学院</v>
      </c>
    </row>
    <row r="6413" ht="13.5" hidden="1" spans="1:5">
      <c r="A6413" s="2" t="str">
        <f>"贺彬"</f>
        <v>贺彬</v>
      </c>
      <c r="B6413" s="2" t="str">
        <f>"B20200503211"</f>
        <v>B20200503211</v>
      </c>
      <c r="C6413" s="2" t="str">
        <f t="shared" si="1622"/>
        <v>男</v>
      </c>
      <c r="D6413" s="2" t="str">
        <f t="shared" si="1618"/>
        <v>6</v>
      </c>
      <c r="E6413" s="2" t="str">
        <f>"生物与环境工程学院"</f>
        <v>生物与环境工程学院</v>
      </c>
    </row>
    <row r="6414" ht="13.5" hidden="1" spans="1:5">
      <c r="A6414" s="2" t="str">
        <f>"李明"</f>
        <v>李明</v>
      </c>
      <c r="B6414" s="2" t="str">
        <f>"B20230501108"</f>
        <v>B20230501108</v>
      </c>
      <c r="C6414" s="2" t="str">
        <f t="shared" si="1622"/>
        <v>男</v>
      </c>
      <c r="D6414" s="2" t="str">
        <f t="shared" si="1618"/>
        <v>6</v>
      </c>
      <c r="E6414" s="2" t="str">
        <f>"生物与化学工程学院"</f>
        <v>生物与化学工程学院</v>
      </c>
    </row>
    <row r="6415" ht="13.5" hidden="1" spans="1:5">
      <c r="A6415" s="2" t="str">
        <f>"刘佳祺"</f>
        <v>刘佳祺</v>
      </c>
      <c r="B6415" s="2" t="str">
        <f>"B20230204130"</f>
        <v>B20230204130</v>
      </c>
      <c r="C6415" s="2" t="str">
        <f t="shared" si="1622"/>
        <v>男</v>
      </c>
      <c r="D6415" s="2" t="str">
        <f t="shared" si="1618"/>
        <v>6</v>
      </c>
      <c r="E6415" s="2" t="str">
        <f>"机电工程学院"</f>
        <v>机电工程学院</v>
      </c>
    </row>
    <row r="6416" ht="13.5" hidden="1" spans="1:5">
      <c r="A6416" s="2" t="str">
        <f>"梁馨涛"</f>
        <v>梁馨涛</v>
      </c>
      <c r="B6416" s="2" t="str">
        <f>"B20220401429"</f>
        <v>B20220401429</v>
      </c>
      <c r="C6416" s="2" t="str">
        <f t="shared" si="1622"/>
        <v>男</v>
      </c>
      <c r="D6416" s="2" t="str">
        <f t="shared" si="1618"/>
        <v>6</v>
      </c>
      <c r="E6416" s="2" t="str">
        <f t="shared" ref="E6416:E6421" si="1623">"电子信息与电气工程学院"</f>
        <v>电子信息与电气工程学院</v>
      </c>
    </row>
    <row r="6417" ht="13.5" hidden="1" spans="1:5">
      <c r="A6417" s="2" t="str">
        <f>"吴家永"</f>
        <v>吴家永</v>
      </c>
      <c r="B6417" s="2" t="str">
        <f>"B20230401418"</f>
        <v>B20230401418</v>
      </c>
      <c r="C6417" s="2" t="str">
        <f t="shared" si="1622"/>
        <v>男</v>
      </c>
      <c r="D6417" s="2" t="str">
        <f t="shared" si="1618"/>
        <v>6</v>
      </c>
      <c r="E6417" s="2" t="str">
        <f t="shared" si="1623"/>
        <v>电子信息与电气工程学院</v>
      </c>
    </row>
    <row r="6418" ht="13.5" hidden="1" spans="1:5">
      <c r="A6418" s="2" t="str">
        <f>"梁婉婷"</f>
        <v>梁婉婷</v>
      </c>
      <c r="B6418" s="2" t="str">
        <f>"B20210906109"</f>
        <v>B20210906109</v>
      </c>
      <c r="C6418" s="2" t="str">
        <f t="shared" ref="C6418:C6424" si="1624">"女"</f>
        <v>女</v>
      </c>
      <c r="D6418" s="2" t="str">
        <f t="shared" si="1618"/>
        <v>6</v>
      </c>
      <c r="E6418" s="2" t="str">
        <f>"经济与管理学院"</f>
        <v>经济与管理学院</v>
      </c>
    </row>
    <row r="6419" ht="13.5" hidden="1" spans="1:5">
      <c r="A6419" s="2" t="str">
        <f>"颜心怡"</f>
        <v>颜心怡</v>
      </c>
      <c r="B6419" s="2" t="str">
        <f>"B20210803216"</f>
        <v>B20210803216</v>
      </c>
      <c r="C6419" s="2" t="str">
        <f t="shared" si="1624"/>
        <v>女</v>
      </c>
      <c r="D6419" s="2" t="str">
        <f t="shared" si="1618"/>
        <v>6</v>
      </c>
      <c r="E6419" s="2" t="str">
        <f>"外国语学院"</f>
        <v>外国语学院</v>
      </c>
    </row>
    <row r="6420" ht="13.5" hidden="1" spans="1:5">
      <c r="A6420" s="2" t="str">
        <f>"袁子健"</f>
        <v>袁子健</v>
      </c>
      <c r="B6420" s="2" t="str">
        <f>"B20230401425"</f>
        <v>B20230401425</v>
      </c>
      <c r="C6420" s="2" t="str">
        <f t="shared" ref="C6420:C6425" si="1625">"男"</f>
        <v>男</v>
      </c>
      <c r="D6420" s="2" t="str">
        <f t="shared" si="1618"/>
        <v>6</v>
      </c>
      <c r="E6420" s="2" t="str">
        <f t="shared" si="1623"/>
        <v>电子信息与电气工程学院</v>
      </c>
    </row>
    <row r="6421" ht="13.5" hidden="1" spans="1:5">
      <c r="A6421" s="2" t="str">
        <f>"张显亮"</f>
        <v>张显亮</v>
      </c>
      <c r="B6421" s="2" t="str">
        <f>"B20210402206"</f>
        <v>B20210402206</v>
      </c>
      <c r="C6421" s="2" t="str">
        <f t="shared" si="1625"/>
        <v>男</v>
      </c>
      <c r="D6421" s="2" t="str">
        <f t="shared" si="1618"/>
        <v>6</v>
      </c>
      <c r="E6421" s="2" t="str">
        <f t="shared" si="1623"/>
        <v>电子信息与电气工程学院</v>
      </c>
    </row>
    <row r="6422" ht="13.5" hidden="1" spans="1:5">
      <c r="A6422" s="2" t="str">
        <f>"毛好逑"</f>
        <v>毛好逑</v>
      </c>
      <c r="B6422" s="2" t="str">
        <f>"B20210202338"</f>
        <v>B20210202338</v>
      </c>
      <c r="C6422" s="2" t="str">
        <f t="shared" si="1624"/>
        <v>女</v>
      </c>
      <c r="D6422" s="2" t="str">
        <f t="shared" si="1618"/>
        <v>6</v>
      </c>
      <c r="E6422" s="2" t="str">
        <f>"机电工程学院"</f>
        <v>机电工程学院</v>
      </c>
    </row>
    <row r="6423" ht="13.5" hidden="1" spans="1:5">
      <c r="A6423" s="2" t="str">
        <f>"曾恩茜"</f>
        <v>曾恩茜</v>
      </c>
      <c r="B6423" s="2" t="str">
        <f>"B20231111118"</f>
        <v>B20231111118</v>
      </c>
      <c r="C6423" s="2" t="str">
        <f t="shared" si="1624"/>
        <v>女</v>
      </c>
      <c r="D6423" s="2" t="str">
        <f t="shared" si="1618"/>
        <v>6</v>
      </c>
      <c r="E6423" s="2" t="str">
        <f>"音乐学院"</f>
        <v>音乐学院</v>
      </c>
    </row>
    <row r="6424" ht="13.5" hidden="1" spans="1:5">
      <c r="A6424" s="2" t="str">
        <f>"封雪"</f>
        <v>封雪</v>
      </c>
      <c r="B6424" s="2" t="str">
        <f>"B20210902132"</f>
        <v>B20210902132</v>
      </c>
      <c r="C6424" s="2" t="str">
        <f t="shared" si="1624"/>
        <v>女</v>
      </c>
      <c r="D6424" s="2" t="str">
        <f t="shared" si="1618"/>
        <v>6</v>
      </c>
      <c r="E6424" s="2" t="str">
        <f>"经济与管理学院"</f>
        <v>经济与管理学院</v>
      </c>
    </row>
    <row r="6425" ht="13.5" hidden="1" spans="1:5">
      <c r="A6425" s="2" t="str">
        <f>"肖健卓"</f>
        <v>肖健卓</v>
      </c>
      <c r="B6425" s="2" t="str">
        <f>"B20220502121"</f>
        <v>B20220502121</v>
      </c>
      <c r="C6425" s="2" t="str">
        <f t="shared" si="1625"/>
        <v>男</v>
      </c>
      <c r="D6425" s="2" t="str">
        <f t="shared" si="1618"/>
        <v>6</v>
      </c>
      <c r="E6425" s="2" t="str">
        <f>"生物与化学工程学院"</f>
        <v>生物与化学工程学院</v>
      </c>
    </row>
    <row r="6426" ht="13.5" hidden="1" spans="1:5">
      <c r="A6426" s="2" t="str">
        <f>"欧雅慧"</f>
        <v>欧雅慧</v>
      </c>
      <c r="B6426" s="2" t="str">
        <f>"B20210901326"</f>
        <v>B20210901326</v>
      </c>
      <c r="C6426" s="2" t="str">
        <f t="shared" ref="C6426:C6430" si="1626">"女"</f>
        <v>女</v>
      </c>
      <c r="D6426" s="2" t="str">
        <f t="shared" si="1618"/>
        <v>6</v>
      </c>
      <c r="E6426" s="2" t="str">
        <f>"经济与管理学院"</f>
        <v>经济与管理学院</v>
      </c>
    </row>
    <row r="6427" ht="13.5" hidden="1" spans="1:5">
      <c r="A6427" s="2" t="str">
        <f>"李佳乐"</f>
        <v>李佳乐</v>
      </c>
      <c r="B6427" s="2" t="str">
        <f>"B20221302317"</f>
        <v>B20221302317</v>
      </c>
      <c r="C6427" s="2" t="str">
        <f t="shared" ref="C6427:C6431" si="1627">"男"</f>
        <v>男</v>
      </c>
      <c r="D6427" s="2" t="str">
        <f t="shared" si="1618"/>
        <v>6</v>
      </c>
      <c r="E6427" s="2" t="str">
        <f>"材料与环境工程学院"</f>
        <v>材料与环境工程学院</v>
      </c>
    </row>
    <row r="6428" ht="13.5" hidden="1" spans="1:5">
      <c r="A6428" s="2" t="str">
        <f>"刘恋"</f>
        <v>刘恋</v>
      </c>
      <c r="B6428" s="2" t="str">
        <f>"B20210705103"</f>
        <v>B20210705103</v>
      </c>
      <c r="C6428" s="2" t="str">
        <f t="shared" si="1626"/>
        <v>女</v>
      </c>
      <c r="D6428" s="2" t="str">
        <f t="shared" si="1618"/>
        <v>6</v>
      </c>
      <c r="E6428" s="2" t="str">
        <f>"马栏山新媒体学院"</f>
        <v>马栏山新媒体学院</v>
      </c>
    </row>
    <row r="6429" ht="13.5" hidden="1" spans="1:5">
      <c r="A6429" s="2" t="str">
        <f>"颜盼盼"</f>
        <v>颜盼盼</v>
      </c>
      <c r="B6429" s="2" t="str">
        <f>"B20231302215"</f>
        <v>B20231302215</v>
      </c>
      <c r="C6429" s="2" t="str">
        <f t="shared" si="1627"/>
        <v>男</v>
      </c>
      <c r="D6429" s="2" t="str">
        <f t="shared" si="1618"/>
        <v>6</v>
      </c>
      <c r="E6429" s="2" t="str">
        <f>"材料与环境工程学院"</f>
        <v>材料与环境工程学院</v>
      </c>
    </row>
    <row r="6430" ht="13.5" hidden="1" spans="1:5">
      <c r="A6430" s="2" t="str">
        <f>"叶思宁"</f>
        <v>叶思宁</v>
      </c>
      <c r="B6430" s="2" t="str">
        <f>"B20210905232"</f>
        <v>B20210905232</v>
      </c>
      <c r="C6430" s="2" t="str">
        <f t="shared" si="1626"/>
        <v>女</v>
      </c>
      <c r="D6430" s="2" t="str">
        <f t="shared" si="1618"/>
        <v>6</v>
      </c>
      <c r="E6430" s="2" t="str">
        <f>"经济与管理学院"</f>
        <v>经济与管理学院</v>
      </c>
    </row>
    <row r="6431" ht="13.5" hidden="1" spans="1:5">
      <c r="A6431" s="2" t="str">
        <f>"胡钊"</f>
        <v>胡钊</v>
      </c>
      <c r="B6431" s="2" t="str">
        <f>"B20230202330"</f>
        <v>B20230202330</v>
      </c>
      <c r="C6431" s="2" t="str">
        <f t="shared" si="1627"/>
        <v>男</v>
      </c>
      <c r="D6431" s="2" t="str">
        <f t="shared" si="1618"/>
        <v>6</v>
      </c>
      <c r="E6431" s="2" t="str">
        <f t="shared" ref="E6431:E6435" si="1628">"机电工程学院"</f>
        <v>机电工程学院</v>
      </c>
    </row>
    <row r="6432" ht="13.5" hidden="1" spans="1:5">
      <c r="A6432" s="2" t="str">
        <f>"夏欢"</f>
        <v>夏欢</v>
      </c>
      <c r="B6432" s="2" t="str">
        <f>"B20231111111"</f>
        <v>B20231111111</v>
      </c>
      <c r="C6432" s="2" t="str">
        <f t="shared" ref="C6432:C6436" si="1629">"女"</f>
        <v>女</v>
      </c>
      <c r="D6432" s="2" t="str">
        <f t="shared" si="1618"/>
        <v>6</v>
      </c>
      <c r="E6432" s="2" t="str">
        <f>"音乐学院"</f>
        <v>音乐学院</v>
      </c>
    </row>
    <row r="6433" ht="13.5" hidden="1" spans="1:5">
      <c r="A6433" s="2" t="str">
        <f>"管朝庆"</f>
        <v>管朝庆</v>
      </c>
      <c r="B6433" s="2" t="str">
        <f>"B20210401425"</f>
        <v>B20210401425</v>
      </c>
      <c r="C6433" s="2" t="str">
        <f t="shared" ref="C6433:C6439" si="1630">"男"</f>
        <v>男</v>
      </c>
      <c r="D6433" s="2" t="str">
        <f t="shared" si="1618"/>
        <v>6</v>
      </c>
      <c r="E6433" s="2" t="str">
        <f>"电子信息与电气工程学院"</f>
        <v>电子信息与电气工程学院</v>
      </c>
    </row>
    <row r="6434" ht="13.5" hidden="1" spans="1:5">
      <c r="A6434" s="2" t="str">
        <f>"朱灵"</f>
        <v>朱灵</v>
      </c>
      <c r="B6434" s="2" t="str">
        <f>"B20210202210"</f>
        <v>B20210202210</v>
      </c>
      <c r="C6434" s="2" t="str">
        <f t="shared" si="1629"/>
        <v>女</v>
      </c>
      <c r="D6434" s="2" t="str">
        <f t="shared" si="1618"/>
        <v>6</v>
      </c>
      <c r="E6434" s="2" t="str">
        <f t="shared" si="1628"/>
        <v>机电工程学院</v>
      </c>
    </row>
    <row r="6435" ht="13.5" hidden="1" spans="1:5">
      <c r="A6435" s="2" t="str">
        <f>"朱宾"</f>
        <v>朱宾</v>
      </c>
      <c r="B6435" s="2" t="str">
        <f>"B20230201128"</f>
        <v>B20230201128</v>
      </c>
      <c r="C6435" s="2" t="str">
        <f t="shared" si="1630"/>
        <v>男</v>
      </c>
      <c r="D6435" s="2" t="str">
        <f t="shared" si="1618"/>
        <v>6</v>
      </c>
      <c r="E6435" s="2" t="str">
        <f t="shared" si="1628"/>
        <v>机电工程学院</v>
      </c>
    </row>
    <row r="6436" ht="13.5" hidden="1" spans="1:5">
      <c r="A6436" s="2" t="str">
        <f>"陈孜岚"</f>
        <v>陈孜岚</v>
      </c>
      <c r="B6436" s="2" t="str">
        <f>"B20230701434"</f>
        <v>B20230701434</v>
      </c>
      <c r="C6436" s="2" t="str">
        <f t="shared" si="1629"/>
        <v>女</v>
      </c>
      <c r="D6436" s="2" t="str">
        <f t="shared" si="1618"/>
        <v>6</v>
      </c>
      <c r="E6436" s="2" t="str">
        <f>"马栏山新媒体学院"</f>
        <v>马栏山新媒体学院</v>
      </c>
    </row>
    <row r="6437" ht="13.5" hidden="1" spans="1:5">
      <c r="A6437" s="2" t="str">
        <f>"刘柯岐"</f>
        <v>刘柯岐</v>
      </c>
      <c r="B6437" s="2" t="str">
        <f>"B20220404121"</f>
        <v>B20220404121</v>
      </c>
      <c r="C6437" s="2" t="str">
        <f t="shared" si="1630"/>
        <v>男</v>
      </c>
      <c r="D6437" s="2" t="str">
        <f t="shared" si="1618"/>
        <v>6</v>
      </c>
      <c r="E6437" s="2" t="str">
        <f>"电子信息与电气工程学院"</f>
        <v>电子信息与电气工程学院</v>
      </c>
    </row>
    <row r="6438" ht="13.5" hidden="1" spans="1:5">
      <c r="A6438" s="2" t="str">
        <f>"陈博林"</f>
        <v>陈博林</v>
      </c>
      <c r="B6438" s="2" t="str">
        <f>"B20210101227"</f>
        <v>B20210101227</v>
      </c>
      <c r="C6438" s="2" t="str">
        <f t="shared" si="1630"/>
        <v>男</v>
      </c>
      <c r="D6438" s="2" t="str">
        <f t="shared" si="1618"/>
        <v>6</v>
      </c>
      <c r="E6438" s="2" t="str">
        <f>"土木工程学院"</f>
        <v>土木工程学院</v>
      </c>
    </row>
    <row r="6439" ht="13.5" hidden="1" spans="1:5">
      <c r="A6439" s="2" t="str">
        <f>"戴国雁"</f>
        <v>戴国雁</v>
      </c>
      <c r="B6439" s="2" t="str">
        <f>"B20220204220"</f>
        <v>B20220204220</v>
      </c>
      <c r="C6439" s="2" t="str">
        <f t="shared" si="1630"/>
        <v>男</v>
      </c>
      <c r="D6439" s="2" t="str">
        <f t="shared" si="1618"/>
        <v>6</v>
      </c>
      <c r="E6439" s="2" t="str">
        <f>"机电工程学院"</f>
        <v>机电工程学院</v>
      </c>
    </row>
    <row r="6440" ht="13.5" hidden="1" spans="1:5">
      <c r="A6440" s="2" t="str">
        <f>"彭珍宇"</f>
        <v>彭珍宇</v>
      </c>
      <c r="B6440" s="2" t="str">
        <f>"B20210101314"</f>
        <v>B20210101314</v>
      </c>
      <c r="C6440" s="2" t="str">
        <f t="shared" ref="C6440:C6444" si="1631">"女"</f>
        <v>女</v>
      </c>
      <c r="D6440" s="2" t="str">
        <f t="shared" si="1618"/>
        <v>6</v>
      </c>
      <c r="E6440" s="2" t="str">
        <f>"土木工程学院"</f>
        <v>土木工程学院</v>
      </c>
    </row>
    <row r="6441" ht="13.5" hidden="1" spans="1:5">
      <c r="A6441" s="2" t="str">
        <f>"张苗"</f>
        <v>张苗</v>
      </c>
      <c r="B6441" s="2" t="str">
        <f>"B20220504221"</f>
        <v>B20220504221</v>
      </c>
      <c r="C6441" s="2" t="str">
        <f t="shared" si="1631"/>
        <v>女</v>
      </c>
      <c r="D6441" s="2" t="str">
        <f t="shared" si="1618"/>
        <v>6</v>
      </c>
      <c r="E6441" s="2" t="str">
        <f>"生物与化学工程学院"</f>
        <v>生物与化学工程学院</v>
      </c>
    </row>
    <row r="6442" ht="13.5" hidden="1" spans="1:5">
      <c r="A6442" s="2" t="str">
        <f>"姚军舟"</f>
        <v>姚军舟</v>
      </c>
      <c r="B6442" s="2" t="str">
        <f>"B20220202207"</f>
        <v>B20220202207</v>
      </c>
      <c r="C6442" s="2" t="str">
        <f>"男"</f>
        <v>男</v>
      </c>
      <c r="D6442" s="2" t="str">
        <f t="shared" si="1618"/>
        <v>6</v>
      </c>
      <c r="E6442" s="2" t="str">
        <f>"机电工程学院"</f>
        <v>机电工程学院</v>
      </c>
    </row>
    <row r="6443" ht="13.5" hidden="1" spans="1:5">
      <c r="A6443" s="2" t="str">
        <f>"贺诗缘"</f>
        <v>贺诗缘</v>
      </c>
      <c r="B6443" s="2" t="str">
        <f>"B20210906245"</f>
        <v>B20210906245</v>
      </c>
      <c r="C6443" s="2" t="str">
        <f t="shared" si="1631"/>
        <v>女</v>
      </c>
      <c r="D6443" s="2" t="str">
        <f t="shared" si="1618"/>
        <v>6</v>
      </c>
      <c r="E6443" s="2" t="str">
        <f>"经济与管理学院"</f>
        <v>经济与管理学院</v>
      </c>
    </row>
    <row r="6444" ht="13.5" hidden="1" spans="1:5">
      <c r="A6444" s="2" t="str">
        <f>"石亚芝"</f>
        <v>石亚芝</v>
      </c>
      <c r="B6444" s="2" t="str">
        <f>"B20210801114"</f>
        <v>B20210801114</v>
      </c>
      <c r="C6444" s="2" t="str">
        <f t="shared" si="1631"/>
        <v>女</v>
      </c>
      <c r="D6444" s="2" t="str">
        <f t="shared" si="1618"/>
        <v>6</v>
      </c>
      <c r="E6444" s="2" t="str">
        <f>"外国语学院"</f>
        <v>外国语学院</v>
      </c>
    </row>
    <row r="6445" ht="13.5" hidden="1" spans="1:5">
      <c r="A6445" s="2" t="str">
        <f>"刘康慧"</f>
        <v>刘康慧</v>
      </c>
      <c r="B6445" s="2" t="str">
        <f>"B20220402314"</f>
        <v>B20220402314</v>
      </c>
      <c r="C6445" s="2" t="str">
        <f>"男"</f>
        <v>男</v>
      </c>
      <c r="D6445" s="2" t="str">
        <f t="shared" si="1618"/>
        <v>6</v>
      </c>
      <c r="E6445" s="2" t="str">
        <f>"电子信息与电气工程学院"</f>
        <v>电子信息与电气工程学院</v>
      </c>
    </row>
    <row r="6446" ht="13.5" hidden="1" spans="1:5">
      <c r="A6446" s="2" t="str">
        <f>"刘乐花"</f>
        <v>刘乐花</v>
      </c>
      <c r="B6446" s="2" t="str">
        <f>"B20230901111"</f>
        <v>B20230901111</v>
      </c>
      <c r="C6446" s="2" t="str">
        <f t="shared" ref="C6446:C6450" si="1632">"女"</f>
        <v>女</v>
      </c>
      <c r="D6446" s="2" t="str">
        <f t="shared" si="1618"/>
        <v>6</v>
      </c>
      <c r="E6446" s="2" t="str">
        <f>"经济与管理学院"</f>
        <v>经济与管理学院</v>
      </c>
    </row>
    <row r="6447" ht="13.5" hidden="1" spans="1:5">
      <c r="A6447" s="2" t="str">
        <f>"赵文敏"</f>
        <v>赵文敏</v>
      </c>
      <c r="B6447" s="2" t="str">
        <f>"B20210101307"</f>
        <v>B20210101307</v>
      </c>
      <c r="C6447" s="2" t="str">
        <f t="shared" si="1632"/>
        <v>女</v>
      </c>
      <c r="D6447" s="2" t="str">
        <f t="shared" ref="D6447:D6495" si="1633">"6"</f>
        <v>6</v>
      </c>
      <c r="E6447" s="2" t="str">
        <f>"土木工程学院"</f>
        <v>土木工程学院</v>
      </c>
    </row>
    <row r="6448" ht="13.5" hidden="1" spans="1:5">
      <c r="A6448" s="2" t="str">
        <f>"曹莹"</f>
        <v>曹莹</v>
      </c>
      <c r="B6448" s="2" t="str">
        <f>"B20210802304"</f>
        <v>B20210802304</v>
      </c>
      <c r="C6448" s="2" t="str">
        <f t="shared" si="1632"/>
        <v>女</v>
      </c>
      <c r="D6448" s="2" t="str">
        <f t="shared" si="1633"/>
        <v>6</v>
      </c>
      <c r="E6448" s="2" t="str">
        <f>"外国语学院"</f>
        <v>外国语学院</v>
      </c>
    </row>
    <row r="6449" ht="13.5" hidden="1" spans="1:5">
      <c r="A6449" s="2" t="str">
        <f>"王慧"</f>
        <v>王慧</v>
      </c>
      <c r="B6449" s="2" t="str">
        <f>"B20210204105"</f>
        <v>B20210204105</v>
      </c>
      <c r="C6449" s="2" t="str">
        <f t="shared" si="1632"/>
        <v>女</v>
      </c>
      <c r="D6449" s="2" t="str">
        <f t="shared" si="1633"/>
        <v>6</v>
      </c>
      <c r="E6449" s="2" t="str">
        <f>"机电工程学院"</f>
        <v>机电工程学院</v>
      </c>
    </row>
    <row r="6450" ht="13.5" hidden="1" spans="1:5">
      <c r="A6450" s="2" t="str">
        <f>"江婷"</f>
        <v>江婷</v>
      </c>
      <c r="B6450" s="2" t="str">
        <f>"B20220906107"</f>
        <v>B20220906107</v>
      </c>
      <c r="C6450" s="2" t="str">
        <f t="shared" si="1632"/>
        <v>女</v>
      </c>
      <c r="D6450" s="2" t="str">
        <f t="shared" si="1633"/>
        <v>6</v>
      </c>
      <c r="E6450" s="2" t="str">
        <f t="shared" ref="E6450:E6453" si="1634">"经济与管理学院"</f>
        <v>经济与管理学院</v>
      </c>
    </row>
    <row r="6451" ht="13.5" hidden="1" spans="1:5">
      <c r="A6451" s="2" t="str">
        <f>"张镇宇"</f>
        <v>张镇宇</v>
      </c>
      <c r="B6451" s="2" t="str">
        <f>"B20230501136"</f>
        <v>B20230501136</v>
      </c>
      <c r="C6451" s="2" t="str">
        <f>"男"</f>
        <v>男</v>
      </c>
      <c r="D6451" s="2" t="str">
        <f t="shared" si="1633"/>
        <v>6</v>
      </c>
      <c r="E6451" s="2" t="str">
        <f>"生物与化学工程学院"</f>
        <v>生物与化学工程学院</v>
      </c>
    </row>
    <row r="6452" ht="13.5" hidden="1" spans="1:5">
      <c r="A6452" s="2" t="str">
        <f>"李佳妮"</f>
        <v>李佳妮</v>
      </c>
      <c r="B6452" s="2" t="str">
        <f>"B20230906102"</f>
        <v>B20230906102</v>
      </c>
      <c r="C6452" s="2" t="str">
        <f t="shared" ref="C6452:C6454" si="1635">"女"</f>
        <v>女</v>
      </c>
      <c r="D6452" s="2" t="str">
        <f t="shared" si="1633"/>
        <v>6</v>
      </c>
      <c r="E6452" s="2" t="str">
        <f t="shared" si="1634"/>
        <v>经济与管理学院</v>
      </c>
    </row>
    <row r="6453" ht="13.5" hidden="1" spans="1:5">
      <c r="A6453" s="2" t="str">
        <f>"刘慧"</f>
        <v>刘慧</v>
      </c>
      <c r="B6453" s="2" t="str">
        <f>"B20200904122"</f>
        <v>B20200904122</v>
      </c>
      <c r="C6453" s="2" t="str">
        <f t="shared" si="1635"/>
        <v>女</v>
      </c>
      <c r="D6453" s="2" t="str">
        <f t="shared" si="1633"/>
        <v>6</v>
      </c>
      <c r="E6453" s="2" t="str">
        <f t="shared" si="1634"/>
        <v>经济与管理学院</v>
      </c>
    </row>
    <row r="6454" ht="13.5" hidden="1" spans="1:5">
      <c r="A6454" s="2" t="str">
        <f>"项楚妤"</f>
        <v>项楚妤</v>
      </c>
      <c r="B6454" s="2" t="str">
        <f>"B20231101324"</f>
        <v>B20231101324</v>
      </c>
      <c r="C6454" s="2" t="str">
        <f t="shared" si="1635"/>
        <v>女</v>
      </c>
      <c r="D6454" s="2" t="str">
        <f t="shared" si="1633"/>
        <v>6</v>
      </c>
      <c r="E6454" s="2" t="str">
        <f>"音乐学院"</f>
        <v>音乐学院</v>
      </c>
    </row>
    <row r="6455" ht="13.5" hidden="1" spans="1:5">
      <c r="A6455" s="2" t="str">
        <f>"王子硕"</f>
        <v>王子硕</v>
      </c>
      <c r="B6455" s="2" t="str">
        <f>"B20231003208"</f>
        <v>B20231003208</v>
      </c>
      <c r="C6455" s="2" t="str">
        <f t="shared" ref="C6455:C6458" si="1636">"男"</f>
        <v>男</v>
      </c>
      <c r="D6455" s="2" t="str">
        <f t="shared" si="1633"/>
        <v>6</v>
      </c>
      <c r="E6455" s="2" t="str">
        <f>"艺术设计学院"</f>
        <v>艺术设计学院</v>
      </c>
    </row>
    <row r="6456" ht="13.5" hidden="1" spans="1:5">
      <c r="A6456" s="2" t="str">
        <f>"向蕾"</f>
        <v>向蕾</v>
      </c>
      <c r="B6456" s="2" t="str">
        <f>"B20221111206"</f>
        <v>B20221111206</v>
      </c>
      <c r="C6456" s="2" t="str">
        <f>"女"</f>
        <v>女</v>
      </c>
      <c r="D6456" s="2" t="str">
        <f t="shared" si="1633"/>
        <v>6</v>
      </c>
      <c r="E6456" s="2" t="str">
        <f>"音乐学院"</f>
        <v>音乐学院</v>
      </c>
    </row>
    <row r="6457" ht="13.5" hidden="1" spans="1:5">
      <c r="A6457" s="2" t="str">
        <f>"洪越"</f>
        <v>洪越</v>
      </c>
      <c r="B6457" s="2" t="str">
        <f>"B20221301114"</f>
        <v>B20221301114</v>
      </c>
      <c r="C6457" s="2" t="str">
        <f t="shared" si="1636"/>
        <v>男</v>
      </c>
      <c r="D6457" s="2" t="str">
        <f t="shared" si="1633"/>
        <v>6</v>
      </c>
      <c r="E6457" s="2" t="str">
        <f>"材料与环境工程学院"</f>
        <v>材料与环境工程学院</v>
      </c>
    </row>
    <row r="6458" ht="13.5" hidden="1" spans="1:5">
      <c r="A6458" s="2" t="str">
        <f>"李兴勇"</f>
        <v>李兴勇</v>
      </c>
      <c r="B6458" s="2" t="str">
        <f>"B20230103103"</f>
        <v>B20230103103</v>
      </c>
      <c r="C6458" s="2" t="str">
        <f t="shared" si="1636"/>
        <v>男</v>
      </c>
      <c r="D6458" s="2" t="str">
        <f t="shared" si="1633"/>
        <v>6</v>
      </c>
      <c r="E6458" s="2" t="str">
        <f>"土木工程学院"</f>
        <v>土木工程学院</v>
      </c>
    </row>
    <row r="6459" ht="13.5" hidden="1" spans="1:5">
      <c r="A6459" s="2" t="str">
        <f>"龙泫汐"</f>
        <v>龙泫汐</v>
      </c>
      <c r="B6459" s="2" t="str">
        <f>"B20220906202"</f>
        <v>B20220906202</v>
      </c>
      <c r="C6459" s="2" t="str">
        <f t="shared" ref="C6459:C6463" si="1637">"女"</f>
        <v>女</v>
      </c>
      <c r="D6459" s="2" t="str">
        <f t="shared" si="1633"/>
        <v>6</v>
      </c>
      <c r="E6459" s="2" t="str">
        <f>"经济与管理学院"</f>
        <v>经济与管理学院</v>
      </c>
    </row>
    <row r="6460" ht="13.5" hidden="1" spans="1:5">
      <c r="A6460" s="2" t="str">
        <f>"贺灿"</f>
        <v>贺灿</v>
      </c>
      <c r="B6460" s="2" t="str">
        <f>"B20230504123"</f>
        <v>B20230504123</v>
      </c>
      <c r="C6460" s="2" t="str">
        <f t="shared" ref="C6460:C6465" si="1638">"男"</f>
        <v>男</v>
      </c>
      <c r="D6460" s="2" t="str">
        <f t="shared" si="1633"/>
        <v>6</v>
      </c>
      <c r="E6460" s="2" t="str">
        <f>"生物与化学工程学院"</f>
        <v>生物与化学工程学院</v>
      </c>
    </row>
    <row r="6461" ht="13.5" hidden="1" spans="1:5">
      <c r="A6461" s="2" t="str">
        <f>"唐修鹏"</f>
        <v>唐修鹏</v>
      </c>
      <c r="B6461" s="2" t="str">
        <f>"B20231302137"</f>
        <v>B20231302137</v>
      </c>
      <c r="C6461" s="2" t="str">
        <f t="shared" si="1638"/>
        <v>男</v>
      </c>
      <c r="D6461" s="2" t="str">
        <f t="shared" si="1633"/>
        <v>6</v>
      </c>
      <c r="E6461" s="2" t="str">
        <f>"材料与环境工程学院"</f>
        <v>材料与环境工程学院</v>
      </c>
    </row>
    <row r="6462" ht="13.5" hidden="1" spans="1:5">
      <c r="A6462" s="2" t="str">
        <f>"刘思彤"</f>
        <v>刘思彤</v>
      </c>
      <c r="B6462" s="2" t="str">
        <f>"B20230103117"</f>
        <v>B20230103117</v>
      </c>
      <c r="C6462" s="2" t="str">
        <f t="shared" si="1637"/>
        <v>女</v>
      </c>
      <c r="D6462" s="2" t="str">
        <f t="shared" si="1633"/>
        <v>6</v>
      </c>
      <c r="E6462" s="2" t="str">
        <f>"土木工程学院"</f>
        <v>土木工程学院</v>
      </c>
    </row>
    <row r="6463" ht="13.5" hidden="1" spans="1:5">
      <c r="A6463" s="2" t="str">
        <f>"周晶"</f>
        <v>周晶</v>
      </c>
      <c r="B6463" s="2" t="str">
        <f>"B20230902305"</f>
        <v>B20230902305</v>
      </c>
      <c r="C6463" s="2" t="str">
        <f t="shared" si="1637"/>
        <v>女</v>
      </c>
      <c r="D6463" s="2" t="str">
        <f t="shared" si="1633"/>
        <v>6</v>
      </c>
      <c r="E6463" s="2" t="str">
        <f t="shared" ref="E6463:E6469" si="1639">"经济与管理学院"</f>
        <v>经济与管理学院</v>
      </c>
    </row>
    <row r="6464" ht="13.5" hidden="1" spans="1:5">
      <c r="A6464" s="2" t="str">
        <f>"袁骏"</f>
        <v>袁骏</v>
      </c>
      <c r="B6464" s="2" t="str">
        <f>"B20230201313"</f>
        <v>B20230201313</v>
      </c>
      <c r="C6464" s="2" t="str">
        <f t="shared" si="1638"/>
        <v>男</v>
      </c>
      <c r="D6464" s="2" t="str">
        <f t="shared" si="1633"/>
        <v>6</v>
      </c>
      <c r="E6464" s="2" t="str">
        <f>"机电工程学院"</f>
        <v>机电工程学院</v>
      </c>
    </row>
    <row r="6465" ht="13.5" hidden="1" spans="1:5">
      <c r="A6465" s="2" t="str">
        <f>"李炯钰"</f>
        <v>李炯钰</v>
      </c>
      <c r="B6465" s="2" t="str">
        <f>"B20220501136"</f>
        <v>B20220501136</v>
      </c>
      <c r="C6465" s="2" t="str">
        <f t="shared" si="1638"/>
        <v>男</v>
      </c>
      <c r="D6465" s="2" t="str">
        <f t="shared" si="1633"/>
        <v>6</v>
      </c>
      <c r="E6465" s="2" t="str">
        <f>"生物与化学工程学院"</f>
        <v>生物与化学工程学院</v>
      </c>
    </row>
    <row r="6466" ht="13.5" hidden="1" spans="1:5">
      <c r="A6466" s="2" t="str">
        <f>"谢丹霞"</f>
        <v>谢丹霞</v>
      </c>
      <c r="B6466" s="2" t="str">
        <f>"B20221111121"</f>
        <v>B20221111121</v>
      </c>
      <c r="C6466" s="2" t="str">
        <f t="shared" ref="C6466:C6469" si="1640">"女"</f>
        <v>女</v>
      </c>
      <c r="D6466" s="2" t="str">
        <f t="shared" si="1633"/>
        <v>6</v>
      </c>
      <c r="E6466" s="2" t="str">
        <f>"音乐学院"</f>
        <v>音乐学院</v>
      </c>
    </row>
    <row r="6467" ht="13.5" hidden="1" spans="1:5">
      <c r="A6467" s="2" t="str">
        <f>"杨烨"</f>
        <v>杨烨</v>
      </c>
      <c r="B6467" s="2" t="str">
        <f>"B20230901232"</f>
        <v>B20230901232</v>
      </c>
      <c r="C6467" s="2" t="str">
        <f t="shared" ref="C6467:C6471" si="1641">"男"</f>
        <v>男</v>
      </c>
      <c r="D6467" s="2" t="str">
        <f t="shared" si="1633"/>
        <v>6</v>
      </c>
      <c r="E6467" s="2" t="str">
        <f t="shared" si="1639"/>
        <v>经济与管理学院</v>
      </c>
    </row>
    <row r="6468" ht="13.5" hidden="1" spans="1:5">
      <c r="A6468" s="2" t="str">
        <f>"夏嘉媛"</f>
        <v>夏嘉媛</v>
      </c>
      <c r="B6468" s="2" t="str">
        <f>"B20230902218"</f>
        <v>B20230902218</v>
      </c>
      <c r="C6468" s="2" t="str">
        <f t="shared" si="1640"/>
        <v>女</v>
      </c>
      <c r="D6468" s="2" t="str">
        <f t="shared" si="1633"/>
        <v>6</v>
      </c>
      <c r="E6468" s="2" t="str">
        <f t="shared" si="1639"/>
        <v>经济与管理学院</v>
      </c>
    </row>
    <row r="6469" ht="13.5" hidden="1" spans="1:5">
      <c r="A6469" s="2" t="str">
        <f>"洪洁"</f>
        <v>洪洁</v>
      </c>
      <c r="B6469" s="2" t="str">
        <f>"B20230902222"</f>
        <v>B20230902222</v>
      </c>
      <c r="C6469" s="2" t="str">
        <f t="shared" si="1640"/>
        <v>女</v>
      </c>
      <c r="D6469" s="2" t="str">
        <f t="shared" si="1633"/>
        <v>6</v>
      </c>
      <c r="E6469" s="2" t="str">
        <f t="shared" si="1639"/>
        <v>经济与管理学院</v>
      </c>
    </row>
    <row r="6470" ht="13.5" hidden="1" spans="1:5">
      <c r="A6470" s="2" t="str">
        <f>"刘俊豪"</f>
        <v>刘俊豪</v>
      </c>
      <c r="B6470" s="2" t="str">
        <f>"B20230402301"</f>
        <v>B20230402301</v>
      </c>
      <c r="C6470" s="2" t="str">
        <f t="shared" si="1641"/>
        <v>男</v>
      </c>
      <c r="D6470" s="2" t="str">
        <f t="shared" si="1633"/>
        <v>6</v>
      </c>
      <c r="E6470" s="2" t="str">
        <f>"电子信息与电气工程学院"</f>
        <v>电子信息与电气工程学院</v>
      </c>
    </row>
    <row r="6471" ht="13.5" hidden="1" spans="1:5">
      <c r="A6471" s="2" t="str">
        <f>"胡智"</f>
        <v>胡智</v>
      </c>
      <c r="B6471" s="2" t="str">
        <f>"B20220903204"</f>
        <v>B20220903204</v>
      </c>
      <c r="C6471" s="2" t="str">
        <f t="shared" si="1641"/>
        <v>男</v>
      </c>
      <c r="D6471" s="2" t="str">
        <f t="shared" si="1633"/>
        <v>6</v>
      </c>
      <c r="E6471" s="2" t="str">
        <f t="shared" ref="E6471:E6473" si="1642">"经济与管理学院"</f>
        <v>经济与管理学院</v>
      </c>
    </row>
    <row r="6472" ht="13.5" hidden="1" spans="1:5">
      <c r="A6472" s="2" t="str">
        <f>"刘芷嫣"</f>
        <v>刘芷嫣</v>
      </c>
      <c r="B6472" s="2" t="str">
        <f>"B20210906212"</f>
        <v>B20210906212</v>
      </c>
      <c r="C6472" s="2" t="str">
        <f t="shared" ref="C6472:C6477" si="1643">"女"</f>
        <v>女</v>
      </c>
      <c r="D6472" s="2" t="str">
        <f t="shared" si="1633"/>
        <v>6</v>
      </c>
      <c r="E6472" s="2" t="str">
        <f t="shared" si="1642"/>
        <v>经济与管理学院</v>
      </c>
    </row>
    <row r="6473" ht="13.5" hidden="1" spans="1:5">
      <c r="A6473" s="2" t="str">
        <f>"肖佳怡"</f>
        <v>肖佳怡</v>
      </c>
      <c r="B6473" s="2" t="str">
        <f>"B20230901118"</f>
        <v>B20230901118</v>
      </c>
      <c r="C6473" s="2" t="str">
        <f t="shared" si="1643"/>
        <v>女</v>
      </c>
      <c r="D6473" s="2" t="str">
        <f t="shared" si="1633"/>
        <v>6</v>
      </c>
      <c r="E6473" s="2" t="str">
        <f t="shared" si="1642"/>
        <v>经济与管理学院</v>
      </c>
    </row>
    <row r="6474" ht="13.5" hidden="1" spans="1:5">
      <c r="A6474" s="2" t="str">
        <f>"熊执"</f>
        <v>熊执</v>
      </c>
      <c r="B6474" s="2" t="str">
        <f>"B20200403225"</f>
        <v>B20200403225</v>
      </c>
      <c r="C6474" s="2" t="str">
        <f t="shared" ref="C6474:C6478" si="1644">"男"</f>
        <v>男</v>
      </c>
      <c r="D6474" s="2" t="str">
        <f t="shared" si="1633"/>
        <v>6</v>
      </c>
      <c r="E6474" s="2" t="str">
        <f>"电子信息与电气工程学院"</f>
        <v>电子信息与电气工程学院</v>
      </c>
    </row>
    <row r="6475" ht="13.5" hidden="1" spans="1:5">
      <c r="A6475" s="2" t="str">
        <f>"唐威"</f>
        <v>唐威</v>
      </c>
      <c r="B6475" s="2" t="str">
        <f>"B20210101520"</f>
        <v>B20210101520</v>
      </c>
      <c r="C6475" s="2" t="str">
        <f t="shared" si="1644"/>
        <v>男</v>
      </c>
      <c r="D6475" s="2" t="str">
        <f t="shared" si="1633"/>
        <v>6</v>
      </c>
      <c r="E6475" s="2" t="str">
        <f>"土木工程学院"</f>
        <v>土木工程学院</v>
      </c>
    </row>
    <row r="6476" ht="13.5" hidden="1" spans="1:5">
      <c r="A6476" s="2" t="str">
        <f>"赵文静"</f>
        <v>赵文静</v>
      </c>
      <c r="B6476" s="2" t="str">
        <f>"B20230704223"</f>
        <v>B20230704223</v>
      </c>
      <c r="C6476" s="2" t="str">
        <f t="shared" si="1643"/>
        <v>女</v>
      </c>
      <c r="D6476" s="2" t="str">
        <f t="shared" si="1633"/>
        <v>6</v>
      </c>
      <c r="E6476" s="2" t="str">
        <f>"马栏山新媒体学院"</f>
        <v>马栏山新媒体学院</v>
      </c>
    </row>
    <row r="6477" ht="13.5" hidden="1" spans="1:5">
      <c r="A6477" s="2" t="str">
        <f>"朱宇航"</f>
        <v>朱宇航</v>
      </c>
      <c r="B6477" s="2" t="str">
        <f>"B20231111117"</f>
        <v>B20231111117</v>
      </c>
      <c r="C6477" s="2" t="str">
        <f t="shared" si="1643"/>
        <v>女</v>
      </c>
      <c r="D6477" s="2" t="str">
        <f t="shared" si="1633"/>
        <v>6</v>
      </c>
      <c r="E6477" s="2" t="str">
        <f>"音乐学院"</f>
        <v>音乐学院</v>
      </c>
    </row>
    <row r="6478" ht="13.5" hidden="1" spans="1:5">
      <c r="A6478" s="2" t="str">
        <f>"周宇翔"</f>
        <v>周宇翔</v>
      </c>
      <c r="B6478" s="2" t="str">
        <f>"B20220201107"</f>
        <v>B20220201107</v>
      </c>
      <c r="C6478" s="2" t="str">
        <f t="shared" si="1644"/>
        <v>男</v>
      </c>
      <c r="D6478" s="2" t="str">
        <f t="shared" si="1633"/>
        <v>6</v>
      </c>
      <c r="E6478" s="2" t="str">
        <f>"机电工程学院"</f>
        <v>机电工程学院</v>
      </c>
    </row>
    <row r="6479" ht="13.5" hidden="1" spans="1:5">
      <c r="A6479" s="2" t="str">
        <f>"沈玉瑶"</f>
        <v>沈玉瑶</v>
      </c>
      <c r="B6479" s="2" t="str">
        <f>"B20230903109"</f>
        <v>B20230903109</v>
      </c>
      <c r="C6479" s="2" t="str">
        <f t="shared" ref="C6479:C6486" si="1645">"女"</f>
        <v>女</v>
      </c>
      <c r="D6479" s="2" t="str">
        <f t="shared" si="1633"/>
        <v>6</v>
      </c>
      <c r="E6479" s="2" t="str">
        <f>"经济与管理学院"</f>
        <v>经济与管理学院</v>
      </c>
    </row>
    <row r="6480" ht="13.5" hidden="1" spans="1:5">
      <c r="A6480" s="2" t="str">
        <f>"李洋"</f>
        <v>李洋</v>
      </c>
      <c r="B6480" s="2" t="str">
        <f>"B20230404112"</f>
        <v>B20230404112</v>
      </c>
      <c r="C6480" s="2" t="str">
        <f t="shared" si="1645"/>
        <v>女</v>
      </c>
      <c r="D6480" s="2" t="str">
        <f t="shared" si="1633"/>
        <v>6</v>
      </c>
      <c r="E6480" s="2" t="str">
        <f>"电子信息与电气工程学院"</f>
        <v>电子信息与电气工程学院</v>
      </c>
    </row>
    <row r="6481" ht="13.5" hidden="1" spans="1:5">
      <c r="A6481" s="2" t="str">
        <f>"张诚孝"</f>
        <v>张诚孝</v>
      </c>
      <c r="B6481" s="2" t="str">
        <f>"B20200102217"</f>
        <v>B20200102217</v>
      </c>
      <c r="C6481" s="2" t="str">
        <f t="shared" ref="C6481:C6483" si="1646">"男"</f>
        <v>男</v>
      </c>
      <c r="D6481" s="2" t="str">
        <f t="shared" si="1633"/>
        <v>6</v>
      </c>
      <c r="E6481" s="2" t="str">
        <f>"土木工程学院"</f>
        <v>土木工程学院</v>
      </c>
    </row>
    <row r="6482" ht="13.5" hidden="1" spans="1:5">
      <c r="A6482" s="2" t="str">
        <f>"吴刘思宇"</f>
        <v>吴刘思宇</v>
      </c>
      <c r="B6482" s="2" t="str">
        <f>"B20220204312"</f>
        <v>B20220204312</v>
      </c>
      <c r="C6482" s="2" t="str">
        <f t="shared" si="1646"/>
        <v>男</v>
      </c>
      <c r="D6482" s="2" t="str">
        <f t="shared" si="1633"/>
        <v>6</v>
      </c>
      <c r="E6482" s="2" t="str">
        <f>"机电工程学院"</f>
        <v>机电工程学院</v>
      </c>
    </row>
    <row r="6483" ht="13.5" hidden="1" spans="1:5">
      <c r="A6483" s="2" t="str">
        <f>"贺祥鑫"</f>
        <v>贺祥鑫</v>
      </c>
      <c r="B6483" s="2" t="str">
        <f>"B20230101131"</f>
        <v>B20230101131</v>
      </c>
      <c r="C6483" s="2" t="str">
        <f t="shared" si="1646"/>
        <v>男</v>
      </c>
      <c r="D6483" s="2" t="str">
        <f t="shared" si="1633"/>
        <v>6</v>
      </c>
      <c r="E6483" s="2" t="str">
        <f>"土木工程学院"</f>
        <v>土木工程学院</v>
      </c>
    </row>
    <row r="6484" ht="13.5" hidden="1" spans="1:5">
      <c r="A6484" s="2" t="str">
        <f>"何秀杰"</f>
        <v>何秀杰</v>
      </c>
      <c r="B6484" s="2" t="str">
        <f>"B20231111210"</f>
        <v>B20231111210</v>
      </c>
      <c r="C6484" s="2" t="str">
        <f t="shared" si="1645"/>
        <v>女</v>
      </c>
      <c r="D6484" s="2" t="str">
        <f t="shared" si="1633"/>
        <v>6</v>
      </c>
      <c r="E6484" s="2" t="str">
        <f>"音乐学院"</f>
        <v>音乐学院</v>
      </c>
    </row>
    <row r="6485" ht="13.5" hidden="1" spans="1:5">
      <c r="A6485" s="2" t="str">
        <f>"李静"</f>
        <v>李静</v>
      </c>
      <c r="B6485" s="2" t="str">
        <f>"B20220901236"</f>
        <v>B20220901236</v>
      </c>
      <c r="C6485" s="2" t="str">
        <f t="shared" si="1645"/>
        <v>女</v>
      </c>
      <c r="D6485" s="2" t="str">
        <f t="shared" si="1633"/>
        <v>6</v>
      </c>
      <c r="E6485" s="2" t="str">
        <f>"经济与管理学院"</f>
        <v>经济与管理学院</v>
      </c>
    </row>
    <row r="6486" ht="13.5" hidden="1" spans="1:5">
      <c r="A6486" s="2" t="str">
        <f>"彭艺红"</f>
        <v>彭艺红</v>
      </c>
      <c r="B6486" s="2" t="str">
        <f>"B20220601508"</f>
        <v>B20220601508</v>
      </c>
      <c r="C6486" s="2" t="str">
        <f t="shared" si="1645"/>
        <v>女</v>
      </c>
      <c r="D6486" s="2" t="str">
        <f t="shared" si="1633"/>
        <v>6</v>
      </c>
      <c r="E6486" s="2" t="str">
        <f>"法学院"</f>
        <v>法学院</v>
      </c>
    </row>
    <row r="6487" ht="13.5" hidden="1" spans="1:5">
      <c r="A6487" s="2" t="str">
        <f>"何英杰"</f>
        <v>何英杰</v>
      </c>
      <c r="B6487" s="2" t="str">
        <f>"B20230402316"</f>
        <v>B20230402316</v>
      </c>
      <c r="C6487" s="2" t="str">
        <f t="shared" ref="C6487:C6490" si="1647">"男"</f>
        <v>男</v>
      </c>
      <c r="D6487" s="2" t="str">
        <f t="shared" si="1633"/>
        <v>6</v>
      </c>
      <c r="E6487" s="2" t="str">
        <f>"电子信息与电气工程学院"</f>
        <v>电子信息与电气工程学院</v>
      </c>
    </row>
    <row r="6488" ht="13.5" hidden="1" spans="1:5">
      <c r="A6488" s="2" t="str">
        <f>"王长顺"</f>
        <v>王长顺</v>
      </c>
      <c r="B6488" s="2" t="str">
        <f>"B20231004218"</f>
        <v>B20231004218</v>
      </c>
      <c r="C6488" s="2" t="str">
        <f t="shared" si="1647"/>
        <v>男</v>
      </c>
      <c r="D6488" s="2" t="str">
        <f t="shared" si="1633"/>
        <v>6</v>
      </c>
      <c r="E6488" s="2" t="str">
        <f>"艺术设计学院"</f>
        <v>艺术设计学院</v>
      </c>
    </row>
    <row r="6489" ht="13.5" hidden="1" spans="1:5">
      <c r="A6489" s="2" t="str">
        <f>"王琛"</f>
        <v>王琛</v>
      </c>
      <c r="B6489" s="2" t="str">
        <f>"B20221111223"</f>
        <v>B20221111223</v>
      </c>
      <c r="C6489" s="2" t="str">
        <f t="shared" si="1647"/>
        <v>男</v>
      </c>
      <c r="D6489" s="2" t="str">
        <f t="shared" si="1633"/>
        <v>6</v>
      </c>
      <c r="E6489" s="2" t="str">
        <f>"音乐学院"</f>
        <v>音乐学院</v>
      </c>
    </row>
    <row r="6490" ht="13.5" hidden="1" spans="1:5">
      <c r="A6490" s="2" t="str">
        <f>"刘卓"</f>
        <v>刘卓</v>
      </c>
      <c r="B6490" s="2" t="str">
        <f>"B20230601404"</f>
        <v>B20230601404</v>
      </c>
      <c r="C6490" s="2" t="str">
        <f t="shared" si="1647"/>
        <v>男</v>
      </c>
      <c r="D6490" s="2" t="str">
        <f t="shared" si="1633"/>
        <v>6</v>
      </c>
      <c r="E6490" s="2" t="str">
        <f>"法学院"</f>
        <v>法学院</v>
      </c>
    </row>
    <row r="6491" ht="13.5" hidden="1" spans="1:5">
      <c r="A6491" s="2" t="str">
        <f>"郭娅娜"</f>
        <v>郭娅娜</v>
      </c>
      <c r="B6491" s="2" t="str">
        <f>"B20220704302"</f>
        <v>B20220704302</v>
      </c>
      <c r="C6491" s="2" t="str">
        <f t="shared" ref="C6491:C6494" si="1648">"女"</f>
        <v>女</v>
      </c>
      <c r="D6491" s="2" t="str">
        <f t="shared" si="1633"/>
        <v>6</v>
      </c>
      <c r="E6491" s="2" t="str">
        <f>"马栏山新媒体学院"</f>
        <v>马栏山新媒体学院</v>
      </c>
    </row>
    <row r="6492" ht="13.5" hidden="1" spans="1:5">
      <c r="A6492" s="2" t="str">
        <f>"谭书琳"</f>
        <v>谭书琳</v>
      </c>
      <c r="B6492" s="2" t="str">
        <f>"B20220704309"</f>
        <v>B20220704309</v>
      </c>
      <c r="C6492" s="2" t="str">
        <f t="shared" si="1648"/>
        <v>女</v>
      </c>
      <c r="D6492" s="2" t="str">
        <f t="shared" si="1633"/>
        <v>6</v>
      </c>
      <c r="E6492" s="2" t="str">
        <f>"马栏山新媒体学院"</f>
        <v>马栏山新媒体学院</v>
      </c>
    </row>
    <row r="6493" ht="13.5" hidden="1" spans="1:5">
      <c r="A6493" s="2" t="str">
        <f>"杨金峰"</f>
        <v>杨金峰</v>
      </c>
      <c r="B6493" s="2" t="str">
        <f>"B20230402326"</f>
        <v>B20230402326</v>
      </c>
      <c r="C6493" s="2" t="str">
        <f>"男"</f>
        <v>男</v>
      </c>
      <c r="D6493" s="2" t="str">
        <f t="shared" si="1633"/>
        <v>6</v>
      </c>
      <c r="E6493" s="2" t="str">
        <f>"电子信息与电气工程学院"</f>
        <v>电子信息与电气工程学院</v>
      </c>
    </row>
    <row r="6494" ht="13.5" hidden="1" spans="1:5">
      <c r="A6494" s="2" t="str">
        <f>"严燕熔"</f>
        <v>严燕熔</v>
      </c>
      <c r="B6494" s="2" t="str">
        <f>"B20211001403"</f>
        <v>B20211001403</v>
      </c>
      <c r="C6494" s="2" t="str">
        <f t="shared" si="1648"/>
        <v>女</v>
      </c>
      <c r="D6494" s="2" t="str">
        <f t="shared" si="1633"/>
        <v>6</v>
      </c>
      <c r="E6494" s="2" t="str">
        <f>"艺术设计学院"</f>
        <v>艺术设计学院</v>
      </c>
    </row>
    <row r="6495" ht="13.5" hidden="1" spans="1:5">
      <c r="A6495" s="2" t="str">
        <f>"刘俊杰"</f>
        <v>刘俊杰</v>
      </c>
      <c r="B6495" s="2" t="str">
        <f>"B20230403131"</f>
        <v>B20230403131</v>
      </c>
      <c r="C6495" s="2" t="str">
        <f>"男"</f>
        <v>男</v>
      </c>
      <c r="D6495" s="2" t="str">
        <f t="shared" si="1633"/>
        <v>6</v>
      </c>
      <c r="E6495" s="2" t="str">
        <f>"电子信息与电气工程学院"</f>
        <v>电子信息与电气工程学院</v>
      </c>
    </row>
    <row r="6496" ht="13.5" hidden="1" spans="1:5">
      <c r="A6496" s="2" t="str">
        <f>"刘奎"</f>
        <v>刘奎</v>
      </c>
      <c r="B6496" s="2" t="str">
        <f>"B20230404213"</f>
        <v>B20230404213</v>
      </c>
      <c r="C6496" s="2" t="str">
        <f>"男"</f>
        <v>男</v>
      </c>
      <c r="D6496" s="2" t="str">
        <f>"6"</f>
        <v>6</v>
      </c>
      <c r="E6496" s="2" t="str">
        <f>"电子信息与电气工程学院"</f>
        <v>电子信息与电气工程学院</v>
      </c>
    </row>
    <row r="6497" ht="13.5" hidden="1" spans="1:5">
      <c r="A6497" s="2" t="str">
        <f>"杜秋阳"</f>
        <v>杜秋阳</v>
      </c>
      <c r="B6497" s="2" t="str">
        <f>"B20220101602"</f>
        <v>B20220101602</v>
      </c>
      <c r="C6497" s="2" t="str">
        <f>"男"</f>
        <v>男</v>
      </c>
      <c r="D6497" s="2" t="str">
        <f>"6"</f>
        <v>6</v>
      </c>
      <c r="E6497" s="2" t="str">
        <f>"土木工程学院"</f>
        <v>土木工程学院</v>
      </c>
    </row>
    <row r="6498" ht="13.5" hidden="1" spans="1:5">
      <c r="A6498" s="2" t="str">
        <f>"傅伊健"</f>
        <v>傅伊健</v>
      </c>
      <c r="B6498" s="2" t="str">
        <f>"B20230101223"</f>
        <v>B20230101223</v>
      </c>
      <c r="C6498" s="2" t="str">
        <f>"男"</f>
        <v>男</v>
      </c>
      <c r="D6498" s="2" t="str">
        <f>"6"</f>
        <v>6</v>
      </c>
      <c r="E6498" s="2" t="str">
        <f>"土木工程学院"</f>
        <v>土木工程学院</v>
      </c>
    </row>
    <row r="6499" ht="13.5" hidden="1" spans="1:5">
      <c r="A6499" s="2" t="str">
        <f>"刘耀华"</f>
        <v>刘耀华</v>
      </c>
      <c r="B6499" s="2" t="str">
        <f>"B20200502213"</f>
        <v>B20200502213</v>
      </c>
      <c r="C6499" s="2" t="str">
        <f>"男"</f>
        <v>男</v>
      </c>
      <c r="D6499" s="2" t="str">
        <f>"6"</f>
        <v>6</v>
      </c>
      <c r="E6499" s="2" t="str">
        <f>"生物与环境工程学院"</f>
        <v>生物与环境工程学院</v>
      </c>
    </row>
    <row r="6500" ht="13.5" hidden="1" spans="1:5">
      <c r="A6500" s="2" t="str">
        <f>"李莎"</f>
        <v>李莎</v>
      </c>
      <c r="B6500" s="2" t="str">
        <f>"B20210803113"</f>
        <v>B20210803113</v>
      </c>
      <c r="C6500" s="2" t="str">
        <f t="shared" ref="C6500:C6503" si="1649">"女"</f>
        <v>女</v>
      </c>
      <c r="D6500" s="2" t="str">
        <f>"6"</f>
        <v>6</v>
      </c>
      <c r="E6500" s="2" t="str">
        <f>"外国语学院"</f>
        <v>外国语学院</v>
      </c>
    </row>
    <row r="6501" ht="13.5" hidden="1" spans="1:5">
      <c r="A6501" s="2" t="str">
        <f>"王晴"</f>
        <v>王晴</v>
      </c>
      <c r="B6501" s="2" t="str">
        <f>"B20230402320"</f>
        <v>B20230402320</v>
      </c>
      <c r="C6501" s="2" t="str">
        <f t="shared" si="1649"/>
        <v>女</v>
      </c>
      <c r="D6501" s="2" t="str">
        <f>"6"</f>
        <v>6</v>
      </c>
      <c r="E6501" s="2" t="str">
        <f>"电子信息与电气工程学院"</f>
        <v>电子信息与电气工程学院</v>
      </c>
    </row>
    <row r="6502" ht="13.5" hidden="1" spans="1:5">
      <c r="A6502" s="2" t="str">
        <f>"王俐姗"</f>
        <v>王俐姗</v>
      </c>
      <c r="B6502" s="2" t="str">
        <f>"B20230704221"</f>
        <v>B20230704221</v>
      </c>
      <c r="C6502" s="2" t="str">
        <f t="shared" si="1649"/>
        <v>女</v>
      </c>
      <c r="D6502" s="2" t="str">
        <f>"6"</f>
        <v>6</v>
      </c>
      <c r="E6502" s="2" t="str">
        <f>"马栏山新媒体学院"</f>
        <v>马栏山新媒体学院</v>
      </c>
    </row>
    <row r="6503" ht="13.5" hidden="1" spans="1:5">
      <c r="A6503" s="2" t="str">
        <f>"王金凤"</f>
        <v>王金凤</v>
      </c>
      <c r="B6503" s="2" t="str">
        <f>"B20230904215"</f>
        <v>B20230904215</v>
      </c>
      <c r="C6503" s="2" t="str">
        <f t="shared" si="1649"/>
        <v>女</v>
      </c>
      <c r="D6503" s="2" t="str">
        <f>"6"</f>
        <v>6</v>
      </c>
      <c r="E6503" s="2" t="str">
        <f>"经济与管理学院"</f>
        <v>经济与管理学院</v>
      </c>
    </row>
    <row r="6504" ht="13.5" hidden="1" spans="1:5">
      <c r="A6504" s="2" t="str">
        <f>"钟孟佑"</f>
        <v>钟孟佑</v>
      </c>
      <c r="B6504" s="2" t="str">
        <f>"B20220102208"</f>
        <v>B20220102208</v>
      </c>
      <c r="C6504" s="2" t="str">
        <f>"男"</f>
        <v>男</v>
      </c>
      <c r="D6504" s="2" t="str">
        <f>"6"</f>
        <v>6</v>
      </c>
      <c r="E6504" s="2" t="str">
        <f>"土木工程学院"</f>
        <v>土木工程学院</v>
      </c>
    </row>
    <row r="6505" ht="13.5" hidden="1" spans="1:5">
      <c r="A6505" s="2" t="str">
        <f>"李湘"</f>
        <v>李湘</v>
      </c>
      <c r="B6505" s="2" t="str">
        <f>"B20230502227"</f>
        <v>B20230502227</v>
      </c>
      <c r="C6505" s="2" t="str">
        <f t="shared" ref="C6505:C6507" si="1650">"女"</f>
        <v>女</v>
      </c>
      <c r="D6505" s="2" t="str">
        <f>"6"</f>
        <v>6</v>
      </c>
      <c r="E6505" s="2" t="str">
        <f>"生物与化学工程学院"</f>
        <v>生物与化学工程学院</v>
      </c>
    </row>
    <row r="6506" ht="13.5" hidden="1" spans="1:5">
      <c r="A6506" s="2" t="str">
        <f>"刘佳瑶"</f>
        <v>刘佳瑶</v>
      </c>
      <c r="B6506" s="2" t="str">
        <f>"B20200702125"</f>
        <v>B20200702125</v>
      </c>
      <c r="C6506" s="2" t="str">
        <f t="shared" si="1650"/>
        <v>女</v>
      </c>
      <c r="D6506" s="2" t="str">
        <f>"6"</f>
        <v>6</v>
      </c>
      <c r="E6506" s="2" t="str">
        <f>"马栏山新媒体学院"</f>
        <v>马栏山新媒体学院</v>
      </c>
    </row>
    <row r="6507" ht="13.5" hidden="1" spans="1:5">
      <c r="A6507" s="2" t="str">
        <f>"隆静娴"</f>
        <v>隆静娴</v>
      </c>
      <c r="B6507" s="2" t="str">
        <f>"B20211001402"</f>
        <v>B20211001402</v>
      </c>
      <c r="C6507" s="2" t="str">
        <f t="shared" si="1650"/>
        <v>女</v>
      </c>
      <c r="D6507" s="2" t="str">
        <f>"6"</f>
        <v>6</v>
      </c>
      <c r="E6507" s="2" t="str">
        <f>"艺术设计学院"</f>
        <v>艺术设计学院</v>
      </c>
    </row>
    <row r="6508" ht="13.5" hidden="1" spans="1:5">
      <c r="A6508" s="2" t="str">
        <f>"胡诗亮"</f>
        <v>胡诗亮</v>
      </c>
      <c r="B6508" s="2" t="str">
        <f>"B20230403307"</f>
        <v>B20230403307</v>
      </c>
      <c r="C6508" s="2" t="str">
        <f t="shared" ref="C6508:C6513" si="1651">"男"</f>
        <v>男</v>
      </c>
      <c r="D6508" s="2" t="str">
        <f>"6"</f>
        <v>6</v>
      </c>
      <c r="E6508" s="2" t="str">
        <f>"电子信息与电气工程学院"</f>
        <v>电子信息与电气工程学院</v>
      </c>
    </row>
    <row r="6509" ht="13.5" hidden="1" spans="1:5">
      <c r="A6509" s="2" t="str">
        <f>"樊海婷"</f>
        <v>樊海婷</v>
      </c>
      <c r="B6509" s="2" t="str">
        <f>"B20220202412"</f>
        <v>B20220202412</v>
      </c>
      <c r="C6509" s="2" t="str">
        <f t="shared" ref="C6509:C6512" si="1652">"女"</f>
        <v>女</v>
      </c>
      <c r="D6509" s="2" t="str">
        <f>"6"</f>
        <v>6</v>
      </c>
      <c r="E6509" s="2" t="str">
        <f>"机电工程学院"</f>
        <v>机电工程学院</v>
      </c>
    </row>
    <row r="6510" ht="13.5" hidden="1" spans="1:5">
      <c r="A6510" s="2" t="str">
        <f>"邓子薇"</f>
        <v>邓子薇</v>
      </c>
      <c r="B6510" s="2" t="str">
        <f>"B20220802221"</f>
        <v>B20220802221</v>
      </c>
      <c r="C6510" s="2" t="str">
        <f t="shared" si="1652"/>
        <v>女</v>
      </c>
      <c r="D6510" s="2" t="str">
        <f>"6"</f>
        <v>6</v>
      </c>
      <c r="E6510" s="2" t="str">
        <f>"外国语学院"</f>
        <v>外国语学院</v>
      </c>
    </row>
    <row r="6511" ht="13.5" hidden="1" spans="1:5">
      <c r="A6511" s="2" t="str">
        <f>"鲁凌志"</f>
        <v>鲁凌志</v>
      </c>
      <c r="B6511" s="2" t="str">
        <f>"B20231301231"</f>
        <v>B20231301231</v>
      </c>
      <c r="C6511" s="2" t="str">
        <f t="shared" si="1651"/>
        <v>男</v>
      </c>
      <c r="D6511" s="2" t="str">
        <f>"6"</f>
        <v>6</v>
      </c>
      <c r="E6511" s="2" t="str">
        <f>"材料与环境工程学院"</f>
        <v>材料与环境工程学院</v>
      </c>
    </row>
    <row r="6512" ht="13.5" hidden="1" spans="1:5">
      <c r="A6512" s="2" t="str">
        <f>"赵楚涵"</f>
        <v>赵楚涵</v>
      </c>
      <c r="B6512" s="2" t="str">
        <f>"B20210703124"</f>
        <v>B20210703124</v>
      </c>
      <c r="C6512" s="2" t="str">
        <f t="shared" si="1652"/>
        <v>女</v>
      </c>
      <c r="D6512" s="2" t="str">
        <f>"6"</f>
        <v>6</v>
      </c>
      <c r="E6512" s="2" t="str">
        <f>"马栏山新媒体学院"</f>
        <v>马栏山新媒体学院</v>
      </c>
    </row>
    <row r="6513" ht="13.5" hidden="1" spans="1:5">
      <c r="A6513" s="2" t="str">
        <f>"袁剑华"</f>
        <v>袁剑华</v>
      </c>
      <c r="B6513" s="2" t="str">
        <f>"B20230904123"</f>
        <v>B20230904123</v>
      </c>
      <c r="C6513" s="2" t="str">
        <f t="shared" si="1651"/>
        <v>男</v>
      </c>
      <c r="D6513" s="2" t="str">
        <f>"6"</f>
        <v>6</v>
      </c>
      <c r="E6513" s="2" t="str">
        <f>"经济与管理学院"</f>
        <v>经济与管理学院</v>
      </c>
    </row>
    <row r="6514" ht="13.5" hidden="1" spans="1:5">
      <c r="A6514" s="2" t="str">
        <f>"任烜锐"</f>
        <v>任烜锐</v>
      </c>
      <c r="B6514" s="2" t="str">
        <f>"B20230403234"</f>
        <v>B20230403234</v>
      </c>
      <c r="C6514" s="2" t="str">
        <f>"女"</f>
        <v>女</v>
      </c>
      <c r="D6514" s="2" t="str">
        <f>"6"</f>
        <v>6</v>
      </c>
      <c r="E6514" s="2" t="str">
        <f>"电子信息与电气工程学院"</f>
        <v>电子信息与电气工程学院</v>
      </c>
    </row>
    <row r="6515" ht="13.5" hidden="1" spans="1:5">
      <c r="A6515" s="2" t="str">
        <f>"宁波"</f>
        <v>宁波</v>
      </c>
      <c r="B6515" s="2" t="str">
        <f>"B20231302201"</f>
        <v>B20231302201</v>
      </c>
      <c r="C6515" s="2" t="str">
        <f>"男"</f>
        <v>男</v>
      </c>
      <c r="D6515" s="2" t="str">
        <f>"6"</f>
        <v>6</v>
      </c>
      <c r="E6515" s="2" t="str">
        <f>"材料与环境工程学院"</f>
        <v>材料与环境工程学院</v>
      </c>
    </row>
    <row r="6516" ht="13.5" hidden="1" spans="1:5">
      <c r="A6516" s="2" t="str">
        <f>"黄子晋"</f>
        <v>黄子晋</v>
      </c>
      <c r="B6516" s="2" t="str">
        <f>"B20210101609"</f>
        <v>B20210101609</v>
      </c>
      <c r="C6516" s="2" t="str">
        <f>"男"</f>
        <v>男</v>
      </c>
      <c r="D6516" s="2" t="str">
        <f>"6"</f>
        <v>6</v>
      </c>
      <c r="E6516" s="2" t="str">
        <f>"土木工程学院"</f>
        <v>土木工程学院</v>
      </c>
    </row>
    <row r="6517" ht="13.5" hidden="1" spans="1:5">
      <c r="A6517" s="2" t="str">
        <f>"方心凌"</f>
        <v>方心凌</v>
      </c>
      <c r="B6517" s="2" t="str">
        <f>"B20230904213"</f>
        <v>B20230904213</v>
      </c>
      <c r="C6517" s="2" t="str">
        <f>"女"</f>
        <v>女</v>
      </c>
      <c r="D6517" s="2" t="str">
        <f>"6"</f>
        <v>6</v>
      </c>
      <c r="E6517" s="2" t="str">
        <f>"经济与管理学院"</f>
        <v>经济与管理学院</v>
      </c>
    </row>
    <row r="6518" ht="13.5" hidden="1" spans="1:5">
      <c r="A6518" s="2" t="str">
        <f>"陈兴超"</f>
        <v>陈兴超</v>
      </c>
      <c r="B6518" s="2" t="str">
        <f>"B20220904131"</f>
        <v>B20220904131</v>
      </c>
      <c r="C6518" s="2" t="str">
        <f>"男"</f>
        <v>男</v>
      </c>
      <c r="D6518" s="2" t="str">
        <f>"6"</f>
        <v>6</v>
      </c>
      <c r="E6518" s="2" t="str">
        <f>"经济与管理学院"</f>
        <v>经济与管理学院</v>
      </c>
    </row>
    <row r="6519" ht="13.5" hidden="1" spans="1:5">
      <c r="A6519" s="2" t="str">
        <f>"贺翔"</f>
        <v>贺翔</v>
      </c>
      <c r="B6519" s="2" t="str">
        <f>"B20230601514"</f>
        <v>B20230601514</v>
      </c>
      <c r="C6519" s="2" t="str">
        <f>"男"</f>
        <v>男</v>
      </c>
      <c r="D6519" s="2" t="str">
        <f>"6"</f>
        <v>6</v>
      </c>
      <c r="E6519" s="2" t="str">
        <f>"法学院"</f>
        <v>法学院</v>
      </c>
    </row>
    <row r="6520" ht="13.5" hidden="1" spans="1:5">
      <c r="A6520" s="2" t="str">
        <f>"史俊哲"</f>
        <v>史俊哲</v>
      </c>
      <c r="B6520" s="2" t="str">
        <f>"B20230201416"</f>
        <v>B20230201416</v>
      </c>
      <c r="C6520" s="2" t="str">
        <f>"男"</f>
        <v>男</v>
      </c>
      <c r="D6520" s="2" t="str">
        <f>"6"</f>
        <v>6</v>
      </c>
      <c r="E6520" s="2" t="str">
        <f>"机电工程学院"</f>
        <v>机电工程学院</v>
      </c>
    </row>
    <row r="6521" ht="13.5" hidden="1" spans="1:5">
      <c r="A6521" s="2" t="str">
        <f>"张海涛"</f>
        <v>张海涛</v>
      </c>
      <c r="B6521" s="2" t="str">
        <f>"B20201002411"</f>
        <v>B20201002411</v>
      </c>
      <c r="C6521" s="2" t="str">
        <f>"男"</f>
        <v>男</v>
      </c>
      <c r="D6521" s="2" t="str">
        <f>"6"</f>
        <v>6</v>
      </c>
      <c r="E6521" s="2" t="str">
        <f>"艺术设计学院"</f>
        <v>艺术设计学院</v>
      </c>
    </row>
    <row r="6522" ht="13.5" hidden="1" spans="1:5">
      <c r="A6522" s="2" t="str">
        <f>"陈柏光"</f>
        <v>陈柏光</v>
      </c>
      <c r="B6522" s="2" t="str">
        <f>"B20200505202"</f>
        <v>B20200505202</v>
      </c>
      <c r="C6522" s="2" t="str">
        <f>"男"</f>
        <v>男</v>
      </c>
      <c r="D6522" s="2" t="str">
        <f>"6"</f>
        <v>6</v>
      </c>
      <c r="E6522" s="2" t="str">
        <f>"生物与环境工程学院"</f>
        <v>生物与环境工程学院</v>
      </c>
    </row>
    <row r="6523" ht="13.5" hidden="1" spans="1:5">
      <c r="A6523" s="2" t="str">
        <f>"何唯唯"</f>
        <v>何唯唯</v>
      </c>
      <c r="B6523" s="2" t="str">
        <f>"B20200901139"</f>
        <v>B20200901139</v>
      </c>
      <c r="C6523" s="2" t="str">
        <f t="shared" ref="C6523:C6526" si="1653">"女"</f>
        <v>女</v>
      </c>
      <c r="D6523" s="2" t="str">
        <f>"6"</f>
        <v>6</v>
      </c>
      <c r="E6523" s="2" t="str">
        <f>"经济与管理学院"</f>
        <v>经济与管理学院</v>
      </c>
    </row>
    <row r="6524" ht="13.5" hidden="1" spans="1:5">
      <c r="A6524" s="2" t="str">
        <f>"何超平"</f>
        <v>何超平</v>
      </c>
      <c r="B6524" s="2" t="str">
        <f>"B20230101224"</f>
        <v>B20230101224</v>
      </c>
      <c r="C6524" s="2" t="str">
        <f t="shared" ref="C6524:C6530" si="1654">"男"</f>
        <v>男</v>
      </c>
      <c r="D6524" s="2" t="str">
        <f>"6"</f>
        <v>6</v>
      </c>
      <c r="E6524" s="2" t="str">
        <f>"土木工程学院"</f>
        <v>土木工程学院</v>
      </c>
    </row>
    <row r="6525" ht="13.5" hidden="1" spans="1:5">
      <c r="A6525" s="2" t="str">
        <f>"杨曦桐"</f>
        <v>杨曦桐</v>
      </c>
      <c r="B6525" s="2" t="str">
        <f>"B20231101113"</f>
        <v>B20231101113</v>
      </c>
      <c r="C6525" s="2" t="str">
        <f t="shared" si="1653"/>
        <v>女</v>
      </c>
      <c r="D6525" s="2" t="str">
        <f>"6"</f>
        <v>6</v>
      </c>
      <c r="E6525" s="2" t="str">
        <f>"音乐学院"</f>
        <v>音乐学院</v>
      </c>
    </row>
    <row r="6526" ht="13.5" hidden="1" spans="1:5">
      <c r="A6526" s="2" t="str">
        <f>"李思思"</f>
        <v>李思思</v>
      </c>
      <c r="B6526" s="2" t="str">
        <f>"B20210801411"</f>
        <v>B20210801411</v>
      </c>
      <c r="C6526" s="2" t="str">
        <f t="shared" si="1653"/>
        <v>女</v>
      </c>
      <c r="D6526" s="2" t="str">
        <f>"6"</f>
        <v>6</v>
      </c>
      <c r="E6526" s="2" t="str">
        <f>"外国语学院"</f>
        <v>外国语学院</v>
      </c>
    </row>
    <row r="6527" ht="13.5" hidden="1" spans="1:5">
      <c r="A6527" s="2" t="str">
        <f>"陈琪"</f>
        <v>陈琪</v>
      </c>
      <c r="B6527" s="2" t="str">
        <f>"B20230103234"</f>
        <v>B20230103234</v>
      </c>
      <c r="C6527" s="2" t="str">
        <f t="shared" si="1654"/>
        <v>男</v>
      </c>
      <c r="D6527" s="2" t="str">
        <f>"6"</f>
        <v>6</v>
      </c>
      <c r="E6527" s="2" t="str">
        <f>"土木工程学院"</f>
        <v>土木工程学院</v>
      </c>
    </row>
    <row r="6528" ht="13.5" hidden="1" spans="1:5">
      <c r="A6528" s="2" t="str">
        <f>"吴林灿"</f>
        <v>吴林灿</v>
      </c>
      <c r="B6528" s="2" t="str">
        <f>"B20210503224"</f>
        <v>B20210503224</v>
      </c>
      <c r="C6528" s="2" t="str">
        <f t="shared" si="1654"/>
        <v>男</v>
      </c>
      <c r="D6528" s="2" t="str">
        <f>"6"</f>
        <v>6</v>
      </c>
      <c r="E6528" s="2" t="str">
        <f>"材料与环境工程学院"</f>
        <v>材料与环境工程学院</v>
      </c>
    </row>
    <row r="6529" ht="13.5" hidden="1" spans="1:5">
      <c r="A6529" s="2" t="str">
        <f>"卢孟杭"</f>
        <v>卢孟杭</v>
      </c>
      <c r="B6529" s="2" t="str">
        <f>"B20210505101"</f>
        <v>B20210505101</v>
      </c>
      <c r="C6529" s="2" t="str">
        <f t="shared" si="1654"/>
        <v>男</v>
      </c>
      <c r="D6529" s="2" t="str">
        <f>"6"</f>
        <v>6</v>
      </c>
      <c r="E6529" s="2" t="str">
        <f>"材料与环境工程学院"</f>
        <v>材料与环境工程学院</v>
      </c>
    </row>
    <row r="6530" ht="13.5" hidden="1" spans="1:5">
      <c r="A6530" s="2" t="str">
        <f>"欧金玉"</f>
        <v>欧金玉</v>
      </c>
      <c r="B6530" s="2" t="str">
        <f>"B20200201115"</f>
        <v>B20200201115</v>
      </c>
      <c r="C6530" s="2" t="str">
        <f t="shared" si="1654"/>
        <v>男</v>
      </c>
      <c r="D6530" s="2" t="str">
        <f>"6"</f>
        <v>6</v>
      </c>
      <c r="E6530" s="2" t="str">
        <f>"机电工程学院"</f>
        <v>机电工程学院</v>
      </c>
    </row>
    <row r="6531" ht="13.5" hidden="1" spans="1:5">
      <c r="A6531" s="2" t="str">
        <f>"贺美"</f>
        <v>贺美</v>
      </c>
      <c r="B6531" s="2" t="str">
        <f>"B20210503110"</f>
        <v>B20210503110</v>
      </c>
      <c r="C6531" s="2" t="str">
        <f t="shared" ref="C6531:C6539" si="1655">"女"</f>
        <v>女</v>
      </c>
      <c r="D6531" s="2" t="str">
        <f>"6"</f>
        <v>6</v>
      </c>
      <c r="E6531" s="2" t="str">
        <f>"材料与环境工程学院"</f>
        <v>材料与环境工程学院</v>
      </c>
    </row>
    <row r="6532" ht="13.5" hidden="1" spans="1:5">
      <c r="A6532" s="2" t="str">
        <f>"杨婧"</f>
        <v>杨婧</v>
      </c>
      <c r="B6532" s="2" t="str">
        <f>"B20220702430"</f>
        <v>B20220702430</v>
      </c>
      <c r="C6532" s="2" t="str">
        <f t="shared" si="1655"/>
        <v>女</v>
      </c>
      <c r="D6532" s="2" t="str">
        <f>"6"</f>
        <v>6</v>
      </c>
      <c r="E6532" s="2" t="str">
        <f>"马栏山新媒体学院"</f>
        <v>马栏山新媒体学院</v>
      </c>
    </row>
    <row r="6533" ht="13.5" hidden="1" spans="1:5">
      <c r="A6533" s="2" t="str">
        <f>"吴媚娟"</f>
        <v>吴媚娟</v>
      </c>
      <c r="B6533" s="2" t="str">
        <f>"B20230502131"</f>
        <v>B20230502131</v>
      </c>
      <c r="C6533" s="2" t="str">
        <f t="shared" si="1655"/>
        <v>女</v>
      </c>
      <c r="D6533" s="2" t="str">
        <f>"6"</f>
        <v>6</v>
      </c>
      <c r="E6533" s="2" t="str">
        <f>"生物与化学工程学院"</f>
        <v>生物与化学工程学院</v>
      </c>
    </row>
    <row r="6534" ht="13.5" hidden="1" spans="1:5">
      <c r="A6534" s="2" t="str">
        <f>"胡志敏"</f>
        <v>胡志敏</v>
      </c>
      <c r="B6534" s="2" t="str">
        <f>"B20200504119"</f>
        <v>B20200504119</v>
      </c>
      <c r="C6534" s="2" t="str">
        <f t="shared" si="1655"/>
        <v>女</v>
      </c>
      <c r="D6534" s="2" t="str">
        <f>"6"</f>
        <v>6</v>
      </c>
      <c r="E6534" s="2" t="str">
        <f>"生物与环境工程学院"</f>
        <v>生物与环境工程学院</v>
      </c>
    </row>
    <row r="6535" ht="13.5" hidden="1" spans="1:5">
      <c r="A6535" s="2" t="str">
        <f>"肖紫怡"</f>
        <v>肖紫怡</v>
      </c>
      <c r="B6535" s="2" t="str">
        <f>"B20210801511"</f>
        <v>B20210801511</v>
      </c>
      <c r="C6535" s="2" t="str">
        <f t="shared" si="1655"/>
        <v>女</v>
      </c>
      <c r="D6535" s="2" t="str">
        <f>"6"</f>
        <v>6</v>
      </c>
      <c r="E6535" s="2" t="str">
        <f>"外国语学院"</f>
        <v>外国语学院</v>
      </c>
    </row>
    <row r="6536" ht="13.5" hidden="1" spans="1:5">
      <c r="A6536" s="2" t="str">
        <f>"陈天云"</f>
        <v>陈天云</v>
      </c>
      <c r="B6536" s="2" t="str">
        <f>"B20210501229"</f>
        <v>B20210501229</v>
      </c>
      <c r="C6536" s="2" t="str">
        <f t="shared" si="1655"/>
        <v>女</v>
      </c>
      <c r="D6536" s="2" t="str">
        <f>"6"</f>
        <v>6</v>
      </c>
      <c r="E6536" s="2" t="str">
        <f t="shared" ref="E6536:E6541" si="1656">"生物与化学工程学院"</f>
        <v>生物与化学工程学院</v>
      </c>
    </row>
    <row r="6537" ht="13.5" hidden="1" spans="1:5">
      <c r="A6537" s="2" t="str">
        <f>"赵聪"</f>
        <v>赵聪</v>
      </c>
      <c r="B6537" s="2" t="str">
        <f>"B20231101308"</f>
        <v>B20231101308</v>
      </c>
      <c r="C6537" s="2" t="str">
        <f t="shared" si="1655"/>
        <v>女</v>
      </c>
      <c r="D6537" s="2" t="str">
        <f>"6"</f>
        <v>6</v>
      </c>
      <c r="E6537" s="2" t="str">
        <f>"音乐学院"</f>
        <v>音乐学院</v>
      </c>
    </row>
    <row r="6538" ht="13.5" hidden="1" spans="1:5">
      <c r="A6538" s="2" t="str">
        <f>"明洛希"</f>
        <v>明洛希</v>
      </c>
      <c r="B6538" s="2" t="str">
        <f>"B20230701327"</f>
        <v>B20230701327</v>
      </c>
      <c r="C6538" s="2" t="str">
        <f t="shared" si="1655"/>
        <v>女</v>
      </c>
      <c r="D6538" s="2" t="str">
        <f>"6"</f>
        <v>6</v>
      </c>
      <c r="E6538" s="2" t="str">
        <f>"马栏山新媒体学院"</f>
        <v>马栏山新媒体学院</v>
      </c>
    </row>
    <row r="6539" ht="13.5" hidden="1" spans="1:5">
      <c r="A6539" s="2" t="str">
        <f>"姜星如"</f>
        <v>姜星如</v>
      </c>
      <c r="B6539" s="2" t="str">
        <f>"B20230601513"</f>
        <v>B20230601513</v>
      </c>
      <c r="C6539" s="2" t="str">
        <f t="shared" si="1655"/>
        <v>女</v>
      </c>
      <c r="D6539" s="2" t="str">
        <f>"6"</f>
        <v>6</v>
      </c>
      <c r="E6539" s="2" t="str">
        <f>"法学院"</f>
        <v>法学院</v>
      </c>
    </row>
    <row r="6540" ht="13.5" hidden="1" spans="1:5">
      <c r="A6540" s="2" t="str">
        <f>"陈锦鸿"</f>
        <v>陈锦鸿</v>
      </c>
      <c r="B6540" s="2" t="str">
        <f>"B20230502121"</f>
        <v>B20230502121</v>
      </c>
      <c r="C6540" s="2" t="str">
        <f>"男"</f>
        <v>男</v>
      </c>
      <c r="D6540" s="2" t="str">
        <f>"6"</f>
        <v>6</v>
      </c>
      <c r="E6540" s="2" t="str">
        <f t="shared" si="1656"/>
        <v>生物与化学工程学院</v>
      </c>
    </row>
    <row r="6541" ht="13.5" hidden="1" spans="1:5">
      <c r="A6541" s="2" t="str">
        <f>"梁佳怡"</f>
        <v>梁佳怡</v>
      </c>
      <c r="B6541" s="2" t="str">
        <f>"B20230502120"</f>
        <v>B20230502120</v>
      </c>
      <c r="C6541" s="2" t="str">
        <f>"女"</f>
        <v>女</v>
      </c>
      <c r="D6541" s="2" t="str">
        <f>"6"</f>
        <v>6</v>
      </c>
      <c r="E6541" s="2" t="str">
        <f t="shared" si="1656"/>
        <v>生物与化学工程学院</v>
      </c>
    </row>
    <row r="6542" ht="13.5" hidden="1" spans="1:5">
      <c r="A6542" s="2" t="str">
        <f>"王成希"</f>
        <v>王成希</v>
      </c>
      <c r="B6542" s="2" t="str">
        <f>"B20211004127"</f>
        <v>B20211004127</v>
      </c>
      <c r="C6542" s="2" t="str">
        <f>"女"</f>
        <v>女</v>
      </c>
      <c r="D6542" s="2" t="str">
        <f>"6"</f>
        <v>6</v>
      </c>
      <c r="E6542" s="2" t="str">
        <f>"艺术设计学院"</f>
        <v>艺术设计学院</v>
      </c>
    </row>
    <row r="6543" ht="13.5" hidden="1" spans="1:5">
      <c r="A6543" s="2" t="str">
        <f>"胡仕磊"</f>
        <v>胡仕磊</v>
      </c>
      <c r="B6543" s="2" t="str">
        <f>"B20210404209"</f>
        <v>B20210404209</v>
      </c>
      <c r="C6543" s="2" t="str">
        <f>"男"</f>
        <v>男</v>
      </c>
      <c r="D6543" s="2" t="str">
        <f>"6"</f>
        <v>6</v>
      </c>
      <c r="E6543" s="2" t="str">
        <f>"电子信息与电气工程学院"</f>
        <v>电子信息与电气工程学院</v>
      </c>
    </row>
    <row r="6544" ht="13.5" hidden="1" spans="1:5">
      <c r="A6544" s="2" t="str">
        <f>"饶双双"</f>
        <v>饶双双</v>
      </c>
      <c r="B6544" s="2" t="str">
        <f>"B20210203114"</f>
        <v>B20210203114</v>
      </c>
      <c r="C6544" s="2" t="str">
        <f>"女"</f>
        <v>女</v>
      </c>
      <c r="D6544" s="2" t="str">
        <f>"6"</f>
        <v>6</v>
      </c>
      <c r="E6544" s="2" t="str">
        <f>"机电工程学院"</f>
        <v>机电工程学院</v>
      </c>
    </row>
    <row r="6545" ht="13.5" hidden="1" spans="1:5">
      <c r="A6545" s="2" t="str">
        <f>"唐翔"</f>
        <v>唐翔</v>
      </c>
      <c r="B6545" s="2" t="str">
        <f>"B20220504326"</f>
        <v>B20220504326</v>
      </c>
      <c r="C6545" s="2" t="str">
        <f>"男"</f>
        <v>男</v>
      </c>
      <c r="D6545" s="2" t="str">
        <f>"6"</f>
        <v>6</v>
      </c>
      <c r="E6545" s="2" t="str">
        <f>"生物与化学工程学院"</f>
        <v>生物与化学工程学院</v>
      </c>
    </row>
    <row r="6546" ht="13.5" hidden="1" spans="1:5">
      <c r="A6546" s="2" t="str">
        <f>"李威"</f>
        <v>李威</v>
      </c>
      <c r="B6546" s="2" t="str">
        <f>"B20220401308"</f>
        <v>B20220401308</v>
      </c>
      <c r="C6546" s="2" t="str">
        <f>"男"</f>
        <v>男</v>
      </c>
      <c r="D6546" s="2" t="str">
        <f>"6"</f>
        <v>6</v>
      </c>
      <c r="E6546" s="2" t="str">
        <f>"电子信息与电气工程学院"</f>
        <v>电子信息与电气工程学院</v>
      </c>
    </row>
    <row r="6547" ht="13.5" hidden="1" spans="1:5">
      <c r="A6547" s="2" t="str">
        <f>"胡佳贝"</f>
        <v>胡佳贝</v>
      </c>
      <c r="B6547" s="2" t="str">
        <f>"B20200202420"</f>
        <v>B20200202420</v>
      </c>
      <c r="C6547" s="2" t="str">
        <f>"女"</f>
        <v>女</v>
      </c>
      <c r="D6547" s="2" t="str">
        <f>"6"</f>
        <v>6</v>
      </c>
      <c r="E6547" s="2" t="str">
        <f>"经济与管理学院"</f>
        <v>经济与管理学院</v>
      </c>
    </row>
    <row r="6548" ht="13.5" hidden="1" spans="1:5">
      <c r="A6548" s="2" t="str">
        <f>"李康"</f>
        <v>李康</v>
      </c>
      <c r="B6548" s="2" t="str">
        <f>"B20200204220"</f>
        <v>B20200204220</v>
      </c>
      <c r="C6548" s="2" t="str">
        <f>"男"</f>
        <v>男</v>
      </c>
      <c r="D6548" s="2" t="str">
        <f>"6"</f>
        <v>6</v>
      </c>
      <c r="E6548" s="2" t="str">
        <f>"机电工程学院"</f>
        <v>机电工程学院</v>
      </c>
    </row>
    <row r="6549" ht="13.5" hidden="1" spans="1:5">
      <c r="A6549" s="2" t="str">
        <f>"王盖"</f>
        <v>王盖</v>
      </c>
      <c r="B6549" s="2" t="str">
        <f>"B20220101112"</f>
        <v>B20220101112</v>
      </c>
      <c r="C6549" s="2" t="str">
        <f>"男"</f>
        <v>男</v>
      </c>
      <c r="D6549" s="2" t="str">
        <f>"6"</f>
        <v>6</v>
      </c>
      <c r="E6549" s="2" t="str">
        <f>"土木工程学院"</f>
        <v>土木工程学院</v>
      </c>
    </row>
    <row r="6550" ht="13.5" hidden="1" spans="1:5">
      <c r="A6550" s="2" t="str">
        <f>"袁日辉"</f>
        <v>袁日辉</v>
      </c>
      <c r="B6550" s="2" t="str">
        <f>"B20200402320"</f>
        <v>B20200402320</v>
      </c>
      <c r="C6550" s="2" t="str">
        <f>"男"</f>
        <v>男</v>
      </c>
      <c r="D6550" s="2" t="str">
        <f>"6"</f>
        <v>6</v>
      </c>
      <c r="E6550" s="2" t="str">
        <f>"电子信息与电气工程学院"</f>
        <v>电子信息与电气工程学院</v>
      </c>
    </row>
    <row r="6551" ht="13.5" hidden="1" spans="1:5">
      <c r="A6551" s="2" t="str">
        <f>"宋金华"</f>
        <v>宋金华</v>
      </c>
      <c r="B6551" s="2" t="str">
        <f>"B20220704217"</f>
        <v>B20220704217</v>
      </c>
      <c r="C6551" s="2" t="str">
        <f>"女"</f>
        <v>女</v>
      </c>
      <c r="D6551" s="2" t="str">
        <f>"6"</f>
        <v>6</v>
      </c>
      <c r="E6551" s="2" t="str">
        <f>"马栏山新媒体学院"</f>
        <v>马栏山新媒体学院</v>
      </c>
    </row>
    <row r="6552" ht="13.5" hidden="1" spans="1:5">
      <c r="A6552" s="2" t="str">
        <f>"吴俊峰"</f>
        <v>吴俊峰</v>
      </c>
      <c r="B6552" s="2" t="str">
        <f>"B20210202217"</f>
        <v>B20210202217</v>
      </c>
      <c r="C6552" s="2" t="str">
        <f>"男"</f>
        <v>男</v>
      </c>
      <c r="D6552" s="2" t="str">
        <f>"6"</f>
        <v>6</v>
      </c>
      <c r="E6552" s="2" t="str">
        <f>"机电工程学院"</f>
        <v>机电工程学院</v>
      </c>
    </row>
    <row r="6553" ht="13.5" hidden="1" spans="1:5">
      <c r="A6553" s="2" t="str">
        <f>"刘赛宇"</f>
        <v>刘赛宇</v>
      </c>
      <c r="B6553" s="2" t="str">
        <f>"B20200404218"</f>
        <v>B20200404218</v>
      </c>
      <c r="C6553" s="2" t="str">
        <f>"男"</f>
        <v>男</v>
      </c>
      <c r="D6553" s="2" t="str">
        <f>"6"</f>
        <v>6</v>
      </c>
      <c r="E6553" s="2" t="str">
        <f>"电子信息与电气工程学院"</f>
        <v>电子信息与电气工程学院</v>
      </c>
    </row>
    <row r="6554" ht="13.5" hidden="1" spans="1:5">
      <c r="A6554" s="2" t="str">
        <f>"谢雨欣"</f>
        <v>谢雨欣</v>
      </c>
      <c r="B6554" s="2" t="str">
        <f>"B20220704422"</f>
        <v>B20220704422</v>
      </c>
      <c r="C6554" s="2" t="str">
        <f>"女"</f>
        <v>女</v>
      </c>
      <c r="D6554" s="2" t="str">
        <f>"6"</f>
        <v>6</v>
      </c>
      <c r="E6554" s="2" t="str">
        <f>"马栏山新媒体学院"</f>
        <v>马栏山新媒体学院</v>
      </c>
    </row>
    <row r="6555" ht="13.5" hidden="1" spans="1:5">
      <c r="A6555" s="2" t="str">
        <f>"刘佳雪"</f>
        <v>刘佳雪</v>
      </c>
      <c r="B6555" s="2" t="str">
        <f>"B20211001218"</f>
        <v>B20211001218</v>
      </c>
      <c r="C6555" s="2" t="str">
        <f>"女"</f>
        <v>女</v>
      </c>
      <c r="D6555" s="2" t="str">
        <f>"6"</f>
        <v>6</v>
      </c>
      <c r="E6555" s="2" t="str">
        <f>"艺术设计学院"</f>
        <v>艺术设计学院</v>
      </c>
    </row>
    <row r="6556" ht="13.5" hidden="1" spans="1:5">
      <c r="A6556" s="2" t="str">
        <f>"夏骁"</f>
        <v>夏骁</v>
      </c>
      <c r="B6556" s="2" t="str">
        <f>"B20200103122"</f>
        <v>B20200103122</v>
      </c>
      <c r="C6556" s="2" t="str">
        <f>"男"</f>
        <v>男</v>
      </c>
      <c r="D6556" s="2" t="str">
        <f>"6"</f>
        <v>6</v>
      </c>
      <c r="E6556" s="2" t="str">
        <f>"土木工程学院"</f>
        <v>土木工程学院</v>
      </c>
    </row>
    <row r="6557" ht="13.5" hidden="1" spans="1:5">
      <c r="A6557" s="2" t="str">
        <f>"张仁杰"</f>
        <v>张仁杰</v>
      </c>
      <c r="B6557" s="2" t="str">
        <f>"B20230502229"</f>
        <v>B20230502229</v>
      </c>
      <c r="C6557" s="2" t="str">
        <f>"男"</f>
        <v>男</v>
      </c>
      <c r="D6557" s="2" t="str">
        <f>"6"</f>
        <v>6</v>
      </c>
      <c r="E6557" s="2" t="str">
        <f>"生物与化学工程学院"</f>
        <v>生物与化学工程学院</v>
      </c>
    </row>
    <row r="6558" ht="13.5" hidden="1" spans="1:5">
      <c r="A6558" s="2" t="str">
        <f>"侯文康"</f>
        <v>侯文康</v>
      </c>
      <c r="B6558" s="2" t="str">
        <f>"B20230101531"</f>
        <v>B20230101531</v>
      </c>
      <c r="C6558" s="2" t="str">
        <f>"男"</f>
        <v>男</v>
      </c>
      <c r="D6558" s="2" t="str">
        <f>"6"</f>
        <v>6</v>
      </c>
      <c r="E6558" s="2" t="str">
        <f>"土木工程学院"</f>
        <v>土木工程学院</v>
      </c>
    </row>
    <row r="6559" ht="13.5" hidden="1" spans="1:5">
      <c r="A6559" s="2" t="str">
        <f>"王紫晔"</f>
        <v>王紫晔</v>
      </c>
      <c r="B6559" s="2" t="str">
        <f>"B20210102107"</f>
        <v>B20210102107</v>
      </c>
      <c r="C6559" s="2" t="str">
        <f t="shared" ref="C6559:C6565" si="1657">"男"</f>
        <v>男</v>
      </c>
      <c r="D6559" s="2" t="str">
        <f>"6"</f>
        <v>6</v>
      </c>
      <c r="E6559" s="2" t="str">
        <f>"土木工程学院"</f>
        <v>土木工程学院</v>
      </c>
    </row>
    <row r="6560" ht="13.5" hidden="1" spans="1:5">
      <c r="A6560" s="2" t="str">
        <f>"龙添乐"</f>
        <v>龙添乐</v>
      </c>
      <c r="B6560" s="2" t="str">
        <f>"B20230404116"</f>
        <v>B20230404116</v>
      </c>
      <c r="C6560" s="2" t="str">
        <f t="shared" si="1657"/>
        <v>男</v>
      </c>
      <c r="D6560" s="2" t="str">
        <f>"6"</f>
        <v>6</v>
      </c>
      <c r="E6560" s="2" t="str">
        <f>"电子信息与电气工程学院"</f>
        <v>电子信息与电气工程学院</v>
      </c>
    </row>
    <row r="6561" ht="13.5" hidden="1" spans="1:5">
      <c r="A6561" s="2" t="str">
        <f>"章晨"</f>
        <v>章晨</v>
      </c>
      <c r="B6561" s="2" t="str">
        <f>"B20230903231"</f>
        <v>B20230903231</v>
      </c>
      <c r="C6561" s="2" t="str">
        <f t="shared" si="1657"/>
        <v>男</v>
      </c>
      <c r="D6561" s="2" t="str">
        <f>"6"</f>
        <v>6</v>
      </c>
      <c r="E6561" s="2" t="str">
        <f>"经济与管理学院"</f>
        <v>经济与管理学院</v>
      </c>
    </row>
    <row r="6562" ht="13.5" hidden="1" spans="1:5">
      <c r="A6562" s="2" t="str">
        <f>"龙毅"</f>
        <v>龙毅</v>
      </c>
      <c r="B6562" s="2" t="str">
        <f>"B20220404203"</f>
        <v>B20220404203</v>
      </c>
      <c r="C6562" s="2" t="str">
        <f t="shared" si="1657"/>
        <v>男</v>
      </c>
      <c r="D6562" s="2" t="str">
        <f>"6"</f>
        <v>6</v>
      </c>
      <c r="E6562" s="2" t="str">
        <f>"电子信息与电气工程学院"</f>
        <v>电子信息与电气工程学院</v>
      </c>
    </row>
    <row r="6563" ht="13.5" hidden="1" spans="1:5">
      <c r="A6563" s="2" t="str">
        <f>"何健"</f>
        <v>何健</v>
      </c>
      <c r="B6563" s="2" t="str">
        <f>"B20230102129"</f>
        <v>B20230102129</v>
      </c>
      <c r="C6563" s="2" t="str">
        <f t="shared" si="1657"/>
        <v>男</v>
      </c>
      <c r="D6563" s="2" t="str">
        <f>"6"</f>
        <v>6</v>
      </c>
      <c r="E6563" s="2" t="str">
        <f>"土木工程学院"</f>
        <v>土木工程学院</v>
      </c>
    </row>
    <row r="6564" ht="13.5" hidden="1" spans="1:5">
      <c r="A6564" s="2" t="str">
        <f>"曾盼"</f>
        <v>曾盼</v>
      </c>
      <c r="B6564" s="2" t="str">
        <f>"B20220202127"</f>
        <v>B20220202127</v>
      </c>
      <c r="C6564" s="2" t="str">
        <f t="shared" si="1657"/>
        <v>男</v>
      </c>
      <c r="D6564" s="2" t="str">
        <f>"6"</f>
        <v>6</v>
      </c>
      <c r="E6564" s="2" t="str">
        <f>"机电工程学院"</f>
        <v>机电工程学院</v>
      </c>
    </row>
    <row r="6565" ht="13.5" hidden="1" spans="1:5">
      <c r="A6565" s="2" t="str">
        <f>"骆亚鹏"</f>
        <v>骆亚鹏</v>
      </c>
      <c r="B6565" s="2" t="str">
        <f>"B20220102224"</f>
        <v>B20220102224</v>
      </c>
      <c r="C6565" s="2" t="str">
        <f t="shared" si="1657"/>
        <v>男</v>
      </c>
      <c r="D6565" s="2" t="str">
        <f>"6"</f>
        <v>6</v>
      </c>
      <c r="E6565" s="2" t="str">
        <f>"土木工程学院"</f>
        <v>土木工程学院</v>
      </c>
    </row>
    <row r="6566" ht="13.5" hidden="1" spans="1:5">
      <c r="A6566" s="2" t="str">
        <f>"龚可欣"</f>
        <v>龚可欣</v>
      </c>
      <c r="B6566" s="2" t="str">
        <f>"B20200501211"</f>
        <v>B20200501211</v>
      </c>
      <c r="C6566" s="2" t="str">
        <f>"女"</f>
        <v>女</v>
      </c>
      <c r="D6566" s="2" t="str">
        <f>"6"</f>
        <v>6</v>
      </c>
      <c r="E6566" s="2" t="str">
        <f>"生物与环境工程学院"</f>
        <v>生物与环境工程学院</v>
      </c>
    </row>
    <row r="6567" ht="13.5" hidden="1" spans="1:5">
      <c r="A6567" s="2" t="str">
        <f>"饶睿琪"</f>
        <v>饶睿琪</v>
      </c>
      <c r="B6567" s="2" t="str">
        <f>"B20230403313"</f>
        <v>B20230403313</v>
      </c>
      <c r="C6567" s="2" t="str">
        <f>"女"</f>
        <v>女</v>
      </c>
      <c r="D6567" s="2" t="str">
        <f>"6"</f>
        <v>6</v>
      </c>
      <c r="E6567" s="2" t="str">
        <f>"电子信息与电气工程学院"</f>
        <v>电子信息与电气工程学院</v>
      </c>
    </row>
    <row r="6568" ht="13.5" hidden="1" spans="1:5">
      <c r="A6568" s="2" t="str">
        <f>"陈佳波"</f>
        <v>陈佳波</v>
      </c>
      <c r="B6568" s="2" t="str">
        <f>"B20220502112"</f>
        <v>B20220502112</v>
      </c>
      <c r="C6568" s="2" t="str">
        <f t="shared" ref="C6568:C6572" si="1658">"男"</f>
        <v>男</v>
      </c>
      <c r="D6568" s="2" t="str">
        <f>"6"</f>
        <v>6</v>
      </c>
      <c r="E6568" s="2" t="str">
        <f>"生物与化学工程学院"</f>
        <v>生物与化学工程学院</v>
      </c>
    </row>
    <row r="6569" ht="13.5" hidden="1" spans="1:5">
      <c r="A6569" s="2" t="str">
        <f>"戈睿琦"</f>
        <v>戈睿琦</v>
      </c>
      <c r="B6569" s="2" t="str">
        <f>"B20221301201"</f>
        <v>B20221301201</v>
      </c>
      <c r="C6569" s="2" t="str">
        <f t="shared" si="1658"/>
        <v>男</v>
      </c>
      <c r="D6569" s="2" t="str">
        <f>"6"</f>
        <v>6</v>
      </c>
      <c r="E6569" s="2" t="str">
        <f>"材料与环境工程学院"</f>
        <v>材料与环境工程学院</v>
      </c>
    </row>
    <row r="6570" ht="13.5" hidden="1" spans="1:5">
      <c r="A6570" s="2" t="str">
        <f>"谭宇麒"</f>
        <v>谭宇麒</v>
      </c>
      <c r="B6570" s="2" t="str">
        <f>"B20231302214"</f>
        <v>B20231302214</v>
      </c>
      <c r="C6570" s="2" t="str">
        <f t="shared" si="1658"/>
        <v>男</v>
      </c>
      <c r="D6570" s="2" t="str">
        <f>"6"</f>
        <v>6</v>
      </c>
      <c r="E6570" s="2" t="str">
        <f>"材料与环境工程学院"</f>
        <v>材料与环境工程学院</v>
      </c>
    </row>
    <row r="6571" ht="13.5" hidden="1" spans="1:5">
      <c r="A6571" s="2" t="str">
        <f>"刘宇航"</f>
        <v>刘宇航</v>
      </c>
      <c r="B6571" s="2" t="str">
        <f>"B20230501201"</f>
        <v>B20230501201</v>
      </c>
      <c r="C6571" s="2" t="str">
        <f t="shared" si="1658"/>
        <v>男</v>
      </c>
      <c r="D6571" s="2" t="str">
        <f>"6"</f>
        <v>6</v>
      </c>
      <c r="E6571" s="2" t="str">
        <f>"生物与化学工程学院"</f>
        <v>生物与化学工程学院</v>
      </c>
    </row>
    <row r="6572" ht="13.5" hidden="1" spans="1:5">
      <c r="A6572" s="2" t="str">
        <f>"李政江"</f>
        <v>李政江</v>
      </c>
      <c r="B6572" s="2" t="str">
        <f>"B20200501134"</f>
        <v>B20200501134</v>
      </c>
      <c r="C6572" s="2" t="str">
        <f t="shared" si="1658"/>
        <v>男</v>
      </c>
      <c r="D6572" s="2" t="str">
        <f>"6"</f>
        <v>6</v>
      </c>
      <c r="E6572" s="2" t="str">
        <f>"生物与环境工程学院"</f>
        <v>生物与环境工程学院</v>
      </c>
    </row>
    <row r="6573" ht="13.5" hidden="1" spans="1:5">
      <c r="A6573" s="2" t="str">
        <f>"刘子烨"</f>
        <v>刘子烨</v>
      </c>
      <c r="B6573" s="2" t="str">
        <f>"B20230704407"</f>
        <v>B20230704407</v>
      </c>
      <c r="C6573" s="2" t="str">
        <f>"女"</f>
        <v>女</v>
      </c>
      <c r="D6573" s="2" t="str">
        <f>"6"</f>
        <v>6</v>
      </c>
      <c r="E6573" s="2" t="str">
        <f>"马栏山新媒体学院"</f>
        <v>马栏山新媒体学院</v>
      </c>
    </row>
    <row r="6574" ht="13.5" hidden="1" spans="1:5">
      <c r="A6574" s="2" t="str">
        <f>"李学斌"</f>
        <v>李学斌</v>
      </c>
      <c r="B6574" s="2" t="str">
        <f>"B20220101310"</f>
        <v>B20220101310</v>
      </c>
      <c r="C6574" s="2" t="str">
        <f t="shared" ref="C6574:C6578" si="1659">"男"</f>
        <v>男</v>
      </c>
      <c r="D6574" s="2" t="str">
        <f>"6"</f>
        <v>6</v>
      </c>
      <c r="E6574" s="2" t="str">
        <f>"土木工程学院"</f>
        <v>土木工程学院</v>
      </c>
    </row>
    <row r="6575" ht="13.5" hidden="1" spans="1:5">
      <c r="A6575" s="2" t="str">
        <f>"郭小叶"</f>
        <v>郭小叶</v>
      </c>
      <c r="B6575" s="2" t="str">
        <f>"B20220104119"</f>
        <v>B20220104119</v>
      </c>
      <c r="C6575" s="2" t="str">
        <f t="shared" ref="C6575:C6580" si="1660">"女"</f>
        <v>女</v>
      </c>
      <c r="D6575" s="2" t="str">
        <f>"6"</f>
        <v>6</v>
      </c>
      <c r="E6575" s="2" t="str">
        <f>"土木工程学院"</f>
        <v>土木工程学院</v>
      </c>
    </row>
    <row r="6576" ht="13.5" hidden="1" spans="1:5">
      <c r="A6576" s="2" t="str">
        <f>"陈君保"</f>
        <v>陈君保</v>
      </c>
      <c r="B6576" s="2" t="str">
        <f>"B20190401435"</f>
        <v>B20190401435</v>
      </c>
      <c r="C6576" s="2" t="str">
        <f t="shared" si="1659"/>
        <v>男</v>
      </c>
      <c r="D6576" s="2" t="str">
        <f>"6"</f>
        <v>6</v>
      </c>
      <c r="E6576" s="2" t="str">
        <f>"电子信息与电气工程学院"</f>
        <v>电子信息与电气工程学院</v>
      </c>
    </row>
    <row r="6577" ht="13.5" hidden="1" spans="1:5">
      <c r="A6577" s="2" t="str">
        <f>"周祺"</f>
        <v>周祺</v>
      </c>
      <c r="B6577" s="2" t="str">
        <f>"B20220202309"</f>
        <v>B20220202309</v>
      </c>
      <c r="C6577" s="2" t="str">
        <f t="shared" si="1659"/>
        <v>男</v>
      </c>
      <c r="D6577" s="2" t="str">
        <f>"6"</f>
        <v>6</v>
      </c>
      <c r="E6577" s="2" t="str">
        <f>"机电工程学院"</f>
        <v>机电工程学院</v>
      </c>
    </row>
    <row r="6578" ht="13.5" hidden="1" spans="1:5">
      <c r="A6578" s="2" t="str">
        <f>"谭林青"</f>
        <v>谭林青</v>
      </c>
      <c r="B6578" s="2" t="str">
        <f>"B20231111103"</f>
        <v>B20231111103</v>
      </c>
      <c r="C6578" s="2" t="str">
        <f t="shared" si="1659"/>
        <v>男</v>
      </c>
      <c r="D6578" s="2" t="str">
        <f>"6"</f>
        <v>6</v>
      </c>
      <c r="E6578" s="2" t="str">
        <f>"音乐学院"</f>
        <v>音乐学院</v>
      </c>
    </row>
    <row r="6579" ht="13.5" hidden="1" spans="1:5">
      <c r="A6579" s="2" t="str">
        <f>"朱梦晴"</f>
        <v>朱梦晴</v>
      </c>
      <c r="B6579" s="2" t="str">
        <f>"B20210903201"</f>
        <v>B20210903201</v>
      </c>
      <c r="C6579" s="2" t="str">
        <f t="shared" si="1660"/>
        <v>女</v>
      </c>
      <c r="D6579" s="2" t="str">
        <f>"6"</f>
        <v>6</v>
      </c>
      <c r="E6579" s="2" t="str">
        <f>"经济与管理学院"</f>
        <v>经济与管理学院</v>
      </c>
    </row>
    <row r="6580" ht="13.5" hidden="1" spans="1:5">
      <c r="A6580" s="2" t="str">
        <f>"荀佳馨"</f>
        <v>荀佳馨</v>
      </c>
      <c r="B6580" s="2" t="str">
        <f>"B20230905203"</f>
        <v>B20230905203</v>
      </c>
      <c r="C6580" s="2" t="str">
        <f t="shared" si="1660"/>
        <v>女</v>
      </c>
      <c r="D6580" s="2" t="str">
        <f>"6"</f>
        <v>6</v>
      </c>
      <c r="E6580" s="2" t="str">
        <f>"经济与管理学院"</f>
        <v>经济与管理学院</v>
      </c>
    </row>
    <row r="6581" ht="13.5" hidden="1" spans="1:5">
      <c r="A6581" s="2" t="str">
        <f>"章弘林"</f>
        <v>章弘林</v>
      </c>
      <c r="B6581" s="2" t="str">
        <f>"B20230701309"</f>
        <v>B20230701309</v>
      </c>
      <c r="C6581" s="2" t="str">
        <f t="shared" ref="C6581:C6586" si="1661">"男"</f>
        <v>男</v>
      </c>
      <c r="D6581" s="2" t="str">
        <f>"6"</f>
        <v>6</v>
      </c>
      <c r="E6581" s="2" t="str">
        <f>"马栏山新媒体学院"</f>
        <v>马栏山新媒体学院</v>
      </c>
    </row>
    <row r="6582" ht="13.5" hidden="1" spans="1:5">
      <c r="A6582" s="2" t="str">
        <f>"李沛韩"</f>
        <v>李沛韩</v>
      </c>
      <c r="B6582" s="2" t="str">
        <f>"B20230205207"</f>
        <v>B20230205207</v>
      </c>
      <c r="C6582" s="2" t="str">
        <f t="shared" si="1661"/>
        <v>男</v>
      </c>
      <c r="D6582" s="2" t="str">
        <f>"6"</f>
        <v>6</v>
      </c>
      <c r="E6582" s="2" t="str">
        <f t="shared" ref="E6582:E6586" si="1662">"机电工程学院"</f>
        <v>机电工程学院</v>
      </c>
    </row>
    <row r="6583" ht="13.5" hidden="1" spans="1:5">
      <c r="A6583" s="2" t="str">
        <f>"黄家骏"</f>
        <v>黄家骏</v>
      </c>
      <c r="B6583" s="2" t="str">
        <f>"B20221301102"</f>
        <v>B20221301102</v>
      </c>
      <c r="C6583" s="2" t="str">
        <f t="shared" si="1661"/>
        <v>男</v>
      </c>
      <c r="D6583" s="2" t="str">
        <f>"6"</f>
        <v>6</v>
      </c>
      <c r="E6583" s="2" t="str">
        <f>"材料与环境工程学院"</f>
        <v>材料与环境工程学院</v>
      </c>
    </row>
    <row r="6584" ht="13.5" hidden="1" spans="1:5">
      <c r="A6584" s="2" t="str">
        <f>"高圣斌"</f>
        <v>高圣斌</v>
      </c>
      <c r="B6584" s="2" t="str">
        <f>"B20230202108"</f>
        <v>B20230202108</v>
      </c>
      <c r="C6584" s="2" t="str">
        <f t="shared" si="1661"/>
        <v>男</v>
      </c>
      <c r="D6584" s="2" t="str">
        <f>"6"</f>
        <v>6</v>
      </c>
      <c r="E6584" s="2" t="str">
        <f t="shared" si="1662"/>
        <v>机电工程学院</v>
      </c>
    </row>
    <row r="6585" ht="13.5" hidden="1" spans="1:5">
      <c r="A6585" s="2" t="str">
        <f>"彭想雄"</f>
        <v>彭想雄</v>
      </c>
      <c r="B6585" s="2" t="str">
        <f>"B20230902311"</f>
        <v>B20230902311</v>
      </c>
      <c r="C6585" s="2" t="str">
        <f t="shared" si="1661"/>
        <v>男</v>
      </c>
      <c r="D6585" s="2" t="str">
        <f>"6"</f>
        <v>6</v>
      </c>
      <c r="E6585" s="2" t="str">
        <f>"经济与管理学院"</f>
        <v>经济与管理学院</v>
      </c>
    </row>
    <row r="6586" ht="13.5" hidden="1" spans="1:5">
      <c r="A6586" s="2" t="str">
        <f>"陈亮"</f>
        <v>陈亮</v>
      </c>
      <c r="B6586" s="2" t="str">
        <f>"B20210203203"</f>
        <v>B20210203203</v>
      </c>
      <c r="C6586" s="2" t="str">
        <f t="shared" si="1661"/>
        <v>男</v>
      </c>
      <c r="D6586" s="2" t="str">
        <f>"6"</f>
        <v>6</v>
      </c>
      <c r="E6586" s="2" t="str">
        <f t="shared" si="1662"/>
        <v>机电工程学院</v>
      </c>
    </row>
    <row r="6587" ht="13.5" hidden="1" spans="1:5">
      <c r="A6587" s="2" t="str">
        <f>"马广璇"</f>
        <v>马广璇</v>
      </c>
      <c r="B6587" s="2" t="str">
        <f>"B20220704406"</f>
        <v>B20220704406</v>
      </c>
      <c r="C6587" s="2" t="str">
        <f>"女"</f>
        <v>女</v>
      </c>
      <c r="D6587" s="2" t="str">
        <f>"6"</f>
        <v>6</v>
      </c>
      <c r="E6587" s="2" t="str">
        <f>"马栏山新媒体学院"</f>
        <v>马栏山新媒体学院</v>
      </c>
    </row>
    <row r="6588" ht="13.5" hidden="1" spans="1:5">
      <c r="A6588" s="2" t="str">
        <f>"周洁"</f>
        <v>周洁</v>
      </c>
      <c r="B6588" s="2" t="str">
        <f>"B20230502204"</f>
        <v>B20230502204</v>
      </c>
      <c r="C6588" s="2" t="str">
        <f>"女"</f>
        <v>女</v>
      </c>
      <c r="D6588" s="2" t="str">
        <f>"6"</f>
        <v>6</v>
      </c>
      <c r="E6588" s="2" t="str">
        <f>"生物与化学工程学院"</f>
        <v>生物与化学工程学院</v>
      </c>
    </row>
    <row r="6589" ht="13.5" hidden="1" spans="1:5">
      <c r="A6589" s="2" t="str">
        <f>"朱奕豪"</f>
        <v>朱奕豪</v>
      </c>
      <c r="B6589" s="2" t="str">
        <f>"B20220401317"</f>
        <v>B20220401317</v>
      </c>
      <c r="C6589" s="2" t="str">
        <f>"男"</f>
        <v>男</v>
      </c>
      <c r="D6589" s="2" t="str">
        <f>"6"</f>
        <v>6</v>
      </c>
      <c r="E6589" s="2" t="str">
        <f>"电子信息与电气工程学院"</f>
        <v>电子信息与电气工程学院</v>
      </c>
    </row>
    <row r="6590" ht="13.5" hidden="1" spans="1:5">
      <c r="A6590" s="2" t="str">
        <f>"尹圆"</f>
        <v>尹圆</v>
      </c>
      <c r="B6590" s="2" t="str">
        <f>"B20230502228"</f>
        <v>B20230502228</v>
      </c>
      <c r="C6590" s="2" t="str">
        <f>"男"</f>
        <v>男</v>
      </c>
      <c r="D6590" s="2" t="str">
        <f>"6"</f>
        <v>6</v>
      </c>
      <c r="E6590" s="2" t="str">
        <f>"生物与化学工程学院"</f>
        <v>生物与化学工程学院</v>
      </c>
    </row>
    <row r="6591" ht="13.5" hidden="1" spans="1:5">
      <c r="A6591" s="2" t="str">
        <f>"陈旖"</f>
        <v>陈旖</v>
      </c>
      <c r="B6591" s="2" t="str">
        <f>"B20221003210"</f>
        <v>B20221003210</v>
      </c>
      <c r="C6591" s="2" t="str">
        <f>"女"</f>
        <v>女</v>
      </c>
      <c r="D6591" s="2" t="str">
        <f>"6"</f>
        <v>6</v>
      </c>
      <c r="E6591" s="2" t="str">
        <f>"艺术设计学院"</f>
        <v>艺术设计学院</v>
      </c>
    </row>
    <row r="6592" ht="13.5" hidden="1" spans="1:5">
      <c r="A6592" s="2" t="str">
        <f>"江友康"</f>
        <v>江友康</v>
      </c>
      <c r="B6592" s="2" t="str">
        <f>"B20221302314"</f>
        <v>B20221302314</v>
      </c>
      <c r="C6592" s="2" t="str">
        <f t="shared" ref="C6592:C6595" si="1663">"男"</f>
        <v>男</v>
      </c>
      <c r="D6592" s="2" t="str">
        <f>"6"</f>
        <v>6</v>
      </c>
      <c r="E6592" s="2" t="str">
        <f>"材料与环境工程学院"</f>
        <v>材料与环境工程学院</v>
      </c>
    </row>
    <row r="6593" ht="13.5" hidden="1" spans="1:5">
      <c r="A6593" s="2" t="str">
        <f>"刘胡颂"</f>
        <v>刘胡颂</v>
      </c>
      <c r="B6593" s="2" t="str">
        <f>"B20230402214"</f>
        <v>B20230402214</v>
      </c>
      <c r="C6593" s="2" t="str">
        <f t="shared" si="1663"/>
        <v>男</v>
      </c>
      <c r="D6593" s="2" t="str">
        <f>"6"</f>
        <v>6</v>
      </c>
      <c r="E6593" s="2" t="str">
        <f>"电子信息与电气工程学院"</f>
        <v>电子信息与电气工程学院</v>
      </c>
    </row>
    <row r="6594" ht="13.5" hidden="1" spans="1:5">
      <c r="A6594" s="2" t="str">
        <f>"罗增鑫"</f>
        <v>罗增鑫</v>
      </c>
      <c r="B6594" s="2" t="str">
        <f>"B20231302325"</f>
        <v>B20231302325</v>
      </c>
      <c r="C6594" s="2" t="str">
        <f t="shared" ref="C6594:C6597" si="1664">"女"</f>
        <v>女</v>
      </c>
      <c r="D6594" s="2" t="str">
        <f>"6"</f>
        <v>6</v>
      </c>
      <c r="E6594" s="2" t="str">
        <f>"材料与环境工程学院"</f>
        <v>材料与环境工程学院</v>
      </c>
    </row>
    <row r="6595" ht="13.5" hidden="1" spans="1:5">
      <c r="A6595" s="2" t="str">
        <f>"张烨"</f>
        <v>张烨</v>
      </c>
      <c r="B6595" s="2" t="str">
        <f>"B20230504401"</f>
        <v>B20230504401</v>
      </c>
      <c r="C6595" s="2" t="str">
        <f t="shared" si="1663"/>
        <v>男</v>
      </c>
      <c r="D6595" s="2" t="str">
        <f>"6"</f>
        <v>6</v>
      </c>
      <c r="E6595" s="2" t="str">
        <f>"生物与化学工程学院"</f>
        <v>生物与化学工程学院</v>
      </c>
    </row>
    <row r="6596" ht="13.5" hidden="1" spans="1:5">
      <c r="A6596" s="2" t="str">
        <f>"朱烨"</f>
        <v>朱烨</v>
      </c>
      <c r="B6596" s="2" t="str">
        <f>"B20220803206"</f>
        <v>B20220803206</v>
      </c>
      <c r="C6596" s="2" t="str">
        <f t="shared" si="1664"/>
        <v>女</v>
      </c>
      <c r="D6596" s="2" t="str">
        <f>"6"</f>
        <v>6</v>
      </c>
      <c r="E6596" s="2" t="str">
        <f>"外国语学院"</f>
        <v>外国语学院</v>
      </c>
    </row>
    <row r="6597" ht="13.5" hidden="1" spans="1:5">
      <c r="A6597" s="2" t="str">
        <f>"鲁寒雨"</f>
        <v>鲁寒雨</v>
      </c>
      <c r="B6597" s="2" t="str">
        <f>"B20231001102"</f>
        <v>B20231001102</v>
      </c>
      <c r="C6597" s="2" t="str">
        <f t="shared" si="1664"/>
        <v>女</v>
      </c>
      <c r="D6597" s="2" t="str">
        <f>"6"</f>
        <v>6</v>
      </c>
      <c r="E6597" s="2" t="str">
        <f>"艺术设计学院"</f>
        <v>艺术设计学院</v>
      </c>
    </row>
    <row r="6598" ht="13.5" hidden="1" spans="1:5">
      <c r="A6598" s="2" t="str">
        <f>"谢雨萌"</f>
        <v>谢雨萌</v>
      </c>
      <c r="B6598" s="2" t="str">
        <f>"B20220104222"</f>
        <v>B20220104222</v>
      </c>
      <c r="C6598" s="2" t="str">
        <f t="shared" ref="C6598:C6600" si="1665">"女"</f>
        <v>女</v>
      </c>
      <c r="D6598" s="2" t="str">
        <f>"6"</f>
        <v>6</v>
      </c>
      <c r="E6598" s="2" t="str">
        <f>"土木工程学院"</f>
        <v>土木工程学院</v>
      </c>
    </row>
    <row r="6599" ht="13.5" hidden="1" spans="1:5">
      <c r="A6599" s="2" t="str">
        <f>"黄嘉鑫"</f>
        <v>黄嘉鑫</v>
      </c>
      <c r="B6599" s="2" t="str">
        <f>"B20231004207"</f>
        <v>B20231004207</v>
      </c>
      <c r="C6599" s="2" t="str">
        <f t="shared" si="1665"/>
        <v>女</v>
      </c>
      <c r="D6599" s="2" t="str">
        <f>"6"</f>
        <v>6</v>
      </c>
      <c r="E6599" s="2" t="str">
        <f>"艺术设计学院"</f>
        <v>艺术设计学院</v>
      </c>
    </row>
    <row r="6600" ht="13.5" hidden="1" spans="1:5">
      <c r="A6600" s="2" t="str">
        <f>"杨晓彤"</f>
        <v>杨晓彤</v>
      </c>
      <c r="B6600" s="2" t="str">
        <f>"B20230202103"</f>
        <v>B20230202103</v>
      </c>
      <c r="C6600" s="2" t="str">
        <f t="shared" si="1665"/>
        <v>女</v>
      </c>
      <c r="D6600" s="2" t="str">
        <f>"6"</f>
        <v>6</v>
      </c>
      <c r="E6600" s="2" t="str">
        <f>"机电工程学院"</f>
        <v>机电工程学院</v>
      </c>
    </row>
    <row r="6601" ht="13.5" hidden="1" spans="1:5">
      <c r="A6601" s="2" t="str">
        <f>"潘钧杰"</f>
        <v>潘钧杰</v>
      </c>
      <c r="B6601" s="2" t="str">
        <f>"B20200404227"</f>
        <v>B20200404227</v>
      </c>
      <c r="C6601" s="2" t="str">
        <f>"男"</f>
        <v>男</v>
      </c>
      <c r="D6601" s="2" t="str">
        <f>"6"</f>
        <v>6</v>
      </c>
      <c r="E6601" s="2" t="str">
        <f>"电子信息与电气工程学院"</f>
        <v>电子信息与电气工程学院</v>
      </c>
    </row>
    <row r="6602" ht="13.5" hidden="1" spans="1:5">
      <c r="A6602" s="2" t="str">
        <f>"肖子娴"</f>
        <v>肖子娴</v>
      </c>
      <c r="B6602" s="2" t="str">
        <f>"B20200704116"</f>
        <v>B20200704116</v>
      </c>
      <c r="C6602" s="2" t="str">
        <f>"女"</f>
        <v>女</v>
      </c>
      <c r="D6602" s="2" t="str">
        <f>"6"</f>
        <v>6</v>
      </c>
      <c r="E6602" s="2" t="str">
        <f>"马栏山新媒体学院"</f>
        <v>马栏山新媒体学院</v>
      </c>
    </row>
    <row r="6603" ht="13.5" hidden="1" spans="1:5">
      <c r="A6603" s="2" t="str">
        <f>"蒋柏亮"</f>
        <v>蒋柏亮</v>
      </c>
      <c r="B6603" s="2" t="str">
        <f>"B20210903211"</f>
        <v>B20210903211</v>
      </c>
      <c r="C6603" s="2" t="str">
        <f>"男"</f>
        <v>男</v>
      </c>
      <c r="D6603" s="2" t="str">
        <f>"6"</f>
        <v>6</v>
      </c>
      <c r="E6603" s="2" t="str">
        <f>"经济与管理学院"</f>
        <v>经济与管理学院</v>
      </c>
    </row>
    <row r="6604" ht="13.5" hidden="1" spans="1:5">
      <c r="A6604" s="2" t="str">
        <f>"戴汝希"</f>
        <v>戴汝希</v>
      </c>
      <c r="B6604" s="2" t="str">
        <f>"B20200401411"</f>
        <v>B20200401411</v>
      </c>
      <c r="C6604" s="2" t="str">
        <f>"女"</f>
        <v>女</v>
      </c>
      <c r="D6604" s="2" t="str">
        <f>"6"</f>
        <v>6</v>
      </c>
      <c r="E6604" s="2" t="str">
        <f>"电子信息与电气工程学院"</f>
        <v>电子信息与电气工程学院</v>
      </c>
    </row>
    <row r="6605" ht="13.5" hidden="1" spans="1:5">
      <c r="A6605" s="2" t="str">
        <f>"周扬"</f>
        <v>周扬</v>
      </c>
      <c r="B6605" s="2" t="str">
        <f>"B20220102120"</f>
        <v>B20220102120</v>
      </c>
      <c r="C6605" s="2" t="str">
        <f>"女"</f>
        <v>女</v>
      </c>
      <c r="D6605" s="2" t="str">
        <f>"6"</f>
        <v>6</v>
      </c>
      <c r="E6605" s="2" t="str">
        <f t="shared" ref="E6605:E6610" si="1666">"土木工程学院"</f>
        <v>土木工程学院</v>
      </c>
    </row>
    <row r="6606" ht="13.5" hidden="1" spans="1:5">
      <c r="A6606" s="2" t="str">
        <f>"匡小娜"</f>
        <v>匡小娜</v>
      </c>
      <c r="B6606" s="2" t="str">
        <f>"B20220104204"</f>
        <v>B20220104204</v>
      </c>
      <c r="C6606" s="2" t="str">
        <f>"女"</f>
        <v>女</v>
      </c>
      <c r="D6606" s="2" t="str">
        <f>"6"</f>
        <v>6</v>
      </c>
      <c r="E6606" s="2" t="str">
        <f t="shared" si="1666"/>
        <v>土木工程学院</v>
      </c>
    </row>
    <row r="6607" ht="13.5" hidden="1" spans="1:5">
      <c r="A6607" s="2" t="str">
        <f>"陈嘉莹"</f>
        <v>陈嘉莹</v>
      </c>
      <c r="B6607" s="2" t="str">
        <f>"B20220504408"</f>
        <v>B20220504408</v>
      </c>
      <c r="C6607" s="2" t="str">
        <f>"女"</f>
        <v>女</v>
      </c>
      <c r="D6607" s="2" t="str">
        <f>"6"</f>
        <v>6</v>
      </c>
      <c r="E6607" s="2" t="str">
        <f>"生物与化学工程学院"</f>
        <v>生物与化学工程学院</v>
      </c>
    </row>
    <row r="6608" ht="13.5" hidden="1" spans="1:5">
      <c r="A6608" s="2" t="str">
        <f>"徐粟睿"</f>
        <v>徐粟睿</v>
      </c>
      <c r="B6608" s="2" t="str">
        <f>"B20221301207"</f>
        <v>B20221301207</v>
      </c>
      <c r="C6608" s="2" t="str">
        <f>"女"</f>
        <v>女</v>
      </c>
      <c r="D6608" s="2" t="str">
        <f>"6"</f>
        <v>6</v>
      </c>
      <c r="E6608" s="2" t="str">
        <f>"材料与环境工程学院"</f>
        <v>材料与环境工程学院</v>
      </c>
    </row>
    <row r="6609" ht="13.5" hidden="1" spans="1:5">
      <c r="A6609" s="2" t="str">
        <f>"余瑶"</f>
        <v>余瑶</v>
      </c>
      <c r="B6609" s="2" t="str">
        <f>"B20210404131"</f>
        <v>B20210404131</v>
      </c>
      <c r="C6609" s="2" t="str">
        <f>"男"</f>
        <v>男</v>
      </c>
      <c r="D6609" s="2" t="str">
        <f>"6"</f>
        <v>6</v>
      </c>
      <c r="E6609" s="2" t="str">
        <f>"电子信息与电气工程学院"</f>
        <v>电子信息与电气工程学院</v>
      </c>
    </row>
    <row r="6610" ht="13.5" hidden="1" spans="1:5">
      <c r="A6610" s="2" t="str">
        <f>"吴娟"</f>
        <v>吴娟</v>
      </c>
      <c r="B6610" s="2" t="str">
        <f>"B20220102122"</f>
        <v>B20220102122</v>
      </c>
      <c r="C6610" s="2" t="str">
        <f>"女"</f>
        <v>女</v>
      </c>
      <c r="D6610" s="2" t="str">
        <f>"6"</f>
        <v>6</v>
      </c>
      <c r="E6610" s="2" t="str">
        <f t="shared" si="1666"/>
        <v>土木工程学院</v>
      </c>
    </row>
    <row r="6611" ht="13.5" hidden="1" spans="1:5">
      <c r="A6611" s="2" t="str">
        <f>"晏泽轩"</f>
        <v>晏泽轩</v>
      </c>
      <c r="B6611" s="2" t="str">
        <f>"B20210601108"</f>
        <v>B20210601108</v>
      </c>
      <c r="C6611" s="2" t="str">
        <f>"男"</f>
        <v>男</v>
      </c>
      <c r="D6611" s="2" t="str">
        <f>"6"</f>
        <v>6</v>
      </c>
      <c r="E6611" s="2" t="str">
        <f>"法学院"</f>
        <v>法学院</v>
      </c>
    </row>
    <row r="6612" ht="13.5" hidden="1" spans="1:5">
      <c r="A6612" s="2" t="str">
        <f>"周晨"</f>
        <v>周晨</v>
      </c>
      <c r="B6612" s="2" t="str">
        <f>"B20210203214"</f>
        <v>B20210203214</v>
      </c>
      <c r="C6612" s="2" t="str">
        <f>"男"</f>
        <v>男</v>
      </c>
      <c r="D6612" s="2" t="str">
        <f>"6"</f>
        <v>6</v>
      </c>
      <c r="E6612" s="2" t="str">
        <f>"机电工程学院"</f>
        <v>机电工程学院</v>
      </c>
    </row>
    <row r="6613" ht="13.5" hidden="1" spans="1:5">
      <c r="A6613" s="2" t="str">
        <f>"周炯晓"</f>
        <v>周炯晓</v>
      </c>
      <c r="B6613" s="2" t="str">
        <f>"B20230204220"</f>
        <v>B20230204220</v>
      </c>
      <c r="C6613" s="2" t="str">
        <f>"男"</f>
        <v>男</v>
      </c>
      <c r="D6613" s="2" t="str">
        <f>"6"</f>
        <v>6</v>
      </c>
      <c r="E6613" s="2" t="str">
        <f>"机电工程学院"</f>
        <v>机电工程学院</v>
      </c>
    </row>
    <row r="6614" ht="13.5" hidden="1" spans="1:5">
      <c r="A6614" s="2" t="str">
        <f>"郑鹏"</f>
        <v>郑鹏</v>
      </c>
      <c r="B6614" s="2" t="str">
        <f>"B20220801127"</f>
        <v>B20220801127</v>
      </c>
      <c r="C6614" s="2" t="str">
        <f>"男"</f>
        <v>男</v>
      </c>
      <c r="D6614" s="2" t="str">
        <f>"6"</f>
        <v>6</v>
      </c>
      <c r="E6614" s="2" t="str">
        <f>"外国语学院"</f>
        <v>外国语学院</v>
      </c>
    </row>
    <row r="6615" ht="13.5" hidden="1" spans="1:5">
      <c r="A6615" s="2" t="str">
        <f>"王超"</f>
        <v>王超</v>
      </c>
      <c r="B6615" s="2" t="str">
        <f>"B20231302434"</f>
        <v>B20231302434</v>
      </c>
      <c r="C6615" s="2" t="str">
        <f>"男"</f>
        <v>男</v>
      </c>
      <c r="D6615" s="2" t="str">
        <f t="shared" ref="D6615:D6620" si="1667">"6"</f>
        <v>6</v>
      </c>
      <c r="E6615" s="2" t="str">
        <f>"材料与环境工程学院"</f>
        <v>材料与环境工程学院</v>
      </c>
    </row>
    <row r="6616" ht="13.5" hidden="1" spans="1:5">
      <c r="A6616" s="2" t="str">
        <f>"严家乐"</f>
        <v>严家乐</v>
      </c>
      <c r="B6616" s="2" t="str">
        <f>"B20210801309"</f>
        <v>B20210801309</v>
      </c>
      <c r="C6616" s="2" t="str">
        <f t="shared" ref="C6616:C6621" si="1668">"女"</f>
        <v>女</v>
      </c>
      <c r="D6616" s="2" t="str">
        <f t="shared" si="1667"/>
        <v>6</v>
      </c>
      <c r="E6616" s="2" t="str">
        <f>"外国语学院"</f>
        <v>外国语学院</v>
      </c>
    </row>
    <row r="6617" ht="13.5" hidden="1" spans="1:5">
      <c r="A6617" s="2" t="str">
        <f>"曾宇轩"</f>
        <v>曾宇轩</v>
      </c>
      <c r="B6617" s="2" t="str">
        <f>"B20200704211"</f>
        <v>B20200704211</v>
      </c>
      <c r="C6617" s="2" t="str">
        <f t="shared" ref="C6617:C6619" si="1669">"男"</f>
        <v>男</v>
      </c>
      <c r="D6617" s="2" t="str">
        <f t="shared" si="1667"/>
        <v>6</v>
      </c>
      <c r="E6617" s="2" t="str">
        <f>"马栏山新媒体学院"</f>
        <v>马栏山新媒体学院</v>
      </c>
    </row>
    <row r="6618" ht="13.5" hidden="1" spans="1:5">
      <c r="A6618" s="2" t="str">
        <f>"郭棋"</f>
        <v>郭棋</v>
      </c>
      <c r="B6618" s="2" t="str">
        <f>"B20230101421"</f>
        <v>B20230101421</v>
      </c>
      <c r="C6618" s="2" t="str">
        <f t="shared" si="1669"/>
        <v>男</v>
      </c>
      <c r="D6618" s="2" t="str">
        <f t="shared" si="1667"/>
        <v>6</v>
      </c>
      <c r="E6618" s="2" t="str">
        <f>"土木工程学院"</f>
        <v>土木工程学院</v>
      </c>
    </row>
    <row r="6619" ht="13.5" hidden="1" spans="1:5">
      <c r="A6619" s="2" t="str">
        <f>"向邦炜"</f>
        <v>向邦炜</v>
      </c>
      <c r="B6619" s="2" t="str">
        <f>"B20230801413"</f>
        <v>B20230801413</v>
      </c>
      <c r="C6619" s="2" t="str">
        <f t="shared" si="1669"/>
        <v>男</v>
      </c>
      <c r="D6619" s="2" t="str">
        <f t="shared" si="1667"/>
        <v>6</v>
      </c>
      <c r="E6619" s="2" t="str">
        <f>"外国语学院"</f>
        <v>外国语学院</v>
      </c>
    </row>
    <row r="6620" ht="13.5" hidden="1" spans="1:5">
      <c r="A6620" s="2" t="str">
        <f>"谭梦帆"</f>
        <v>谭梦帆</v>
      </c>
      <c r="B6620" s="2" t="str">
        <f>"B20220702323"</f>
        <v>B20220702323</v>
      </c>
      <c r="C6620" s="2" t="str">
        <f t="shared" si="1668"/>
        <v>女</v>
      </c>
      <c r="D6620" s="2" t="str">
        <f t="shared" si="1667"/>
        <v>6</v>
      </c>
      <c r="E6620" s="2" t="str">
        <f>"马栏山新媒体学院"</f>
        <v>马栏山新媒体学院</v>
      </c>
    </row>
    <row r="6621" ht="13.5" hidden="1" spans="1:5">
      <c r="A6621" s="2" t="str">
        <f>"刘艳"</f>
        <v>刘艳</v>
      </c>
      <c r="B6621" s="2" t="str">
        <f>"B20210901241"</f>
        <v>B20210901241</v>
      </c>
      <c r="C6621" s="2" t="str">
        <f t="shared" si="1668"/>
        <v>女</v>
      </c>
      <c r="D6621" s="2" t="str">
        <f>"6"</f>
        <v>6</v>
      </c>
      <c r="E6621" s="2" t="str">
        <f>"经济与管理学院"</f>
        <v>经济与管理学院</v>
      </c>
    </row>
    <row r="6622" ht="13.5" hidden="1" spans="1:5">
      <c r="A6622" s="2" t="str">
        <f>"龚儒健"</f>
        <v>龚儒健</v>
      </c>
      <c r="B6622" s="2" t="str">
        <f>"B20230204213"</f>
        <v>B20230204213</v>
      </c>
      <c r="C6622" s="2" t="str">
        <f>"男"</f>
        <v>男</v>
      </c>
      <c r="D6622" s="2" t="str">
        <f>"6"</f>
        <v>6</v>
      </c>
      <c r="E6622" s="2" t="str">
        <f>"机电工程学院"</f>
        <v>机电工程学院</v>
      </c>
    </row>
    <row r="6623" ht="13.5" hidden="1" spans="1:5">
      <c r="A6623" s="2" t="str">
        <f>"李锐"</f>
        <v>李锐</v>
      </c>
      <c r="B6623" s="2" t="str">
        <f>"B20230202207"</f>
        <v>B20230202207</v>
      </c>
      <c r="C6623" s="2" t="str">
        <f>"男"</f>
        <v>男</v>
      </c>
      <c r="D6623" s="2" t="str">
        <f>"6"</f>
        <v>6</v>
      </c>
      <c r="E6623" s="2" t="str">
        <f>"机电工程学院"</f>
        <v>机电工程学院</v>
      </c>
    </row>
    <row r="6624" ht="13.5" hidden="1" spans="1:5">
      <c r="A6624" s="2" t="str">
        <f>"胡雯茜"</f>
        <v>胡雯茜</v>
      </c>
      <c r="B6624" s="2" t="str">
        <f>"B20210601403"</f>
        <v>B20210601403</v>
      </c>
      <c r="C6624" s="2" t="str">
        <f>"女"</f>
        <v>女</v>
      </c>
      <c r="D6624" s="2" t="str">
        <f>"6"</f>
        <v>6</v>
      </c>
      <c r="E6624" s="2" t="str">
        <f>"法学院"</f>
        <v>法学院</v>
      </c>
    </row>
    <row r="6625" ht="13.5" hidden="1" spans="1:5">
      <c r="A6625" s="2" t="str">
        <f>"李智镐"</f>
        <v>李智镐</v>
      </c>
      <c r="B6625" s="2" t="str">
        <f>"B20230401426"</f>
        <v>B20230401426</v>
      </c>
      <c r="C6625" s="2" t="str">
        <f>"男"</f>
        <v>男</v>
      </c>
      <c r="D6625" s="2" t="str">
        <f>"6"</f>
        <v>6</v>
      </c>
      <c r="E6625" s="2" t="str">
        <f>"电子信息与电气工程学院"</f>
        <v>电子信息与电气工程学院</v>
      </c>
    </row>
    <row r="6626" ht="13.5" hidden="1" spans="1:5">
      <c r="A6626" s="2" t="str">
        <f>"黄盈"</f>
        <v>黄盈</v>
      </c>
      <c r="B6626" s="2" t="str">
        <f>"B20220904235"</f>
        <v>B20220904235</v>
      </c>
      <c r="C6626" s="2" t="str">
        <f>"女"</f>
        <v>女</v>
      </c>
      <c r="D6626" s="2" t="str">
        <f>"6"</f>
        <v>6</v>
      </c>
      <c r="E6626" s="2" t="str">
        <f>"经济与管理学院"</f>
        <v>经济与管理学院</v>
      </c>
    </row>
    <row r="6627" ht="13.5" hidden="1" spans="1:5">
      <c r="A6627" s="2" t="str">
        <f>"何易宸"</f>
        <v>何易宸</v>
      </c>
      <c r="B6627" s="2" t="str">
        <f>"B20231302136"</f>
        <v>B20231302136</v>
      </c>
      <c r="C6627" s="2" t="str">
        <f>"男"</f>
        <v>男</v>
      </c>
      <c r="D6627" s="2" t="str">
        <f t="shared" ref="D6627:D6682" si="1670">"6"</f>
        <v>6</v>
      </c>
      <c r="E6627" s="2" t="str">
        <f>"材料与环境工程学院"</f>
        <v>材料与环境工程学院</v>
      </c>
    </row>
    <row r="6628" ht="13.5" hidden="1" spans="1:5">
      <c r="A6628" s="2" t="str">
        <f>"吴智鸿"</f>
        <v>吴智鸿</v>
      </c>
      <c r="B6628" s="2" t="str">
        <f>"B20210202231"</f>
        <v>B20210202231</v>
      </c>
      <c r="C6628" s="2" t="str">
        <f>"男"</f>
        <v>男</v>
      </c>
      <c r="D6628" s="2" t="str">
        <f t="shared" si="1670"/>
        <v>6</v>
      </c>
      <c r="E6628" s="2" t="str">
        <f>"机电工程学院"</f>
        <v>机电工程学院</v>
      </c>
    </row>
    <row r="6629" ht="13.5" hidden="1" spans="1:5">
      <c r="A6629" s="2" t="str">
        <f>"刘璇"</f>
        <v>刘璇</v>
      </c>
      <c r="B6629" s="2" t="str">
        <f>"B20220801115"</f>
        <v>B20220801115</v>
      </c>
      <c r="C6629" s="2" t="str">
        <f>"女"</f>
        <v>女</v>
      </c>
      <c r="D6629" s="2" t="str">
        <f>"19"</f>
        <v>19</v>
      </c>
      <c r="E6629" s="2" t="str">
        <f>"数学学院"</f>
        <v>数学学院</v>
      </c>
    </row>
    <row r="6630" ht="13.5" hidden="1" spans="1:5">
      <c r="A6630" s="2" t="str">
        <f>"蒋铮"</f>
        <v>蒋铮</v>
      </c>
      <c r="B6630" s="2" t="str">
        <f>"B20200102226"</f>
        <v>B20200102226</v>
      </c>
      <c r="C6630" s="2" t="str">
        <f>"男"</f>
        <v>男</v>
      </c>
      <c r="D6630" s="2" t="str">
        <f t="shared" si="1670"/>
        <v>6</v>
      </c>
      <c r="E6630" s="2" t="str">
        <f>"土木工程学院"</f>
        <v>土木工程学院</v>
      </c>
    </row>
    <row r="6631" ht="13.5" hidden="1" spans="1:5">
      <c r="A6631" s="2" t="str">
        <f>"朱洁榕"</f>
        <v>朱洁榕</v>
      </c>
      <c r="B6631" s="2" t="str">
        <f>"B20220901218"</f>
        <v>B20220901218</v>
      </c>
      <c r="C6631" s="2" t="str">
        <f t="shared" ref="C6631:C6635" si="1671">"女"</f>
        <v>女</v>
      </c>
      <c r="D6631" s="2" t="str">
        <f t="shared" si="1670"/>
        <v>6</v>
      </c>
      <c r="E6631" s="2" t="str">
        <f t="shared" ref="E6631:E6635" si="1672">"经济与管理学院"</f>
        <v>经济与管理学院</v>
      </c>
    </row>
    <row r="6632" ht="13.5" hidden="1" spans="1:5">
      <c r="A6632" s="2" t="str">
        <f>"汪紫希"</f>
        <v>汪紫希</v>
      </c>
      <c r="B6632" s="2" t="str">
        <f>"B20221302107"</f>
        <v>B20221302107</v>
      </c>
      <c r="C6632" s="2" t="str">
        <f t="shared" ref="C6632:C6639" si="1673">"男"</f>
        <v>男</v>
      </c>
      <c r="D6632" s="2" t="str">
        <f t="shared" si="1670"/>
        <v>6</v>
      </c>
      <c r="E6632" s="2" t="str">
        <f>"材料与环境工程学院"</f>
        <v>材料与环境工程学院</v>
      </c>
    </row>
    <row r="6633" ht="13.5" hidden="1" spans="1:5">
      <c r="A6633" s="2" t="str">
        <f>"李志杰"</f>
        <v>李志杰</v>
      </c>
      <c r="B6633" s="2" t="str">
        <f>"B20230402235"</f>
        <v>B20230402235</v>
      </c>
      <c r="C6633" s="2" t="str">
        <f t="shared" si="1673"/>
        <v>男</v>
      </c>
      <c r="D6633" s="2" t="str">
        <f t="shared" si="1670"/>
        <v>6</v>
      </c>
      <c r="E6633" s="2" t="str">
        <f>"电子信息与电气工程学院"</f>
        <v>电子信息与电气工程学院</v>
      </c>
    </row>
    <row r="6634" ht="13.5" hidden="1" spans="1:5">
      <c r="A6634" s="2" t="str">
        <f>"杨之桐"</f>
        <v>杨之桐</v>
      </c>
      <c r="B6634" s="2" t="str">
        <f>"B20220904219"</f>
        <v>B20220904219</v>
      </c>
      <c r="C6634" s="2" t="str">
        <f t="shared" si="1671"/>
        <v>女</v>
      </c>
      <c r="D6634" s="2" t="str">
        <f t="shared" si="1670"/>
        <v>6</v>
      </c>
      <c r="E6634" s="2" t="str">
        <f t="shared" si="1672"/>
        <v>经济与管理学院</v>
      </c>
    </row>
    <row r="6635" ht="13.5" hidden="1" spans="1:5">
      <c r="A6635" s="2" t="str">
        <f>"莫安琪"</f>
        <v>莫安琪</v>
      </c>
      <c r="B6635" s="2" t="str">
        <f>"B20210903129"</f>
        <v>B20210903129</v>
      </c>
      <c r="C6635" s="2" t="str">
        <f t="shared" si="1671"/>
        <v>女</v>
      </c>
      <c r="D6635" s="2" t="str">
        <f t="shared" si="1670"/>
        <v>6</v>
      </c>
      <c r="E6635" s="2" t="str">
        <f t="shared" si="1672"/>
        <v>经济与管理学院</v>
      </c>
    </row>
    <row r="6636" ht="13.5" hidden="1" spans="1:5">
      <c r="A6636" s="2" t="str">
        <f>"刘泽宇"</f>
        <v>刘泽宇</v>
      </c>
      <c r="B6636" s="2" t="str">
        <f>"B20230104117"</f>
        <v>B20230104117</v>
      </c>
      <c r="C6636" s="2" t="str">
        <f t="shared" si="1673"/>
        <v>男</v>
      </c>
      <c r="D6636" s="2" t="str">
        <f t="shared" si="1670"/>
        <v>6</v>
      </c>
      <c r="E6636" s="2" t="str">
        <f>"土木工程学院"</f>
        <v>土木工程学院</v>
      </c>
    </row>
    <row r="6637" ht="13.5" hidden="1" spans="1:5">
      <c r="A6637" s="2" t="str">
        <f>"舒成"</f>
        <v>舒成</v>
      </c>
      <c r="B6637" s="2" t="str">
        <f>"B20230202407"</f>
        <v>B20230202407</v>
      </c>
      <c r="C6637" s="2" t="str">
        <f t="shared" si="1673"/>
        <v>男</v>
      </c>
      <c r="D6637" s="2" t="str">
        <f t="shared" si="1670"/>
        <v>6</v>
      </c>
      <c r="E6637" s="2" t="str">
        <f>"机电工程学院"</f>
        <v>机电工程学院</v>
      </c>
    </row>
    <row r="6638" ht="13.5" hidden="1" spans="1:5">
      <c r="A6638" s="2" t="str">
        <f>"王家辉"</f>
        <v>王家辉</v>
      </c>
      <c r="B6638" s="2" t="str">
        <f>"B20220504404"</f>
        <v>B20220504404</v>
      </c>
      <c r="C6638" s="2" t="str">
        <f t="shared" si="1673"/>
        <v>男</v>
      </c>
      <c r="D6638" s="2" t="str">
        <f t="shared" si="1670"/>
        <v>6</v>
      </c>
      <c r="E6638" s="2" t="str">
        <f>"生物与化学工程学院"</f>
        <v>生物与化学工程学院</v>
      </c>
    </row>
    <row r="6639" ht="13.5" hidden="1" spans="1:5">
      <c r="A6639" s="2" t="str">
        <f>"黄锐"</f>
        <v>黄锐</v>
      </c>
      <c r="B6639" s="2" t="str">
        <f>"B20230906204"</f>
        <v>B20230906204</v>
      </c>
      <c r="C6639" s="2" t="str">
        <f t="shared" si="1673"/>
        <v>男</v>
      </c>
      <c r="D6639" s="2" t="str">
        <f t="shared" si="1670"/>
        <v>6</v>
      </c>
      <c r="E6639" s="2" t="str">
        <f>"经济与管理学院"</f>
        <v>经济与管理学院</v>
      </c>
    </row>
    <row r="6640" ht="13.5" hidden="1" spans="1:5">
      <c r="A6640" s="2" t="str">
        <f>"李羽堃"</f>
        <v>李羽堃</v>
      </c>
      <c r="B6640" s="2" t="str">
        <f>"B20231001304"</f>
        <v>B20231001304</v>
      </c>
      <c r="C6640" s="2" t="str">
        <f t="shared" ref="C6640:C6644" si="1674">"女"</f>
        <v>女</v>
      </c>
      <c r="D6640" s="2" t="str">
        <f t="shared" si="1670"/>
        <v>6</v>
      </c>
      <c r="E6640" s="2" t="str">
        <f>"艺术设计学院"</f>
        <v>艺术设计学院</v>
      </c>
    </row>
    <row r="6641" ht="13.5" hidden="1" spans="1:5">
      <c r="A6641" s="2" t="str">
        <f>"熊超"</f>
        <v>熊超</v>
      </c>
      <c r="B6641" s="2" t="str">
        <f>"B20220101434"</f>
        <v>B20220101434</v>
      </c>
      <c r="C6641" s="2" t="str">
        <f t="shared" ref="C6641:C6646" si="1675">"男"</f>
        <v>男</v>
      </c>
      <c r="D6641" s="2" t="str">
        <f t="shared" si="1670"/>
        <v>6</v>
      </c>
      <c r="E6641" s="2" t="str">
        <f>"土木工程学院"</f>
        <v>土木工程学院</v>
      </c>
    </row>
    <row r="6642" ht="13.5" hidden="1" spans="1:5">
      <c r="A6642" s="2" t="str">
        <f>"周慧洁"</f>
        <v>周慧洁</v>
      </c>
      <c r="B6642" s="2" t="str">
        <f>"B20210401214"</f>
        <v>B20210401214</v>
      </c>
      <c r="C6642" s="2" t="str">
        <f t="shared" si="1674"/>
        <v>女</v>
      </c>
      <c r="D6642" s="2" t="str">
        <f t="shared" si="1670"/>
        <v>6</v>
      </c>
      <c r="E6642" s="2" t="str">
        <f>"电子信息与电气工程学院"</f>
        <v>电子信息与电气工程学院</v>
      </c>
    </row>
    <row r="6643" ht="13.5" hidden="1" spans="1:5">
      <c r="A6643" s="2" t="str">
        <f>"向梦婷"</f>
        <v>向梦婷</v>
      </c>
      <c r="B6643" s="2" t="str">
        <f>"B20210902434"</f>
        <v>B20210902434</v>
      </c>
      <c r="C6643" s="2" t="str">
        <f t="shared" si="1674"/>
        <v>女</v>
      </c>
      <c r="D6643" s="2" t="str">
        <f t="shared" si="1670"/>
        <v>6</v>
      </c>
      <c r="E6643" s="2" t="str">
        <f>"经济与管理学院"</f>
        <v>经济与管理学院</v>
      </c>
    </row>
    <row r="6644" ht="13.5" hidden="1" spans="1:5">
      <c r="A6644" s="2" t="str">
        <f>"陈桂芝"</f>
        <v>陈桂芝</v>
      </c>
      <c r="B6644" s="2" t="str">
        <f>"B20220801109"</f>
        <v>B20220801109</v>
      </c>
      <c r="C6644" s="2" t="str">
        <f t="shared" si="1674"/>
        <v>女</v>
      </c>
      <c r="D6644" s="2" t="str">
        <f t="shared" si="1670"/>
        <v>6</v>
      </c>
      <c r="E6644" s="2" t="str">
        <f>"外国语学院"</f>
        <v>外国语学院</v>
      </c>
    </row>
    <row r="6645" ht="13.5" hidden="1" spans="1:5">
      <c r="A6645" s="2" t="str">
        <f>"龚成"</f>
        <v>龚成</v>
      </c>
      <c r="B6645" s="2" t="str">
        <f>"B20210202141"</f>
        <v>B20210202141</v>
      </c>
      <c r="C6645" s="2" t="str">
        <f t="shared" si="1675"/>
        <v>男</v>
      </c>
      <c r="D6645" s="2" t="str">
        <f t="shared" si="1670"/>
        <v>6</v>
      </c>
      <c r="E6645" s="2" t="str">
        <f>"机电工程学院"</f>
        <v>机电工程学院</v>
      </c>
    </row>
    <row r="6646" ht="13.5" hidden="1" spans="1:5">
      <c r="A6646" s="2" t="str">
        <f>"李林峰"</f>
        <v>李林峰</v>
      </c>
      <c r="B6646" s="2" t="str">
        <f>"B20210201215"</f>
        <v>B20210201215</v>
      </c>
      <c r="C6646" s="2" t="str">
        <f t="shared" si="1675"/>
        <v>男</v>
      </c>
      <c r="D6646" s="2" t="str">
        <f t="shared" si="1670"/>
        <v>6</v>
      </c>
      <c r="E6646" s="2" t="str">
        <f>"机电工程学院"</f>
        <v>机电工程学院</v>
      </c>
    </row>
    <row r="6647" ht="13.5" hidden="1" spans="1:5">
      <c r="A6647" s="2" t="str">
        <f>"耿钰娟"</f>
        <v>耿钰娟</v>
      </c>
      <c r="B6647" s="2" t="str">
        <f>"B20230901332"</f>
        <v>B20230901332</v>
      </c>
      <c r="C6647" s="2" t="str">
        <f t="shared" ref="C6647:C6651" si="1676">"女"</f>
        <v>女</v>
      </c>
      <c r="D6647" s="2" t="str">
        <f t="shared" si="1670"/>
        <v>6</v>
      </c>
      <c r="E6647" s="2" t="str">
        <f>"经济与管理学院"</f>
        <v>经济与管理学院</v>
      </c>
    </row>
    <row r="6648" ht="13.5" hidden="1" spans="1:5">
      <c r="A6648" s="2" t="str">
        <f>"胡家辉"</f>
        <v>胡家辉</v>
      </c>
      <c r="B6648" s="2" t="str">
        <f>"B20220401233"</f>
        <v>B20220401233</v>
      </c>
      <c r="C6648" s="2" t="str">
        <f t="shared" ref="C6648:C6652" si="1677">"男"</f>
        <v>男</v>
      </c>
      <c r="D6648" s="2" t="str">
        <f t="shared" si="1670"/>
        <v>6</v>
      </c>
      <c r="E6648" s="2" t="str">
        <f>"电子信息与电气工程学院"</f>
        <v>电子信息与电气工程学院</v>
      </c>
    </row>
    <row r="6649" ht="13.5" hidden="1" spans="1:5">
      <c r="A6649" s="2" t="str">
        <f>"邓骏"</f>
        <v>邓骏</v>
      </c>
      <c r="B6649" s="2" t="str">
        <f>"B20230802231"</f>
        <v>B20230802231</v>
      </c>
      <c r="C6649" s="2" t="str">
        <f t="shared" si="1677"/>
        <v>男</v>
      </c>
      <c r="D6649" s="2" t="str">
        <f t="shared" si="1670"/>
        <v>6</v>
      </c>
      <c r="E6649" s="2" t="str">
        <f>"外国语学院"</f>
        <v>外国语学院</v>
      </c>
    </row>
    <row r="6650" ht="13.5" hidden="1" spans="1:5">
      <c r="A6650" s="2" t="str">
        <f>"廖盈"</f>
        <v>廖盈</v>
      </c>
      <c r="B6650" s="2" t="str">
        <f>"B20220905203"</f>
        <v>B20220905203</v>
      </c>
      <c r="C6650" s="2" t="str">
        <f t="shared" si="1676"/>
        <v>女</v>
      </c>
      <c r="D6650" s="2" t="str">
        <f t="shared" si="1670"/>
        <v>6</v>
      </c>
      <c r="E6650" s="2" t="str">
        <f>"经济与管理学院"</f>
        <v>经济与管理学院</v>
      </c>
    </row>
    <row r="6651" ht="13.5" hidden="1" spans="1:5">
      <c r="A6651" s="2" t="str">
        <f>"谭美婧"</f>
        <v>谭美婧</v>
      </c>
      <c r="B6651" s="2" t="str">
        <f>"B20221111203"</f>
        <v>B20221111203</v>
      </c>
      <c r="C6651" s="2" t="str">
        <f t="shared" si="1676"/>
        <v>女</v>
      </c>
      <c r="D6651" s="2" t="str">
        <f t="shared" si="1670"/>
        <v>6</v>
      </c>
      <c r="E6651" s="2" t="str">
        <f>"音乐学院"</f>
        <v>音乐学院</v>
      </c>
    </row>
    <row r="6652" ht="13.5" hidden="1" spans="1:5">
      <c r="A6652" s="2" t="str">
        <f>"吴桢业"</f>
        <v>吴桢业</v>
      </c>
      <c r="B6652" s="2" t="str">
        <f>"B20210203113"</f>
        <v>B20210203113</v>
      </c>
      <c r="C6652" s="2" t="str">
        <f t="shared" si="1677"/>
        <v>男</v>
      </c>
      <c r="D6652" s="2" t="str">
        <f t="shared" si="1670"/>
        <v>6</v>
      </c>
      <c r="E6652" s="2" t="str">
        <f>"机电工程学院"</f>
        <v>机电工程学院</v>
      </c>
    </row>
    <row r="6653" ht="13.5" hidden="1" spans="1:5">
      <c r="A6653" s="2" t="str">
        <f>"唐奇"</f>
        <v>唐奇</v>
      </c>
      <c r="B6653" s="2" t="str">
        <f>"B20230802227"</f>
        <v>B20230802227</v>
      </c>
      <c r="C6653" s="2" t="str">
        <f t="shared" ref="C6653:C6657" si="1678">"女"</f>
        <v>女</v>
      </c>
      <c r="D6653" s="2" t="str">
        <f t="shared" si="1670"/>
        <v>6</v>
      </c>
      <c r="E6653" s="2" t="str">
        <f>"外国语学院"</f>
        <v>外国语学院</v>
      </c>
    </row>
    <row r="6654" ht="13.5" hidden="1" spans="1:5">
      <c r="A6654" s="2" t="str">
        <f>"肖欣嘉"</f>
        <v>肖欣嘉</v>
      </c>
      <c r="B6654" s="2" t="str">
        <f>"B20220906207"</f>
        <v>B20220906207</v>
      </c>
      <c r="C6654" s="2" t="str">
        <f t="shared" si="1678"/>
        <v>女</v>
      </c>
      <c r="D6654" s="2" t="str">
        <f t="shared" si="1670"/>
        <v>6</v>
      </c>
      <c r="E6654" s="2" t="str">
        <f>"经济与管理学院"</f>
        <v>经济与管理学院</v>
      </c>
    </row>
    <row r="6655" ht="13.5" hidden="1" spans="1:5">
      <c r="A6655" s="2" t="str">
        <f>"吴迎"</f>
        <v>吴迎</v>
      </c>
      <c r="B6655" s="2" t="str">
        <f>"B20211101212"</f>
        <v>B20211101212</v>
      </c>
      <c r="C6655" s="2" t="str">
        <f t="shared" si="1678"/>
        <v>女</v>
      </c>
      <c r="D6655" s="2" t="str">
        <f t="shared" si="1670"/>
        <v>6</v>
      </c>
      <c r="E6655" s="2" t="str">
        <f>"音乐学院"</f>
        <v>音乐学院</v>
      </c>
    </row>
    <row r="6656" ht="13.5" hidden="1" spans="1:5">
      <c r="A6656" s="2" t="str">
        <f>"杨齐萱"</f>
        <v>杨齐萱</v>
      </c>
      <c r="B6656" s="2" t="str">
        <f>"B20230501225"</f>
        <v>B20230501225</v>
      </c>
      <c r="C6656" s="2" t="str">
        <f t="shared" si="1678"/>
        <v>女</v>
      </c>
      <c r="D6656" s="2" t="str">
        <f t="shared" si="1670"/>
        <v>6</v>
      </c>
      <c r="E6656" s="2" t="str">
        <f>"生物与化学工程学院"</f>
        <v>生物与化学工程学院</v>
      </c>
    </row>
    <row r="6657" ht="13.5" hidden="1" spans="1:5">
      <c r="A6657" s="2" t="str">
        <f>"邢紫涵"</f>
        <v>邢紫涵</v>
      </c>
      <c r="B6657" s="2" t="str">
        <f>"B20220905112"</f>
        <v>B20220905112</v>
      </c>
      <c r="C6657" s="2" t="str">
        <f t="shared" si="1678"/>
        <v>女</v>
      </c>
      <c r="D6657" s="2" t="str">
        <f>"9"</f>
        <v>9</v>
      </c>
      <c r="E6657" s="2" t="str">
        <f>"数学学院"</f>
        <v>数学学院</v>
      </c>
    </row>
    <row r="6658" ht="13.5" hidden="1" spans="1:5">
      <c r="A6658" s="2" t="str">
        <f>"姬晴"</f>
        <v>姬晴</v>
      </c>
      <c r="B6658" s="2" t="str">
        <f>"B20210801427"</f>
        <v>B20210801427</v>
      </c>
      <c r="C6658" s="2" t="str">
        <f t="shared" ref="C6658:C6660" si="1679">"女"</f>
        <v>女</v>
      </c>
      <c r="D6658" s="2" t="str">
        <f t="shared" si="1670"/>
        <v>6</v>
      </c>
      <c r="E6658" s="2" t="str">
        <f t="shared" ref="E6658:E6661" si="1680">"外国语学院"</f>
        <v>外国语学院</v>
      </c>
    </row>
    <row r="6659" ht="13.5" hidden="1" spans="1:5">
      <c r="A6659" s="2" t="str">
        <f>"张宝艺"</f>
        <v>张宝艺</v>
      </c>
      <c r="B6659" s="2" t="str">
        <f>"B20210703302"</f>
        <v>B20210703302</v>
      </c>
      <c r="C6659" s="2" t="str">
        <f t="shared" si="1679"/>
        <v>女</v>
      </c>
      <c r="D6659" s="2" t="str">
        <f t="shared" si="1670"/>
        <v>6</v>
      </c>
      <c r="E6659" s="2" t="str">
        <f>"马栏山新媒体学院"</f>
        <v>马栏山新媒体学院</v>
      </c>
    </row>
    <row r="6660" ht="13.5" hidden="1" spans="1:5">
      <c r="A6660" s="2" t="str">
        <f>"李海珊"</f>
        <v>李海珊</v>
      </c>
      <c r="B6660" s="2" t="str">
        <f>"B20210803120"</f>
        <v>B20210803120</v>
      </c>
      <c r="C6660" s="2" t="str">
        <f t="shared" si="1679"/>
        <v>女</v>
      </c>
      <c r="D6660" s="2" t="str">
        <f t="shared" si="1670"/>
        <v>6</v>
      </c>
      <c r="E6660" s="2" t="str">
        <f t="shared" si="1680"/>
        <v>外国语学院</v>
      </c>
    </row>
    <row r="6661" ht="13.5" hidden="1" spans="1:5">
      <c r="A6661" s="2" t="str">
        <f>"邓湘"</f>
        <v>邓湘</v>
      </c>
      <c r="B6661" s="2" t="str">
        <f>"B20220802210"</f>
        <v>B20220802210</v>
      </c>
      <c r="C6661" s="2" t="str">
        <f>"男"</f>
        <v>男</v>
      </c>
      <c r="D6661" s="2" t="str">
        <f t="shared" si="1670"/>
        <v>6</v>
      </c>
      <c r="E6661" s="2" t="str">
        <f t="shared" si="1680"/>
        <v>外国语学院</v>
      </c>
    </row>
    <row r="6662" ht="13.5" hidden="1" spans="1:5">
      <c r="A6662" s="2" t="str">
        <f>"刘绍涵"</f>
        <v>刘绍涵</v>
      </c>
      <c r="B6662" s="2" t="str">
        <f>"B20220502224"</f>
        <v>B20220502224</v>
      </c>
      <c r="C6662" s="2" t="str">
        <f t="shared" ref="C6662:C6666" si="1681">"女"</f>
        <v>女</v>
      </c>
      <c r="D6662" s="2" t="str">
        <f t="shared" si="1670"/>
        <v>6</v>
      </c>
      <c r="E6662" s="2" t="str">
        <f>"生物与化学工程学院"</f>
        <v>生物与化学工程学院</v>
      </c>
    </row>
    <row r="6663" ht="13.5" hidden="1" spans="1:5">
      <c r="A6663" s="2" t="str">
        <f>"熊兰齐"</f>
        <v>熊兰齐</v>
      </c>
      <c r="B6663" s="2" t="str">
        <f>"B20210906121"</f>
        <v>B20210906121</v>
      </c>
      <c r="C6663" s="2" t="str">
        <f t="shared" si="1681"/>
        <v>女</v>
      </c>
      <c r="D6663" s="2" t="str">
        <f t="shared" si="1670"/>
        <v>6</v>
      </c>
      <c r="E6663" s="2" t="str">
        <f>"经济与管理学院"</f>
        <v>经济与管理学院</v>
      </c>
    </row>
    <row r="6664" ht="13.5" hidden="1" spans="1:5">
      <c r="A6664" s="2" t="str">
        <f>"谭力"</f>
        <v>谭力</v>
      </c>
      <c r="B6664" s="2" t="str">
        <f>"B20220401118"</f>
        <v>B20220401118</v>
      </c>
      <c r="C6664" s="2" t="str">
        <f>"男"</f>
        <v>男</v>
      </c>
      <c r="D6664" s="2" t="str">
        <f t="shared" si="1670"/>
        <v>6</v>
      </c>
      <c r="E6664" s="2" t="str">
        <f>"电子信息与电气工程学院"</f>
        <v>电子信息与电气工程学院</v>
      </c>
    </row>
    <row r="6665" ht="13.5" hidden="1" spans="1:5">
      <c r="A6665" s="2" t="str">
        <f>"刘婧"</f>
        <v>刘婧</v>
      </c>
      <c r="B6665" s="2" t="str">
        <f>"B20221101118"</f>
        <v>B20221101118</v>
      </c>
      <c r="C6665" s="2" t="str">
        <f t="shared" si="1681"/>
        <v>女</v>
      </c>
      <c r="D6665" s="2" t="str">
        <f t="shared" si="1670"/>
        <v>6</v>
      </c>
      <c r="E6665" s="2" t="str">
        <f>"音乐学院"</f>
        <v>音乐学院</v>
      </c>
    </row>
    <row r="6666" ht="13.5" hidden="1" spans="1:5">
      <c r="A6666" s="2" t="str">
        <f>"杨依兰"</f>
        <v>杨依兰</v>
      </c>
      <c r="B6666" s="2" t="str">
        <f>"B20230704205"</f>
        <v>B20230704205</v>
      </c>
      <c r="C6666" s="2" t="str">
        <f t="shared" si="1681"/>
        <v>女</v>
      </c>
      <c r="D6666" s="2" t="str">
        <f t="shared" si="1670"/>
        <v>6</v>
      </c>
      <c r="E6666" s="2" t="str">
        <f>"马栏山新媒体学院"</f>
        <v>马栏山新媒体学院</v>
      </c>
    </row>
    <row r="6667" ht="13.5" hidden="1" spans="1:5">
      <c r="A6667" s="2" t="str">
        <f>"余涵"</f>
        <v>余涵</v>
      </c>
      <c r="B6667" s="2" t="str">
        <f>"B20230702406"</f>
        <v>B20230702406</v>
      </c>
      <c r="C6667" s="2" t="str">
        <f>"男"</f>
        <v>男</v>
      </c>
      <c r="D6667" s="2" t="str">
        <f t="shared" si="1670"/>
        <v>6</v>
      </c>
      <c r="E6667" s="2" t="str">
        <f>"马栏山新媒体学院"</f>
        <v>马栏山新媒体学院</v>
      </c>
    </row>
    <row r="6668" ht="13.5" hidden="1" spans="1:5">
      <c r="A6668" s="2" t="str">
        <f>"张婷"</f>
        <v>张婷</v>
      </c>
      <c r="B6668" s="2" t="str">
        <f>"B20210102134"</f>
        <v>B20210102134</v>
      </c>
      <c r="C6668" s="2" t="str">
        <f t="shared" ref="C6668:C6671" si="1682">"女"</f>
        <v>女</v>
      </c>
      <c r="D6668" s="2" t="str">
        <f t="shared" si="1670"/>
        <v>6</v>
      </c>
      <c r="E6668" s="2" t="str">
        <f>"土木工程学院"</f>
        <v>土木工程学院</v>
      </c>
    </row>
    <row r="6669" ht="13.5" hidden="1" spans="1:5">
      <c r="A6669" s="2" t="str">
        <f>"朱佳佳"</f>
        <v>朱佳佳</v>
      </c>
      <c r="B6669" s="2" t="str">
        <f>"B20210102135"</f>
        <v>B20210102135</v>
      </c>
      <c r="C6669" s="2" t="str">
        <f t="shared" si="1682"/>
        <v>女</v>
      </c>
      <c r="D6669" s="2" t="str">
        <f t="shared" si="1670"/>
        <v>6</v>
      </c>
      <c r="E6669" s="2" t="str">
        <f>"土木工程学院"</f>
        <v>土木工程学院</v>
      </c>
    </row>
    <row r="6670" ht="13.5" hidden="1" spans="1:5">
      <c r="A6670" s="2" t="str">
        <f>"唐庆媛"</f>
        <v>唐庆媛</v>
      </c>
      <c r="B6670" s="2" t="str">
        <f>"B20211001203"</f>
        <v>B20211001203</v>
      </c>
      <c r="C6670" s="2" t="str">
        <f t="shared" si="1682"/>
        <v>女</v>
      </c>
      <c r="D6670" s="2" t="str">
        <f t="shared" si="1670"/>
        <v>6</v>
      </c>
      <c r="E6670" s="2" t="str">
        <f>"艺术设计学院"</f>
        <v>艺术设计学院</v>
      </c>
    </row>
    <row r="6671" ht="13.5" hidden="1" spans="1:5">
      <c r="A6671" s="2" t="str">
        <f>"刘雪琴"</f>
        <v>刘雪琴</v>
      </c>
      <c r="B6671" s="2" t="str">
        <f>"B20220905217"</f>
        <v>B20220905217</v>
      </c>
      <c r="C6671" s="2" t="str">
        <f t="shared" si="1682"/>
        <v>女</v>
      </c>
      <c r="D6671" s="2" t="str">
        <f>"9"</f>
        <v>9</v>
      </c>
      <c r="E6671" s="2" t="str">
        <f>"数学学院"</f>
        <v>数学学院</v>
      </c>
    </row>
    <row r="6672" ht="13.5" hidden="1" spans="1:5">
      <c r="A6672" s="2" t="str">
        <f>"王坤"</f>
        <v>王坤</v>
      </c>
      <c r="B6672" s="2" t="str">
        <f>"B20221201101"</f>
        <v>B20221201101</v>
      </c>
      <c r="C6672" s="2" t="str">
        <f>"男"</f>
        <v>男</v>
      </c>
      <c r="D6672" s="2" t="str">
        <f>"4"</f>
        <v>4</v>
      </c>
      <c r="E6672" s="2" t="str">
        <f>"数学学院"</f>
        <v>数学学院</v>
      </c>
    </row>
    <row r="6673" ht="13.5" hidden="1" spans="1:5">
      <c r="A6673" s="2" t="str">
        <f>"蔡晴"</f>
        <v>蔡晴</v>
      </c>
      <c r="B6673" s="2" t="str">
        <f>"B20200501227"</f>
        <v>B20200501227</v>
      </c>
      <c r="C6673" s="2" t="str">
        <f t="shared" ref="C6673:C6679" si="1683">"女"</f>
        <v>女</v>
      </c>
      <c r="D6673" s="2" t="str">
        <f t="shared" si="1670"/>
        <v>6</v>
      </c>
      <c r="E6673" s="2" t="str">
        <f>"生物与环境工程学院"</f>
        <v>生物与环境工程学院</v>
      </c>
    </row>
    <row r="6674" ht="13.5" hidden="1" spans="1:5">
      <c r="A6674" s="2" t="str">
        <f>"陈柳"</f>
        <v>陈柳</v>
      </c>
      <c r="B6674" s="2" t="str">
        <f>"B20230101629"</f>
        <v>B20230101629</v>
      </c>
      <c r="C6674" s="2" t="str">
        <f t="shared" si="1683"/>
        <v>女</v>
      </c>
      <c r="D6674" s="2" t="str">
        <f t="shared" si="1670"/>
        <v>6</v>
      </c>
      <c r="E6674" s="2" t="str">
        <f>"土木工程学院"</f>
        <v>土木工程学院</v>
      </c>
    </row>
    <row r="6675" ht="13.5" hidden="1" spans="1:5">
      <c r="A6675" s="2" t="str">
        <f>"刘碧成"</f>
        <v>刘碧成</v>
      </c>
      <c r="B6675" s="2" t="str">
        <f>"B20200501126"</f>
        <v>B20200501126</v>
      </c>
      <c r="C6675" s="2" t="str">
        <f t="shared" ref="C6675:C6677" si="1684">"男"</f>
        <v>男</v>
      </c>
      <c r="D6675" s="2" t="str">
        <f t="shared" si="1670"/>
        <v>6</v>
      </c>
      <c r="E6675" s="2" t="str">
        <f>"生物与环境工程学院"</f>
        <v>生物与环境工程学院</v>
      </c>
    </row>
    <row r="6676" ht="13.5" hidden="1" spans="1:5">
      <c r="A6676" s="2" t="str">
        <f>"贺通"</f>
        <v>贺通</v>
      </c>
      <c r="B6676" s="2" t="str">
        <f>"B20230103217"</f>
        <v>B20230103217</v>
      </c>
      <c r="C6676" s="2" t="str">
        <f t="shared" si="1684"/>
        <v>男</v>
      </c>
      <c r="D6676" s="2" t="str">
        <f t="shared" si="1670"/>
        <v>6</v>
      </c>
      <c r="E6676" s="2" t="str">
        <f>"土木工程学院"</f>
        <v>土木工程学院</v>
      </c>
    </row>
    <row r="6677" ht="13.5" hidden="1" spans="1:5">
      <c r="A6677" s="2" t="str">
        <f>"赵粒添"</f>
        <v>赵粒添</v>
      </c>
      <c r="B6677" s="2" t="str">
        <f>"B20221201103"</f>
        <v>B20221201103</v>
      </c>
      <c r="C6677" s="2" t="str">
        <f t="shared" si="1684"/>
        <v>男</v>
      </c>
      <c r="D6677" s="2" t="str">
        <f>"7"</f>
        <v>7</v>
      </c>
      <c r="E6677" s="2" t="str">
        <f>"数学学院"</f>
        <v>数学学院</v>
      </c>
    </row>
    <row r="6678" ht="13.5" hidden="1" spans="1:5">
      <c r="A6678" s="2" t="str">
        <f>"黄怡"</f>
        <v>黄怡</v>
      </c>
      <c r="B6678" s="2" t="str">
        <f>"B20221201104"</f>
        <v>B20221201104</v>
      </c>
      <c r="C6678" s="2" t="str">
        <f>"女"</f>
        <v>女</v>
      </c>
      <c r="D6678" s="2" t="str">
        <f>"6"</f>
        <v>6</v>
      </c>
      <c r="E6678" s="2" t="str">
        <f>"数学学院"</f>
        <v>数学学院</v>
      </c>
    </row>
    <row r="6679" ht="13.5" hidden="1" spans="1:5">
      <c r="A6679" s="2" t="str">
        <f>"姚晓梅"</f>
        <v>姚晓梅</v>
      </c>
      <c r="B6679" s="2" t="str">
        <f>"B20230906137"</f>
        <v>B20230906137</v>
      </c>
      <c r="C6679" s="2" t="str">
        <f t="shared" si="1683"/>
        <v>女</v>
      </c>
      <c r="D6679" s="2" t="str">
        <f t="shared" si="1670"/>
        <v>6</v>
      </c>
      <c r="E6679" s="2" t="str">
        <f>"经济与管理学院"</f>
        <v>经济与管理学院</v>
      </c>
    </row>
    <row r="6680" ht="13.5" hidden="1" spans="1:5">
      <c r="A6680" s="2" t="str">
        <f>"贺鹏程"</f>
        <v>贺鹏程</v>
      </c>
      <c r="B6680" s="2" t="str">
        <f>"B20220101509"</f>
        <v>B20220101509</v>
      </c>
      <c r="C6680" s="2" t="str">
        <f t="shared" ref="C6680:C6686" si="1685">"男"</f>
        <v>男</v>
      </c>
      <c r="D6680" s="2" t="str">
        <f t="shared" si="1670"/>
        <v>6</v>
      </c>
      <c r="E6680" s="2" t="str">
        <f>"土木工程学院"</f>
        <v>土木工程学院</v>
      </c>
    </row>
    <row r="6681" ht="13.5" hidden="1" spans="1:5">
      <c r="A6681" s="2" t="str">
        <f>"王瑞好"</f>
        <v>王瑞好</v>
      </c>
      <c r="B6681" s="2" t="str">
        <f>"B20220904117"</f>
        <v>B20220904117</v>
      </c>
      <c r="C6681" s="2" t="str">
        <f>"女"</f>
        <v>女</v>
      </c>
      <c r="D6681" s="2" t="str">
        <f t="shared" si="1670"/>
        <v>6</v>
      </c>
      <c r="E6681" s="2" t="str">
        <f>"经济与管理学院"</f>
        <v>经济与管理学院</v>
      </c>
    </row>
    <row r="6682" ht="13.5" hidden="1" spans="1:5">
      <c r="A6682" s="2" t="str">
        <f>"李锦洲"</f>
        <v>李锦洲</v>
      </c>
      <c r="B6682" s="2" t="str">
        <f>"B20210503205"</f>
        <v>B20210503205</v>
      </c>
      <c r="C6682" s="2" t="str">
        <f t="shared" si="1685"/>
        <v>男</v>
      </c>
      <c r="D6682" s="2" t="str">
        <f t="shared" si="1670"/>
        <v>6</v>
      </c>
      <c r="E6682" s="2" t="str">
        <f>"材料与环境工程学院"</f>
        <v>材料与环境工程学院</v>
      </c>
    </row>
    <row r="6683" ht="13.5" hidden="1" spans="1:5">
      <c r="A6683" s="2" t="str">
        <f>"谢彦灏"</f>
        <v>谢彦灏</v>
      </c>
      <c r="B6683" s="2" t="str">
        <f>"B20200503208"</f>
        <v>B20200503208</v>
      </c>
      <c r="C6683" s="2" t="str">
        <f t="shared" si="1685"/>
        <v>男</v>
      </c>
      <c r="D6683" s="2" t="str">
        <f t="shared" ref="D6683:D6746" si="1686">"6"</f>
        <v>6</v>
      </c>
      <c r="E6683" s="2" t="str">
        <f>"生物与环境工程学院"</f>
        <v>生物与环境工程学院</v>
      </c>
    </row>
    <row r="6684" ht="13.5" hidden="1" spans="1:5">
      <c r="A6684" s="2" t="str">
        <f>"徐元满"</f>
        <v>徐元满</v>
      </c>
      <c r="B6684" s="2" t="str">
        <f>"B20221201105"</f>
        <v>B20221201105</v>
      </c>
      <c r="C6684" s="2" t="str">
        <f t="shared" si="1685"/>
        <v>男</v>
      </c>
      <c r="D6684" s="2" t="str">
        <f t="shared" si="1686"/>
        <v>6</v>
      </c>
      <c r="E6684" s="2" t="str">
        <f>"数学学院"</f>
        <v>数学学院</v>
      </c>
    </row>
    <row r="6685" ht="13.5" hidden="1" spans="1:5">
      <c r="A6685" s="2" t="str">
        <f>"钟文媛"</f>
        <v>钟文媛</v>
      </c>
      <c r="B6685" s="2" t="str">
        <f>"B20221201107"</f>
        <v>B20221201107</v>
      </c>
      <c r="C6685" s="2" t="str">
        <f>"女"</f>
        <v>女</v>
      </c>
      <c r="D6685" s="2" t="str">
        <f>"7"</f>
        <v>7</v>
      </c>
      <c r="E6685" s="2" t="str">
        <f>"数学学院"</f>
        <v>数学学院</v>
      </c>
    </row>
    <row r="6686" ht="13.5" hidden="1" spans="1:5">
      <c r="A6686" s="2" t="str">
        <f>"朱伟"</f>
        <v>朱伟</v>
      </c>
      <c r="B6686" s="2" t="str">
        <f>"B20221201109"</f>
        <v>B20221201109</v>
      </c>
      <c r="C6686" s="2" t="str">
        <f>"男"</f>
        <v>男</v>
      </c>
      <c r="D6686" s="2" t="str">
        <f>"5"</f>
        <v>5</v>
      </c>
      <c r="E6686" s="2" t="str">
        <f>"数学学院"</f>
        <v>数学学院</v>
      </c>
    </row>
    <row r="6687" ht="13.5" hidden="1" spans="1:5">
      <c r="A6687" s="2" t="str">
        <f>"郑芷萱"</f>
        <v>郑芷萱</v>
      </c>
      <c r="B6687" s="2" t="str">
        <f>"B20210701316"</f>
        <v>B20210701316</v>
      </c>
      <c r="C6687" s="2" t="str">
        <f t="shared" ref="C6687:C6693" si="1687">"女"</f>
        <v>女</v>
      </c>
      <c r="D6687" s="2" t="str">
        <f t="shared" si="1686"/>
        <v>6</v>
      </c>
      <c r="E6687" s="2" t="str">
        <f>"马栏山新媒体学院"</f>
        <v>马栏山新媒体学院</v>
      </c>
    </row>
    <row r="6688" ht="13.5" hidden="1" spans="1:5">
      <c r="A6688" s="2" t="str">
        <f>"陈湘君"</f>
        <v>陈湘君</v>
      </c>
      <c r="B6688" s="2" t="str">
        <f>"B20200404211"</f>
        <v>B20200404211</v>
      </c>
      <c r="C6688" s="2" t="str">
        <f t="shared" ref="C6688:C6691" si="1688">"男"</f>
        <v>男</v>
      </c>
      <c r="D6688" s="2" t="str">
        <f t="shared" si="1686"/>
        <v>6</v>
      </c>
      <c r="E6688" s="2" t="str">
        <f>"电子信息与电气工程学院"</f>
        <v>电子信息与电气工程学院</v>
      </c>
    </row>
    <row r="6689" ht="13.5" hidden="1" spans="1:5">
      <c r="A6689" s="2" t="str">
        <f>"张思雨"</f>
        <v>张思雨</v>
      </c>
      <c r="B6689" s="2" t="str">
        <f>"B20221201111"</f>
        <v>B20221201111</v>
      </c>
      <c r="C6689" s="2" t="str">
        <f>"女"</f>
        <v>女</v>
      </c>
      <c r="D6689" s="2" t="str">
        <f>"10"</f>
        <v>10</v>
      </c>
      <c r="E6689" s="2" t="str">
        <f>"数学学院"</f>
        <v>数学学院</v>
      </c>
    </row>
    <row r="6690" ht="13.5" hidden="1" spans="1:5">
      <c r="A6690" s="2" t="str">
        <f>"朱思南"</f>
        <v>朱思南</v>
      </c>
      <c r="B6690" s="2" t="str">
        <f>"B20210601233"</f>
        <v>B20210601233</v>
      </c>
      <c r="C6690" s="2" t="str">
        <f t="shared" si="1687"/>
        <v>女</v>
      </c>
      <c r="D6690" s="2" t="str">
        <f t="shared" si="1686"/>
        <v>6</v>
      </c>
      <c r="E6690" s="2" t="str">
        <f>"法学院"</f>
        <v>法学院</v>
      </c>
    </row>
    <row r="6691" ht="13.5" hidden="1" spans="1:5">
      <c r="A6691" s="2" t="str">
        <f>"蒋奕轩"</f>
        <v>蒋奕轩</v>
      </c>
      <c r="B6691" s="2" t="str">
        <f>"B20210203115"</f>
        <v>B20210203115</v>
      </c>
      <c r="C6691" s="2" t="str">
        <f t="shared" si="1688"/>
        <v>男</v>
      </c>
      <c r="D6691" s="2" t="str">
        <f t="shared" si="1686"/>
        <v>6</v>
      </c>
      <c r="E6691" s="2" t="str">
        <f>"机电工程学院"</f>
        <v>机电工程学院</v>
      </c>
    </row>
    <row r="6692" ht="13.5" hidden="1" spans="1:5">
      <c r="A6692" s="2" t="str">
        <f>"曹晓晓"</f>
        <v>曹晓晓</v>
      </c>
      <c r="B6692" s="2" t="str">
        <f>"B20211003205"</f>
        <v>B20211003205</v>
      </c>
      <c r="C6692" s="2" t="str">
        <f t="shared" si="1687"/>
        <v>女</v>
      </c>
      <c r="D6692" s="2" t="str">
        <f t="shared" si="1686"/>
        <v>6</v>
      </c>
      <c r="E6692" s="2" t="str">
        <f>"艺术设计学院"</f>
        <v>艺术设计学院</v>
      </c>
    </row>
    <row r="6693" ht="13.5" hidden="1" spans="1:5">
      <c r="A6693" s="2" t="str">
        <f>"莫文静"</f>
        <v>莫文静</v>
      </c>
      <c r="B6693" s="2" t="str">
        <f>"B20220803119"</f>
        <v>B20220803119</v>
      </c>
      <c r="C6693" s="2" t="str">
        <f t="shared" si="1687"/>
        <v>女</v>
      </c>
      <c r="D6693" s="2" t="str">
        <f t="shared" si="1686"/>
        <v>6</v>
      </c>
      <c r="E6693" s="2" t="str">
        <f>"外国语学院"</f>
        <v>外国语学院</v>
      </c>
    </row>
    <row r="6694" ht="13.5" hidden="1" spans="1:5">
      <c r="A6694" s="2" t="str">
        <f>"柏江超"</f>
        <v>柏江超</v>
      </c>
      <c r="B6694" s="2" t="str">
        <f>"B20200402302"</f>
        <v>B20200402302</v>
      </c>
      <c r="C6694" s="2" t="str">
        <f t="shared" ref="C6694:C6703" si="1689">"男"</f>
        <v>男</v>
      </c>
      <c r="D6694" s="2" t="str">
        <f t="shared" si="1686"/>
        <v>6</v>
      </c>
      <c r="E6694" s="2" t="str">
        <f>"电子信息与电气工程学院"</f>
        <v>电子信息与电气工程学院</v>
      </c>
    </row>
    <row r="6695" ht="13.5" hidden="1" spans="1:5">
      <c r="A6695" s="2" t="str">
        <f>"郝云芳"</f>
        <v>郝云芳</v>
      </c>
      <c r="B6695" s="2" t="str">
        <f>"B20200505234"</f>
        <v>B20200505234</v>
      </c>
      <c r="C6695" s="2" t="str">
        <f t="shared" ref="C6695:C6698" si="1690">"女"</f>
        <v>女</v>
      </c>
      <c r="D6695" s="2" t="str">
        <f t="shared" si="1686"/>
        <v>6</v>
      </c>
      <c r="E6695" s="2" t="str">
        <f>"法学院"</f>
        <v>法学院</v>
      </c>
    </row>
    <row r="6696" ht="13.5" hidden="1" spans="1:5">
      <c r="A6696" s="2" t="str">
        <f>"陈旺"</f>
        <v>陈旺</v>
      </c>
      <c r="B6696" s="2" t="str">
        <f>"B20220201317"</f>
        <v>B20220201317</v>
      </c>
      <c r="C6696" s="2" t="str">
        <f t="shared" si="1689"/>
        <v>男</v>
      </c>
      <c r="D6696" s="2" t="str">
        <f t="shared" si="1686"/>
        <v>6</v>
      </c>
      <c r="E6696" s="2" t="str">
        <f t="shared" ref="E6696:E6700" si="1691">"机电工程学院"</f>
        <v>机电工程学院</v>
      </c>
    </row>
    <row r="6697" ht="13.5" hidden="1" spans="1:5">
      <c r="A6697" s="2" t="str">
        <f>"谢妍"</f>
        <v>谢妍</v>
      </c>
      <c r="B6697" s="2" t="str">
        <f>"B20210104105"</f>
        <v>B20210104105</v>
      </c>
      <c r="C6697" s="2" t="str">
        <f t="shared" si="1690"/>
        <v>女</v>
      </c>
      <c r="D6697" s="2" t="str">
        <f t="shared" si="1686"/>
        <v>6</v>
      </c>
      <c r="E6697" s="2" t="str">
        <f>"土木工程学院"</f>
        <v>土木工程学院</v>
      </c>
    </row>
    <row r="6698" ht="13.5" hidden="1" spans="1:5">
      <c r="A6698" s="2" t="str">
        <f>"詹文秀"</f>
        <v>詹文秀</v>
      </c>
      <c r="B6698" s="2" t="str">
        <f>"B20220101236"</f>
        <v>B20220101236</v>
      </c>
      <c r="C6698" s="2" t="str">
        <f t="shared" si="1690"/>
        <v>女</v>
      </c>
      <c r="D6698" s="2" t="str">
        <f t="shared" si="1686"/>
        <v>6</v>
      </c>
      <c r="E6698" s="2" t="str">
        <f>"土木工程学院"</f>
        <v>土木工程学院</v>
      </c>
    </row>
    <row r="6699" ht="13.5" hidden="1" spans="1:5">
      <c r="A6699" s="2" t="str">
        <f>"唐敏超"</f>
        <v>唐敏超</v>
      </c>
      <c r="B6699" s="2" t="str">
        <f>"B20210201127"</f>
        <v>B20210201127</v>
      </c>
      <c r="C6699" s="2" t="str">
        <f t="shared" si="1689"/>
        <v>男</v>
      </c>
      <c r="D6699" s="2" t="str">
        <f t="shared" si="1686"/>
        <v>6</v>
      </c>
      <c r="E6699" s="2" t="str">
        <f t="shared" si="1691"/>
        <v>机电工程学院</v>
      </c>
    </row>
    <row r="6700" ht="13.5" hidden="1" spans="1:5">
      <c r="A6700" s="2" t="str">
        <f>"张邦祖"</f>
        <v>张邦祖</v>
      </c>
      <c r="B6700" s="2" t="str">
        <f>"B20210203123"</f>
        <v>B20210203123</v>
      </c>
      <c r="C6700" s="2" t="str">
        <f t="shared" si="1689"/>
        <v>男</v>
      </c>
      <c r="D6700" s="2" t="str">
        <f t="shared" si="1686"/>
        <v>6</v>
      </c>
      <c r="E6700" s="2" t="str">
        <f t="shared" si="1691"/>
        <v>机电工程学院</v>
      </c>
    </row>
    <row r="6701" ht="13.5" hidden="1" spans="1:5">
      <c r="A6701" s="2" t="str">
        <f>"蒋凌云"</f>
        <v>蒋凌云</v>
      </c>
      <c r="B6701" s="2" t="str">
        <f>"B20230601322"</f>
        <v>B20230601322</v>
      </c>
      <c r="C6701" s="2" t="str">
        <f t="shared" si="1689"/>
        <v>男</v>
      </c>
      <c r="D6701" s="2" t="str">
        <f t="shared" si="1686"/>
        <v>6</v>
      </c>
      <c r="E6701" s="2" t="str">
        <f>"法学院"</f>
        <v>法学院</v>
      </c>
    </row>
    <row r="6702" ht="13.5" hidden="1" spans="1:5">
      <c r="A6702" s="2" t="str">
        <f>"徐畅"</f>
        <v>徐畅</v>
      </c>
      <c r="B6702" s="2" t="str">
        <f>"B20230501224"</f>
        <v>B20230501224</v>
      </c>
      <c r="C6702" s="2" t="str">
        <f t="shared" si="1689"/>
        <v>男</v>
      </c>
      <c r="D6702" s="2" t="str">
        <f t="shared" si="1686"/>
        <v>6</v>
      </c>
      <c r="E6702" s="2" t="str">
        <f>"生物与化学工程学院"</f>
        <v>生物与化学工程学院</v>
      </c>
    </row>
    <row r="6703" ht="13.5" hidden="1" spans="1:5">
      <c r="A6703" s="2" t="str">
        <f>"刘醴祁"</f>
        <v>刘醴祁</v>
      </c>
      <c r="B6703" s="2" t="str">
        <f>"B20220401403"</f>
        <v>B20220401403</v>
      </c>
      <c r="C6703" s="2" t="str">
        <f t="shared" si="1689"/>
        <v>男</v>
      </c>
      <c r="D6703" s="2" t="str">
        <f t="shared" si="1686"/>
        <v>6</v>
      </c>
      <c r="E6703" s="2" t="str">
        <f>"电子信息与电气工程学院"</f>
        <v>电子信息与电气工程学院</v>
      </c>
    </row>
    <row r="6704" ht="13.5" hidden="1" spans="1:5">
      <c r="A6704" s="2" t="str">
        <f>"王佳妮"</f>
        <v>王佳妮</v>
      </c>
      <c r="B6704" s="2" t="str">
        <f>"B20220901206"</f>
        <v>B20220901206</v>
      </c>
      <c r="C6704" s="2" t="str">
        <f t="shared" ref="C6704:C6707" si="1692">"女"</f>
        <v>女</v>
      </c>
      <c r="D6704" s="2" t="str">
        <f t="shared" si="1686"/>
        <v>6</v>
      </c>
      <c r="E6704" s="2" t="str">
        <f>"经济与管理学院"</f>
        <v>经济与管理学院</v>
      </c>
    </row>
    <row r="6705" ht="13.5" hidden="1" spans="1:5">
      <c r="A6705" s="2" t="str">
        <f>"刘翰林"</f>
        <v>刘翰林</v>
      </c>
      <c r="B6705" s="2" t="str">
        <f>"B20210104131"</f>
        <v>B20210104131</v>
      </c>
      <c r="C6705" s="2" t="str">
        <f t="shared" ref="C6705:C6709" si="1693">"男"</f>
        <v>男</v>
      </c>
      <c r="D6705" s="2" t="str">
        <f t="shared" si="1686"/>
        <v>6</v>
      </c>
      <c r="E6705" s="2" t="str">
        <f>"土木工程学院"</f>
        <v>土木工程学院</v>
      </c>
    </row>
    <row r="6706" ht="13.5" hidden="1" spans="1:5">
      <c r="A6706" s="2" t="str">
        <f>"朱雯静"</f>
        <v>朱雯静</v>
      </c>
      <c r="B6706" s="2" t="str">
        <f>"B20221201114"</f>
        <v>B20221201114</v>
      </c>
      <c r="C6706" s="2" t="str">
        <f>"女"</f>
        <v>女</v>
      </c>
      <c r="D6706" s="2" t="str">
        <f>"11"</f>
        <v>11</v>
      </c>
      <c r="E6706" s="2" t="str">
        <f>"数学学院"</f>
        <v>数学学院</v>
      </c>
    </row>
    <row r="6707" ht="13.5" hidden="1" spans="1:5">
      <c r="A6707" s="2" t="str">
        <f>"李惠琳"</f>
        <v>李惠琳</v>
      </c>
      <c r="B6707" s="2" t="str">
        <f>"B20210901341"</f>
        <v>B20210901341</v>
      </c>
      <c r="C6707" s="2" t="str">
        <f t="shared" si="1692"/>
        <v>女</v>
      </c>
      <c r="D6707" s="2" t="str">
        <f t="shared" si="1686"/>
        <v>6</v>
      </c>
      <c r="E6707" s="2" t="str">
        <f>"经济与管理学院"</f>
        <v>经济与管理学院</v>
      </c>
    </row>
    <row r="6708" ht="13.5" hidden="1" spans="1:5">
      <c r="A6708" s="2" t="str">
        <f>"付文杰"</f>
        <v>付文杰</v>
      </c>
      <c r="B6708" s="2" t="str">
        <f>"B20220101406"</f>
        <v>B20220101406</v>
      </c>
      <c r="C6708" s="2" t="str">
        <f t="shared" si="1693"/>
        <v>男</v>
      </c>
      <c r="D6708" s="2" t="str">
        <f t="shared" si="1686"/>
        <v>6</v>
      </c>
      <c r="E6708" s="2" t="str">
        <f>"土木工程学院"</f>
        <v>土木工程学院</v>
      </c>
    </row>
    <row r="6709" ht="13.5" hidden="1" spans="1:5">
      <c r="A6709" s="2" t="str">
        <f>"鲁冠男"</f>
        <v>鲁冠男</v>
      </c>
      <c r="B6709" s="2" t="str">
        <f>"B20221201116"</f>
        <v>B20221201116</v>
      </c>
      <c r="C6709" s="2" t="str">
        <f>"女"</f>
        <v>女</v>
      </c>
      <c r="D6709" s="2" t="str">
        <f>"10"</f>
        <v>10</v>
      </c>
      <c r="E6709" s="2" t="str">
        <f>"数学学院"</f>
        <v>数学学院</v>
      </c>
    </row>
    <row r="6710" ht="13.5" hidden="1" spans="1:5">
      <c r="A6710" s="2" t="str">
        <f>"苏丽萍"</f>
        <v>苏丽萍</v>
      </c>
      <c r="B6710" s="2" t="str">
        <f>"B20221111212"</f>
        <v>B20221111212</v>
      </c>
      <c r="C6710" s="2" t="str">
        <f t="shared" ref="C6710:C6712" si="1694">"女"</f>
        <v>女</v>
      </c>
      <c r="D6710" s="2" t="str">
        <f t="shared" si="1686"/>
        <v>6</v>
      </c>
      <c r="E6710" s="2" t="str">
        <f>"音乐学院"</f>
        <v>音乐学院</v>
      </c>
    </row>
    <row r="6711" ht="13.5" hidden="1" spans="1:5">
      <c r="A6711" s="2" t="str">
        <f>"焦安琪"</f>
        <v>焦安琪</v>
      </c>
      <c r="B6711" s="2" t="str">
        <f>"B20231002207"</f>
        <v>B20231002207</v>
      </c>
      <c r="C6711" s="2" t="str">
        <f t="shared" si="1694"/>
        <v>女</v>
      </c>
      <c r="D6711" s="2" t="str">
        <f t="shared" si="1686"/>
        <v>6</v>
      </c>
      <c r="E6711" s="2" t="str">
        <f>"艺术设计学院"</f>
        <v>艺术设计学院</v>
      </c>
    </row>
    <row r="6712" ht="13.5" hidden="1" spans="1:5">
      <c r="A6712" s="2" t="str">
        <f>"王雨轩"</f>
        <v>王雨轩</v>
      </c>
      <c r="B6712" s="2" t="str">
        <f>"B20221003222"</f>
        <v>B20221003222</v>
      </c>
      <c r="C6712" s="2" t="str">
        <f t="shared" si="1694"/>
        <v>女</v>
      </c>
      <c r="D6712" s="2" t="str">
        <f t="shared" si="1686"/>
        <v>6</v>
      </c>
      <c r="E6712" s="2" t="str">
        <f>"艺术设计学院"</f>
        <v>艺术设计学院</v>
      </c>
    </row>
    <row r="6713" ht="13.5" hidden="1" spans="1:5">
      <c r="A6713" s="2" t="str">
        <f>"李忠浩"</f>
        <v>李忠浩</v>
      </c>
      <c r="B6713" s="2" t="str">
        <f>"B20230202308"</f>
        <v>B20230202308</v>
      </c>
      <c r="C6713" s="2" t="str">
        <f t="shared" ref="C6713:C6719" si="1695">"男"</f>
        <v>男</v>
      </c>
      <c r="D6713" s="2" t="str">
        <f t="shared" si="1686"/>
        <v>6</v>
      </c>
      <c r="E6713" s="2" t="str">
        <f>"机电工程学院"</f>
        <v>机电工程学院</v>
      </c>
    </row>
    <row r="6714" ht="13.5" hidden="1" spans="1:5">
      <c r="A6714" s="2" t="str">
        <f>"刘开轩"</f>
        <v>刘开轩</v>
      </c>
      <c r="B6714" s="2" t="str">
        <f>"B20231302436"</f>
        <v>B20231302436</v>
      </c>
      <c r="C6714" s="2" t="str">
        <f t="shared" si="1695"/>
        <v>男</v>
      </c>
      <c r="D6714" s="2" t="str">
        <f t="shared" si="1686"/>
        <v>6</v>
      </c>
      <c r="E6714" s="2" t="str">
        <f>"材料与环境工程学院"</f>
        <v>材料与环境工程学院</v>
      </c>
    </row>
    <row r="6715" ht="13.5" hidden="1" spans="1:5">
      <c r="A6715" s="2" t="str">
        <f>"许誉匀"</f>
        <v>许誉匀</v>
      </c>
      <c r="B6715" s="2" t="str">
        <f>"B20231101126"</f>
        <v>B20231101126</v>
      </c>
      <c r="C6715" s="2" t="str">
        <f>"女"</f>
        <v>女</v>
      </c>
      <c r="D6715" s="2" t="str">
        <f t="shared" si="1686"/>
        <v>6</v>
      </c>
      <c r="E6715" s="2" t="str">
        <f>"音乐学院"</f>
        <v>音乐学院</v>
      </c>
    </row>
    <row r="6716" ht="13.5" hidden="1" spans="1:5">
      <c r="A6716" s="2" t="str">
        <f>"陈友"</f>
        <v>陈友</v>
      </c>
      <c r="B6716" s="2" t="str">
        <f>"B20210204131"</f>
        <v>B20210204131</v>
      </c>
      <c r="C6716" s="2" t="str">
        <f t="shared" si="1695"/>
        <v>男</v>
      </c>
      <c r="D6716" s="2" t="str">
        <f t="shared" si="1686"/>
        <v>6</v>
      </c>
      <c r="E6716" s="2" t="str">
        <f>"机电工程学院"</f>
        <v>机电工程学院</v>
      </c>
    </row>
    <row r="6717" ht="13.5" hidden="1" spans="1:5">
      <c r="A6717" s="2" t="str">
        <f>"刘锴"</f>
        <v>刘锴</v>
      </c>
      <c r="B6717" s="2" t="str">
        <f>"B20231003105"</f>
        <v>B20231003105</v>
      </c>
      <c r="C6717" s="2" t="str">
        <f t="shared" si="1695"/>
        <v>男</v>
      </c>
      <c r="D6717" s="2" t="str">
        <f t="shared" si="1686"/>
        <v>6</v>
      </c>
      <c r="E6717" s="2" t="str">
        <f>"艺术设计学院"</f>
        <v>艺术设计学院</v>
      </c>
    </row>
    <row r="6718" ht="13.5" hidden="1" spans="1:5">
      <c r="A6718" s="2" t="str">
        <f>"伍小玉"</f>
        <v>伍小玉</v>
      </c>
      <c r="B6718" s="2" t="str">
        <f>"B20210901109"</f>
        <v>B20210901109</v>
      </c>
      <c r="C6718" s="2" t="str">
        <f t="shared" si="1695"/>
        <v>男</v>
      </c>
      <c r="D6718" s="2" t="str">
        <f t="shared" si="1686"/>
        <v>6</v>
      </c>
      <c r="E6718" s="2" t="str">
        <f>"经济与管理学院"</f>
        <v>经济与管理学院</v>
      </c>
    </row>
    <row r="6719" ht="13.5" hidden="1" spans="1:5">
      <c r="A6719" s="2" t="str">
        <f>"邹峥乐"</f>
        <v>邹峥乐</v>
      </c>
      <c r="B6719" s="2" t="str">
        <f>"B20221201117"</f>
        <v>B20221201117</v>
      </c>
      <c r="C6719" s="2" t="str">
        <f t="shared" si="1695"/>
        <v>男</v>
      </c>
      <c r="D6719" s="2" t="str">
        <f t="shared" si="1686"/>
        <v>6</v>
      </c>
      <c r="E6719" s="2" t="str">
        <f>"数学学院"</f>
        <v>数学学院</v>
      </c>
    </row>
    <row r="6720" ht="13.5" hidden="1" spans="1:5">
      <c r="A6720" s="2" t="str">
        <f>"李妍菲"</f>
        <v>李妍菲</v>
      </c>
      <c r="B6720" s="2" t="str">
        <f>"B20230703308"</f>
        <v>B20230703308</v>
      </c>
      <c r="C6720" s="2" t="str">
        <f t="shared" ref="C6720:C6723" si="1696">"女"</f>
        <v>女</v>
      </c>
      <c r="D6720" s="2" t="str">
        <f t="shared" si="1686"/>
        <v>6</v>
      </c>
      <c r="E6720" s="2" t="str">
        <f>"马栏山新媒体学院"</f>
        <v>马栏山新媒体学院</v>
      </c>
    </row>
    <row r="6721" ht="13.5" hidden="1" spans="1:5">
      <c r="A6721" s="2" t="str">
        <f>"张钟元"</f>
        <v>张钟元</v>
      </c>
      <c r="B6721" s="2" t="str">
        <f>"B20210801311"</f>
        <v>B20210801311</v>
      </c>
      <c r="C6721" s="2" t="str">
        <f t="shared" si="1696"/>
        <v>女</v>
      </c>
      <c r="D6721" s="2" t="str">
        <f t="shared" si="1686"/>
        <v>6</v>
      </c>
      <c r="E6721" s="2" t="str">
        <f>"外国语学院"</f>
        <v>外国语学院</v>
      </c>
    </row>
    <row r="6722" ht="13.5" hidden="1" spans="1:5">
      <c r="A6722" s="2" t="str">
        <f>"周嘉骏"</f>
        <v>周嘉骏</v>
      </c>
      <c r="B6722" s="2" t="str">
        <f>"B20200201319"</f>
        <v>B20200201319</v>
      </c>
      <c r="C6722" s="2" t="str">
        <f t="shared" ref="C6722:C6725" si="1697">"男"</f>
        <v>男</v>
      </c>
      <c r="D6722" s="2" t="str">
        <f t="shared" si="1686"/>
        <v>6</v>
      </c>
      <c r="E6722" s="2" t="str">
        <f>"机电工程学院"</f>
        <v>机电工程学院</v>
      </c>
    </row>
    <row r="6723" ht="13.5" hidden="1" spans="1:5">
      <c r="A6723" s="2" t="str">
        <f>"封佳佳"</f>
        <v>封佳佳</v>
      </c>
      <c r="B6723" s="2" t="str">
        <f>"B20210701315"</f>
        <v>B20210701315</v>
      </c>
      <c r="C6723" s="2" t="str">
        <f t="shared" si="1696"/>
        <v>女</v>
      </c>
      <c r="D6723" s="2" t="str">
        <f t="shared" si="1686"/>
        <v>6</v>
      </c>
      <c r="E6723" s="2" t="str">
        <f>"马栏山新媒体学院"</f>
        <v>马栏山新媒体学院</v>
      </c>
    </row>
    <row r="6724" ht="13.5" hidden="1" spans="1:5">
      <c r="A6724" s="2" t="str">
        <f>"胡俊杰"</f>
        <v>胡俊杰</v>
      </c>
      <c r="B6724" s="2" t="str">
        <f>"B20230102104"</f>
        <v>B20230102104</v>
      </c>
      <c r="C6724" s="2" t="str">
        <f t="shared" si="1697"/>
        <v>男</v>
      </c>
      <c r="D6724" s="2" t="str">
        <f t="shared" si="1686"/>
        <v>6</v>
      </c>
      <c r="E6724" s="2" t="str">
        <f>"土木工程学院"</f>
        <v>土木工程学院</v>
      </c>
    </row>
    <row r="6725" ht="13.5" hidden="1" spans="1:5">
      <c r="A6725" s="2" t="str">
        <f>"刘泽澍"</f>
        <v>刘泽澍</v>
      </c>
      <c r="B6725" s="2" t="str">
        <f>"B20220104206"</f>
        <v>B20220104206</v>
      </c>
      <c r="C6725" s="2" t="str">
        <f t="shared" si="1697"/>
        <v>男</v>
      </c>
      <c r="D6725" s="2" t="str">
        <f t="shared" si="1686"/>
        <v>6</v>
      </c>
      <c r="E6725" s="2" t="str">
        <f>"土木工程学院"</f>
        <v>土木工程学院</v>
      </c>
    </row>
    <row r="6726" ht="13.5" hidden="1" spans="1:5">
      <c r="A6726" s="2" t="str">
        <f>"刘佳钰"</f>
        <v>刘佳钰</v>
      </c>
      <c r="B6726" s="2" t="str">
        <f>"B20220402335"</f>
        <v>B20220402335</v>
      </c>
      <c r="C6726" s="2" t="str">
        <f>"女"</f>
        <v>女</v>
      </c>
      <c r="D6726" s="2" t="str">
        <f t="shared" si="1686"/>
        <v>6</v>
      </c>
      <c r="E6726" s="2" t="str">
        <f t="shared" ref="E6726:E6730" si="1698">"电子信息与电气工程学院"</f>
        <v>电子信息与电气工程学院</v>
      </c>
    </row>
    <row r="6727" ht="13.5" hidden="1" spans="1:5">
      <c r="A6727" s="2" t="str">
        <f>"夏新宇"</f>
        <v>夏新宇</v>
      </c>
      <c r="B6727" s="2" t="str">
        <f>"B20220201319"</f>
        <v>B20220201319</v>
      </c>
      <c r="C6727" s="2" t="str">
        <f t="shared" ref="C6727:C6736" si="1699">"男"</f>
        <v>男</v>
      </c>
      <c r="D6727" s="2" t="str">
        <f t="shared" si="1686"/>
        <v>6</v>
      </c>
      <c r="E6727" s="2" t="str">
        <f>"机电工程学院"</f>
        <v>机电工程学院</v>
      </c>
    </row>
    <row r="6728" ht="13.5" hidden="1" spans="1:5">
      <c r="A6728" s="2" t="str">
        <f>"刘宇超"</f>
        <v>刘宇超</v>
      </c>
      <c r="B6728" s="2" t="str">
        <f>"B20220901209"</f>
        <v>B20220901209</v>
      </c>
      <c r="C6728" s="2" t="str">
        <f t="shared" si="1699"/>
        <v>男</v>
      </c>
      <c r="D6728" s="2" t="str">
        <f t="shared" si="1686"/>
        <v>6</v>
      </c>
      <c r="E6728" s="2" t="str">
        <f>"经济与管理学院"</f>
        <v>经济与管理学院</v>
      </c>
    </row>
    <row r="6729" ht="13.5" hidden="1" spans="1:5">
      <c r="A6729" s="2" t="str">
        <f>"刘华俊"</f>
        <v>刘华俊</v>
      </c>
      <c r="B6729" s="2" t="str">
        <f>"B20210401409"</f>
        <v>B20210401409</v>
      </c>
      <c r="C6729" s="2" t="str">
        <f t="shared" si="1699"/>
        <v>男</v>
      </c>
      <c r="D6729" s="2" t="str">
        <f t="shared" si="1686"/>
        <v>6</v>
      </c>
      <c r="E6729" s="2" t="str">
        <f t="shared" si="1698"/>
        <v>电子信息与电气工程学院</v>
      </c>
    </row>
    <row r="6730" ht="13.5" hidden="1" spans="1:5">
      <c r="A6730" s="2" t="str">
        <f>"王东宇"</f>
        <v>王东宇</v>
      </c>
      <c r="B6730" s="2" t="str">
        <f>"B20210403126"</f>
        <v>B20210403126</v>
      </c>
      <c r="C6730" s="2" t="str">
        <f t="shared" si="1699"/>
        <v>男</v>
      </c>
      <c r="D6730" s="2" t="str">
        <f t="shared" si="1686"/>
        <v>6</v>
      </c>
      <c r="E6730" s="2" t="str">
        <f t="shared" si="1698"/>
        <v>电子信息与电气工程学院</v>
      </c>
    </row>
    <row r="6731" ht="13.5" hidden="1" spans="1:5">
      <c r="A6731" s="2" t="str">
        <f>"雷远超"</f>
        <v>雷远超</v>
      </c>
      <c r="B6731" s="2" t="str">
        <f>"B20210906240"</f>
        <v>B20210906240</v>
      </c>
      <c r="C6731" s="2" t="str">
        <f t="shared" si="1699"/>
        <v>男</v>
      </c>
      <c r="D6731" s="2" t="str">
        <f t="shared" si="1686"/>
        <v>6</v>
      </c>
      <c r="E6731" s="2" t="str">
        <f>"经济与管理学院"</f>
        <v>经济与管理学院</v>
      </c>
    </row>
    <row r="6732" ht="13.5" hidden="1" spans="1:5">
      <c r="A6732" s="2" t="str">
        <f>"谭子阳"</f>
        <v>谭子阳</v>
      </c>
      <c r="B6732" s="2" t="str">
        <f>"B20230401419"</f>
        <v>B20230401419</v>
      </c>
      <c r="C6732" s="2" t="str">
        <f t="shared" si="1699"/>
        <v>男</v>
      </c>
      <c r="D6732" s="2" t="str">
        <f t="shared" si="1686"/>
        <v>6</v>
      </c>
      <c r="E6732" s="2" t="str">
        <f>"电子信息与电气工程学院"</f>
        <v>电子信息与电气工程学院</v>
      </c>
    </row>
    <row r="6733" ht="13.5" hidden="1" spans="1:5">
      <c r="A6733" s="2" t="str">
        <f>"黄锦鸿"</f>
        <v>黄锦鸿</v>
      </c>
      <c r="B6733" s="2" t="str">
        <f>"B20231002215"</f>
        <v>B20231002215</v>
      </c>
      <c r="C6733" s="2" t="str">
        <f t="shared" si="1699"/>
        <v>男</v>
      </c>
      <c r="D6733" s="2" t="str">
        <f t="shared" si="1686"/>
        <v>6</v>
      </c>
      <c r="E6733" s="2" t="str">
        <f>"艺术设计学院"</f>
        <v>艺术设计学院</v>
      </c>
    </row>
    <row r="6734" ht="13.5" hidden="1" spans="1:5">
      <c r="A6734" s="2" t="str">
        <f>"罗林"</f>
        <v>罗林</v>
      </c>
      <c r="B6734" s="2" t="str">
        <f>"B20220201213"</f>
        <v>B20220201213</v>
      </c>
      <c r="C6734" s="2" t="str">
        <f t="shared" si="1699"/>
        <v>男</v>
      </c>
      <c r="D6734" s="2" t="str">
        <f t="shared" si="1686"/>
        <v>6</v>
      </c>
      <c r="E6734" s="2" t="str">
        <f t="shared" ref="E6734:E6739" si="1700">"机电工程学院"</f>
        <v>机电工程学院</v>
      </c>
    </row>
    <row r="6735" ht="13.5" hidden="1" spans="1:5">
      <c r="A6735" s="2" t="str">
        <f>"周榕星"</f>
        <v>周榕星</v>
      </c>
      <c r="B6735" s="2" t="str">
        <f>"B20221201119"</f>
        <v>B20221201119</v>
      </c>
      <c r="C6735" s="2" t="str">
        <f>"女"</f>
        <v>女</v>
      </c>
      <c r="D6735" s="2" t="str">
        <f>"10"</f>
        <v>10</v>
      </c>
      <c r="E6735" s="2" t="str">
        <f>"数学学院"</f>
        <v>数学学院</v>
      </c>
    </row>
    <row r="6736" ht="13.5" hidden="1" spans="1:5">
      <c r="A6736" s="2" t="str">
        <f>"石景丰"</f>
        <v>石景丰</v>
      </c>
      <c r="B6736" s="2" t="str">
        <f>"B20220202431"</f>
        <v>B20220202431</v>
      </c>
      <c r="C6736" s="2" t="str">
        <f t="shared" si="1699"/>
        <v>男</v>
      </c>
      <c r="D6736" s="2" t="str">
        <f t="shared" si="1686"/>
        <v>6</v>
      </c>
      <c r="E6736" s="2" t="str">
        <f t="shared" si="1700"/>
        <v>机电工程学院</v>
      </c>
    </row>
    <row r="6737" ht="13.5" hidden="1" spans="1:5">
      <c r="A6737" s="2" t="str">
        <f>"陈思睿"</f>
        <v>陈思睿</v>
      </c>
      <c r="B6737" s="2" t="str">
        <f>"B20210705102"</f>
        <v>B20210705102</v>
      </c>
      <c r="C6737" s="2" t="str">
        <f t="shared" ref="C6737:C6742" si="1701">"女"</f>
        <v>女</v>
      </c>
      <c r="D6737" s="2" t="str">
        <f t="shared" si="1686"/>
        <v>6</v>
      </c>
      <c r="E6737" s="2" t="str">
        <f>"马栏山新媒体学院"</f>
        <v>马栏山新媒体学院</v>
      </c>
    </row>
    <row r="6738" ht="13.5" hidden="1" spans="1:5">
      <c r="A6738" s="2" t="str">
        <f>"邓奎"</f>
        <v>邓奎</v>
      </c>
      <c r="B6738" s="2" t="str">
        <f>"B20220401220"</f>
        <v>B20220401220</v>
      </c>
      <c r="C6738" s="2" t="str">
        <f t="shared" ref="C6738:C6743" si="1702">"男"</f>
        <v>男</v>
      </c>
      <c r="D6738" s="2" t="str">
        <f t="shared" si="1686"/>
        <v>6</v>
      </c>
      <c r="E6738" s="2" t="str">
        <f>"电子信息与电气工程学院"</f>
        <v>电子信息与电气工程学院</v>
      </c>
    </row>
    <row r="6739" ht="13.5" hidden="1" spans="1:5">
      <c r="A6739" s="2" t="str">
        <f>"唐新"</f>
        <v>唐新</v>
      </c>
      <c r="B6739" s="2" t="str">
        <f>"B20220201216"</f>
        <v>B20220201216</v>
      </c>
      <c r="C6739" s="2" t="str">
        <f t="shared" si="1702"/>
        <v>男</v>
      </c>
      <c r="D6739" s="2" t="str">
        <f t="shared" si="1686"/>
        <v>6</v>
      </c>
      <c r="E6739" s="2" t="str">
        <f t="shared" si="1700"/>
        <v>机电工程学院</v>
      </c>
    </row>
    <row r="6740" ht="13.5" hidden="1" spans="1:5">
      <c r="A6740" s="2" t="str">
        <f>"吴宝仪"</f>
        <v>吴宝仪</v>
      </c>
      <c r="B6740" s="2" t="str">
        <f>"B20220901118"</f>
        <v>B20220901118</v>
      </c>
      <c r="C6740" s="2" t="str">
        <f t="shared" si="1701"/>
        <v>女</v>
      </c>
      <c r="D6740" s="2" t="str">
        <f t="shared" si="1686"/>
        <v>6</v>
      </c>
      <c r="E6740" s="2" t="str">
        <f t="shared" ref="E6740:E6744" si="1703">"经济与管理学院"</f>
        <v>经济与管理学院</v>
      </c>
    </row>
    <row r="6741" ht="13.5" hidden="1" spans="1:5">
      <c r="A6741" s="2" t="str">
        <f>"王晓倩"</f>
        <v>王晓倩</v>
      </c>
      <c r="B6741" s="2" t="str">
        <f>"B20220701210"</f>
        <v>B20220701210</v>
      </c>
      <c r="C6741" s="2" t="str">
        <f t="shared" si="1701"/>
        <v>女</v>
      </c>
      <c r="D6741" s="2" t="str">
        <f t="shared" si="1686"/>
        <v>6</v>
      </c>
      <c r="E6741" s="2" t="str">
        <f>"马栏山新媒体学院"</f>
        <v>马栏山新媒体学院</v>
      </c>
    </row>
    <row r="6742" ht="13.5" hidden="1" spans="1:5">
      <c r="A6742" s="2" t="str">
        <f>"朱梓欣"</f>
        <v>朱梓欣</v>
      </c>
      <c r="B6742" s="2" t="str">
        <f>"B20220906125"</f>
        <v>B20220906125</v>
      </c>
      <c r="C6742" s="2" t="str">
        <f t="shared" si="1701"/>
        <v>女</v>
      </c>
      <c r="D6742" s="2" t="str">
        <f t="shared" si="1686"/>
        <v>6</v>
      </c>
      <c r="E6742" s="2" t="str">
        <f t="shared" si="1703"/>
        <v>经济与管理学院</v>
      </c>
    </row>
    <row r="6743" ht="13.5" hidden="1" spans="1:5">
      <c r="A6743" s="2" t="str">
        <f>"汤文轩"</f>
        <v>汤文轩</v>
      </c>
      <c r="B6743" s="2" t="str">
        <f>"B20220204122"</f>
        <v>B20220204122</v>
      </c>
      <c r="C6743" s="2" t="str">
        <f t="shared" si="1702"/>
        <v>男</v>
      </c>
      <c r="D6743" s="2" t="str">
        <f t="shared" si="1686"/>
        <v>6</v>
      </c>
      <c r="E6743" s="2" t="str">
        <f t="shared" ref="E6743:E6747" si="1704">"机电工程学院"</f>
        <v>机电工程学院</v>
      </c>
    </row>
    <row r="6744" ht="13.5" hidden="1" spans="1:5">
      <c r="A6744" s="2" t="str">
        <f>"陈雨薇"</f>
        <v>陈雨薇</v>
      </c>
      <c r="B6744" s="2" t="str">
        <f>"B20210902328"</f>
        <v>B20210902328</v>
      </c>
      <c r="C6744" s="2" t="str">
        <f t="shared" ref="C6744:C6749" si="1705">"女"</f>
        <v>女</v>
      </c>
      <c r="D6744" s="2" t="str">
        <f t="shared" si="1686"/>
        <v>6</v>
      </c>
      <c r="E6744" s="2" t="str">
        <f t="shared" si="1703"/>
        <v>经济与管理学院</v>
      </c>
    </row>
    <row r="6745" ht="13.5" hidden="1" spans="1:5">
      <c r="A6745" s="2" t="str">
        <f>"易畅"</f>
        <v>易畅</v>
      </c>
      <c r="B6745" s="2" t="str">
        <f>"B20230205209"</f>
        <v>B20230205209</v>
      </c>
      <c r="C6745" s="2" t="str">
        <f t="shared" ref="C6745:C6747" si="1706">"男"</f>
        <v>男</v>
      </c>
      <c r="D6745" s="2" t="str">
        <f t="shared" si="1686"/>
        <v>6</v>
      </c>
      <c r="E6745" s="2" t="str">
        <f t="shared" si="1704"/>
        <v>机电工程学院</v>
      </c>
    </row>
    <row r="6746" ht="13.5" hidden="1" spans="1:5">
      <c r="A6746" s="2" t="str">
        <f>"龙润飞"</f>
        <v>龙润飞</v>
      </c>
      <c r="B6746" s="2" t="str">
        <f>"B20231001218"</f>
        <v>B20231001218</v>
      </c>
      <c r="C6746" s="2" t="str">
        <f t="shared" si="1706"/>
        <v>男</v>
      </c>
      <c r="D6746" s="2" t="str">
        <f t="shared" si="1686"/>
        <v>6</v>
      </c>
      <c r="E6746" s="2" t="str">
        <f>"艺术设计学院"</f>
        <v>艺术设计学院</v>
      </c>
    </row>
    <row r="6747" ht="13.5" hidden="1" spans="1:5">
      <c r="A6747" s="2" t="str">
        <f>"刘国雄"</f>
        <v>刘国雄</v>
      </c>
      <c r="B6747" s="2" t="str">
        <f>"B20230201411"</f>
        <v>B20230201411</v>
      </c>
      <c r="C6747" s="2" t="str">
        <f t="shared" si="1706"/>
        <v>男</v>
      </c>
      <c r="D6747" s="2" t="str">
        <f t="shared" ref="D6747:D6810" si="1707">"6"</f>
        <v>6</v>
      </c>
      <c r="E6747" s="2" t="str">
        <f t="shared" si="1704"/>
        <v>机电工程学院</v>
      </c>
    </row>
    <row r="6748" ht="13.5" hidden="1" spans="1:5">
      <c r="A6748" s="2" t="str">
        <f>"陈婷"</f>
        <v>陈婷</v>
      </c>
      <c r="B6748" s="2" t="str">
        <f>"B20220103209"</f>
        <v>B20220103209</v>
      </c>
      <c r="C6748" s="2" t="str">
        <f t="shared" si="1705"/>
        <v>女</v>
      </c>
      <c r="D6748" s="2" t="str">
        <f t="shared" si="1707"/>
        <v>6</v>
      </c>
      <c r="E6748" s="2" t="str">
        <f>"土木工程学院"</f>
        <v>土木工程学院</v>
      </c>
    </row>
    <row r="6749" ht="13.5" hidden="1" spans="1:5">
      <c r="A6749" s="2" t="str">
        <f>"向明霞"</f>
        <v>向明霞</v>
      </c>
      <c r="B6749" s="2" t="str">
        <f>"B20220902230"</f>
        <v>B20220902230</v>
      </c>
      <c r="C6749" s="2" t="str">
        <f t="shared" si="1705"/>
        <v>女</v>
      </c>
      <c r="D6749" s="2" t="str">
        <f t="shared" si="1707"/>
        <v>6</v>
      </c>
      <c r="E6749" s="2" t="str">
        <f>"经济与管理学院"</f>
        <v>经济与管理学院</v>
      </c>
    </row>
    <row r="6750" ht="13.5" hidden="1" spans="1:5">
      <c r="A6750" s="2" t="str">
        <f>"沈落胜"</f>
        <v>沈落胜</v>
      </c>
      <c r="B6750" s="2" t="str">
        <f>"B20230402323"</f>
        <v>B20230402323</v>
      </c>
      <c r="C6750" s="2" t="str">
        <f t="shared" ref="C6750:C6752" si="1708">"男"</f>
        <v>男</v>
      </c>
      <c r="D6750" s="2" t="str">
        <f t="shared" si="1707"/>
        <v>6</v>
      </c>
      <c r="E6750" s="2" t="str">
        <f t="shared" ref="E6750:E6754" si="1709">"电子信息与电气工程学院"</f>
        <v>电子信息与电气工程学院</v>
      </c>
    </row>
    <row r="6751" ht="13.5" hidden="1" spans="1:5">
      <c r="A6751" s="2" t="str">
        <f>"刘少聪"</f>
        <v>刘少聪</v>
      </c>
      <c r="B6751" s="2" t="str">
        <f>"B20210404228"</f>
        <v>B20210404228</v>
      </c>
      <c r="C6751" s="2" t="str">
        <f t="shared" si="1708"/>
        <v>男</v>
      </c>
      <c r="D6751" s="2" t="str">
        <f t="shared" si="1707"/>
        <v>6</v>
      </c>
      <c r="E6751" s="2" t="str">
        <f t="shared" si="1709"/>
        <v>电子信息与电气工程学院</v>
      </c>
    </row>
    <row r="6752" ht="13.5" hidden="1" spans="1:5">
      <c r="A6752" s="2" t="str">
        <f>"刘天祥"</f>
        <v>刘天祥</v>
      </c>
      <c r="B6752" s="2" t="str">
        <f>"B20230202306"</f>
        <v>B20230202306</v>
      </c>
      <c r="C6752" s="2" t="str">
        <f t="shared" si="1708"/>
        <v>男</v>
      </c>
      <c r="D6752" s="2" t="str">
        <f t="shared" si="1707"/>
        <v>6</v>
      </c>
      <c r="E6752" s="2" t="str">
        <f>"机电工程学院"</f>
        <v>机电工程学院</v>
      </c>
    </row>
    <row r="6753" ht="13.5" hidden="1" spans="1:5">
      <c r="A6753" s="2" t="str">
        <f>"朱平平"</f>
        <v>朱平平</v>
      </c>
      <c r="B6753" s="2" t="str">
        <f>"B20210901322"</f>
        <v>B20210901322</v>
      </c>
      <c r="C6753" s="2" t="str">
        <f>"女"</f>
        <v>女</v>
      </c>
      <c r="D6753" s="2" t="str">
        <f t="shared" si="1707"/>
        <v>6</v>
      </c>
      <c r="E6753" s="2" t="str">
        <f t="shared" ref="E6753:E6758" si="1710">"经济与管理学院"</f>
        <v>经济与管理学院</v>
      </c>
    </row>
    <row r="6754" ht="13.5" hidden="1" spans="1:5">
      <c r="A6754" s="2" t="str">
        <f>"谢顺生"</f>
        <v>谢顺生</v>
      </c>
      <c r="B6754" s="2" t="str">
        <f>"B20210402115"</f>
        <v>B20210402115</v>
      </c>
      <c r="C6754" s="2" t="str">
        <f t="shared" ref="C6754:C6756" si="1711">"男"</f>
        <v>男</v>
      </c>
      <c r="D6754" s="2" t="str">
        <f t="shared" si="1707"/>
        <v>6</v>
      </c>
      <c r="E6754" s="2" t="str">
        <f t="shared" si="1709"/>
        <v>电子信息与电气工程学院</v>
      </c>
    </row>
    <row r="6755" ht="13.5" hidden="1" spans="1:5">
      <c r="A6755" s="2" t="str">
        <f>"倪尹莎"</f>
        <v>倪尹莎</v>
      </c>
      <c r="B6755" s="2" t="str">
        <f>"B20221201122"</f>
        <v>B20221201122</v>
      </c>
      <c r="C6755" s="2" t="str">
        <f>"女"</f>
        <v>女</v>
      </c>
      <c r="D6755" s="2" t="str">
        <f>"14"</f>
        <v>14</v>
      </c>
      <c r="E6755" s="2" t="str">
        <f>"数学学院"</f>
        <v>数学学院</v>
      </c>
    </row>
    <row r="6756" ht="13.5" hidden="1" spans="1:5">
      <c r="A6756" s="2" t="str">
        <f>"蔡兴"</f>
        <v>蔡兴</v>
      </c>
      <c r="B6756" s="2" t="str">
        <f>"B20230201405"</f>
        <v>B20230201405</v>
      </c>
      <c r="C6756" s="2" t="str">
        <f t="shared" si="1711"/>
        <v>男</v>
      </c>
      <c r="D6756" s="2" t="str">
        <f t="shared" si="1707"/>
        <v>6</v>
      </c>
      <c r="E6756" s="2" t="str">
        <f>"机电工程学院"</f>
        <v>机电工程学院</v>
      </c>
    </row>
    <row r="6757" ht="13.5" hidden="1" spans="1:5">
      <c r="A6757" s="2" t="str">
        <f>"江雨忆"</f>
        <v>江雨忆</v>
      </c>
      <c r="B6757" s="2" t="str">
        <f>"B20210903230"</f>
        <v>B20210903230</v>
      </c>
      <c r="C6757" s="2" t="str">
        <f t="shared" ref="C6757:C6762" si="1712">"女"</f>
        <v>女</v>
      </c>
      <c r="D6757" s="2" t="str">
        <f t="shared" si="1707"/>
        <v>6</v>
      </c>
      <c r="E6757" s="2" t="str">
        <f t="shared" si="1710"/>
        <v>经济与管理学院</v>
      </c>
    </row>
    <row r="6758" ht="13.5" hidden="1" spans="1:5">
      <c r="A6758" s="2" t="str">
        <f>"贺吉"</f>
        <v>贺吉</v>
      </c>
      <c r="B6758" s="2" t="str">
        <f>"B20200906136"</f>
        <v>B20200906136</v>
      </c>
      <c r="C6758" s="2" t="str">
        <f t="shared" ref="C6758:C6764" si="1713">"男"</f>
        <v>男</v>
      </c>
      <c r="D6758" s="2" t="str">
        <f t="shared" si="1707"/>
        <v>6</v>
      </c>
      <c r="E6758" s="2" t="str">
        <f t="shared" si="1710"/>
        <v>经济与管理学院</v>
      </c>
    </row>
    <row r="6759" ht="13.5" hidden="1" spans="1:5">
      <c r="A6759" s="2" t="str">
        <f>"毛湘黔"</f>
        <v>毛湘黔</v>
      </c>
      <c r="B6759" s="2" t="str">
        <f>"B20210202233"</f>
        <v>B20210202233</v>
      </c>
      <c r="C6759" s="2" t="str">
        <f t="shared" si="1713"/>
        <v>男</v>
      </c>
      <c r="D6759" s="2" t="str">
        <f t="shared" si="1707"/>
        <v>6</v>
      </c>
      <c r="E6759" s="2" t="str">
        <f>"机电工程学院"</f>
        <v>机电工程学院</v>
      </c>
    </row>
    <row r="6760" ht="13.5" hidden="1" spans="1:5">
      <c r="A6760" s="2" t="str">
        <f>"李汶倩"</f>
        <v>李汶倩</v>
      </c>
      <c r="B6760" s="2" t="str">
        <f>"B20231004109"</f>
        <v>B20231004109</v>
      </c>
      <c r="C6760" s="2" t="str">
        <f t="shared" si="1712"/>
        <v>女</v>
      </c>
      <c r="D6760" s="2" t="str">
        <f t="shared" si="1707"/>
        <v>6</v>
      </c>
      <c r="E6760" s="2" t="str">
        <f>"艺术设计学院"</f>
        <v>艺术设计学院</v>
      </c>
    </row>
    <row r="6761" ht="13.5" hidden="1" spans="1:5">
      <c r="A6761" s="2" t="str">
        <f>"陶晴"</f>
        <v>陶晴</v>
      </c>
      <c r="B6761" s="2" t="str">
        <f>"B20220403105"</f>
        <v>B20220403105</v>
      </c>
      <c r="C6761" s="2" t="str">
        <f t="shared" si="1712"/>
        <v>女</v>
      </c>
      <c r="D6761" s="2" t="str">
        <f t="shared" si="1707"/>
        <v>6</v>
      </c>
      <c r="E6761" s="2" t="str">
        <f>"电子信息与电气工程学院"</f>
        <v>电子信息与电气工程学院</v>
      </c>
    </row>
    <row r="6762" ht="13.5" hidden="1" spans="1:5">
      <c r="A6762" s="2" t="str">
        <f>"陈昕"</f>
        <v>陈昕</v>
      </c>
      <c r="B6762" s="2" t="str">
        <f>"B20231101315"</f>
        <v>B20231101315</v>
      </c>
      <c r="C6762" s="2" t="str">
        <f t="shared" si="1712"/>
        <v>女</v>
      </c>
      <c r="D6762" s="2" t="str">
        <f t="shared" si="1707"/>
        <v>6</v>
      </c>
      <c r="E6762" s="2" t="str">
        <f>"音乐学院"</f>
        <v>音乐学院</v>
      </c>
    </row>
    <row r="6763" ht="13.5" hidden="1" spans="1:5">
      <c r="A6763" s="2" t="str">
        <f>"李睿"</f>
        <v>李睿</v>
      </c>
      <c r="B6763" s="2" t="str">
        <f>"B20210404105"</f>
        <v>B20210404105</v>
      </c>
      <c r="C6763" s="2" t="str">
        <f t="shared" si="1713"/>
        <v>男</v>
      </c>
      <c r="D6763" s="2" t="str">
        <f t="shared" si="1707"/>
        <v>6</v>
      </c>
      <c r="E6763" s="2" t="str">
        <f>"电子信息与电气工程学院"</f>
        <v>电子信息与电气工程学院</v>
      </c>
    </row>
    <row r="6764" ht="13.5" hidden="1" spans="1:5">
      <c r="A6764" s="2" t="str">
        <f>"何泽军"</f>
        <v>何泽军</v>
      </c>
      <c r="B6764" s="2" t="str">
        <f>"B20210204213"</f>
        <v>B20210204213</v>
      </c>
      <c r="C6764" s="2" t="str">
        <f t="shared" si="1713"/>
        <v>男</v>
      </c>
      <c r="D6764" s="2" t="str">
        <f t="shared" si="1707"/>
        <v>6</v>
      </c>
      <c r="E6764" s="2" t="str">
        <f>"机电工程学院"</f>
        <v>机电工程学院</v>
      </c>
    </row>
    <row r="6765" ht="13.5" hidden="1" spans="1:5">
      <c r="A6765" s="2" t="str">
        <f>"白宇鑫"</f>
        <v>白宇鑫</v>
      </c>
      <c r="B6765" s="2" t="str">
        <f>"B20230902237"</f>
        <v>B20230902237</v>
      </c>
      <c r="C6765" s="2" t="str">
        <f t="shared" ref="C6765:C6770" si="1714">"女"</f>
        <v>女</v>
      </c>
      <c r="D6765" s="2" t="str">
        <f t="shared" si="1707"/>
        <v>6</v>
      </c>
      <c r="E6765" s="2" t="str">
        <f t="shared" ref="E6765:E6770" si="1715">"经济与管理学院"</f>
        <v>经济与管理学院</v>
      </c>
    </row>
    <row r="6766" ht="13.5" hidden="1" spans="1:5">
      <c r="A6766" s="2" t="str">
        <f>"宾婷婷"</f>
        <v>宾婷婷</v>
      </c>
      <c r="B6766" s="2" t="str">
        <f>"B20220906228"</f>
        <v>B20220906228</v>
      </c>
      <c r="C6766" s="2" t="str">
        <f t="shared" si="1714"/>
        <v>女</v>
      </c>
      <c r="D6766" s="2" t="str">
        <f t="shared" si="1707"/>
        <v>6</v>
      </c>
      <c r="E6766" s="2" t="str">
        <f t="shared" si="1715"/>
        <v>经济与管理学院</v>
      </c>
    </row>
    <row r="6767" ht="13.5" hidden="1" spans="1:5">
      <c r="A6767" s="2" t="str">
        <f>"陈枫"</f>
        <v>陈枫</v>
      </c>
      <c r="B6767" s="2" t="str">
        <f>"B20230903207"</f>
        <v>B20230903207</v>
      </c>
      <c r="C6767" s="2" t="str">
        <f t="shared" ref="C6767:C6771" si="1716">"男"</f>
        <v>男</v>
      </c>
      <c r="D6767" s="2" t="str">
        <f t="shared" si="1707"/>
        <v>6</v>
      </c>
      <c r="E6767" s="2" t="str">
        <f t="shared" si="1715"/>
        <v>经济与管理学院</v>
      </c>
    </row>
    <row r="6768" ht="13.5" hidden="1" spans="1:5">
      <c r="A6768" s="2" t="str">
        <f>"汪立"</f>
        <v>汪立</v>
      </c>
      <c r="B6768" s="2" t="str">
        <f>"B20200905101"</f>
        <v>B20200905101</v>
      </c>
      <c r="C6768" s="2" t="str">
        <f t="shared" si="1716"/>
        <v>男</v>
      </c>
      <c r="D6768" s="2" t="str">
        <f t="shared" si="1707"/>
        <v>6</v>
      </c>
      <c r="E6768" s="2" t="str">
        <f t="shared" si="1715"/>
        <v>经济与管理学院</v>
      </c>
    </row>
    <row r="6769" ht="13.5" hidden="1" spans="1:5">
      <c r="A6769" s="2" t="str">
        <f>"庄凯琦"</f>
        <v>庄凯琦</v>
      </c>
      <c r="B6769" s="2" t="str">
        <f>"B20210904125"</f>
        <v>B20210904125</v>
      </c>
      <c r="C6769" s="2" t="str">
        <f t="shared" si="1714"/>
        <v>女</v>
      </c>
      <c r="D6769" s="2" t="str">
        <f t="shared" si="1707"/>
        <v>6</v>
      </c>
      <c r="E6769" s="2" t="str">
        <f t="shared" si="1715"/>
        <v>经济与管理学院</v>
      </c>
    </row>
    <row r="6770" ht="13.5" hidden="1" spans="1:5">
      <c r="A6770" s="2" t="str">
        <f>"尹贝尔"</f>
        <v>尹贝尔</v>
      </c>
      <c r="B6770" s="2" t="str">
        <f>"B20230902116"</f>
        <v>B20230902116</v>
      </c>
      <c r="C6770" s="2" t="str">
        <f t="shared" si="1714"/>
        <v>女</v>
      </c>
      <c r="D6770" s="2" t="str">
        <f t="shared" si="1707"/>
        <v>6</v>
      </c>
      <c r="E6770" s="2" t="str">
        <f t="shared" si="1715"/>
        <v>经济与管理学院</v>
      </c>
    </row>
    <row r="6771" ht="13.5" hidden="1" spans="1:5">
      <c r="A6771" s="2" t="str">
        <f>"黎亮"</f>
        <v>黎亮</v>
      </c>
      <c r="B6771" s="2" t="str">
        <f>"B20231301228"</f>
        <v>B20231301228</v>
      </c>
      <c r="C6771" s="2" t="str">
        <f t="shared" si="1716"/>
        <v>男</v>
      </c>
      <c r="D6771" s="2" t="str">
        <f t="shared" si="1707"/>
        <v>6</v>
      </c>
      <c r="E6771" s="2" t="str">
        <f>"材料与环境工程学院"</f>
        <v>材料与环境工程学院</v>
      </c>
    </row>
    <row r="6772" ht="13.5" hidden="1" spans="1:5">
      <c r="A6772" s="2" t="str">
        <f>"肖雅歆"</f>
        <v>肖雅歆</v>
      </c>
      <c r="B6772" s="2" t="str">
        <f>"B20210902409"</f>
        <v>B20210902409</v>
      </c>
      <c r="C6772" s="2" t="str">
        <f>"女"</f>
        <v>女</v>
      </c>
      <c r="D6772" s="2" t="str">
        <f t="shared" si="1707"/>
        <v>6</v>
      </c>
      <c r="E6772" s="2" t="str">
        <f t="shared" ref="E6772:E6776" si="1717">"经济与管理学院"</f>
        <v>经济与管理学院</v>
      </c>
    </row>
    <row r="6773" ht="13.5" hidden="1" spans="1:5">
      <c r="A6773" s="2" t="str">
        <f>"陈果"</f>
        <v>陈果</v>
      </c>
      <c r="B6773" s="2" t="str">
        <f>"B20220903138"</f>
        <v>B20220903138</v>
      </c>
      <c r="C6773" s="2" t="str">
        <f t="shared" ref="C6773:C6777" si="1718">"男"</f>
        <v>男</v>
      </c>
      <c r="D6773" s="2" t="str">
        <f t="shared" si="1707"/>
        <v>6</v>
      </c>
      <c r="E6773" s="2" t="str">
        <f t="shared" si="1717"/>
        <v>经济与管理学院</v>
      </c>
    </row>
    <row r="6774" ht="13.5" hidden="1" spans="1:5">
      <c r="A6774" s="2" t="str">
        <f>"王雨"</f>
        <v>王雨</v>
      </c>
      <c r="B6774" s="2" t="str">
        <f>"B20210901301"</f>
        <v>B20210901301</v>
      </c>
      <c r="C6774" s="2" t="str">
        <f t="shared" ref="C6774:C6780" si="1719">"女"</f>
        <v>女</v>
      </c>
      <c r="D6774" s="2" t="str">
        <f t="shared" si="1707"/>
        <v>6</v>
      </c>
      <c r="E6774" s="2" t="str">
        <f t="shared" si="1717"/>
        <v>经济与管理学院</v>
      </c>
    </row>
    <row r="6775" ht="13.5" hidden="1" spans="1:5">
      <c r="A6775" s="2" t="str">
        <f>"陈浩博"</f>
        <v>陈浩博</v>
      </c>
      <c r="B6775" s="2" t="str">
        <f>"B20230901335"</f>
        <v>B20230901335</v>
      </c>
      <c r="C6775" s="2" t="str">
        <f t="shared" si="1718"/>
        <v>男</v>
      </c>
      <c r="D6775" s="2" t="str">
        <f t="shared" si="1707"/>
        <v>6</v>
      </c>
      <c r="E6775" s="2" t="str">
        <f t="shared" si="1717"/>
        <v>经济与管理学院</v>
      </c>
    </row>
    <row r="6776" ht="13.5" hidden="1" spans="1:5">
      <c r="A6776" s="2" t="str">
        <f>"杨波"</f>
        <v>杨波</v>
      </c>
      <c r="B6776" s="2" t="str">
        <f>"B20220905218"</f>
        <v>B20220905218</v>
      </c>
      <c r="C6776" s="2" t="str">
        <f t="shared" si="1718"/>
        <v>男</v>
      </c>
      <c r="D6776" s="2" t="str">
        <f t="shared" si="1707"/>
        <v>6</v>
      </c>
      <c r="E6776" s="2" t="str">
        <f t="shared" si="1717"/>
        <v>经济与管理学院</v>
      </c>
    </row>
    <row r="6777" ht="13.5" hidden="1" spans="1:5">
      <c r="A6777" s="2" t="str">
        <f>"蒋帅兵"</f>
        <v>蒋帅兵</v>
      </c>
      <c r="B6777" s="2" t="str">
        <f>"B20210401102"</f>
        <v>B20210401102</v>
      </c>
      <c r="C6777" s="2" t="str">
        <f t="shared" si="1718"/>
        <v>男</v>
      </c>
      <c r="D6777" s="2" t="str">
        <f t="shared" si="1707"/>
        <v>6</v>
      </c>
      <c r="E6777" s="2" t="str">
        <f t="shared" ref="E6777:E6783" si="1720">"电子信息与电气工程学院"</f>
        <v>电子信息与电气工程学院</v>
      </c>
    </row>
    <row r="6778" ht="13.5" hidden="1" spans="1:5">
      <c r="A6778" s="2" t="str">
        <f>"易小璐"</f>
        <v>易小璐</v>
      </c>
      <c r="B6778" s="2" t="str">
        <f>"B20231111203"</f>
        <v>B20231111203</v>
      </c>
      <c r="C6778" s="2" t="str">
        <f t="shared" si="1719"/>
        <v>女</v>
      </c>
      <c r="D6778" s="2" t="str">
        <f t="shared" si="1707"/>
        <v>6</v>
      </c>
      <c r="E6778" s="2" t="str">
        <f>"音乐学院"</f>
        <v>音乐学院</v>
      </c>
    </row>
    <row r="6779" ht="13.5" hidden="1" spans="1:5">
      <c r="A6779" s="2" t="str">
        <f>"李盈寅"</f>
        <v>李盈寅</v>
      </c>
      <c r="B6779" s="2" t="str">
        <f>"B20230704116"</f>
        <v>B20230704116</v>
      </c>
      <c r="C6779" s="2" t="str">
        <f t="shared" si="1719"/>
        <v>女</v>
      </c>
      <c r="D6779" s="2" t="str">
        <f t="shared" si="1707"/>
        <v>6</v>
      </c>
      <c r="E6779" s="2" t="str">
        <f>"马栏山新媒体学院"</f>
        <v>马栏山新媒体学院</v>
      </c>
    </row>
    <row r="6780" ht="13.5" hidden="1" spans="1:5">
      <c r="A6780" s="2" t="str">
        <f>"丁奕"</f>
        <v>丁奕</v>
      </c>
      <c r="B6780" s="2" t="str">
        <f>"B20221201124"</f>
        <v>B20221201124</v>
      </c>
      <c r="C6780" s="2" t="str">
        <f t="shared" si="1719"/>
        <v>女</v>
      </c>
      <c r="D6780" s="2" t="str">
        <f>"9"</f>
        <v>9</v>
      </c>
      <c r="E6780" s="2" t="str">
        <f>"数学学院"</f>
        <v>数学学院</v>
      </c>
    </row>
    <row r="6781" ht="13.5" hidden="1" spans="1:5">
      <c r="A6781" s="2" t="str">
        <f>"屈新佳"</f>
        <v>屈新佳</v>
      </c>
      <c r="B6781" s="2" t="str">
        <f>"B20230404133"</f>
        <v>B20230404133</v>
      </c>
      <c r="C6781" s="2" t="str">
        <f t="shared" ref="C6780:C6783" si="1721">"男"</f>
        <v>男</v>
      </c>
      <c r="D6781" s="2" t="str">
        <f t="shared" si="1707"/>
        <v>6</v>
      </c>
      <c r="E6781" s="2" t="str">
        <f t="shared" si="1720"/>
        <v>电子信息与电气工程学院</v>
      </c>
    </row>
    <row r="6782" ht="13.5" hidden="1" spans="1:5">
      <c r="A6782" s="2" t="str">
        <f>"周昱晗"</f>
        <v>周昱晗</v>
      </c>
      <c r="B6782" s="2" t="str">
        <f>"B20200401225"</f>
        <v>B20200401225</v>
      </c>
      <c r="C6782" s="2" t="str">
        <f t="shared" si="1721"/>
        <v>男</v>
      </c>
      <c r="D6782" s="2" t="str">
        <f t="shared" si="1707"/>
        <v>6</v>
      </c>
      <c r="E6782" s="2" t="str">
        <f t="shared" si="1720"/>
        <v>电子信息与电气工程学院</v>
      </c>
    </row>
    <row r="6783" ht="13.5" hidden="1" spans="1:5">
      <c r="A6783" s="2" t="str">
        <f>"何嘉豪"</f>
        <v>何嘉豪</v>
      </c>
      <c r="B6783" s="2" t="str">
        <f>"B20230401202"</f>
        <v>B20230401202</v>
      </c>
      <c r="C6783" s="2" t="str">
        <f t="shared" si="1721"/>
        <v>男</v>
      </c>
      <c r="D6783" s="2" t="str">
        <f t="shared" si="1707"/>
        <v>6</v>
      </c>
      <c r="E6783" s="2" t="str">
        <f t="shared" si="1720"/>
        <v>电子信息与电气工程学院</v>
      </c>
    </row>
    <row r="6784" ht="13.5" hidden="1" spans="1:5">
      <c r="A6784" s="2" t="str">
        <f>"彭婷"</f>
        <v>彭婷</v>
      </c>
      <c r="B6784" s="2" t="str">
        <f>"B20200803207"</f>
        <v>B20200803207</v>
      </c>
      <c r="C6784" s="2" t="str">
        <f>"女"</f>
        <v>女</v>
      </c>
      <c r="D6784" s="2" t="str">
        <f t="shared" si="1707"/>
        <v>6</v>
      </c>
      <c r="E6784" s="2" t="str">
        <f>"外国语学院"</f>
        <v>外国语学院</v>
      </c>
    </row>
    <row r="6785" ht="13.5" hidden="1" spans="1:5">
      <c r="A6785" s="2" t="str">
        <f>"邓嘉鑫"</f>
        <v>邓嘉鑫</v>
      </c>
      <c r="B6785" s="2" t="str">
        <f>"B20230101516"</f>
        <v>B20230101516</v>
      </c>
      <c r="C6785" s="2" t="str">
        <f t="shared" ref="C6785:C6787" si="1722">"男"</f>
        <v>男</v>
      </c>
      <c r="D6785" s="2" t="str">
        <f t="shared" si="1707"/>
        <v>6</v>
      </c>
      <c r="E6785" s="2" t="str">
        <f>"土木工程学院"</f>
        <v>土木工程学院</v>
      </c>
    </row>
    <row r="6786" ht="13.5" hidden="1" spans="1:5">
      <c r="A6786" s="2" t="str">
        <f>"邓梦涛"</f>
        <v>邓梦涛</v>
      </c>
      <c r="B6786" s="2" t="str">
        <f>"B20230102205"</f>
        <v>B20230102205</v>
      </c>
      <c r="C6786" s="2" t="str">
        <f t="shared" si="1722"/>
        <v>男</v>
      </c>
      <c r="D6786" s="2" t="str">
        <f t="shared" si="1707"/>
        <v>6</v>
      </c>
      <c r="E6786" s="2" t="str">
        <f>"土木工程学院"</f>
        <v>土木工程学院</v>
      </c>
    </row>
    <row r="6787" ht="13.5" hidden="1" spans="1:5">
      <c r="A6787" s="2" t="str">
        <f>"江时啸"</f>
        <v>江时啸</v>
      </c>
      <c r="B6787" s="2" t="str">
        <f>"B20231302132"</f>
        <v>B20231302132</v>
      </c>
      <c r="C6787" s="2" t="str">
        <f t="shared" si="1722"/>
        <v>男</v>
      </c>
      <c r="D6787" s="2" t="str">
        <f t="shared" si="1707"/>
        <v>6</v>
      </c>
      <c r="E6787" s="2" t="str">
        <f>"材料与环境工程学院"</f>
        <v>材料与环境工程学院</v>
      </c>
    </row>
    <row r="6788" ht="13.5" hidden="1" spans="1:5">
      <c r="A6788" s="2" t="str">
        <f>"何佳蔚"</f>
        <v>何佳蔚</v>
      </c>
      <c r="B6788" s="2" t="str">
        <f>"B20220703215"</f>
        <v>B20220703215</v>
      </c>
      <c r="C6788" s="2" t="str">
        <f t="shared" ref="C6788:C6793" si="1723">"女"</f>
        <v>女</v>
      </c>
      <c r="D6788" s="2" t="str">
        <f t="shared" si="1707"/>
        <v>6</v>
      </c>
      <c r="E6788" s="2" t="str">
        <f t="shared" ref="E6788:E6793" si="1724">"马栏山新媒体学院"</f>
        <v>马栏山新媒体学院</v>
      </c>
    </row>
    <row r="6789" ht="13.5" hidden="1" spans="1:5">
      <c r="A6789" s="2" t="str">
        <f>"蒋佳俊"</f>
        <v>蒋佳俊</v>
      </c>
      <c r="B6789" s="2" t="str">
        <f>"B20200504226"</f>
        <v>B20200504226</v>
      </c>
      <c r="C6789" s="2" t="str">
        <f>"男"</f>
        <v>男</v>
      </c>
      <c r="D6789" s="2" t="str">
        <f t="shared" si="1707"/>
        <v>6</v>
      </c>
      <c r="E6789" s="2" t="str">
        <f>"生物与环境工程学院"</f>
        <v>生物与环境工程学院</v>
      </c>
    </row>
    <row r="6790" ht="13.5" hidden="1" spans="1:5">
      <c r="A6790" s="2" t="str">
        <f>"白雪会"</f>
        <v>白雪会</v>
      </c>
      <c r="B6790" s="2" t="str">
        <f>"B20230702231"</f>
        <v>B20230702231</v>
      </c>
      <c r="C6790" s="2" t="str">
        <f t="shared" si="1723"/>
        <v>女</v>
      </c>
      <c r="D6790" s="2" t="str">
        <f t="shared" si="1707"/>
        <v>6</v>
      </c>
      <c r="E6790" s="2" t="str">
        <f t="shared" si="1724"/>
        <v>马栏山新媒体学院</v>
      </c>
    </row>
    <row r="6791" ht="13.5" hidden="1" spans="1:5">
      <c r="A6791" s="2" t="str">
        <f>"李思"</f>
        <v>李思</v>
      </c>
      <c r="B6791" s="2" t="str">
        <f>"B20230902124"</f>
        <v>B20230902124</v>
      </c>
      <c r="C6791" s="2" t="str">
        <f t="shared" si="1723"/>
        <v>女</v>
      </c>
      <c r="D6791" s="2" t="str">
        <f t="shared" si="1707"/>
        <v>6</v>
      </c>
      <c r="E6791" s="2" t="str">
        <f t="shared" ref="E6791:E6795" si="1725">"经济与管理学院"</f>
        <v>经济与管理学院</v>
      </c>
    </row>
    <row r="6792" ht="13.5" hidden="1" spans="1:5">
      <c r="A6792" s="2" t="str">
        <f>"戴汝佳"</f>
        <v>戴汝佳</v>
      </c>
      <c r="B6792" s="2" t="str">
        <f>"B20220702106"</f>
        <v>B20220702106</v>
      </c>
      <c r="C6792" s="2" t="str">
        <f t="shared" si="1723"/>
        <v>女</v>
      </c>
      <c r="D6792" s="2" t="str">
        <f t="shared" si="1707"/>
        <v>6</v>
      </c>
      <c r="E6792" s="2" t="str">
        <f t="shared" si="1724"/>
        <v>马栏山新媒体学院</v>
      </c>
    </row>
    <row r="6793" ht="13.5" hidden="1" spans="1:5">
      <c r="A6793" s="2" t="str">
        <f>"王嘉怡"</f>
        <v>王嘉怡</v>
      </c>
      <c r="B6793" s="2" t="str">
        <f>"B20220702105"</f>
        <v>B20220702105</v>
      </c>
      <c r="C6793" s="2" t="str">
        <f t="shared" si="1723"/>
        <v>女</v>
      </c>
      <c r="D6793" s="2" t="str">
        <f t="shared" si="1707"/>
        <v>6</v>
      </c>
      <c r="E6793" s="2" t="str">
        <f t="shared" si="1724"/>
        <v>马栏山新媒体学院</v>
      </c>
    </row>
    <row r="6794" ht="13.5" hidden="1" spans="1:5">
      <c r="A6794" s="2" t="str">
        <f>"李琛"</f>
        <v>李琛</v>
      </c>
      <c r="B6794" s="2" t="str">
        <f>"B20220904216"</f>
        <v>B20220904216</v>
      </c>
      <c r="C6794" s="2" t="str">
        <f t="shared" ref="C6794:C6800" si="1726">"男"</f>
        <v>男</v>
      </c>
      <c r="D6794" s="2" t="str">
        <f t="shared" si="1707"/>
        <v>6</v>
      </c>
      <c r="E6794" s="2" t="str">
        <f t="shared" si="1725"/>
        <v>经济与管理学院</v>
      </c>
    </row>
    <row r="6795" ht="13.5" hidden="1" spans="1:5">
      <c r="A6795" s="2" t="str">
        <f>"何浩宇"</f>
        <v>何浩宇</v>
      </c>
      <c r="B6795" s="2" t="str">
        <f>"B20220904208"</f>
        <v>B20220904208</v>
      </c>
      <c r="C6795" s="2" t="str">
        <f t="shared" si="1726"/>
        <v>男</v>
      </c>
      <c r="D6795" s="2" t="str">
        <f t="shared" si="1707"/>
        <v>6</v>
      </c>
      <c r="E6795" s="2" t="str">
        <f t="shared" si="1725"/>
        <v>经济与管理学院</v>
      </c>
    </row>
    <row r="6796" ht="13.5" hidden="1" spans="1:5">
      <c r="A6796" s="2" t="str">
        <f>"王诗琪"</f>
        <v>王诗琪</v>
      </c>
      <c r="B6796" s="2" t="str">
        <f>"B20221201125"</f>
        <v>B20221201125</v>
      </c>
      <c r="C6796" s="2" t="str">
        <f>"女"</f>
        <v>女</v>
      </c>
      <c r="D6796" s="2" t="str">
        <f t="shared" si="1707"/>
        <v>6</v>
      </c>
      <c r="E6796" s="2" t="str">
        <f>"数学学院"</f>
        <v>数学学院</v>
      </c>
    </row>
    <row r="6797" ht="13.5" hidden="1" spans="1:5">
      <c r="A6797" s="2" t="str">
        <f>"徐星野"</f>
        <v>徐星野</v>
      </c>
      <c r="B6797" s="2" t="str">
        <f>"B20221201129"</f>
        <v>B20221201129</v>
      </c>
      <c r="C6797" s="2" t="str">
        <f>"男"</f>
        <v>男</v>
      </c>
      <c r="D6797" s="2" t="str">
        <f>"1"</f>
        <v>1</v>
      </c>
      <c r="E6797" s="2" t="str">
        <f>"数学学院"</f>
        <v>数学学院</v>
      </c>
    </row>
    <row r="6798" ht="13.5" hidden="1" spans="1:5">
      <c r="A6798" s="2" t="str">
        <f>"郭昶睿"</f>
        <v>郭昶睿</v>
      </c>
      <c r="B6798" s="2" t="str">
        <f>"B20230403309"</f>
        <v>B20230403309</v>
      </c>
      <c r="C6798" s="2" t="str">
        <f t="shared" si="1726"/>
        <v>男</v>
      </c>
      <c r="D6798" s="2" t="str">
        <f t="shared" si="1707"/>
        <v>6</v>
      </c>
      <c r="E6798" s="2" t="str">
        <f>"电子信息与电气工程学院"</f>
        <v>电子信息与电气工程学院</v>
      </c>
    </row>
    <row r="6799" ht="13.5" hidden="1" spans="1:5">
      <c r="A6799" s="2" t="str">
        <f>"吴淞"</f>
        <v>吴淞</v>
      </c>
      <c r="B6799" s="2" t="str">
        <f>"B20230405110"</f>
        <v>B20230405110</v>
      </c>
      <c r="C6799" s="2" t="str">
        <f t="shared" si="1726"/>
        <v>男</v>
      </c>
      <c r="D6799" s="2" t="str">
        <f t="shared" si="1707"/>
        <v>6</v>
      </c>
      <c r="E6799" s="2" t="str">
        <f>"电子信息与电气工程学院"</f>
        <v>电子信息与电气工程学院</v>
      </c>
    </row>
    <row r="6800" ht="13.5" hidden="1" spans="1:5">
      <c r="A6800" s="2" t="str">
        <f>"谢旸"</f>
        <v>谢旸</v>
      </c>
      <c r="B6800" s="2" t="str">
        <f>"B20221201130"</f>
        <v>B20221201130</v>
      </c>
      <c r="C6800" s="2" t="str">
        <f>"女"</f>
        <v>女</v>
      </c>
      <c r="D6800" s="2" t="str">
        <f>"3"</f>
        <v>3</v>
      </c>
      <c r="E6800" s="2" t="str">
        <f>"数学学院"</f>
        <v>数学学院</v>
      </c>
    </row>
    <row r="6801" ht="13.5" hidden="1" spans="1:5">
      <c r="A6801" s="2" t="str">
        <f>"李偲"</f>
        <v>李偲</v>
      </c>
      <c r="B6801" s="2" t="str">
        <f>"B20210902202"</f>
        <v>B20210902202</v>
      </c>
      <c r="C6801" s="2" t="str">
        <f>"女"</f>
        <v>女</v>
      </c>
      <c r="D6801" s="2" t="str">
        <f t="shared" si="1707"/>
        <v>6</v>
      </c>
      <c r="E6801" s="2" t="str">
        <f>"经济与管理学院"</f>
        <v>经济与管理学院</v>
      </c>
    </row>
    <row r="6802" ht="13.5" hidden="1" spans="1:5">
      <c r="A6802" s="2" t="str">
        <f>"刘钊慧"</f>
        <v>刘钊慧</v>
      </c>
      <c r="B6802" s="2" t="str">
        <f>"B20220601223"</f>
        <v>B20220601223</v>
      </c>
      <c r="C6802" s="2" t="str">
        <f>"女"</f>
        <v>女</v>
      </c>
      <c r="D6802" s="2" t="str">
        <f t="shared" si="1707"/>
        <v>6</v>
      </c>
      <c r="E6802" s="2" t="str">
        <f>"法学院"</f>
        <v>法学院</v>
      </c>
    </row>
    <row r="6803" ht="13.5" hidden="1" spans="1:5">
      <c r="A6803" s="2" t="str">
        <f>"张仁熙"</f>
        <v>张仁熙</v>
      </c>
      <c r="B6803" s="2" t="str">
        <f>"B20230201308"</f>
        <v>B20230201308</v>
      </c>
      <c r="C6803" s="2" t="str">
        <f t="shared" ref="C6803:C6809" si="1727">"男"</f>
        <v>男</v>
      </c>
      <c r="D6803" s="2" t="str">
        <f t="shared" si="1707"/>
        <v>6</v>
      </c>
      <c r="E6803" s="2" t="str">
        <f>"机电工程学院"</f>
        <v>机电工程学院</v>
      </c>
    </row>
    <row r="6804" ht="13.5" hidden="1" spans="1:5">
      <c r="A6804" s="2" t="str">
        <f>"陈聪"</f>
        <v>陈聪</v>
      </c>
      <c r="B6804" s="2" t="str">
        <f>"B20200401227"</f>
        <v>B20200401227</v>
      </c>
      <c r="C6804" s="2" t="str">
        <f t="shared" si="1727"/>
        <v>男</v>
      </c>
      <c r="D6804" s="2" t="str">
        <f t="shared" si="1707"/>
        <v>6</v>
      </c>
      <c r="E6804" s="2" t="str">
        <f>"电子信息与电气工程学院"</f>
        <v>电子信息与电气工程学院</v>
      </c>
    </row>
    <row r="6805" ht="13.5" hidden="1" spans="1:5">
      <c r="A6805" s="2" t="str">
        <f>"杨佳"</f>
        <v>杨佳</v>
      </c>
      <c r="B6805" s="2" t="str">
        <f>"B20221201131"</f>
        <v>B20221201131</v>
      </c>
      <c r="C6805" s="2" t="str">
        <f>"女"</f>
        <v>女</v>
      </c>
      <c r="D6805" s="2" t="str">
        <f t="shared" si="1707"/>
        <v>6</v>
      </c>
      <c r="E6805" s="2" t="str">
        <f>"数学学院"</f>
        <v>数学学院</v>
      </c>
    </row>
    <row r="6806" ht="13.5" hidden="1" spans="1:5">
      <c r="A6806" s="2" t="str">
        <f>"张玉辉"</f>
        <v>张玉辉</v>
      </c>
      <c r="B6806" s="2" t="str">
        <f>"B20221201132"</f>
        <v>B20221201132</v>
      </c>
      <c r="C6806" s="2" t="str">
        <f>"女"</f>
        <v>女</v>
      </c>
      <c r="D6806" s="2" t="str">
        <f t="shared" si="1707"/>
        <v>6</v>
      </c>
      <c r="E6806" s="2" t="str">
        <f>"数学学院"</f>
        <v>数学学院</v>
      </c>
    </row>
    <row r="6807" ht="13.5" hidden="1" spans="1:5">
      <c r="A6807" s="2" t="str">
        <f>"管志明"</f>
        <v>管志明</v>
      </c>
      <c r="B6807" s="2" t="str">
        <f>"B20210101437"</f>
        <v>B20210101437</v>
      </c>
      <c r="C6807" s="2" t="str">
        <f t="shared" si="1727"/>
        <v>男</v>
      </c>
      <c r="D6807" s="2" t="str">
        <f t="shared" si="1707"/>
        <v>6</v>
      </c>
      <c r="E6807" s="2" t="str">
        <f>"土木工程学院"</f>
        <v>土木工程学院</v>
      </c>
    </row>
    <row r="6808" ht="13.5" hidden="1" spans="1:5">
      <c r="A6808" s="2" t="str">
        <f>"肖志睿"</f>
        <v>肖志睿</v>
      </c>
      <c r="B6808" s="2" t="str">
        <f>"B20221201133"</f>
        <v>B20221201133</v>
      </c>
      <c r="C6808" s="2" t="str">
        <f t="shared" si="1727"/>
        <v>男</v>
      </c>
      <c r="D6808" s="2" t="str">
        <f>"8"</f>
        <v>8</v>
      </c>
      <c r="E6808" s="2" t="str">
        <f>"数学学院"</f>
        <v>数学学院</v>
      </c>
    </row>
    <row r="6809" ht="13.5" hidden="1" spans="1:5">
      <c r="A6809" s="2" t="str">
        <f>"胡冬"</f>
        <v>胡冬</v>
      </c>
      <c r="B6809" s="2" t="str">
        <f>"B20220502111"</f>
        <v>B20220502111</v>
      </c>
      <c r="C6809" s="2" t="str">
        <f t="shared" si="1727"/>
        <v>男</v>
      </c>
      <c r="D6809" s="2" t="str">
        <f t="shared" si="1707"/>
        <v>6</v>
      </c>
      <c r="E6809" s="2" t="str">
        <f>"生物与化学工程学院"</f>
        <v>生物与化学工程学院</v>
      </c>
    </row>
    <row r="6810" ht="13.5" hidden="1" spans="1:5">
      <c r="A6810" s="2" t="str">
        <f>"吴昭月"</f>
        <v>吴昭月</v>
      </c>
      <c r="B6810" s="2" t="str">
        <f>"B20220905224"</f>
        <v>B20220905224</v>
      </c>
      <c r="C6810" s="2" t="str">
        <f t="shared" ref="C6810:C6813" si="1728">"女"</f>
        <v>女</v>
      </c>
      <c r="D6810" s="2" t="str">
        <f t="shared" si="1707"/>
        <v>6</v>
      </c>
      <c r="E6810" s="2" t="str">
        <f>"经济与管理学院"</f>
        <v>经济与管理学院</v>
      </c>
    </row>
    <row r="6811" ht="13.5" hidden="1" spans="1:5">
      <c r="A6811" s="2" t="str">
        <f>"唐昊"</f>
        <v>唐昊</v>
      </c>
      <c r="B6811" s="2" t="str">
        <f>"B20221201134"</f>
        <v>B20221201134</v>
      </c>
      <c r="C6811" s="2" t="str">
        <f>"男"</f>
        <v>男</v>
      </c>
      <c r="D6811" s="2" t="str">
        <f>"8"</f>
        <v>8</v>
      </c>
      <c r="E6811" s="2" t="str">
        <f>"数学学院"</f>
        <v>数学学院</v>
      </c>
    </row>
    <row r="6812" ht="13.5" hidden="1" spans="1:5">
      <c r="A6812" s="2" t="str">
        <f>"成嘉盛"</f>
        <v>成嘉盛</v>
      </c>
      <c r="B6812" s="2" t="str">
        <f>"B20230204218"</f>
        <v>B20230204218</v>
      </c>
      <c r="C6812" s="2" t="str">
        <f t="shared" ref="C6812:C6816" si="1729">"男"</f>
        <v>男</v>
      </c>
      <c r="D6812" s="2" t="str">
        <f t="shared" ref="D6811:D6848" si="1730">"6"</f>
        <v>6</v>
      </c>
      <c r="E6812" s="2" t="str">
        <f>"机电工程学院"</f>
        <v>机电工程学院</v>
      </c>
    </row>
    <row r="6813" ht="13.5" hidden="1" spans="1:5">
      <c r="A6813" s="2" t="str">
        <f>"张伊帆"</f>
        <v>张伊帆</v>
      </c>
      <c r="B6813" s="2" t="str">
        <f>"B20230701113"</f>
        <v>B20230701113</v>
      </c>
      <c r="C6813" s="2" t="str">
        <f t="shared" si="1728"/>
        <v>女</v>
      </c>
      <c r="D6813" s="2" t="str">
        <f t="shared" si="1730"/>
        <v>6</v>
      </c>
      <c r="E6813" s="2" t="str">
        <f>"马栏山新媒体学院"</f>
        <v>马栏山新媒体学院</v>
      </c>
    </row>
    <row r="6814" ht="13.5" hidden="1" spans="1:5">
      <c r="A6814" s="2" t="str">
        <f>"兰伟华"</f>
        <v>兰伟华</v>
      </c>
      <c r="B6814" s="2" t="str">
        <f>"B20221201135"</f>
        <v>B20221201135</v>
      </c>
      <c r="C6814" s="2" t="str">
        <f>"男"</f>
        <v>男</v>
      </c>
      <c r="D6814" s="2" t="str">
        <f>"8"</f>
        <v>8</v>
      </c>
      <c r="E6814" s="2" t="str">
        <f>"数学学院"</f>
        <v>数学学院</v>
      </c>
    </row>
    <row r="6815" ht="13.5" hidden="1" spans="1:5">
      <c r="A6815" s="2" t="str">
        <f>"常曦文"</f>
        <v>常曦文</v>
      </c>
      <c r="B6815" s="2" t="str">
        <f>"B20201003112"</f>
        <v>B20201003112</v>
      </c>
      <c r="C6815" s="2" t="str">
        <f t="shared" ref="C6815:C6820" si="1731">"女"</f>
        <v>女</v>
      </c>
      <c r="D6815" s="2" t="str">
        <f t="shared" si="1730"/>
        <v>6</v>
      </c>
      <c r="E6815" s="2" t="str">
        <f>"艺术设计学院"</f>
        <v>艺术设计学院</v>
      </c>
    </row>
    <row r="6816" ht="13.5" hidden="1" spans="1:5">
      <c r="A6816" s="2" t="str">
        <f>"陈俊帆"</f>
        <v>陈俊帆</v>
      </c>
      <c r="B6816" s="2" t="str">
        <f>"B20200201330"</f>
        <v>B20200201330</v>
      </c>
      <c r="C6816" s="2" t="str">
        <f t="shared" si="1729"/>
        <v>男</v>
      </c>
      <c r="D6816" s="2" t="str">
        <f t="shared" si="1730"/>
        <v>6</v>
      </c>
      <c r="E6816" s="2" t="str">
        <f>"机电工程学院"</f>
        <v>机电工程学院</v>
      </c>
    </row>
    <row r="6817" ht="13.5" hidden="1" spans="1:5">
      <c r="A6817" s="2" t="str">
        <f>"蒋月霞"</f>
        <v>蒋月霞</v>
      </c>
      <c r="B6817" s="2" t="str">
        <f>"B20230104211"</f>
        <v>B20230104211</v>
      </c>
      <c r="C6817" s="2" t="str">
        <f t="shared" si="1731"/>
        <v>女</v>
      </c>
      <c r="D6817" s="2" t="str">
        <f t="shared" si="1730"/>
        <v>6</v>
      </c>
      <c r="E6817" s="2" t="str">
        <f>"土木工程学院"</f>
        <v>土木工程学院</v>
      </c>
    </row>
    <row r="6818" ht="13.5" hidden="1" spans="1:5">
      <c r="A6818" s="2" t="str">
        <f>"王泽旭"</f>
        <v>王泽旭</v>
      </c>
      <c r="B6818" s="2" t="str">
        <f>"B20200505102"</f>
        <v>B20200505102</v>
      </c>
      <c r="C6818" s="2" t="str">
        <f t="shared" ref="C6818:C6823" si="1732">"男"</f>
        <v>男</v>
      </c>
      <c r="D6818" s="2" t="str">
        <f t="shared" si="1730"/>
        <v>6</v>
      </c>
      <c r="E6818" s="2" t="str">
        <f>"生物与环境工程学院"</f>
        <v>生物与环境工程学院</v>
      </c>
    </row>
    <row r="6819" ht="13.5" hidden="1" spans="1:5">
      <c r="A6819" s="2" t="str">
        <f>"郑志飞"</f>
        <v>郑志飞</v>
      </c>
      <c r="B6819" s="2" t="str">
        <f>"B20200503209"</f>
        <v>B20200503209</v>
      </c>
      <c r="C6819" s="2" t="str">
        <f t="shared" si="1732"/>
        <v>男</v>
      </c>
      <c r="D6819" s="2" t="str">
        <f t="shared" si="1730"/>
        <v>6</v>
      </c>
      <c r="E6819" s="2" t="str">
        <f>"生物与环境工程学院"</f>
        <v>生物与环境工程学院</v>
      </c>
    </row>
    <row r="6820" ht="13.5" hidden="1" spans="1:5">
      <c r="A6820" s="2" t="str">
        <f>"易佳"</f>
        <v>易佳</v>
      </c>
      <c r="B6820" s="2" t="str">
        <f>"B20200904212"</f>
        <v>B20200904212</v>
      </c>
      <c r="C6820" s="2" t="str">
        <f t="shared" si="1731"/>
        <v>女</v>
      </c>
      <c r="D6820" s="2" t="str">
        <f t="shared" si="1730"/>
        <v>6</v>
      </c>
      <c r="E6820" s="2" t="str">
        <f>"马栏山新媒体学院"</f>
        <v>马栏山新媒体学院</v>
      </c>
    </row>
    <row r="6821" ht="13.5" hidden="1" spans="1:5">
      <c r="A6821" s="2" t="str">
        <f>"唐猷帅"</f>
        <v>唐猷帅</v>
      </c>
      <c r="B6821" s="2" t="str">
        <f>"B20210202408"</f>
        <v>B20210202408</v>
      </c>
      <c r="C6821" s="2" t="str">
        <f t="shared" si="1732"/>
        <v>男</v>
      </c>
      <c r="D6821" s="2" t="str">
        <f t="shared" si="1730"/>
        <v>6</v>
      </c>
      <c r="E6821" s="2" t="str">
        <f>"机电工程学院"</f>
        <v>机电工程学院</v>
      </c>
    </row>
    <row r="6822" ht="13.5" hidden="1" spans="1:5">
      <c r="A6822" s="2" t="str">
        <f>"张祺"</f>
        <v>张祺</v>
      </c>
      <c r="B6822" s="2" t="str">
        <f>"B20221201201"</f>
        <v>B20221201201</v>
      </c>
      <c r="C6822" s="2" t="str">
        <f t="shared" si="1732"/>
        <v>男</v>
      </c>
      <c r="D6822" s="2" t="str">
        <f t="shared" si="1730"/>
        <v>6</v>
      </c>
      <c r="E6822" s="2" t="str">
        <f>"数学学院"</f>
        <v>数学学院</v>
      </c>
    </row>
    <row r="6823" ht="13.5" hidden="1" spans="1:5">
      <c r="A6823" s="2" t="str">
        <f>"程泽鑫"</f>
        <v>程泽鑫</v>
      </c>
      <c r="B6823" s="2" t="str">
        <f>"B20230502215"</f>
        <v>B20230502215</v>
      </c>
      <c r="C6823" s="2" t="str">
        <f t="shared" si="1732"/>
        <v>男</v>
      </c>
      <c r="D6823" s="2" t="str">
        <f t="shared" si="1730"/>
        <v>6</v>
      </c>
      <c r="E6823" s="2" t="str">
        <f>"生物与化学工程学院"</f>
        <v>生物与化学工程学院</v>
      </c>
    </row>
    <row r="6824" ht="13.5" hidden="1" spans="1:5">
      <c r="A6824" s="2" t="str">
        <f>"孟佳妮"</f>
        <v>孟佳妮</v>
      </c>
      <c r="B6824" s="2" t="str">
        <f>"B20230504102"</f>
        <v>B20230504102</v>
      </c>
      <c r="C6824" s="2" t="str">
        <f t="shared" ref="C6824:C6826" si="1733">"女"</f>
        <v>女</v>
      </c>
      <c r="D6824" s="2" t="str">
        <f t="shared" si="1730"/>
        <v>6</v>
      </c>
      <c r="E6824" s="2" t="str">
        <f>"生物与化学工程学院"</f>
        <v>生物与化学工程学院</v>
      </c>
    </row>
    <row r="6825" ht="13.5" hidden="1" spans="1:5">
      <c r="A6825" s="2" t="str">
        <f>"黎伊琪"</f>
        <v>黎伊琪</v>
      </c>
      <c r="B6825" s="2" t="str">
        <f>"B20230901206"</f>
        <v>B20230901206</v>
      </c>
      <c r="C6825" s="2" t="str">
        <f t="shared" si="1733"/>
        <v>女</v>
      </c>
      <c r="D6825" s="2" t="str">
        <f t="shared" si="1730"/>
        <v>6</v>
      </c>
      <c r="E6825" s="2" t="str">
        <f>"经济与管理学院"</f>
        <v>经济与管理学院</v>
      </c>
    </row>
    <row r="6826" ht="13.5" hidden="1" spans="1:5">
      <c r="A6826" s="2" t="str">
        <f>"江家慧"</f>
        <v>江家慧</v>
      </c>
      <c r="B6826" s="2" t="str">
        <f>"B20230704422"</f>
        <v>B20230704422</v>
      </c>
      <c r="C6826" s="2" t="str">
        <f t="shared" si="1733"/>
        <v>女</v>
      </c>
      <c r="D6826" s="2" t="str">
        <f t="shared" si="1730"/>
        <v>6</v>
      </c>
      <c r="E6826" s="2" t="str">
        <f>"马栏山新媒体学院"</f>
        <v>马栏山新媒体学院</v>
      </c>
    </row>
    <row r="6827" ht="13.5" hidden="1" spans="1:5">
      <c r="A6827" s="2" t="str">
        <f>"侯俊杰"</f>
        <v>侯俊杰</v>
      </c>
      <c r="B6827" s="2" t="str">
        <f>"B20220802231"</f>
        <v>B20220802231</v>
      </c>
      <c r="C6827" s="2" t="str">
        <f t="shared" ref="C6827:C6832" si="1734">"男"</f>
        <v>男</v>
      </c>
      <c r="D6827" s="2" t="str">
        <f t="shared" si="1730"/>
        <v>6</v>
      </c>
      <c r="E6827" s="2" t="str">
        <f>"外国语学院"</f>
        <v>外国语学院</v>
      </c>
    </row>
    <row r="6828" ht="13.5" hidden="1" spans="1:5">
      <c r="A6828" s="2" t="str">
        <f>"洪权"</f>
        <v>洪权</v>
      </c>
      <c r="B6828" s="2" t="str">
        <f>"B20200201326"</f>
        <v>B20200201326</v>
      </c>
      <c r="C6828" s="2" t="str">
        <f t="shared" si="1734"/>
        <v>男</v>
      </c>
      <c r="D6828" s="2" t="str">
        <f t="shared" si="1730"/>
        <v>6</v>
      </c>
      <c r="E6828" s="2" t="str">
        <f t="shared" ref="E6828:E6833" si="1735">"机电工程学院"</f>
        <v>机电工程学院</v>
      </c>
    </row>
    <row r="6829" ht="13.5" hidden="1" spans="1:5">
      <c r="A6829" s="2" t="str">
        <f>"曾好"</f>
        <v>曾好</v>
      </c>
      <c r="B6829" s="2" t="str">
        <f>"B20221111219"</f>
        <v>B20221111219</v>
      </c>
      <c r="C6829" s="2" t="str">
        <f>"女"</f>
        <v>女</v>
      </c>
      <c r="D6829" s="2" t="str">
        <f t="shared" si="1730"/>
        <v>6</v>
      </c>
      <c r="E6829" s="2" t="str">
        <f>"音乐学院"</f>
        <v>音乐学院</v>
      </c>
    </row>
    <row r="6830" ht="13.5" hidden="1" spans="1:5">
      <c r="A6830" s="2" t="str">
        <f>"刘谏"</f>
        <v>刘谏</v>
      </c>
      <c r="B6830" s="2" t="str">
        <f>"B20210201414"</f>
        <v>B20210201414</v>
      </c>
      <c r="C6830" s="2" t="str">
        <f t="shared" si="1734"/>
        <v>男</v>
      </c>
      <c r="D6830" s="2" t="str">
        <f t="shared" si="1730"/>
        <v>6</v>
      </c>
      <c r="E6830" s="2" t="str">
        <f t="shared" si="1735"/>
        <v>机电工程学院</v>
      </c>
    </row>
    <row r="6831" ht="13.5" hidden="1" spans="1:5">
      <c r="A6831" s="2" t="str">
        <f>"袁萌"</f>
        <v>袁萌</v>
      </c>
      <c r="B6831" s="2" t="str">
        <f>"B20200402304"</f>
        <v>B20200402304</v>
      </c>
      <c r="C6831" s="2" t="str">
        <f t="shared" si="1734"/>
        <v>男</v>
      </c>
      <c r="D6831" s="2" t="str">
        <f t="shared" si="1730"/>
        <v>6</v>
      </c>
      <c r="E6831" s="2" t="str">
        <f t="shared" ref="E6831:E6834" si="1736">"电子信息与电气工程学院"</f>
        <v>电子信息与电气工程学院</v>
      </c>
    </row>
    <row r="6832" ht="13.5" hidden="1" spans="1:5">
      <c r="A6832" s="2" t="str">
        <f>"陈子晔"</f>
        <v>陈子晔</v>
      </c>
      <c r="B6832" s="2" t="str">
        <f>"B20200401414"</f>
        <v>B20200401414</v>
      </c>
      <c r="C6832" s="2" t="str">
        <f t="shared" si="1734"/>
        <v>男</v>
      </c>
      <c r="D6832" s="2" t="str">
        <f t="shared" si="1730"/>
        <v>6</v>
      </c>
      <c r="E6832" s="2" t="str">
        <f t="shared" si="1736"/>
        <v>电子信息与电气工程学院</v>
      </c>
    </row>
    <row r="6833" ht="13.5" hidden="1" spans="1:5">
      <c r="A6833" s="2" t="str">
        <f>"唐璐"</f>
        <v>唐璐</v>
      </c>
      <c r="B6833" s="2" t="str">
        <f>"B20210202422"</f>
        <v>B20210202422</v>
      </c>
      <c r="C6833" s="2" t="str">
        <f t="shared" ref="C6833:C6836" si="1737">"女"</f>
        <v>女</v>
      </c>
      <c r="D6833" s="2" t="str">
        <f t="shared" si="1730"/>
        <v>6</v>
      </c>
      <c r="E6833" s="2" t="str">
        <f t="shared" si="1735"/>
        <v>机电工程学院</v>
      </c>
    </row>
    <row r="6834" ht="13.5" hidden="1" spans="1:5">
      <c r="A6834" s="2" t="str">
        <f>"阳子成"</f>
        <v>阳子成</v>
      </c>
      <c r="B6834" s="2" t="str">
        <f>"B20200404106"</f>
        <v>B20200404106</v>
      </c>
      <c r="C6834" s="2" t="str">
        <f t="shared" ref="C6834:C6839" si="1738">"男"</f>
        <v>男</v>
      </c>
      <c r="D6834" s="2" t="str">
        <f t="shared" si="1730"/>
        <v>6</v>
      </c>
      <c r="E6834" s="2" t="str">
        <f t="shared" si="1736"/>
        <v>电子信息与电气工程学院</v>
      </c>
    </row>
    <row r="6835" ht="13.5" hidden="1" spans="1:5">
      <c r="A6835" s="2" t="str">
        <f>"陈子雅"</f>
        <v>陈子雅</v>
      </c>
      <c r="B6835" s="2" t="str">
        <f>"B20210802311"</f>
        <v>B20210802311</v>
      </c>
      <c r="C6835" s="2" t="str">
        <f t="shared" si="1737"/>
        <v>女</v>
      </c>
      <c r="D6835" s="2" t="str">
        <f t="shared" si="1730"/>
        <v>6</v>
      </c>
      <c r="E6835" s="2" t="str">
        <f>"外国语学院"</f>
        <v>外国语学院</v>
      </c>
    </row>
    <row r="6836" ht="13.5" hidden="1" spans="1:5">
      <c r="A6836" s="2" t="str">
        <f>"段玉娇"</f>
        <v>段玉娇</v>
      </c>
      <c r="B6836" s="2" t="str">
        <f>"B20200601432"</f>
        <v>B20200601432</v>
      </c>
      <c r="C6836" s="2" t="str">
        <f t="shared" si="1737"/>
        <v>女</v>
      </c>
      <c r="D6836" s="2" t="str">
        <f t="shared" si="1730"/>
        <v>6</v>
      </c>
      <c r="E6836" s="2" t="str">
        <f>"法学院"</f>
        <v>法学院</v>
      </c>
    </row>
    <row r="6837" ht="13.5" hidden="1" spans="1:5">
      <c r="A6837" s="2" t="str">
        <f>"肖北"</f>
        <v>肖北</v>
      </c>
      <c r="B6837" s="2" t="str">
        <f>"B20221302122"</f>
        <v>B20221302122</v>
      </c>
      <c r="C6837" s="2" t="str">
        <f t="shared" si="1738"/>
        <v>男</v>
      </c>
      <c r="D6837" s="2" t="str">
        <f t="shared" si="1730"/>
        <v>6</v>
      </c>
      <c r="E6837" s="2" t="str">
        <f>"材料与环境工程学院"</f>
        <v>材料与环境工程学院</v>
      </c>
    </row>
    <row r="6838" ht="13.5" hidden="1" spans="1:5">
      <c r="A6838" s="2" t="str">
        <f>"范文涛"</f>
        <v>范文涛</v>
      </c>
      <c r="B6838" s="2" t="str">
        <f>"B20221201202"</f>
        <v>B20221201202</v>
      </c>
      <c r="C6838" s="2" t="str">
        <f t="shared" si="1738"/>
        <v>男</v>
      </c>
      <c r="D6838" s="2" t="str">
        <f>"7"</f>
        <v>7</v>
      </c>
      <c r="E6838" s="2" t="str">
        <f>"数学学院"</f>
        <v>数学学院</v>
      </c>
    </row>
    <row r="6839" ht="13.5" hidden="1" spans="1:5">
      <c r="A6839" s="2" t="str">
        <f>"周旺"</f>
        <v>周旺</v>
      </c>
      <c r="B6839" s="2" t="str">
        <f>"B20210906227"</f>
        <v>B20210906227</v>
      </c>
      <c r="C6839" s="2" t="str">
        <f t="shared" si="1738"/>
        <v>男</v>
      </c>
      <c r="D6839" s="2" t="str">
        <f t="shared" si="1730"/>
        <v>6</v>
      </c>
      <c r="E6839" s="2" t="str">
        <f>"经济与管理学院"</f>
        <v>经济与管理学院</v>
      </c>
    </row>
    <row r="6840" ht="13.5" hidden="1" spans="1:5">
      <c r="A6840" s="2" t="str">
        <f>"方琴"</f>
        <v>方琴</v>
      </c>
      <c r="B6840" s="2" t="str">
        <f>"B20200703118"</f>
        <v>B20200703118</v>
      </c>
      <c r="C6840" s="2" t="str">
        <f t="shared" ref="C6838:C6844" si="1739">"女"</f>
        <v>女</v>
      </c>
      <c r="D6840" s="2" t="str">
        <f t="shared" si="1730"/>
        <v>6</v>
      </c>
      <c r="E6840" s="2" t="str">
        <f t="shared" ref="E6840:E6844" si="1740">"马栏山新媒体学院"</f>
        <v>马栏山新媒体学院</v>
      </c>
    </row>
    <row r="6841" ht="13.5" hidden="1" spans="1:5">
      <c r="A6841" s="2" t="str">
        <f>"殷雅婷"</f>
        <v>殷雅婷</v>
      </c>
      <c r="B6841" s="2" t="str">
        <f>"B20200402325"</f>
        <v>B20200402325</v>
      </c>
      <c r="C6841" s="2" t="str">
        <f t="shared" si="1739"/>
        <v>女</v>
      </c>
      <c r="D6841" s="2" t="str">
        <f t="shared" si="1730"/>
        <v>6</v>
      </c>
      <c r="E6841" s="2" t="str">
        <f>"电子信息与电气工程学院"</f>
        <v>电子信息与电气工程学院</v>
      </c>
    </row>
    <row r="6842" ht="13.5" hidden="1" spans="1:5">
      <c r="A6842" s="2" t="str">
        <f>"彭露雪"</f>
        <v>彭露雪</v>
      </c>
      <c r="B6842" s="2" t="str">
        <f>"B20211101228"</f>
        <v>B20211101228</v>
      </c>
      <c r="C6842" s="2" t="str">
        <f t="shared" si="1739"/>
        <v>女</v>
      </c>
      <c r="D6842" s="2" t="str">
        <f t="shared" si="1730"/>
        <v>6</v>
      </c>
      <c r="E6842" s="2" t="str">
        <f>"音乐学院"</f>
        <v>音乐学院</v>
      </c>
    </row>
    <row r="6843" ht="13.5" hidden="1" spans="1:5">
      <c r="A6843" s="2" t="str">
        <f>"徐思琪"</f>
        <v>徐思琪</v>
      </c>
      <c r="B6843" s="2" t="str">
        <f>"B20200704123"</f>
        <v>B20200704123</v>
      </c>
      <c r="C6843" s="2" t="str">
        <f t="shared" si="1739"/>
        <v>女</v>
      </c>
      <c r="D6843" s="2" t="str">
        <f t="shared" si="1730"/>
        <v>6</v>
      </c>
      <c r="E6843" s="2" t="str">
        <f t="shared" si="1740"/>
        <v>马栏山新媒体学院</v>
      </c>
    </row>
    <row r="6844" ht="13.5" hidden="1" spans="1:5">
      <c r="A6844" s="2" t="str">
        <f>"梁秋姜"</f>
        <v>梁秋姜</v>
      </c>
      <c r="B6844" s="2" t="str">
        <f>"B20200702127"</f>
        <v>B20200702127</v>
      </c>
      <c r="C6844" s="2" t="str">
        <f t="shared" si="1739"/>
        <v>女</v>
      </c>
      <c r="D6844" s="2" t="str">
        <f t="shared" si="1730"/>
        <v>6</v>
      </c>
      <c r="E6844" s="2" t="str">
        <f t="shared" si="1740"/>
        <v>马栏山新媒体学院</v>
      </c>
    </row>
    <row r="6845" ht="13.5" hidden="1" spans="1:5">
      <c r="A6845" s="2" t="str">
        <f>"李佳文"</f>
        <v>李佳文</v>
      </c>
      <c r="B6845" s="2" t="str">
        <f>"B20221201203"</f>
        <v>B20221201203</v>
      </c>
      <c r="C6845" s="2" t="str">
        <f>"男"</f>
        <v>男</v>
      </c>
      <c r="D6845" s="2" t="str">
        <f>"3"</f>
        <v>3</v>
      </c>
      <c r="E6845" s="2" t="str">
        <f>"数学学院"</f>
        <v>数学学院</v>
      </c>
    </row>
    <row r="6846" ht="13.5" hidden="1" spans="1:5">
      <c r="A6846" s="2" t="str">
        <f>"彭正鑫"</f>
        <v>彭正鑫</v>
      </c>
      <c r="B6846" s="2" t="str">
        <f>"B20220504410"</f>
        <v>B20220504410</v>
      </c>
      <c r="C6846" s="2" t="str">
        <f t="shared" ref="C6845:C6848" si="1741">"男"</f>
        <v>男</v>
      </c>
      <c r="D6846" s="2" t="str">
        <f t="shared" si="1730"/>
        <v>6</v>
      </c>
      <c r="E6846" s="2" t="str">
        <f>"生物与化学工程学院"</f>
        <v>生物与化学工程学院</v>
      </c>
    </row>
    <row r="6847" ht="13.5" hidden="1" spans="1:5">
      <c r="A6847" s="2" t="str">
        <f>"刘婷"</f>
        <v>刘婷</v>
      </c>
      <c r="B6847" s="2" t="str">
        <f>"B20221201204"</f>
        <v>B20221201204</v>
      </c>
      <c r="C6847" s="2" t="str">
        <f>"女"</f>
        <v>女</v>
      </c>
      <c r="D6847" s="2" t="str">
        <f>"16"</f>
        <v>16</v>
      </c>
      <c r="E6847" s="2" t="str">
        <f>"数学学院"</f>
        <v>数学学院</v>
      </c>
    </row>
    <row r="6848" ht="13.5" hidden="1" spans="1:5">
      <c r="A6848" s="2" t="str">
        <f>"刘新杰"</f>
        <v>刘新杰</v>
      </c>
      <c r="B6848" s="2" t="str">
        <f>"B20220702125"</f>
        <v>B20220702125</v>
      </c>
      <c r="C6848" s="2" t="str">
        <f t="shared" si="1741"/>
        <v>男</v>
      </c>
      <c r="D6848" s="2" t="str">
        <f t="shared" si="1730"/>
        <v>6</v>
      </c>
      <c r="E6848" s="2" t="str">
        <f>"马栏山新媒体学院"</f>
        <v>马栏山新媒体学院</v>
      </c>
    </row>
    <row r="6849" ht="13.5" hidden="1" spans="1:5">
      <c r="A6849" s="2" t="str">
        <f>"贺思源"</f>
        <v>贺思源</v>
      </c>
      <c r="B6849" s="2" t="str">
        <f>"B20200103236"</f>
        <v>B20200103236</v>
      </c>
      <c r="C6849" s="2" t="str">
        <f t="shared" ref="C6847:C6850" si="1742">"女"</f>
        <v>女</v>
      </c>
      <c r="D6849" s="2" t="str">
        <f t="shared" ref="D6849:D6912" si="1743">"5"</f>
        <v>5</v>
      </c>
      <c r="E6849" s="2" t="str">
        <f>"土木工程学院"</f>
        <v>土木工程学院</v>
      </c>
    </row>
    <row r="6850" ht="13.5" hidden="1" spans="1:5">
      <c r="A6850" s="2" t="str">
        <f>"邓茜晨"</f>
        <v>邓茜晨</v>
      </c>
      <c r="B6850" s="2" t="str">
        <f>"B20210901122"</f>
        <v>B20210901122</v>
      </c>
      <c r="C6850" s="2" t="str">
        <f t="shared" si="1742"/>
        <v>女</v>
      </c>
      <c r="D6850" s="2" t="str">
        <f t="shared" si="1743"/>
        <v>5</v>
      </c>
      <c r="E6850" s="2" t="str">
        <f>"经济与管理学院"</f>
        <v>经济与管理学院</v>
      </c>
    </row>
    <row r="6851" ht="13.5" hidden="1" spans="1:5">
      <c r="A6851" s="2" t="str">
        <f>"张翔翔"</f>
        <v>张翔翔</v>
      </c>
      <c r="B6851" s="2" t="str">
        <f>"B20230204223"</f>
        <v>B20230204223</v>
      </c>
      <c r="C6851" s="2" t="str">
        <f t="shared" ref="C6851:C6853" si="1744">"男"</f>
        <v>男</v>
      </c>
      <c r="D6851" s="2" t="str">
        <f t="shared" si="1743"/>
        <v>5</v>
      </c>
      <c r="E6851" s="2" t="str">
        <f>"机电工程学院"</f>
        <v>机电工程学院</v>
      </c>
    </row>
    <row r="6852" ht="13.5" hidden="1" spans="1:5">
      <c r="A6852" s="2" t="str">
        <f>"王强"</f>
        <v>王强</v>
      </c>
      <c r="B6852" s="2" t="str">
        <f>"B20221201205"</f>
        <v>B20221201205</v>
      </c>
      <c r="C6852" s="2" t="str">
        <f t="shared" si="1744"/>
        <v>男</v>
      </c>
      <c r="D6852" s="2" t="str">
        <f>"3"</f>
        <v>3</v>
      </c>
      <c r="E6852" s="2" t="str">
        <f>"数学学院"</f>
        <v>数学学院</v>
      </c>
    </row>
    <row r="6853" ht="13.5" hidden="1" spans="1:5">
      <c r="A6853" s="2" t="str">
        <f>"曹望"</f>
        <v>曹望</v>
      </c>
      <c r="B6853" s="2" t="str">
        <f>"B20230101414"</f>
        <v>B20230101414</v>
      </c>
      <c r="C6853" s="2" t="str">
        <f t="shared" si="1744"/>
        <v>男</v>
      </c>
      <c r="D6853" s="2" t="str">
        <f t="shared" si="1743"/>
        <v>5</v>
      </c>
      <c r="E6853" s="2" t="str">
        <f>"土木工程学院"</f>
        <v>土木工程学院</v>
      </c>
    </row>
    <row r="6854" ht="13.5" hidden="1" spans="1:5">
      <c r="A6854" s="2" t="str">
        <f>"谢可敏"</f>
        <v>谢可敏</v>
      </c>
      <c r="B6854" s="2" t="str">
        <f>"B20201001122"</f>
        <v>B20201001122</v>
      </c>
      <c r="C6854" s="2" t="str">
        <f t="shared" ref="C6854:C6857" si="1745">"女"</f>
        <v>女</v>
      </c>
      <c r="D6854" s="2" t="str">
        <f t="shared" si="1743"/>
        <v>5</v>
      </c>
      <c r="E6854" s="2" t="str">
        <f>"艺术设计学院"</f>
        <v>艺术设计学院</v>
      </c>
    </row>
    <row r="6855" ht="13.5" hidden="1" spans="1:5">
      <c r="A6855" s="2" t="str">
        <f>"王蕊"</f>
        <v>王蕊</v>
      </c>
      <c r="B6855" s="2" t="str">
        <f>"B20221111110"</f>
        <v>B20221111110</v>
      </c>
      <c r="C6855" s="2" t="str">
        <f t="shared" si="1745"/>
        <v>女</v>
      </c>
      <c r="D6855" s="2" t="str">
        <f t="shared" si="1743"/>
        <v>5</v>
      </c>
      <c r="E6855" s="2" t="str">
        <f>"音乐学院"</f>
        <v>音乐学院</v>
      </c>
    </row>
    <row r="6856" ht="13.5" hidden="1" spans="1:5">
      <c r="A6856" s="2" t="str">
        <f>"李斌"</f>
        <v>李斌</v>
      </c>
      <c r="B6856" s="2" t="str">
        <f>"B20220901103"</f>
        <v>B20220901103</v>
      </c>
      <c r="C6856" s="2" t="str">
        <f t="shared" si="1745"/>
        <v>女</v>
      </c>
      <c r="D6856" s="2" t="str">
        <f t="shared" si="1743"/>
        <v>5</v>
      </c>
      <c r="E6856" s="2" t="str">
        <f>"经济与管理学院"</f>
        <v>经济与管理学院</v>
      </c>
    </row>
    <row r="6857" ht="13.5" hidden="1" spans="1:5">
      <c r="A6857" s="2" t="str">
        <f>"倪晓晨"</f>
        <v>倪晓晨</v>
      </c>
      <c r="B6857" s="2" t="str">
        <f>"B20230101110"</f>
        <v>B20230101110</v>
      </c>
      <c r="C6857" s="2" t="str">
        <f t="shared" si="1745"/>
        <v>女</v>
      </c>
      <c r="D6857" s="2" t="str">
        <f t="shared" si="1743"/>
        <v>5</v>
      </c>
      <c r="E6857" s="2" t="str">
        <f>"土木工程学院"</f>
        <v>土木工程学院</v>
      </c>
    </row>
    <row r="6858" ht="13.5" hidden="1" spans="1:5">
      <c r="A6858" s="2" t="str">
        <f>"颜士勋"</f>
        <v>颜士勋</v>
      </c>
      <c r="B6858" s="2" t="str">
        <f>"B20210202219"</f>
        <v>B20210202219</v>
      </c>
      <c r="C6858" s="2" t="str">
        <f t="shared" ref="C6858:C6862" si="1746">"男"</f>
        <v>男</v>
      </c>
      <c r="D6858" s="2" t="str">
        <f t="shared" si="1743"/>
        <v>5</v>
      </c>
      <c r="E6858" s="2" t="str">
        <f>"机电工程学院"</f>
        <v>机电工程学院</v>
      </c>
    </row>
    <row r="6859" ht="13.5" hidden="1" spans="1:5">
      <c r="A6859" s="2" t="str">
        <f>"邓灿"</f>
        <v>邓灿</v>
      </c>
      <c r="B6859" s="2" t="str">
        <f>"B20220102229"</f>
        <v>B20220102229</v>
      </c>
      <c r="C6859" s="2" t="str">
        <f t="shared" si="1746"/>
        <v>男</v>
      </c>
      <c r="D6859" s="2" t="str">
        <f t="shared" si="1743"/>
        <v>5</v>
      </c>
      <c r="E6859" s="2" t="str">
        <f>"土木工程学院"</f>
        <v>土木工程学院</v>
      </c>
    </row>
    <row r="6860" ht="13.5" hidden="1" spans="1:5">
      <c r="A6860" s="2" t="str">
        <f>"杨雯丽"</f>
        <v>杨雯丽</v>
      </c>
      <c r="B6860" s="2" t="str">
        <f>"B20210702221"</f>
        <v>B20210702221</v>
      </c>
      <c r="C6860" s="2" t="str">
        <f t="shared" ref="C6860:C6863" si="1747">"女"</f>
        <v>女</v>
      </c>
      <c r="D6860" s="2" t="str">
        <f t="shared" si="1743"/>
        <v>5</v>
      </c>
      <c r="E6860" s="2" t="str">
        <f>"马栏山新媒体学院"</f>
        <v>马栏山新媒体学院</v>
      </c>
    </row>
    <row r="6861" ht="13.5" hidden="1" spans="1:5">
      <c r="A6861" s="2" t="str">
        <f>"易飞燕"</f>
        <v>易飞燕</v>
      </c>
      <c r="B6861" s="2" t="str">
        <f>"B20200404110"</f>
        <v>B20200404110</v>
      </c>
      <c r="C6861" s="2" t="str">
        <f t="shared" si="1747"/>
        <v>女</v>
      </c>
      <c r="D6861" s="2" t="str">
        <f t="shared" si="1743"/>
        <v>5</v>
      </c>
      <c r="E6861" s="2" t="str">
        <f>"电子信息与电气工程学院"</f>
        <v>电子信息与电气工程学院</v>
      </c>
    </row>
    <row r="6862" ht="13.5" hidden="1" spans="1:5">
      <c r="A6862" s="2" t="str">
        <f>"于艺龙"</f>
        <v>于艺龙</v>
      </c>
      <c r="B6862" s="2" t="str">
        <f>"B20231001117"</f>
        <v>B20231001117</v>
      </c>
      <c r="C6862" s="2" t="str">
        <f t="shared" si="1746"/>
        <v>男</v>
      </c>
      <c r="D6862" s="2" t="str">
        <f t="shared" si="1743"/>
        <v>5</v>
      </c>
      <c r="E6862" s="2" t="str">
        <f t="shared" ref="E6862:E6865" si="1748">"艺术设计学院"</f>
        <v>艺术设计学院</v>
      </c>
    </row>
    <row r="6863" ht="13.5" hidden="1" spans="1:5">
      <c r="A6863" s="2" t="str">
        <f>"张丽"</f>
        <v>张丽</v>
      </c>
      <c r="B6863" s="2" t="str">
        <f>"B20231004105"</f>
        <v>B20231004105</v>
      </c>
      <c r="C6863" s="2" t="str">
        <f t="shared" si="1747"/>
        <v>女</v>
      </c>
      <c r="D6863" s="2" t="str">
        <f t="shared" si="1743"/>
        <v>5</v>
      </c>
      <c r="E6863" s="2" t="str">
        <f t="shared" si="1748"/>
        <v>艺术设计学院</v>
      </c>
    </row>
    <row r="6864" ht="13.5" hidden="1" spans="1:5">
      <c r="A6864" s="2" t="str">
        <f>"刘孙旺"</f>
        <v>刘孙旺</v>
      </c>
      <c r="B6864" s="2" t="str">
        <f>"B20220404104"</f>
        <v>B20220404104</v>
      </c>
      <c r="C6864" s="2" t="str">
        <f t="shared" ref="C6864:C6869" si="1749">"男"</f>
        <v>男</v>
      </c>
      <c r="D6864" s="2" t="str">
        <f t="shared" si="1743"/>
        <v>5</v>
      </c>
      <c r="E6864" s="2" t="str">
        <f>"电子信息与电气工程学院"</f>
        <v>电子信息与电气工程学院</v>
      </c>
    </row>
    <row r="6865" ht="13.5" hidden="1" spans="1:5">
      <c r="A6865" s="2" t="str">
        <f>"顾蕊"</f>
        <v>顾蕊</v>
      </c>
      <c r="B6865" s="2" t="str">
        <f>"B20221003113"</f>
        <v>B20221003113</v>
      </c>
      <c r="C6865" s="2" t="str">
        <f t="shared" ref="C6865:C6870" si="1750">"女"</f>
        <v>女</v>
      </c>
      <c r="D6865" s="2" t="str">
        <f t="shared" si="1743"/>
        <v>5</v>
      </c>
      <c r="E6865" s="2" t="str">
        <f t="shared" si="1748"/>
        <v>艺术设计学院</v>
      </c>
    </row>
    <row r="6866" ht="13.5" hidden="1" spans="1:5">
      <c r="A6866" s="2" t="str">
        <f>"田佳"</f>
        <v>田佳</v>
      </c>
      <c r="B6866" s="2" t="str">
        <f>"B20210702120"</f>
        <v>B20210702120</v>
      </c>
      <c r="C6866" s="2" t="str">
        <f t="shared" si="1750"/>
        <v>女</v>
      </c>
      <c r="D6866" s="2" t="str">
        <f t="shared" si="1743"/>
        <v>5</v>
      </c>
      <c r="E6866" s="2" t="str">
        <f>"马栏山新媒体学院"</f>
        <v>马栏山新媒体学院</v>
      </c>
    </row>
    <row r="6867" ht="13.5" hidden="1" spans="1:5">
      <c r="A6867" s="2" t="str">
        <f>"李铭"</f>
        <v>李铭</v>
      </c>
      <c r="B6867" s="2" t="str">
        <f>"B20220501134"</f>
        <v>B20220501134</v>
      </c>
      <c r="C6867" s="2" t="str">
        <f t="shared" si="1749"/>
        <v>男</v>
      </c>
      <c r="D6867" s="2" t="str">
        <f t="shared" si="1743"/>
        <v>5</v>
      </c>
      <c r="E6867" s="2" t="str">
        <f>"生物与化学工程学院"</f>
        <v>生物与化学工程学院</v>
      </c>
    </row>
    <row r="6868" ht="13.5" hidden="1" spans="1:5">
      <c r="A6868" s="2" t="str">
        <f>"陈筱春"</f>
        <v>陈筱春</v>
      </c>
      <c r="B6868" s="2" t="str">
        <f>"B20220802225"</f>
        <v>B20220802225</v>
      </c>
      <c r="C6868" s="2" t="str">
        <f t="shared" si="1749"/>
        <v>男</v>
      </c>
      <c r="D6868" s="2" t="str">
        <f t="shared" si="1743"/>
        <v>5</v>
      </c>
      <c r="E6868" s="2" t="str">
        <f>"外国语学院"</f>
        <v>外国语学院</v>
      </c>
    </row>
    <row r="6869" ht="13.5" hidden="1" spans="1:5">
      <c r="A6869" s="2" t="str">
        <f>"朱伟豪"</f>
        <v>朱伟豪</v>
      </c>
      <c r="B6869" s="2" t="str">
        <f>"B20220201425"</f>
        <v>B20220201425</v>
      </c>
      <c r="C6869" s="2" t="str">
        <f t="shared" si="1749"/>
        <v>男</v>
      </c>
      <c r="D6869" s="2" t="str">
        <f t="shared" si="1743"/>
        <v>5</v>
      </c>
      <c r="E6869" s="2" t="str">
        <f>"机电工程学院"</f>
        <v>机电工程学院</v>
      </c>
    </row>
    <row r="6870" ht="13.5" hidden="1" spans="1:5">
      <c r="A6870" s="2" t="str">
        <f>"朱梦瑶"</f>
        <v>朱梦瑶</v>
      </c>
      <c r="B6870" s="2" t="str">
        <f>"B20221302214"</f>
        <v>B20221302214</v>
      </c>
      <c r="C6870" s="2" t="str">
        <f t="shared" si="1750"/>
        <v>女</v>
      </c>
      <c r="D6870" s="2" t="str">
        <f t="shared" si="1743"/>
        <v>5</v>
      </c>
      <c r="E6870" s="2" t="str">
        <f>"材料与环境工程学院"</f>
        <v>材料与环境工程学院</v>
      </c>
    </row>
    <row r="6871" ht="13.5" hidden="1" spans="1:5">
      <c r="A6871" s="2" t="str">
        <f>"童子祥"</f>
        <v>童子祥</v>
      </c>
      <c r="B6871" s="2" t="str">
        <f>"B20191003102"</f>
        <v>B20191003102</v>
      </c>
      <c r="C6871" s="2" t="str">
        <f t="shared" ref="C6871:C6874" si="1751">"男"</f>
        <v>男</v>
      </c>
      <c r="D6871" s="2" t="str">
        <f t="shared" si="1743"/>
        <v>5</v>
      </c>
      <c r="E6871" s="2" t="str">
        <f>"艺术设计学院"</f>
        <v>艺术设计学院</v>
      </c>
    </row>
    <row r="6872" ht="13.5" hidden="1" spans="1:5">
      <c r="A6872" s="2" t="str">
        <f>"范思语"</f>
        <v>范思语</v>
      </c>
      <c r="B6872" s="2" t="str">
        <f>"B20221201207"</f>
        <v>B20221201207</v>
      </c>
      <c r="C6872" s="2" t="str">
        <f>"女"</f>
        <v>女</v>
      </c>
      <c r="D6872" s="2" t="str">
        <f>"14"</f>
        <v>14</v>
      </c>
      <c r="E6872" s="2" t="str">
        <f>"数学学院"</f>
        <v>数学学院</v>
      </c>
    </row>
    <row r="6873" ht="13.5" hidden="1" spans="1:5">
      <c r="A6873" s="2" t="str">
        <f>"潘家傑"</f>
        <v>潘家傑</v>
      </c>
      <c r="B6873" s="2" t="str">
        <f>"B20231002422"</f>
        <v>B20231002422</v>
      </c>
      <c r="C6873" s="2" t="str">
        <f t="shared" si="1751"/>
        <v>男</v>
      </c>
      <c r="D6873" s="2" t="str">
        <f t="shared" si="1743"/>
        <v>5</v>
      </c>
      <c r="E6873" s="2" t="str">
        <f>"艺术设计学院"</f>
        <v>艺术设计学院</v>
      </c>
    </row>
    <row r="6874" ht="13.5" hidden="1" spans="1:5">
      <c r="A6874" s="2" t="str">
        <f>"龙玲"</f>
        <v>龙玲</v>
      </c>
      <c r="B6874" s="2" t="str">
        <f>"B20221201208"</f>
        <v>B20221201208</v>
      </c>
      <c r="C6874" s="2" t="str">
        <f>"女"</f>
        <v>女</v>
      </c>
      <c r="D6874" s="2" t="str">
        <f>"6"</f>
        <v>6</v>
      </c>
      <c r="E6874" s="2" t="str">
        <f>"数学学院"</f>
        <v>数学学院</v>
      </c>
    </row>
    <row r="6875" ht="13.5" hidden="1" spans="1:5">
      <c r="A6875" s="2" t="str">
        <f>"朱紫荆"</f>
        <v>朱紫荆</v>
      </c>
      <c r="B6875" s="2" t="str">
        <f>"B20231101318"</f>
        <v>B20231101318</v>
      </c>
      <c r="C6875" s="2" t="str">
        <f>"女"</f>
        <v>女</v>
      </c>
      <c r="D6875" s="2" t="str">
        <f t="shared" si="1743"/>
        <v>5</v>
      </c>
      <c r="E6875" s="2" t="str">
        <f>"音乐学院"</f>
        <v>音乐学院</v>
      </c>
    </row>
    <row r="6876" ht="13.5" hidden="1" spans="1:5">
      <c r="A6876" s="2" t="str">
        <f>"罗蛟"</f>
        <v>罗蛟</v>
      </c>
      <c r="B6876" s="2" t="str">
        <f>"B20230202404"</f>
        <v>B20230202404</v>
      </c>
      <c r="C6876" s="2" t="str">
        <f t="shared" ref="C6876:C6880" si="1752">"男"</f>
        <v>男</v>
      </c>
      <c r="D6876" s="2" t="str">
        <f t="shared" si="1743"/>
        <v>5</v>
      </c>
      <c r="E6876" s="2" t="str">
        <f t="shared" ref="E6876:E6880" si="1753">"机电工程学院"</f>
        <v>机电工程学院</v>
      </c>
    </row>
    <row r="6877" ht="13.5" hidden="1" spans="1:5">
      <c r="A6877" s="2" t="str">
        <f>"肖涛"</f>
        <v>肖涛</v>
      </c>
      <c r="B6877" s="2" t="str">
        <f>"B20221201223"</f>
        <v>B20221201223</v>
      </c>
      <c r="C6877" s="2" t="str">
        <f t="shared" si="1752"/>
        <v>男</v>
      </c>
      <c r="D6877" s="2" t="str">
        <f>"11"</f>
        <v>11</v>
      </c>
      <c r="E6877" s="2" t="str">
        <f>"数学学院"</f>
        <v>数学学院</v>
      </c>
    </row>
    <row r="6878" ht="13.5" hidden="1" spans="1:5">
      <c r="A6878" s="2" t="str">
        <f>"肖锦洋"</f>
        <v>肖锦洋</v>
      </c>
      <c r="B6878" s="2" t="str">
        <f>"B20210201207"</f>
        <v>B20210201207</v>
      </c>
      <c r="C6878" s="2" t="str">
        <f t="shared" si="1752"/>
        <v>男</v>
      </c>
      <c r="D6878" s="2" t="str">
        <f t="shared" si="1743"/>
        <v>5</v>
      </c>
      <c r="E6878" s="2" t="str">
        <f t="shared" si="1753"/>
        <v>机电工程学院</v>
      </c>
    </row>
    <row r="6879" ht="13.5" hidden="1" spans="1:5">
      <c r="A6879" s="2" t="str">
        <f>"杨志涛"</f>
        <v>杨志涛</v>
      </c>
      <c r="B6879" s="2" t="str">
        <f>"B20221201224"</f>
        <v>B20221201224</v>
      </c>
      <c r="C6879" s="2" t="str">
        <f t="shared" si="1752"/>
        <v>男</v>
      </c>
      <c r="D6879" s="2" t="str">
        <f>"9"</f>
        <v>9</v>
      </c>
      <c r="E6879" s="2" t="str">
        <f>"数学学院"</f>
        <v>数学学院</v>
      </c>
    </row>
    <row r="6880" ht="13.5" hidden="1" spans="1:5">
      <c r="A6880" s="2" t="str">
        <f>"张文杰"</f>
        <v>张文杰</v>
      </c>
      <c r="B6880" s="2" t="str">
        <f>"B20210204217"</f>
        <v>B20210204217</v>
      </c>
      <c r="C6880" s="2" t="str">
        <f t="shared" si="1752"/>
        <v>男</v>
      </c>
      <c r="D6880" s="2" t="str">
        <f t="shared" si="1743"/>
        <v>5</v>
      </c>
      <c r="E6880" s="2" t="str">
        <f t="shared" si="1753"/>
        <v>机电工程学院</v>
      </c>
    </row>
    <row r="6881" ht="13.5" hidden="1" spans="1:5">
      <c r="A6881" s="2" t="str">
        <f>"刘羽忻"</f>
        <v>刘羽忻</v>
      </c>
      <c r="B6881" s="2" t="str">
        <f>"B20201001304"</f>
        <v>B20201001304</v>
      </c>
      <c r="C6881" s="2" t="str">
        <f t="shared" ref="C6881:C6888" si="1754">"女"</f>
        <v>女</v>
      </c>
      <c r="D6881" s="2" t="str">
        <f t="shared" si="1743"/>
        <v>5</v>
      </c>
      <c r="E6881" s="2" t="str">
        <f>"艺术设计学院"</f>
        <v>艺术设计学院</v>
      </c>
    </row>
    <row r="6882" ht="13.5" hidden="1" spans="1:5">
      <c r="A6882" s="2" t="str">
        <f>"黄雁源"</f>
        <v>黄雁源</v>
      </c>
      <c r="B6882" s="2" t="str">
        <f>"B20200503215"</f>
        <v>B20200503215</v>
      </c>
      <c r="C6882" s="2" t="str">
        <f t="shared" si="1754"/>
        <v>女</v>
      </c>
      <c r="D6882" s="2" t="str">
        <f t="shared" si="1743"/>
        <v>5</v>
      </c>
      <c r="E6882" s="2" t="str">
        <f>"生物与环境工程学院"</f>
        <v>生物与环境工程学院</v>
      </c>
    </row>
    <row r="6883" ht="13.5" hidden="1" spans="1:5">
      <c r="A6883" s="2" t="str">
        <f>"江旭豪"</f>
        <v>江旭豪</v>
      </c>
      <c r="B6883" s="2" t="str">
        <f>"B20231301111"</f>
        <v>B20231301111</v>
      </c>
      <c r="C6883" s="2" t="str">
        <f>"男"</f>
        <v>男</v>
      </c>
      <c r="D6883" s="2" t="str">
        <f t="shared" si="1743"/>
        <v>5</v>
      </c>
      <c r="E6883" s="2" t="str">
        <f>"材料与环境工程学院"</f>
        <v>材料与环境工程学院</v>
      </c>
    </row>
    <row r="6884" ht="13.5" hidden="1" spans="1:5">
      <c r="A6884" s="2" t="str">
        <f>"杜申"</f>
        <v>杜申</v>
      </c>
      <c r="B6884" s="2" t="str">
        <f>"B20220504313"</f>
        <v>B20220504313</v>
      </c>
      <c r="C6884" s="2" t="str">
        <f t="shared" si="1754"/>
        <v>女</v>
      </c>
      <c r="D6884" s="2" t="str">
        <f t="shared" si="1743"/>
        <v>5</v>
      </c>
      <c r="E6884" s="2" t="str">
        <f>"生物与化学工程学院"</f>
        <v>生物与化学工程学院</v>
      </c>
    </row>
    <row r="6885" ht="13.5" hidden="1" spans="1:5">
      <c r="A6885" s="2" t="str">
        <f>"周蕊姿"</f>
        <v>周蕊姿</v>
      </c>
      <c r="B6885" s="2" t="str">
        <f>"B20210905242"</f>
        <v>B20210905242</v>
      </c>
      <c r="C6885" s="2" t="str">
        <f t="shared" si="1754"/>
        <v>女</v>
      </c>
      <c r="D6885" s="2" t="str">
        <f t="shared" si="1743"/>
        <v>5</v>
      </c>
      <c r="E6885" s="2" t="str">
        <f>"经济与管理学院"</f>
        <v>经济与管理学院</v>
      </c>
    </row>
    <row r="6886" ht="13.5" hidden="1" spans="1:5">
      <c r="A6886" s="2" t="str">
        <f>"张雯欣"</f>
        <v>张雯欣</v>
      </c>
      <c r="B6886" s="2" t="str">
        <f>"B20200102114"</f>
        <v>B20200102114</v>
      </c>
      <c r="C6886" s="2" t="str">
        <f t="shared" si="1754"/>
        <v>女</v>
      </c>
      <c r="D6886" s="2" t="str">
        <f t="shared" si="1743"/>
        <v>5</v>
      </c>
      <c r="E6886" s="2" t="str">
        <f>"土木工程学院"</f>
        <v>土木工程学院</v>
      </c>
    </row>
    <row r="6887" ht="13.5" hidden="1" spans="1:5">
      <c r="A6887" s="2" t="str">
        <f>"姜思羽"</f>
        <v>姜思羽</v>
      </c>
      <c r="B6887" s="2" t="str">
        <f>"B20230601427"</f>
        <v>B20230601427</v>
      </c>
      <c r="C6887" s="2" t="str">
        <f t="shared" si="1754"/>
        <v>女</v>
      </c>
      <c r="D6887" s="2" t="str">
        <f t="shared" si="1743"/>
        <v>5</v>
      </c>
      <c r="E6887" s="2" t="str">
        <f>"法学院"</f>
        <v>法学院</v>
      </c>
    </row>
    <row r="6888" ht="13.5" hidden="1" spans="1:5">
      <c r="A6888" s="2" t="str">
        <f>"邱玺燕"</f>
        <v>邱玺燕</v>
      </c>
      <c r="B6888" s="2" t="str">
        <f>"B20221002412"</f>
        <v>B20221002412</v>
      </c>
      <c r="C6888" s="2" t="str">
        <f t="shared" si="1754"/>
        <v>女</v>
      </c>
      <c r="D6888" s="2" t="str">
        <f t="shared" si="1743"/>
        <v>5</v>
      </c>
      <c r="E6888" s="2" t="str">
        <f>"艺术设计学院"</f>
        <v>艺术设计学院</v>
      </c>
    </row>
    <row r="6889" ht="13.5" hidden="1" spans="1:5">
      <c r="A6889" s="2" t="str">
        <f>"刘文广"</f>
        <v>刘文广</v>
      </c>
      <c r="B6889" s="2" t="str">
        <f>"B20220101135"</f>
        <v>B20220101135</v>
      </c>
      <c r="C6889" s="2" t="str">
        <f t="shared" ref="C6889:C6891" si="1755">"男"</f>
        <v>男</v>
      </c>
      <c r="D6889" s="2" t="str">
        <f t="shared" si="1743"/>
        <v>5</v>
      </c>
      <c r="E6889" s="2" t="str">
        <f>"土木工程学院"</f>
        <v>土木工程学院</v>
      </c>
    </row>
    <row r="6890" ht="13.5" hidden="1" spans="1:5">
      <c r="A6890" s="2" t="str">
        <f>"冷梦晗"</f>
        <v>冷梦晗</v>
      </c>
      <c r="B6890" s="2" t="str">
        <f>"B20220201223"</f>
        <v>B20220201223</v>
      </c>
      <c r="C6890" s="2" t="str">
        <f t="shared" si="1755"/>
        <v>男</v>
      </c>
      <c r="D6890" s="2" t="str">
        <f t="shared" si="1743"/>
        <v>5</v>
      </c>
      <c r="E6890" s="2" t="str">
        <f>"机电工程学院"</f>
        <v>机电工程学院</v>
      </c>
    </row>
    <row r="6891" ht="13.5" hidden="1" spans="1:5">
      <c r="A6891" s="2" t="str">
        <f>"侯文杰"</f>
        <v>侯文杰</v>
      </c>
      <c r="B6891" s="2" t="str">
        <f>"B20230703108"</f>
        <v>B20230703108</v>
      </c>
      <c r="C6891" s="2" t="str">
        <f t="shared" si="1755"/>
        <v>男</v>
      </c>
      <c r="D6891" s="2" t="str">
        <f t="shared" si="1743"/>
        <v>5</v>
      </c>
      <c r="E6891" s="2" t="str">
        <f>"马栏山新媒体学院"</f>
        <v>马栏山新媒体学院</v>
      </c>
    </row>
    <row r="6892" ht="13.5" hidden="1" spans="1:5">
      <c r="A6892" s="2" t="str">
        <f>"王子悦"</f>
        <v>王子悦</v>
      </c>
      <c r="B6892" s="2" t="str">
        <f>"B20221003217"</f>
        <v>B20221003217</v>
      </c>
      <c r="C6892" s="2" t="str">
        <f t="shared" ref="C6892:C6895" si="1756">"女"</f>
        <v>女</v>
      </c>
      <c r="D6892" s="2" t="str">
        <f t="shared" si="1743"/>
        <v>5</v>
      </c>
      <c r="E6892" s="2" t="str">
        <f>"艺术设计学院"</f>
        <v>艺术设计学院</v>
      </c>
    </row>
    <row r="6893" ht="13.5" hidden="1" spans="1:5">
      <c r="A6893" s="2" t="str">
        <f>"何素娣"</f>
        <v>何素娣</v>
      </c>
      <c r="B6893" s="2" t="str">
        <f>"B20210803107"</f>
        <v>B20210803107</v>
      </c>
      <c r="C6893" s="2" t="str">
        <f t="shared" si="1756"/>
        <v>女</v>
      </c>
      <c r="D6893" s="2" t="str">
        <f t="shared" si="1743"/>
        <v>5</v>
      </c>
      <c r="E6893" s="2" t="str">
        <f>"外国语学院"</f>
        <v>外国语学院</v>
      </c>
    </row>
    <row r="6894" ht="13.5" hidden="1" spans="1:5">
      <c r="A6894" s="2" t="str">
        <f>"余涎平"</f>
        <v>余涎平</v>
      </c>
      <c r="B6894" s="2" t="str">
        <f>"B20210902331"</f>
        <v>B20210902331</v>
      </c>
      <c r="C6894" s="2" t="str">
        <f t="shared" si="1756"/>
        <v>女</v>
      </c>
      <c r="D6894" s="2" t="str">
        <f t="shared" si="1743"/>
        <v>5</v>
      </c>
      <c r="E6894" s="2" t="str">
        <f t="shared" ref="E6894:E6897" si="1757">"经济与管理学院"</f>
        <v>经济与管理学院</v>
      </c>
    </row>
    <row r="6895" ht="13.5" hidden="1" spans="1:5">
      <c r="A6895" s="2" t="str">
        <f>"陈子涵"</f>
        <v>陈子涵</v>
      </c>
      <c r="B6895" s="2" t="str">
        <f>"B20210901219"</f>
        <v>B20210901219</v>
      </c>
      <c r="C6895" s="2" t="str">
        <f t="shared" si="1756"/>
        <v>女</v>
      </c>
      <c r="D6895" s="2" t="str">
        <f t="shared" si="1743"/>
        <v>5</v>
      </c>
      <c r="E6895" s="2" t="str">
        <f t="shared" si="1757"/>
        <v>经济与管理学院</v>
      </c>
    </row>
    <row r="6896" ht="13.5" hidden="1" spans="1:5">
      <c r="A6896" s="2" t="str">
        <f>"李汶轩"</f>
        <v>李汶轩</v>
      </c>
      <c r="B6896" s="2" t="str">
        <f>"B20221201225"</f>
        <v>B20221201225</v>
      </c>
      <c r="C6896" s="2" t="str">
        <f>"男"</f>
        <v>男</v>
      </c>
      <c r="D6896" s="2" t="str">
        <f>"2"</f>
        <v>2</v>
      </c>
      <c r="E6896" s="2" t="str">
        <f>"数学学院"</f>
        <v>数学学院</v>
      </c>
    </row>
    <row r="6897" ht="13.5" hidden="1" spans="1:5">
      <c r="A6897" s="2" t="str">
        <f>"金楚泰"</f>
        <v>金楚泰</v>
      </c>
      <c r="B6897" s="2" t="str">
        <f>"B20220906106"</f>
        <v>B20220906106</v>
      </c>
      <c r="C6897" s="2" t="str">
        <f t="shared" ref="C6896:C6899" si="1758">"男"</f>
        <v>男</v>
      </c>
      <c r="D6897" s="2" t="str">
        <f t="shared" si="1743"/>
        <v>5</v>
      </c>
      <c r="E6897" s="2" t="str">
        <f t="shared" si="1757"/>
        <v>经济与管理学院</v>
      </c>
    </row>
    <row r="6898" ht="13.5" hidden="1" spans="1:5">
      <c r="A6898" s="2" t="str">
        <f>"邓思佳"</f>
        <v>邓思佳</v>
      </c>
      <c r="B6898" s="2" t="str">
        <f>"B20220802107"</f>
        <v>B20220802107</v>
      </c>
      <c r="C6898" s="2" t="str">
        <f t="shared" ref="C6898:C6903" si="1759">"女"</f>
        <v>女</v>
      </c>
      <c r="D6898" s="2" t="str">
        <f t="shared" si="1743"/>
        <v>5</v>
      </c>
      <c r="E6898" s="2" t="str">
        <f>"外国语学院"</f>
        <v>外国语学院</v>
      </c>
    </row>
    <row r="6899" ht="13.5" hidden="1" spans="1:5">
      <c r="A6899" s="2" t="str">
        <f>"郑开顺"</f>
        <v>郑开顺</v>
      </c>
      <c r="B6899" s="2" t="str">
        <f>"B20230401207"</f>
        <v>B20230401207</v>
      </c>
      <c r="C6899" s="2" t="str">
        <f t="shared" si="1758"/>
        <v>男</v>
      </c>
      <c r="D6899" s="2" t="str">
        <f t="shared" si="1743"/>
        <v>5</v>
      </c>
      <c r="E6899" s="2" t="str">
        <f t="shared" ref="E6899:E6902" si="1760">"电子信息与电气工程学院"</f>
        <v>电子信息与电气工程学院</v>
      </c>
    </row>
    <row r="6900" ht="13.5" hidden="1" spans="1:5">
      <c r="A6900" s="2" t="str">
        <f>"余婷"</f>
        <v>余婷</v>
      </c>
      <c r="B6900" s="2" t="str">
        <f>"B20230403202"</f>
        <v>B20230403202</v>
      </c>
      <c r="C6900" s="2" t="str">
        <f t="shared" si="1759"/>
        <v>女</v>
      </c>
      <c r="D6900" s="2" t="str">
        <f t="shared" si="1743"/>
        <v>5</v>
      </c>
      <c r="E6900" s="2" t="str">
        <f t="shared" si="1760"/>
        <v>电子信息与电气工程学院</v>
      </c>
    </row>
    <row r="6901" ht="13.5" hidden="1" spans="1:5">
      <c r="A6901" s="2" t="str">
        <f>"艾建瑞"</f>
        <v>艾建瑞</v>
      </c>
      <c r="B6901" s="2" t="str">
        <f>"B20210404126"</f>
        <v>B20210404126</v>
      </c>
      <c r="C6901" s="2" t="str">
        <f t="shared" ref="C6901:C6905" si="1761">"男"</f>
        <v>男</v>
      </c>
      <c r="D6901" s="2" t="str">
        <f t="shared" si="1743"/>
        <v>5</v>
      </c>
      <c r="E6901" s="2" t="str">
        <f t="shared" si="1760"/>
        <v>电子信息与电气工程学院</v>
      </c>
    </row>
    <row r="6902" ht="13.5" hidden="1" spans="1:5">
      <c r="A6902" s="2" t="str">
        <f>"石浩楠"</f>
        <v>石浩楠</v>
      </c>
      <c r="B6902" s="2" t="str">
        <f>"B20220402134"</f>
        <v>B20220402134</v>
      </c>
      <c r="C6902" s="2" t="str">
        <f t="shared" si="1761"/>
        <v>男</v>
      </c>
      <c r="D6902" s="2" t="str">
        <f t="shared" si="1743"/>
        <v>5</v>
      </c>
      <c r="E6902" s="2" t="str">
        <f t="shared" si="1760"/>
        <v>电子信息与电气工程学院</v>
      </c>
    </row>
    <row r="6903" ht="13.5" hidden="1" spans="1:5">
      <c r="A6903" s="2" t="str">
        <f>"周嘉怡"</f>
        <v>周嘉怡</v>
      </c>
      <c r="B6903" s="2" t="str">
        <f>"B20230901130"</f>
        <v>B20230901130</v>
      </c>
      <c r="C6903" s="2" t="str">
        <f t="shared" si="1759"/>
        <v>女</v>
      </c>
      <c r="D6903" s="2" t="str">
        <f t="shared" si="1743"/>
        <v>5</v>
      </c>
      <c r="E6903" s="2" t="str">
        <f>"经济与管理学院"</f>
        <v>经济与管理学院</v>
      </c>
    </row>
    <row r="6904" ht="13.5" hidden="1" spans="1:5">
      <c r="A6904" s="2" t="str">
        <f>"张玉航"</f>
        <v>张玉航</v>
      </c>
      <c r="B6904" s="2" t="str">
        <f>"B20210201233"</f>
        <v>B20210201233</v>
      </c>
      <c r="C6904" s="2" t="str">
        <f t="shared" si="1761"/>
        <v>男</v>
      </c>
      <c r="D6904" s="2" t="str">
        <f t="shared" si="1743"/>
        <v>5</v>
      </c>
      <c r="E6904" s="2" t="str">
        <f>"机电工程学院"</f>
        <v>机电工程学院</v>
      </c>
    </row>
    <row r="6905" ht="13.5" hidden="1" spans="1:5">
      <c r="A6905" s="2" t="str">
        <f>"谢玄野"</f>
        <v>谢玄野</v>
      </c>
      <c r="B6905" s="2" t="str">
        <f>"B20220404209"</f>
        <v>B20220404209</v>
      </c>
      <c r="C6905" s="2" t="str">
        <f t="shared" si="1761"/>
        <v>男</v>
      </c>
      <c r="D6905" s="2" t="str">
        <f t="shared" si="1743"/>
        <v>5</v>
      </c>
      <c r="E6905" s="2" t="str">
        <f>"电子信息与电气工程学院"</f>
        <v>电子信息与电气工程学院</v>
      </c>
    </row>
    <row r="6906" ht="13.5" hidden="1" spans="1:5">
      <c r="A6906" s="2" t="str">
        <f>"汤慧如"</f>
        <v>汤慧如</v>
      </c>
      <c r="B6906" s="2" t="str">
        <f>"B20230901134"</f>
        <v>B20230901134</v>
      </c>
      <c r="C6906" s="2" t="str">
        <f t="shared" ref="C6906:C6915" si="1762">"女"</f>
        <v>女</v>
      </c>
      <c r="D6906" s="2" t="str">
        <f t="shared" si="1743"/>
        <v>5</v>
      </c>
      <c r="E6906" s="2" t="str">
        <f>"经济与管理学院"</f>
        <v>经济与管理学院</v>
      </c>
    </row>
    <row r="6907" ht="13.5" hidden="1" spans="1:5">
      <c r="A6907" s="2" t="str">
        <f>"曹幸"</f>
        <v>曹幸</v>
      </c>
      <c r="B6907" s="2" t="str">
        <f>"B20220702223"</f>
        <v>B20220702223</v>
      </c>
      <c r="C6907" s="2" t="str">
        <f t="shared" si="1762"/>
        <v>女</v>
      </c>
      <c r="D6907" s="2" t="str">
        <f t="shared" si="1743"/>
        <v>5</v>
      </c>
      <c r="E6907" s="2" t="str">
        <f>"马栏山新媒体学院"</f>
        <v>马栏山新媒体学院</v>
      </c>
    </row>
    <row r="6908" ht="13.5" hidden="1" spans="1:5">
      <c r="A6908" s="2" t="str">
        <f>"杨州"</f>
        <v>杨州</v>
      </c>
      <c r="B6908" s="2" t="str">
        <f>"B20210501102"</f>
        <v>B20210501102</v>
      </c>
      <c r="C6908" s="2" t="str">
        <f t="shared" si="1762"/>
        <v>女</v>
      </c>
      <c r="D6908" s="2" t="str">
        <f t="shared" si="1743"/>
        <v>5</v>
      </c>
      <c r="E6908" s="2" t="str">
        <f>"生物与化学工程学院"</f>
        <v>生物与化学工程学院</v>
      </c>
    </row>
    <row r="6909" ht="13.5" hidden="1" spans="1:5">
      <c r="A6909" s="2" t="str">
        <f>"谢典"</f>
        <v>谢典</v>
      </c>
      <c r="B6909" s="2" t="str">
        <f>"B20210906205"</f>
        <v>B20210906205</v>
      </c>
      <c r="C6909" s="2" t="str">
        <f t="shared" si="1762"/>
        <v>女</v>
      </c>
      <c r="D6909" s="2" t="str">
        <f t="shared" si="1743"/>
        <v>5</v>
      </c>
      <c r="E6909" s="2" t="str">
        <f>"经济与管理学院"</f>
        <v>经济与管理学院</v>
      </c>
    </row>
    <row r="6910" ht="13.5" hidden="1" spans="1:5">
      <c r="A6910" s="2" t="str">
        <f>"马一涵"</f>
        <v>马一涵</v>
      </c>
      <c r="B6910" s="2" t="str">
        <f>"B20230702207"</f>
        <v>B20230702207</v>
      </c>
      <c r="C6910" s="2" t="str">
        <f t="shared" si="1762"/>
        <v>女</v>
      </c>
      <c r="D6910" s="2" t="str">
        <f t="shared" si="1743"/>
        <v>5</v>
      </c>
      <c r="E6910" s="2" t="str">
        <f>"马栏山新媒体学院"</f>
        <v>马栏山新媒体学院</v>
      </c>
    </row>
    <row r="6911" ht="13.5" hidden="1" spans="1:5">
      <c r="A6911" s="2" t="str">
        <f>"姚茂碟"</f>
        <v>姚茂碟</v>
      </c>
      <c r="B6911" s="2" t="str">
        <f>"B20210201120"</f>
        <v>B20210201120</v>
      </c>
      <c r="C6911" s="2" t="str">
        <f t="shared" si="1762"/>
        <v>女</v>
      </c>
      <c r="D6911" s="2" t="str">
        <f t="shared" si="1743"/>
        <v>5</v>
      </c>
      <c r="E6911" s="2" t="str">
        <f>"机电工程学院"</f>
        <v>机电工程学院</v>
      </c>
    </row>
    <row r="6912" ht="13.5" hidden="1" spans="1:5">
      <c r="A6912" s="2" t="str">
        <f>"曾思雯"</f>
        <v>曾思雯</v>
      </c>
      <c r="B6912" s="2" t="str">
        <f>"B20231002206"</f>
        <v>B20231002206</v>
      </c>
      <c r="C6912" s="2" t="str">
        <f t="shared" si="1762"/>
        <v>女</v>
      </c>
      <c r="D6912" s="2" t="str">
        <f t="shared" si="1743"/>
        <v>5</v>
      </c>
      <c r="E6912" s="2" t="str">
        <f>"艺术设计学院"</f>
        <v>艺术设计学院</v>
      </c>
    </row>
    <row r="6913" ht="13.5" hidden="1" spans="1:5">
      <c r="A6913" s="2" t="str">
        <f>"付剑宏"</f>
        <v>付剑宏</v>
      </c>
      <c r="B6913" s="2" t="str">
        <f>"B20221201229"</f>
        <v>B20221201229</v>
      </c>
      <c r="C6913" s="2" t="str">
        <f>"男"</f>
        <v>男</v>
      </c>
      <c r="D6913" s="2" t="str">
        <f>"4"</f>
        <v>4</v>
      </c>
      <c r="E6913" s="2" t="str">
        <f>"数学学院"</f>
        <v>数学学院</v>
      </c>
    </row>
    <row r="6914" ht="13.5" hidden="1" spans="1:5">
      <c r="A6914" s="2" t="str">
        <f>"萧阳"</f>
        <v>萧阳</v>
      </c>
      <c r="B6914" s="2" t="str">
        <f>"B20200802113"</f>
        <v>B20200802113</v>
      </c>
      <c r="C6914" s="2" t="str">
        <f t="shared" si="1762"/>
        <v>女</v>
      </c>
      <c r="D6914" s="2" t="str">
        <f t="shared" ref="D6913:D6976" si="1763">"5"</f>
        <v>5</v>
      </c>
      <c r="E6914" s="2" t="str">
        <f t="shared" ref="E6914:E6917" si="1764">"外国语学院"</f>
        <v>外国语学院</v>
      </c>
    </row>
    <row r="6915" ht="13.5" hidden="1" spans="1:5">
      <c r="A6915" s="2" t="str">
        <f>"刘瑶"</f>
        <v>刘瑶</v>
      </c>
      <c r="B6915" s="2" t="str">
        <f>"B20200801612"</f>
        <v>B20200801612</v>
      </c>
      <c r="C6915" s="2" t="str">
        <f t="shared" si="1762"/>
        <v>女</v>
      </c>
      <c r="D6915" s="2" t="str">
        <f t="shared" si="1763"/>
        <v>5</v>
      </c>
      <c r="E6915" s="2" t="str">
        <f t="shared" si="1764"/>
        <v>外国语学院</v>
      </c>
    </row>
    <row r="6916" ht="13.5" hidden="1" spans="1:5">
      <c r="A6916" s="2" t="str">
        <f>"胡盛霖"</f>
        <v>胡盛霖</v>
      </c>
      <c r="B6916" s="2" t="str">
        <f>"B20220101209"</f>
        <v>B20220101209</v>
      </c>
      <c r="C6916" s="2" t="str">
        <f t="shared" ref="C6916:C6920" si="1765">"男"</f>
        <v>男</v>
      </c>
      <c r="D6916" s="2" t="str">
        <f t="shared" si="1763"/>
        <v>5</v>
      </c>
      <c r="E6916" s="2" t="str">
        <f>"土木工程学院"</f>
        <v>土木工程学院</v>
      </c>
    </row>
    <row r="6917" ht="13.5" hidden="1" spans="1:5">
      <c r="A6917" s="2" t="str">
        <f>"夏丽娟"</f>
        <v>夏丽娟</v>
      </c>
      <c r="B6917" s="2" t="str">
        <f>"B20220801408"</f>
        <v>B20220801408</v>
      </c>
      <c r="C6917" s="2" t="str">
        <f>"女"</f>
        <v>女</v>
      </c>
      <c r="D6917" s="2" t="str">
        <f t="shared" si="1763"/>
        <v>5</v>
      </c>
      <c r="E6917" s="2" t="str">
        <f t="shared" si="1764"/>
        <v>外国语学院</v>
      </c>
    </row>
    <row r="6918" ht="13.5" hidden="1" spans="1:5">
      <c r="A6918" s="2" t="str">
        <f>"陈灵通"</f>
        <v>陈灵通</v>
      </c>
      <c r="B6918" s="2" t="str">
        <f>"B20200101405"</f>
        <v>B20200101405</v>
      </c>
      <c r="C6918" s="2" t="str">
        <f t="shared" si="1765"/>
        <v>男</v>
      </c>
      <c r="D6918" s="2" t="str">
        <f t="shared" si="1763"/>
        <v>5</v>
      </c>
      <c r="E6918" s="2" t="str">
        <f>"土木工程学院"</f>
        <v>土木工程学院</v>
      </c>
    </row>
    <row r="6919" ht="13.5" hidden="1" spans="1:5">
      <c r="A6919" s="2" t="str">
        <f>"骆星如"</f>
        <v>骆星如</v>
      </c>
      <c r="B6919" s="2" t="str">
        <f>"B20221201231"</f>
        <v>B20221201231</v>
      </c>
      <c r="C6919" s="2" t="str">
        <f>"女"</f>
        <v>女</v>
      </c>
      <c r="D6919" s="2" t="str">
        <f>"6"</f>
        <v>6</v>
      </c>
      <c r="E6919" s="2" t="str">
        <f>"数学学院"</f>
        <v>数学学院</v>
      </c>
    </row>
    <row r="6920" ht="13.5" hidden="1" spans="1:5">
      <c r="A6920" s="2" t="str">
        <f>"邓鹍"</f>
        <v>邓鹍</v>
      </c>
      <c r="B6920" s="2" t="str">
        <f>"B20230403230"</f>
        <v>B20230403230</v>
      </c>
      <c r="C6920" s="2" t="str">
        <f t="shared" si="1765"/>
        <v>男</v>
      </c>
      <c r="D6920" s="2" t="str">
        <f t="shared" si="1763"/>
        <v>5</v>
      </c>
      <c r="E6920" s="2" t="str">
        <f>"电子信息与电气工程学院"</f>
        <v>电子信息与电气工程学院</v>
      </c>
    </row>
    <row r="6921" ht="13.5" hidden="1" spans="1:5">
      <c r="A6921" s="2" t="str">
        <f>"樊何灵"</f>
        <v>樊何灵</v>
      </c>
      <c r="B6921" s="2" t="str">
        <f>"B20230704406"</f>
        <v>B20230704406</v>
      </c>
      <c r="C6921" s="2" t="str">
        <f t="shared" ref="C6921:C6928" si="1766">"女"</f>
        <v>女</v>
      </c>
      <c r="D6921" s="2" t="str">
        <f t="shared" si="1763"/>
        <v>5</v>
      </c>
      <c r="E6921" s="2" t="str">
        <f>"马栏山新媒体学院"</f>
        <v>马栏山新媒体学院</v>
      </c>
    </row>
    <row r="6922" ht="13.5" hidden="1" spans="1:5">
      <c r="A6922" s="2" t="str">
        <f>"何厚志"</f>
        <v>何厚志</v>
      </c>
      <c r="B6922" s="2" t="str">
        <f>"B20230403211"</f>
        <v>B20230403211</v>
      </c>
      <c r="C6922" s="2" t="str">
        <f>"男"</f>
        <v>男</v>
      </c>
      <c r="D6922" s="2" t="str">
        <f t="shared" si="1763"/>
        <v>5</v>
      </c>
      <c r="E6922" s="2" t="str">
        <f>"电子信息与电气工程学院"</f>
        <v>电子信息与电气工程学院</v>
      </c>
    </row>
    <row r="6923" ht="13.5" hidden="1" spans="1:5">
      <c r="A6923" s="2" t="str">
        <f>"邝启航"</f>
        <v>邝启航</v>
      </c>
      <c r="B6923" s="2" t="str">
        <f>"B20210202124"</f>
        <v>B20210202124</v>
      </c>
      <c r="C6923" s="2" t="str">
        <f>"男"</f>
        <v>男</v>
      </c>
      <c r="D6923" s="2" t="str">
        <f t="shared" si="1763"/>
        <v>5</v>
      </c>
      <c r="E6923" s="2" t="str">
        <f>"机电工程学院"</f>
        <v>机电工程学院</v>
      </c>
    </row>
    <row r="6924" ht="13.5" hidden="1" spans="1:5">
      <c r="A6924" s="2" t="str">
        <f>"肖怡暐"</f>
        <v>肖怡暐</v>
      </c>
      <c r="B6924" s="2" t="str">
        <f>"B20210104101"</f>
        <v>B20210104101</v>
      </c>
      <c r="C6924" s="2" t="str">
        <f t="shared" si="1766"/>
        <v>女</v>
      </c>
      <c r="D6924" s="2" t="str">
        <f t="shared" si="1763"/>
        <v>5</v>
      </c>
      <c r="E6924" s="2" t="str">
        <f>"土木工程学院"</f>
        <v>土木工程学院</v>
      </c>
    </row>
    <row r="6925" ht="13.5" hidden="1" spans="1:5">
      <c r="A6925" s="2" t="str">
        <f>"刘霞"</f>
        <v>刘霞</v>
      </c>
      <c r="B6925" s="2" t="str">
        <f>"B20210601123"</f>
        <v>B20210601123</v>
      </c>
      <c r="C6925" s="2" t="str">
        <f t="shared" si="1766"/>
        <v>女</v>
      </c>
      <c r="D6925" s="2" t="str">
        <f t="shared" si="1763"/>
        <v>5</v>
      </c>
      <c r="E6925" s="2" t="str">
        <f>"法学院"</f>
        <v>法学院</v>
      </c>
    </row>
    <row r="6926" ht="13.5" hidden="1" spans="1:5">
      <c r="A6926" s="2" t="str">
        <f>"胡力匀"</f>
        <v>胡力匀</v>
      </c>
      <c r="B6926" s="2" t="str">
        <f>"B20200103103"</f>
        <v>B20200103103</v>
      </c>
      <c r="C6926" s="2" t="str">
        <f t="shared" si="1766"/>
        <v>女</v>
      </c>
      <c r="D6926" s="2" t="str">
        <f t="shared" si="1763"/>
        <v>5</v>
      </c>
      <c r="E6926" s="2" t="str">
        <f>"土木工程学院"</f>
        <v>土木工程学院</v>
      </c>
    </row>
    <row r="6927" ht="13.5" hidden="1" spans="1:5">
      <c r="A6927" s="2" t="str">
        <f>"徐晴"</f>
        <v>徐晴</v>
      </c>
      <c r="B6927" s="2" t="str">
        <f>"B20210601208"</f>
        <v>B20210601208</v>
      </c>
      <c r="C6927" s="2" t="str">
        <f t="shared" si="1766"/>
        <v>女</v>
      </c>
      <c r="D6927" s="2" t="str">
        <f t="shared" si="1763"/>
        <v>5</v>
      </c>
      <c r="E6927" s="2" t="str">
        <f>"法学院"</f>
        <v>法学院</v>
      </c>
    </row>
    <row r="6928" ht="13.5" hidden="1" spans="1:5">
      <c r="A6928" s="2" t="str">
        <f>"郑嘉怡"</f>
        <v>郑嘉怡</v>
      </c>
      <c r="B6928" s="2" t="str">
        <f>"B20220904309"</f>
        <v>B20220904309</v>
      </c>
      <c r="C6928" s="2" t="str">
        <f t="shared" si="1766"/>
        <v>女</v>
      </c>
      <c r="D6928" s="2" t="str">
        <f t="shared" si="1763"/>
        <v>5</v>
      </c>
      <c r="E6928" s="2" t="str">
        <f>"经济与管理学院"</f>
        <v>经济与管理学院</v>
      </c>
    </row>
    <row r="6929" ht="13.5" hidden="1" spans="1:5">
      <c r="A6929" s="2" t="str">
        <f>"季明昕"</f>
        <v>季明昕</v>
      </c>
      <c r="B6929" s="2" t="str">
        <f>"B20221201234"</f>
        <v>B20221201234</v>
      </c>
      <c r="C6929" s="2" t="str">
        <f>"男"</f>
        <v>男</v>
      </c>
      <c r="D6929" s="2" t="str">
        <f>"3"</f>
        <v>3</v>
      </c>
      <c r="E6929" s="2" t="str">
        <f>"数学学院"</f>
        <v>数学学院</v>
      </c>
    </row>
    <row r="6930" ht="13.5" hidden="1" spans="1:5">
      <c r="A6930" s="2" t="str">
        <f>"王怡杰"</f>
        <v>王怡杰</v>
      </c>
      <c r="B6930" s="2" t="str">
        <f>"B20230702129"</f>
        <v>B20230702129</v>
      </c>
      <c r="C6930" s="2" t="str">
        <f t="shared" ref="C6929:C6931" si="1767">"男"</f>
        <v>男</v>
      </c>
      <c r="D6930" s="2" t="str">
        <f t="shared" si="1763"/>
        <v>5</v>
      </c>
      <c r="E6930" s="2" t="str">
        <f>"马栏山新媒体学院"</f>
        <v>马栏山新媒体学院</v>
      </c>
    </row>
    <row r="6931" ht="13.5" hidden="1" spans="1:5">
      <c r="A6931" s="2" t="str">
        <f>"欧阳昊"</f>
        <v>欧阳昊</v>
      </c>
      <c r="B6931" s="2" t="str">
        <f>"B20221202103"</f>
        <v>B20221202103</v>
      </c>
      <c r="C6931" s="2" t="str">
        <f t="shared" si="1767"/>
        <v>男</v>
      </c>
      <c r="D6931" s="2" t="str">
        <f>"3"</f>
        <v>3</v>
      </c>
      <c r="E6931" s="2" t="str">
        <f>"数学学院"</f>
        <v>数学学院</v>
      </c>
    </row>
    <row r="6932" ht="13.5" hidden="1" spans="1:5">
      <c r="A6932" s="2" t="str">
        <f>"李劼芸"</f>
        <v>李劼芸</v>
      </c>
      <c r="B6932" s="2" t="str">
        <f>"B20230205223"</f>
        <v>B20230205223</v>
      </c>
      <c r="C6932" s="2" t="str">
        <f t="shared" ref="C6932:C6936" si="1768">"女"</f>
        <v>女</v>
      </c>
      <c r="D6932" s="2" t="str">
        <f t="shared" si="1763"/>
        <v>5</v>
      </c>
      <c r="E6932" s="2" t="str">
        <f>"机电工程学院"</f>
        <v>机电工程学院</v>
      </c>
    </row>
    <row r="6933" ht="13.5" hidden="1" spans="1:5">
      <c r="A6933" s="2" t="str">
        <f>"陈禹杰"</f>
        <v>陈禹杰</v>
      </c>
      <c r="B6933" s="2" t="str">
        <f>"B20210203227"</f>
        <v>B20210203227</v>
      </c>
      <c r="C6933" s="2" t="str">
        <f t="shared" ref="C6933:C6939" si="1769">"男"</f>
        <v>男</v>
      </c>
      <c r="D6933" s="2" t="str">
        <f t="shared" si="1763"/>
        <v>5</v>
      </c>
      <c r="E6933" s="2" t="str">
        <f>"机电工程学院"</f>
        <v>机电工程学院</v>
      </c>
    </row>
    <row r="6934" ht="13.5" hidden="1" spans="1:5">
      <c r="A6934" s="2" t="str">
        <f>"阳津"</f>
        <v>阳津</v>
      </c>
      <c r="B6934" s="2" t="str">
        <f>"B20230702101"</f>
        <v>B20230702101</v>
      </c>
      <c r="C6934" s="2" t="str">
        <f t="shared" si="1768"/>
        <v>女</v>
      </c>
      <c r="D6934" s="2" t="str">
        <f t="shared" si="1763"/>
        <v>5</v>
      </c>
      <c r="E6934" s="2" t="str">
        <f>"马栏山新媒体学院"</f>
        <v>马栏山新媒体学院</v>
      </c>
    </row>
    <row r="6935" ht="13.5" hidden="1" spans="1:5">
      <c r="A6935" s="2" t="str">
        <f>"杨俊"</f>
        <v>杨俊</v>
      </c>
      <c r="B6935" s="2" t="str">
        <f>"B20220405120"</f>
        <v>B20220405120</v>
      </c>
      <c r="C6935" s="2" t="str">
        <f t="shared" si="1769"/>
        <v>男</v>
      </c>
      <c r="D6935" s="2" t="str">
        <f t="shared" si="1763"/>
        <v>5</v>
      </c>
      <c r="E6935" s="2" t="str">
        <f>"电子信息与电气工程学院"</f>
        <v>电子信息与电气工程学院</v>
      </c>
    </row>
    <row r="6936" ht="13.5" hidden="1" spans="1:5">
      <c r="A6936" s="2" t="str">
        <f>"丁艳"</f>
        <v>丁艳</v>
      </c>
      <c r="B6936" s="2" t="str">
        <f>"B20230702304"</f>
        <v>B20230702304</v>
      </c>
      <c r="C6936" s="2" t="str">
        <f t="shared" si="1768"/>
        <v>女</v>
      </c>
      <c r="D6936" s="2" t="str">
        <f t="shared" si="1763"/>
        <v>5</v>
      </c>
      <c r="E6936" s="2" t="str">
        <f>"马栏山新媒体学院"</f>
        <v>马栏山新媒体学院</v>
      </c>
    </row>
    <row r="6937" ht="13.5" hidden="1" spans="1:5">
      <c r="A6937" s="2" t="str">
        <f>"宋杰"</f>
        <v>宋杰</v>
      </c>
      <c r="B6937" s="2" t="str">
        <f>"B20230501206"</f>
        <v>B20230501206</v>
      </c>
      <c r="C6937" s="2" t="str">
        <f t="shared" si="1769"/>
        <v>男</v>
      </c>
      <c r="D6937" s="2" t="str">
        <f t="shared" si="1763"/>
        <v>5</v>
      </c>
      <c r="E6937" s="2" t="str">
        <f>"生物与化学工程学院"</f>
        <v>生物与化学工程学院</v>
      </c>
    </row>
    <row r="6938" ht="13.5" hidden="1" spans="1:5">
      <c r="A6938" s="2" t="str">
        <f>"欧启蒙"</f>
        <v>欧启蒙</v>
      </c>
      <c r="B6938" s="2" t="str">
        <f>"B20200102122"</f>
        <v>B20200102122</v>
      </c>
      <c r="C6938" s="2" t="str">
        <f t="shared" si="1769"/>
        <v>男</v>
      </c>
      <c r="D6938" s="2" t="str">
        <f t="shared" si="1763"/>
        <v>5</v>
      </c>
      <c r="E6938" s="2" t="str">
        <f>"土木工程学院"</f>
        <v>土木工程学院</v>
      </c>
    </row>
    <row r="6939" ht="13.5" hidden="1" spans="1:5">
      <c r="A6939" s="2" t="str">
        <f>"吕珏"</f>
        <v>吕珏</v>
      </c>
      <c r="B6939" s="2" t="str">
        <f>"B20230502108"</f>
        <v>B20230502108</v>
      </c>
      <c r="C6939" s="2" t="str">
        <f t="shared" si="1769"/>
        <v>男</v>
      </c>
      <c r="D6939" s="2" t="str">
        <f t="shared" si="1763"/>
        <v>5</v>
      </c>
      <c r="E6939" s="2" t="str">
        <f>"生物与化学工程学院"</f>
        <v>生物与化学工程学院</v>
      </c>
    </row>
    <row r="6940" ht="13.5" hidden="1" spans="1:5">
      <c r="A6940" s="2" t="str">
        <f>"张艳萍"</f>
        <v>张艳萍</v>
      </c>
      <c r="B6940" s="2" t="str">
        <f>"B20200803110"</f>
        <v>B20200803110</v>
      </c>
      <c r="C6940" s="2" t="str">
        <f>"女"</f>
        <v>女</v>
      </c>
      <c r="D6940" s="2" t="str">
        <f t="shared" si="1763"/>
        <v>5</v>
      </c>
      <c r="E6940" s="2" t="str">
        <f>"外国语学院"</f>
        <v>外国语学院</v>
      </c>
    </row>
    <row r="6941" ht="13.5" hidden="1" spans="1:5">
      <c r="A6941" s="2" t="str">
        <f>"张皓桢"</f>
        <v>张皓桢</v>
      </c>
      <c r="B6941" s="2" t="str">
        <f>"B20221004102"</f>
        <v>B20221004102</v>
      </c>
      <c r="C6941" s="2" t="str">
        <f t="shared" ref="C6941:C6948" si="1770">"男"</f>
        <v>男</v>
      </c>
      <c r="D6941" s="2" t="str">
        <f t="shared" si="1763"/>
        <v>5</v>
      </c>
      <c r="E6941" s="2" t="str">
        <f>"艺术设计学院"</f>
        <v>艺术设计学院</v>
      </c>
    </row>
    <row r="6942" ht="13.5" hidden="1" spans="1:5">
      <c r="A6942" s="2" t="str">
        <f>"夏哲轩"</f>
        <v>夏哲轩</v>
      </c>
      <c r="B6942" s="2" t="str">
        <f>"B20201101206"</f>
        <v>B20201101206</v>
      </c>
      <c r="C6942" s="2" t="str">
        <f t="shared" si="1770"/>
        <v>男</v>
      </c>
      <c r="D6942" s="2" t="str">
        <f t="shared" si="1763"/>
        <v>5</v>
      </c>
      <c r="E6942" s="2" t="str">
        <f>"音乐学院"</f>
        <v>音乐学院</v>
      </c>
    </row>
    <row r="6943" ht="13.5" hidden="1" spans="1:5">
      <c r="A6943" s="2" t="str">
        <f>"徐静茹"</f>
        <v>徐静茹</v>
      </c>
      <c r="B6943" s="2" t="str">
        <f>"B20230701307"</f>
        <v>B20230701307</v>
      </c>
      <c r="C6943" s="2" t="str">
        <f>"女"</f>
        <v>女</v>
      </c>
      <c r="D6943" s="2" t="str">
        <f t="shared" si="1763"/>
        <v>5</v>
      </c>
      <c r="E6943" s="2" t="str">
        <f>"马栏山新媒体学院"</f>
        <v>马栏山新媒体学院</v>
      </c>
    </row>
    <row r="6944" ht="13.5" hidden="1" spans="1:5">
      <c r="A6944" s="2" t="str">
        <f>"赵子龙"</f>
        <v>赵子龙</v>
      </c>
      <c r="B6944" s="2" t="str">
        <f>"B20220402316"</f>
        <v>B20220402316</v>
      </c>
      <c r="C6944" s="2" t="str">
        <f t="shared" si="1770"/>
        <v>男</v>
      </c>
      <c r="D6944" s="2" t="str">
        <f t="shared" si="1763"/>
        <v>5</v>
      </c>
      <c r="E6944" s="2" t="str">
        <f>"电子信息与电气工程学院"</f>
        <v>电子信息与电气工程学院</v>
      </c>
    </row>
    <row r="6945" ht="13.5" hidden="1" spans="1:5">
      <c r="A6945" s="2" t="str">
        <f>"姚露勇"</f>
        <v>姚露勇</v>
      </c>
      <c r="B6945" s="2" t="str">
        <f>"B20230101534"</f>
        <v>B20230101534</v>
      </c>
      <c r="C6945" s="2" t="str">
        <f t="shared" si="1770"/>
        <v>男</v>
      </c>
      <c r="D6945" s="2" t="str">
        <f t="shared" si="1763"/>
        <v>5</v>
      </c>
      <c r="E6945" s="2" t="str">
        <f>"土木工程学院"</f>
        <v>土木工程学院</v>
      </c>
    </row>
    <row r="6946" ht="13.5" hidden="1" spans="1:5">
      <c r="A6946" s="2" t="str">
        <f>"杨子安"</f>
        <v>杨子安</v>
      </c>
      <c r="B6946" s="2" t="str">
        <f>"B20210801603"</f>
        <v>B20210801603</v>
      </c>
      <c r="C6946" s="2" t="str">
        <f t="shared" si="1770"/>
        <v>男</v>
      </c>
      <c r="D6946" s="2" t="str">
        <f t="shared" si="1763"/>
        <v>5</v>
      </c>
      <c r="E6946" s="2" t="str">
        <f>"外国语学院"</f>
        <v>外国语学院</v>
      </c>
    </row>
    <row r="6947" ht="13.5" hidden="1" spans="1:5">
      <c r="A6947" s="2" t="str">
        <f>"李异杰"</f>
        <v>李异杰</v>
      </c>
      <c r="B6947" s="2" t="str">
        <f>"B20210404212"</f>
        <v>B20210404212</v>
      </c>
      <c r="C6947" s="2" t="str">
        <f t="shared" si="1770"/>
        <v>男</v>
      </c>
      <c r="D6947" s="2" t="str">
        <f t="shared" si="1763"/>
        <v>5</v>
      </c>
      <c r="E6947" s="2" t="str">
        <f>"电子信息与电气工程学院"</f>
        <v>电子信息与电气工程学院</v>
      </c>
    </row>
    <row r="6948" ht="13.5" hidden="1" spans="1:5">
      <c r="A6948" s="2" t="str">
        <f>"刘思涵"</f>
        <v>刘思涵</v>
      </c>
      <c r="B6948" s="2" t="str">
        <f>"B20230906214"</f>
        <v>B20230906214</v>
      </c>
      <c r="C6948" s="2" t="str">
        <f t="shared" si="1770"/>
        <v>男</v>
      </c>
      <c r="D6948" s="2" t="str">
        <f t="shared" si="1763"/>
        <v>5</v>
      </c>
      <c r="E6948" s="2" t="str">
        <f t="shared" ref="E6948:E6952" si="1771">"经济与管理学院"</f>
        <v>经济与管理学院</v>
      </c>
    </row>
    <row r="6949" ht="13.5" hidden="1" spans="1:5">
      <c r="A6949" s="2" t="str">
        <f>"洪粤湘"</f>
        <v>洪粤湘</v>
      </c>
      <c r="B6949" s="2" t="str">
        <f>"B20210801607"</f>
        <v>B20210801607</v>
      </c>
      <c r="C6949" s="2" t="str">
        <f t="shared" ref="C6949:C6955" si="1772">"女"</f>
        <v>女</v>
      </c>
      <c r="D6949" s="2" t="str">
        <f t="shared" si="1763"/>
        <v>5</v>
      </c>
      <c r="E6949" s="2" t="str">
        <f>"外国语学院"</f>
        <v>外国语学院</v>
      </c>
    </row>
    <row r="6950" ht="13.5" hidden="1" spans="1:5">
      <c r="A6950" s="2" t="str">
        <f>"雷昕怡"</f>
        <v>雷昕怡</v>
      </c>
      <c r="B6950" s="2" t="str">
        <f>"B20221202104"</f>
        <v>B20221202104</v>
      </c>
      <c r="C6950" s="2" t="str">
        <f t="shared" si="1772"/>
        <v>女</v>
      </c>
      <c r="D6950" s="2" t="str">
        <f>"6"</f>
        <v>6</v>
      </c>
      <c r="E6950" s="2" t="str">
        <f>"数学学院"</f>
        <v>数学学院</v>
      </c>
    </row>
    <row r="6951" ht="13.5" hidden="1" spans="1:5">
      <c r="A6951" s="2" t="str">
        <f>"向卓雅"</f>
        <v>向卓雅</v>
      </c>
      <c r="B6951" s="2" t="str">
        <f>"B20220906217"</f>
        <v>B20220906217</v>
      </c>
      <c r="C6951" s="2" t="str">
        <f t="shared" si="1772"/>
        <v>女</v>
      </c>
      <c r="D6951" s="2" t="str">
        <f t="shared" si="1763"/>
        <v>5</v>
      </c>
      <c r="E6951" s="2" t="str">
        <f t="shared" si="1771"/>
        <v>经济与管理学院</v>
      </c>
    </row>
    <row r="6952" ht="13.5" hidden="1" spans="1:5">
      <c r="A6952" s="2" t="str">
        <f>"杨俊"</f>
        <v>杨俊</v>
      </c>
      <c r="B6952" s="2" t="str">
        <f>"B20230905112"</f>
        <v>B20230905112</v>
      </c>
      <c r="C6952" s="2" t="str">
        <f>"男"</f>
        <v>男</v>
      </c>
      <c r="D6952" s="2" t="str">
        <f t="shared" si="1763"/>
        <v>5</v>
      </c>
      <c r="E6952" s="2" t="str">
        <f t="shared" si="1771"/>
        <v>经济与管理学院</v>
      </c>
    </row>
    <row r="6953" ht="13.5" hidden="1" spans="1:5">
      <c r="A6953" s="2" t="str">
        <f>"汤钰培"</f>
        <v>汤钰培</v>
      </c>
      <c r="B6953" s="2" t="str">
        <f>"B20231101211"</f>
        <v>B20231101211</v>
      </c>
      <c r="C6953" s="2" t="str">
        <f t="shared" si="1772"/>
        <v>女</v>
      </c>
      <c r="D6953" s="2" t="str">
        <f t="shared" si="1763"/>
        <v>5</v>
      </c>
      <c r="E6953" s="2" t="str">
        <f>"音乐学院"</f>
        <v>音乐学院</v>
      </c>
    </row>
    <row r="6954" ht="13.5" hidden="1" spans="1:5">
      <c r="A6954" s="2" t="str">
        <f>"冯海霞"</f>
        <v>冯海霞</v>
      </c>
      <c r="B6954" s="2" t="str">
        <f>"B20221002123"</f>
        <v>B20221002123</v>
      </c>
      <c r="C6954" s="2" t="str">
        <f t="shared" si="1772"/>
        <v>女</v>
      </c>
      <c r="D6954" s="2" t="str">
        <f t="shared" si="1763"/>
        <v>5</v>
      </c>
      <c r="E6954" s="2" t="str">
        <f t="shared" ref="E6954:E6957" si="1773">"艺术设计学院"</f>
        <v>艺术设计学院</v>
      </c>
    </row>
    <row r="6955" ht="13.5" hidden="1" spans="1:5">
      <c r="A6955" s="2" t="str">
        <f>"刘名娟"</f>
        <v>刘名娟</v>
      </c>
      <c r="B6955" s="2" t="str">
        <f>"B20221004112"</f>
        <v>B20221004112</v>
      </c>
      <c r="C6955" s="2" t="str">
        <f t="shared" si="1772"/>
        <v>女</v>
      </c>
      <c r="D6955" s="2" t="str">
        <f t="shared" si="1763"/>
        <v>5</v>
      </c>
      <c r="E6955" s="2" t="str">
        <f t="shared" si="1773"/>
        <v>艺术设计学院</v>
      </c>
    </row>
    <row r="6956" ht="13.5" hidden="1" spans="1:5">
      <c r="A6956" s="2" t="str">
        <f>"文宇璐"</f>
        <v>文宇璐</v>
      </c>
      <c r="B6956" s="2" t="str">
        <f>"B20220501123"</f>
        <v>B20220501123</v>
      </c>
      <c r="C6956" s="2" t="str">
        <f>"男"</f>
        <v>男</v>
      </c>
      <c r="D6956" s="2" t="str">
        <f t="shared" si="1763"/>
        <v>5</v>
      </c>
      <c r="E6956" s="2" t="str">
        <f>"生物与化学工程学院"</f>
        <v>生物与化学工程学院</v>
      </c>
    </row>
    <row r="6957" ht="13.5" hidden="1" spans="1:5">
      <c r="A6957" s="2" t="str">
        <f>"常宛军"</f>
        <v>常宛军</v>
      </c>
      <c r="B6957" s="2" t="str">
        <f>"B20211001305"</f>
        <v>B20211001305</v>
      </c>
      <c r="C6957" s="2" t="str">
        <f t="shared" ref="C6957:C6960" si="1774">"女"</f>
        <v>女</v>
      </c>
      <c r="D6957" s="2" t="str">
        <f t="shared" si="1763"/>
        <v>5</v>
      </c>
      <c r="E6957" s="2" t="str">
        <f t="shared" si="1773"/>
        <v>艺术设计学院</v>
      </c>
    </row>
    <row r="6958" ht="13.5" hidden="1" spans="1:5">
      <c r="A6958" s="2" t="str">
        <f>"陈思思"</f>
        <v>陈思思</v>
      </c>
      <c r="B6958" s="2" t="str">
        <f>"B20210903114"</f>
        <v>B20210903114</v>
      </c>
      <c r="C6958" s="2" t="str">
        <f t="shared" si="1774"/>
        <v>女</v>
      </c>
      <c r="D6958" s="2" t="str">
        <f t="shared" si="1763"/>
        <v>5</v>
      </c>
      <c r="E6958" s="2" t="str">
        <f>"经济与管理学院"</f>
        <v>经济与管理学院</v>
      </c>
    </row>
    <row r="6959" ht="13.5" hidden="1" spans="1:5">
      <c r="A6959" s="2" t="str">
        <f>"邱佳欣"</f>
        <v>邱佳欣</v>
      </c>
      <c r="B6959" s="2" t="str">
        <f>"B20220803116"</f>
        <v>B20220803116</v>
      </c>
      <c r="C6959" s="2" t="str">
        <f t="shared" si="1774"/>
        <v>女</v>
      </c>
      <c r="D6959" s="2" t="str">
        <f t="shared" si="1763"/>
        <v>5</v>
      </c>
      <c r="E6959" s="2" t="str">
        <f>"外国语学院"</f>
        <v>外国语学院</v>
      </c>
    </row>
    <row r="6960" ht="13.5" hidden="1" spans="1:5">
      <c r="A6960" s="2" t="str">
        <f>"刘晓奔"</f>
        <v>刘晓奔</v>
      </c>
      <c r="B6960" s="2" t="str">
        <f>"B20210901106"</f>
        <v>B20210901106</v>
      </c>
      <c r="C6960" s="2" t="str">
        <f t="shared" si="1774"/>
        <v>女</v>
      </c>
      <c r="D6960" s="2" t="str">
        <f t="shared" si="1763"/>
        <v>5</v>
      </c>
      <c r="E6960" s="2" t="str">
        <f>"经济与管理学院"</f>
        <v>经济与管理学院</v>
      </c>
    </row>
    <row r="6961" ht="13.5" hidden="1" spans="1:5">
      <c r="A6961" s="2" t="str">
        <f>"黎林"</f>
        <v>黎林</v>
      </c>
      <c r="B6961" s="2" t="str">
        <f>"B20220502122"</f>
        <v>B20220502122</v>
      </c>
      <c r="C6961" s="2" t="str">
        <f t="shared" ref="C6961:C6964" si="1775">"男"</f>
        <v>男</v>
      </c>
      <c r="D6961" s="2" t="str">
        <f t="shared" si="1763"/>
        <v>5</v>
      </c>
      <c r="E6961" s="2" t="str">
        <f t="shared" ref="E6961:E6966" si="1776">"生物与化学工程学院"</f>
        <v>生物与化学工程学院</v>
      </c>
    </row>
    <row r="6962" ht="13.5" hidden="1" spans="1:5">
      <c r="A6962" s="2" t="str">
        <f>"王效东"</f>
        <v>王效东</v>
      </c>
      <c r="B6962" s="2" t="str">
        <f>"B20200505222"</f>
        <v>B20200505222</v>
      </c>
      <c r="C6962" s="2" t="str">
        <f t="shared" si="1775"/>
        <v>男</v>
      </c>
      <c r="D6962" s="2" t="str">
        <f t="shared" si="1763"/>
        <v>5</v>
      </c>
      <c r="E6962" s="2" t="str">
        <f>"生物与环境工程学院"</f>
        <v>生物与环境工程学院</v>
      </c>
    </row>
    <row r="6963" ht="13.5" hidden="1" spans="1:5">
      <c r="A6963" s="2" t="str">
        <f>"王会冲"</f>
        <v>王会冲</v>
      </c>
      <c r="B6963" s="2" t="str">
        <f>"B20211004126"</f>
        <v>B20211004126</v>
      </c>
      <c r="C6963" s="2" t="str">
        <f t="shared" si="1775"/>
        <v>男</v>
      </c>
      <c r="D6963" s="2" t="str">
        <f t="shared" si="1763"/>
        <v>5</v>
      </c>
      <c r="E6963" s="2" t="str">
        <f>"艺术设计学院"</f>
        <v>艺术设计学院</v>
      </c>
    </row>
    <row r="6964" ht="13.5" hidden="1" spans="1:5">
      <c r="A6964" s="2" t="str">
        <f>"龙怀金"</f>
        <v>龙怀金</v>
      </c>
      <c r="B6964" s="2" t="str">
        <f>"B20220501202"</f>
        <v>B20220501202</v>
      </c>
      <c r="C6964" s="2" t="str">
        <f t="shared" si="1775"/>
        <v>男</v>
      </c>
      <c r="D6964" s="2" t="str">
        <f t="shared" si="1763"/>
        <v>5</v>
      </c>
      <c r="E6964" s="2" t="str">
        <f t="shared" si="1776"/>
        <v>生物与化学工程学院</v>
      </c>
    </row>
    <row r="6965" ht="13.5" hidden="1" spans="1:5">
      <c r="A6965" s="2" t="str">
        <f>"周诗雅"</f>
        <v>周诗雅</v>
      </c>
      <c r="B6965" s="2" t="str">
        <f>"B20220702114"</f>
        <v>B20220702114</v>
      </c>
      <c r="C6965" s="2" t="str">
        <f t="shared" ref="C6965:C6970" si="1777">"女"</f>
        <v>女</v>
      </c>
      <c r="D6965" s="2" t="str">
        <f t="shared" si="1763"/>
        <v>5</v>
      </c>
      <c r="E6965" s="2" t="str">
        <f>"马栏山新媒体学院"</f>
        <v>马栏山新媒体学院</v>
      </c>
    </row>
    <row r="6966" ht="13.5" hidden="1" spans="1:5">
      <c r="A6966" s="2" t="str">
        <f>"何宇文"</f>
        <v>何宇文</v>
      </c>
      <c r="B6966" s="2" t="str">
        <f>"B20210502203"</f>
        <v>B20210502203</v>
      </c>
      <c r="C6966" s="2" t="str">
        <f>"男"</f>
        <v>男</v>
      </c>
      <c r="D6966" s="2" t="str">
        <f t="shared" si="1763"/>
        <v>5</v>
      </c>
      <c r="E6966" s="2" t="str">
        <f t="shared" si="1776"/>
        <v>生物与化学工程学院</v>
      </c>
    </row>
    <row r="6967" ht="13.5" hidden="1" spans="1:5">
      <c r="A6967" s="2" t="str">
        <f>"罗井泉"</f>
        <v>罗井泉</v>
      </c>
      <c r="B6967" s="2" t="str">
        <f>"B20210903247"</f>
        <v>B20210903247</v>
      </c>
      <c r="C6967" s="2" t="str">
        <f t="shared" si="1777"/>
        <v>女</v>
      </c>
      <c r="D6967" s="2" t="str">
        <f t="shared" si="1763"/>
        <v>5</v>
      </c>
      <c r="E6967" s="2" t="str">
        <f>"经济与管理学院"</f>
        <v>经济与管理学院</v>
      </c>
    </row>
    <row r="6968" ht="13.5" hidden="1" spans="1:5">
      <c r="A6968" s="2" t="str">
        <f>"唐霞"</f>
        <v>唐霞</v>
      </c>
      <c r="B6968" s="2" t="str">
        <f>"B20220102226"</f>
        <v>B20220102226</v>
      </c>
      <c r="C6968" s="2" t="str">
        <f t="shared" si="1777"/>
        <v>女</v>
      </c>
      <c r="D6968" s="2" t="str">
        <f t="shared" si="1763"/>
        <v>5</v>
      </c>
      <c r="E6968" s="2" t="str">
        <f>"土木工程学院"</f>
        <v>土木工程学院</v>
      </c>
    </row>
    <row r="6969" ht="13.5" hidden="1" spans="1:5">
      <c r="A6969" s="2" t="str">
        <f>"贺泽翎"</f>
        <v>贺泽翎</v>
      </c>
      <c r="B6969" s="2" t="str">
        <f>"B20230705108"</f>
        <v>B20230705108</v>
      </c>
      <c r="C6969" s="2" t="str">
        <f t="shared" si="1777"/>
        <v>女</v>
      </c>
      <c r="D6969" s="2" t="str">
        <f t="shared" si="1763"/>
        <v>5</v>
      </c>
      <c r="E6969" s="2" t="str">
        <f>"马栏山新媒体学院"</f>
        <v>马栏山新媒体学院</v>
      </c>
    </row>
    <row r="6970" ht="13.5" hidden="1" spans="1:5">
      <c r="A6970" s="2" t="str">
        <f>"蒋欢欣"</f>
        <v>蒋欢欣</v>
      </c>
      <c r="B6970" s="2" t="str">
        <f>"B20221202110"</f>
        <v>B20221202110</v>
      </c>
      <c r="C6970" s="2" t="str">
        <f t="shared" si="1777"/>
        <v>女</v>
      </c>
      <c r="D6970" s="2" t="str">
        <f t="shared" si="1763"/>
        <v>5</v>
      </c>
      <c r="E6970" s="2" t="str">
        <f>"数学学院"</f>
        <v>数学学院</v>
      </c>
    </row>
    <row r="6971" ht="13.5" hidden="1" spans="1:5">
      <c r="A6971" s="2" t="str">
        <f>"黎润奇"</f>
        <v>黎润奇</v>
      </c>
      <c r="B6971" s="2" t="str">
        <f>"B20220204411"</f>
        <v>B20220204411</v>
      </c>
      <c r="C6971" s="2" t="str">
        <f>"男"</f>
        <v>男</v>
      </c>
      <c r="D6971" s="2" t="str">
        <f t="shared" si="1763"/>
        <v>5</v>
      </c>
      <c r="E6971" s="2" t="str">
        <f>"机电工程学院"</f>
        <v>机电工程学院</v>
      </c>
    </row>
    <row r="6972" ht="13.5" hidden="1" spans="1:5">
      <c r="A6972" s="2" t="str">
        <f>"龚玲莉"</f>
        <v>龚玲莉</v>
      </c>
      <c r="B6972" s="2" t="str">
        <f>"B20220903118"</f>
        <v>B20220903118</v>
      </c>
      <c r="C6972" s="2" t="str">
        <f t="shared" ref="C6972:C6977" si="1778">"女"</f>
        <v>女</v>
      </c>
      <c r="D6972" s="2" t="str">
        <f t="shared" si="1763"/>
        <v>5</v>
      </c>
      <c r="E6972" s="2" t="str">
        <f>"经济与管理学院"</f>
        <v>经济与管理学院</v>
      </c>
    </row>
    <row r="6973" ht="13.5" hidden="1" spans="1:5">
      <c r="A6973" s="2" t="str">
        <f>"向语嫣"</f>
        <v>向语嫣</v>
      </c>
      <c r="B6973" s="2" t="str">
        <f>"B20230103121"</f>
        <v>B20230103121</v>
      </c>
      <c r="C6973" s="2" t="str">
        <f t="shared" si="1778"/>
        <v>女</v>
      </c>
      <c r="D6973" s="2" t="str">
        <f t="shared" si="1763"/>
        <v>5</v>
      </c>
      <c r="E6973" s="2" t="str">
        <f>"土木工程学院"</f>
        <v>土木工程学院</v>
      </c>
    </row>
    <row r="6974" ht="13.5" hidden="1" spans="1:5">
      <c r="A6974" s="2" t="str">
        <f>"王伊林"</f>
        <v>王伊林</v>
      </c>
      <c r="B6974" s="2" t="str">
        <f>"B20221202114"</f>
        <v>B20221202114</v>
      </c>
      <c r="C6974" s="2" t="str">
        <f t="shared" si="1778"/>
        <v>女</v>
      </c>
      <c r="D6974" s="2" t="str">
        <f>"9"</f>
        <v>9</v>
      </c>
      <c r="E6974" s="2" t="str">
        <f>"数学学院"</f>
        <v>数学学院</v>
      </c>
    </row>
    <row r="6975" ht="13.5" hidden="1" spans="1:5">
      <c r="A6975" s="2" t="str">
        <f>"罗翔"</f>
        <v>罗翔</v>
      </c>
      <c r="B6975" s="2" t="str">
        <f>"B20230405107"</f>
        <v>B20230405107</v>
      </c>
      <c r="C6975" s="2" t="str">
        <f t="shared" ref="C6974:C6976" si="1779">"男"</f>
        <v>男</v>
      </c>
      <c r="D6975" s="2" t="str">
        <f t="shared" si="1763"/>
        <v>5</v>
      </c>
      <c r="E6975" s="2" t="str">
        <f>"电子信息与电气工程学院"</f>
        <v>电子信息与电气工程学院</v>
      </c>
    </row>
    <row r="6976" ht="13.5" hidden="1" spans="1:5">
      <c r="A6976" s="2" t="str">
        <f>"贺啸"</f>
        <v>贺啸</v>
      </c>
      <c r="B6976" s="2" t="str">
        <f>"B20230204219"</f>
        <v>B20230204219</v>
      </c>
      <c r="C6976" s="2" t="str">
        <f t="shared" si="1779"/>
        <v>男</v>
      </c>
      <c r="D6976" s="2" t="str">
        <f t="shared" si="1763"/>
        <v>5</v>
      </c>
      <c r="E6976" s="2" t="str">
        <f>"机电工程学院"</f>
        <v>机电工程学院</v>
      </c>
    </row>
    <row r="6977" ht="13.5" hidden="1" spans="1:5">
      <c r="A6977" s="2" t="str">
        <f>"刘思羽"</f>
        <v>刘思羽</v>
      </c>
      <c r="B6977" s="2" t="str">
        <f>"B20231401230"</f>
        <v>B20231401230</v>
      </c>
      <c r="C6977" s="2" t="str">
        <f t="shared" si="1778"/>
        <v>女</v>
      </c>
      <c r="D6977" s="2" t="str">
        <f t="shared" ref="D6977:D7040" si="1780">"5"</f>
        <v>5</v>
      </c>
      <c r="E6977" s="2" t="str">
        <f>"马克思主义学院"</f>
        <v>马克思主义学院</v>
      </c>
    </row>
    <row r="6978" ht="13.5" hidden="1" spans="1:5">
      <c r="A6978" s="2" t="str">
        <f>"陶宇"</f>
        <v>陶宇</v>
      </c>
      <c r="B6978" s="2" t="str">
        <f>"B20230101612"</f>
        <v>B20230101612</v>
      </c>
      <c r="C6978" s="2" t="str">
        <f>"男"</f>
        <v>男</v>
      </c>
      <c r="D6978" s="2" t="str">
        <f t="shared" si="1780"/>
        <v>5</v>
      </c>
      <c r="E6978" s="2" t="str">
        <f>"土木工程学院"</f>
        <v>土木工程学院</v>
      </c>
    </row>
    <row r="6979" ht="13.5" hidden="1" spans="1:5">
      <c r="A6979" s="2" t="str">
        <f>"蔡思宇"</f>
        <v>蔡思宇</v>
      </c>
      <c r="B6979" s="2" t="str">
        <f>"B20231101102"</f>
        <v>B20231101102</v>
      </c>
      <c r="C6979" s="2" t="str">
        <f>"男"</f>
        <v>男</v>
      </c>
      <c r="D6979" s="2" t="str">
        <f t="shared" si="1780"/>
        <v>5</v>
      </c>
      <c r="E6979" s="2" t="str">
        <f t="shared" ref="E6979:E6983" si="1781">"音乐学院"</f>
        <v>音乐学院</v>
      </c>
    </row>
    <row r="6980" ht="13.5" hidden="1" spans="1:5">
      <c r="A6980" s="2" t="str">
        <f>"田晓艺"</f>
        <v>田晓艺</v>
      </c>
      <c r="B6980" s="2" t="str">
        <f>"B20231101224"</f>
        <v>B20231101224</v>
      </c>
      <c r="C6980" s="2" t="str">
        <f t="shared" ref="C6980:C6994" si="1782">"女"</f>
        <v>女</v>
      </c>
      <c r="D6980" s="2" t="str">
        <f t="shared" si="1780"/>
        <v>5</v>
      </c>
      <c r="E6980" s="2" t="str">
        <f t="shared" si="1781"/>
        <v>音乐学院</v>
      </c>
    </row>
    <row r="6981" ht="13.5" hidden="1" spans="1:5">
      <c r="A6981" s="2" t="str">
        <f>"何奕轩"</f>
        <v>何奕轩</v>
      </c>
      <c r="B6981" s="2" t="str">
        <f>"B20221202118"</f>
        <v>B20221202118</v>
      </c>
      <c r="C6981" s="2" t="str">
        <f t="shared" si="1782"/>
        <v>女</v>
      </c>
      <c r="D6981" s="2" t="str">
        <f>"6"</f>
        <v>6</v>
      </c>
      <c r="E6981" s="2" t="str">
        <f>"数学学院"</f>
        <v>数学学院</v>
      </c>
    </row>
    <row r="6982" ht="13.5" hidden="1" spans="1:5">
      <c r="A6982" s="2" t="str">
        <f>"李慧娴"</f>
        <v>李慧娴</v>
      </c>
      <c r="B6982" s="2" t="str">
        <f>"B20231101115"</f>
        <v>B20231101115</v>
      </c>
      <c r="C6982" s="2" t="str">
        <f t="shared" si="1782"/>
        <v>女</v>
      </c>
      <c r="D6982" s="2" t="str">
        <f t="shared" si="1780"/>
        <v>5</v>
      </c>
      <c r="E6982" s="2" t="str">
        <f t="shared" si="1781"/>
        <v>音乐学院</v>
      </c>
    </row>
    <row r="6983" ht="13.5" hidden="1" spans="1:5">
      <c r="A6983" s="2" t="str">
        <f>"周娜"</f>
        <v>周娜</v>
      </c>
      <c r="B6983" s="2" t="str">
        <f>"B20231101118"</f>
        <v>B20231101118</v>
      </c>
      <c r="C6983" s="2" t="str">
        <f t="shared" si="1782"/>
        <v>女</v>
      </c>
      <c r="D6983" s="2" t="str">
        <f t="shared" si="1780"/>
        <v>5</v>
      </c>
      <c r="E6983" s="2" t="str">
        <f t="shared" si="1781"/>
        <v>音乐学院</v>
      </c>
    </row>
    <row r="6984" ht="13.5" hidden="1" spans="1:5">
      <c r="A6984" s="2" t="str">
        <f>"刘佳"</f>
        <v>刘佳</v>
      </c>
      <c r="B6984" s="2" t="str">
        <f>"B20230701130"</f>
        <v>B20230701130</v>
      </c>
      <c r="C6984" s="2" t="str">
        <f t="shared" si="1782"/>
        <v>女</v>
      </c>
      <c r="D6984" s="2" t="str">
        <f t="shared" si="1780"/>
        <v>5</v>
      </c>
      <c r="E6984" s="2" t="str">
        <f t="shared" ref="E6984:E6987" si="1783">"马栏山新媒体学院"</f>
        <v>马栏山新媒体学院</v>
      </c>
    </row>
    <row r="6985" ht="13.5" hidden="1" spans="1:5">
      <c r="A6985" s="2" t="str">
        <f>"金喜"</f>
        <v>金喜</v>
      </c>
      <c r="B6985" s="2" t="str">
        <f>"B20220704416"</f>
        <v>B20220704416</v>
      </c>
      <c r="C6985" s="2" t="str">
        <f t="shared" si="1782"/>
        <v>女</v>
      </c>
      <c r="D6985" s="2" t="str">
        <f t="shared" si="1780"/>
        <v>5</v>
      </c>
      <c r="E6985" s="2" t="str">
        <f t="shared" si="1783"/>
        <v>马栏山新媒体学院</v>
      </c>
    </row>
    <row r="6986" ht="13.5" hidden="1" spans="1:5">
      <c r="A6986" s="2" t="str">
        <f>"林雪芬"</f>
        <v>林雪芬</v>
      </c>
      <c r="B6986" s="2" t="str">
        <f>"B20231002104"</f>
        <v>B20231002104</v>
      </c>
      <c r="C6986" s="2" t="str">
        <f t="shared" si="1782"/>
        <v>女</v>
      </c>
      <c r="D6986" s="2" t="str">
        <f t="shared" si="1780"/>
        <v>5</v>
      </c>
      <c r="E6986" s="2" t="str">
        <f t="shared" ref="E6986:E6989" si="1784">"艺术设计学院"</f>
        <v>艺术设计学院</v>
      </c>
    </row>
    <row r="6987" ht="13.5" hidden="1" spans="1:5">
      <c r="A6987" s="2" t="str">
        <f>"陈佳丽"</f>
        <v>陈佳丽</v>
      </c>
      <c r="B6987" s="2" t="str">
        <f>"B20220703203"</f>
        <v>B20220703203</v>
      </c>
      <c r="C6987" s="2" t="str">
        <f t="shared" si="1782"/>
        <v>女</v>
      </c>
      <c r="D6987" s="2" t="str">
        <f t="shared" si="1780"/>
        <v>5</v>
      </c>
      <c r="E6987" s="2" t="str">
        <f t="shared" si="1783"/>
        <v>马栏山新媒体学院</v>
      </c>
    </row>
    <row r="6988" ht="13.5" hidden="1" spans="1:5">
      <c r="A6988" s="2" t="str">
        <f>"李佳莹"</f>
        <v>李佳莹</v>
      </c>
      <c r="B6988" s="2" t="str">
        <f>"B20211001106"</f>
        <v>B20211001106</v>
      </c>
      <c r="C6988" s="2" t="str">
        <f t="shared" si="1782"/>
        <v>女</v>
      </c>
      <c r="D6988" s="2" t="str">
        <f t="shared" si="1780"/>
        <v>5</v>
      </c>
      <c r="E6988" s="2" t="str">
        <f t="shared" si="1784"/>
        <v>艺术设计学院</v>
      </c>
    </row>
    <row r="6989" ht="13.5" hidden="1" spans="1:5">
      <c r="A6989" s="2" t="str">
        <f>"郑美莹"</f>
        <v>郑美莹</v>
      </c>
      <c r="B6989" s="2" t="str">
        <f>"B20231002123"</f>
        <v>B20231002123</v>
      </c>
      <c r="C6989" s="2" t="str">
        <f t="shared" si="1782"/>
        <v>女</v>
      </c>
      <c r="D6989" s="2" t="str">
        <f t="shared" si="1780"/>
        <v>5</v>
      </c>
      <c r="E6989" s="2" t="str">
        <f t="shared" si="1784"/>
        <v>艺术设计学院</v>
      </c>
    </row>
    <row r="6990" ht="13.5" hidden="1" spans="1:5">
      <c r="A6990" s="2" t="str">
        <f>"汤幸"</f>
        <v>汤幸</v>
      </c>
      <c r="B6990" s="2" t="str">
        <f>"B20210901213"</f>
        <v>B20210901213</v>
      </c>
      <c r="C6990" s="2" t="str">
        <f t="shared" si="1782"/>
        <v>女</v>
      </c>
      <c r="D6990" s="2" t="str">
        <f t="shared" si="1780"/>
        <v>5</v>
      </c>
      <c r="E6990" s="2" t="str">
        <f>"经济与管理学院"</f>
        <v>经济与管理学院</v>
      </c>
    </row>
    <row r="6991" ht="13.5" hidden="1" spans="1:5">
      <c r="A6991" s="2" t="str">
        <f>"庞孟宁"</f>
        <v>庞孟宁</v>
      </c>
      <c r="B6991" s="2" t="str">
        <f>"B20230102120"</f>
        <v>B20230102120</v>
      </c>
      <c r="C6991" s="2" t="str">
        <f t="shared" si="1782"/>
        <v>女</v>
      </c>
      <c r="D6991" s="2" t="str">
        <f t="shared" si="1780"/>
        <v>5</v>
      </c>
      <c r="E6991" s="2" t="str">
        <f>"土木工程学院"</f>
        <v>土木工程学院</v>
      </c>
    </row>
    <row r="6992" ht="13.5" hidden="1" spans="1:5">
      <c r="A6992" s="2" t="str">
        <f>"采诗好"</f>
        <v>采诗好</v>
      </c>
      <c r="B6992" s="2" t="str">
        <f>"B20210902311"</f>
        <v>B20210902311</v>
      </c>
      <c r="C6992" s="2" t="str">
        <f t="shared" si="1782"/>
        <v>女</v>
      </c>
      <c r="D6992" s="2" t="str">
        <f t="shared" si="1780"/>
        <v>5</v>
      </c>
      <c r="E6992" s="2" t="str">
        <f>"经济与管理学院"</f>
        <v>经济与管理学院</v>
      </c>
    </row>
    <row r="6993" ht="13.5" hidden="1" spans="1:5">
      <c r="A6993" s="2" t="str">
        <f>"王贞雁"</f>
        <v>王贞雁</v>
      </c>
      <c r="B6993" s="2" t="str">
        <f>"B20210801203"</f>
        <v>B20210801203</v>
      </c>
      <c r="C6993" s="2" t="str">
        <f t="shared" si="1782"/>
        <v>女</v>
      </c>
      <c r="D6993" s="2" t="str">
        <f t="shared" si="1780"/>
        <v>5</v>
      </c>
      <c r="E6993" s="2" t="str">
        <f>"外国语学院"</f>
        <v>外国语学院</v>
      </c>
    </row>
    <row r="6994" ht="13.5" hidden="1" spans="1:5">
      <c r="A6994" s="2" t="str">
        <f>"欧阳宾宾"</f>
        <v>欧阳宾宾</v>
      </c>
      <c r="B6994" s="2" t="str">
        <f>"B20231301127"</f>
        <v>B20231301127</v>
      </c>
      <c r="C6994" s="2" t="str">
        <f t="shared" si="1782"/>
        <v>女</v>
      </c>
      <c r="D6994" s="2" t="str">
        <f t="shared" si="1780"/>
        <v>5</v>
      </c>
      <c r="E6994" s="2" t="str">
        <f>"材料与环境工程学院"</f>
        <v>材料与环境工程学院</v>
      </c>
    </row>
    <row r="6995" ht="13.5" hidden="1" spans="1:5">
      <c r="A6995" s="2" t="str">
        <f>"陈壹"</f>
        <v>陈壹</v>
      </c>
      <c r="B6995" s="2" t="str">
        <f>"B20230402116"</f>
        <v>B20230402116</v>
      </c>
      <c r="C6995" s="2" t="str">
        <f>"男"</f>
        <v>男</v>
      </c>
      <c r="D6995" s="2" t="str">
        <f t="shared" si="1780"/>
        <v>5</v>
      </c>
      <c r="E6995" s="2" t="str">
        <f>"电子信息与电气工程学院"</f>
        <v>电子信息与电气工程学院</v>
      </c>
    </row>
    <row r="6996" ht="13.5" hidden="1" spans="1:5">
      <c r="A6996" s="2" t="str">
        <f>"陈亮"</f>
        <v>陈亮</v>
      </c>
      <c r="B6996" s="2" t="str">
        <f>"B20221202120"</f>
        <v>B20221202120</v>
      </c>
      <c r="C6996" s="2" t="str">
        <f>"男"</f>
        <v>男</v>
      </c>
      <c r="D6996" s="2" t="str">
        <f>"1"</f>
        <v>1</v>
      </c>
      <c r="E6996" s="2" t="str">
        <f>"数学学院"</f>
        <v>数学学院</v>
      </c>
    </row>
    <row r="6997" ht="13.5" hidden="1" spans="1:5">
      <c r="A6997" s="2" t="str">
        <f>"许月婷"</f>
        <v>许月婷</v>
      </c>
      <c r="B6997" s="2" t="str">
        <f>"B20221004204"</f>
        <v>B20221004204</v>
      </c>
      <c r="C6997" s="2" t="str">
        <f t="shared" ref="C6996:C6999" si="1785">"女"</f>
        <v>女</v>
      </c>
      <c r="D6997" s="2" t="str">
        <f t="shared" si="1780"/>
        <v>5</v>
      </c>
      <c r="E6997" s="2" t="str">
        <f>"艺术设计学院"</f>
        <v>艺术设计学院</v>
      </c>
    </row>
    <row r="6998" ht="13.5" hidden="1" spans="1:5">
      <c r="A6998" s="2" t="str">
        <f>"周轩臣"</f>
        <v>周轩臣</v>
      </c>
      <c r="B6998" s="2" t="str">
        <f>"B20221202121"</f>
        <v>B20221202121</v>
      </c>
      <c r="C6998" s="2" t="str">
        <f>"男"</f>
        <v>男</v>
      </c>
      <c r="D6998" s="2" t="str">
        <f>"12"</f>
        <v>12</v>
      </c>
      <c r="E6998" s="2" t="str">
        <f>"数学学院"</f>
        <v>数学学院</v>
      </c>
    </row>
    <row r="6999" ht="13.5" hidden="1" spans="1:5">
      <c r="A6999" s="2" t="str">
        <f>"刘维英"</f>
        <v>刘维英</v>
      </c>
      <c r="B6999" s="2" t="str">
        <f>"B20200701236"</f>
        <v>B20200701236</v>
      </c>
      <c r="C6999" s="2" t="str">
        <f t="shared" si="1785"/>
        <v>女</v>
      </c>
      <c r="D6999" s="2" t="str">
        <f t="shared" si="1780"/>
        <v>5</v>
      </c>
      <c r="E6999" s="2" t="str">
        <f>"马栏山新媒体学院"</f>
        <v>马栏山新媒体学院</v>
      </c>
    </row>
    <row r="7000" ht="13.5" hidden="1" spans="1:5">
      <c r="A7000" s="2" t="str">
        <f>"朱梓涵"</f>
        <v>朱梓涵</v>
      </c>
      <c r="B7000" s="2" t="str">
        <f>"B20221302309"</f>
        <v>B20221302309</v>
      </c>
      <c r="C7000" s="2" t="str">
        <f>"男"</f>
        <v>男</v>
      </c>
      <c r="D7000" s="2" t="str">
        <f t="shared" si="1780"/>
        <v>5</v>
      </c>
      <c r="E7000" s="2" t="str">
        <f>"材料与环境工程学院"</f>
        <v>材料与环境工程学院</v>
      </c>
    </row>
    <row r="7001" ht="13.5" hidden="1" spans="1:5">
      <c r="A7001" s="2" t="str">
        <f>"黄宇轩"</f>
        <v>黄宇轩</v>
      </c>
      <c r="B7001" s="2" t="str">
        <f>"B20211001415"</f>
        <v>B20211001415</v>
      </c>
      <c r="C7001" s="2" t="str">
        <f>"女"</f>
        <v>女</v>
      </c>
      <c r="D7001" s="2" t="str">
        <f t="shared" si="1780"/>
        <v>5</v>
      </c>
      <c r="E7001" s="2" t="str">
        <f>"艺术设计学院"</f>
        <v>艺术设计学院</v>
      </c>
    </row>
    <row r="7002" ht="13.5" hidden="1" spans="1:5">
      <c r="A7002" s="2" t="str">
        <f>"欧阳根虎"</f>
        <v>欧阳根虎</v>
      </c>
      <c r="B7002" s="2" t="str">
        <f>"B20200904219"</f>
        <v>B20200904219</v>
      </c>
      <c r="C7002" s="2" t="str">
        <f t="shared" ref="C7002:C7004" si="1786">"男"</f>
        <v>男</v>
      </c>
      <c r="D7002" s="2" t="str">
        <f t="shared" si="1780"/>
        <v>5</v>
      </c>
      <c r="E7002" s="2" t="str">
        <f t="shared" ref="E7002:E7006" si="1787">"经济与管理学院"</f>
        <v>经济与管理学院</v>
      </c>
    </row>
    <row r="7003" ht="13.5" hidden="1" spans="1:5">
      <c r="A7003" s="2" t="str">
        <f>"张彬"</f>
        <v>张彬</v>
      </c>
      <c r="B7003" s="2" t="str">
        <f>"B20211002403"</f>
        <v>B20211002403</v>
      </c>
      <c r="C7003" s="2" t="str">
        <f t="shared" si="1786"/>
        <v>男</v>
      </c>
      <c r="D7003" s="2" t="str">
        <f t="shared" si="1780"/>
        <v>5</v>
      </c>
      <c r="E7003" s="2" t="str">
        <f>"艺术设计学院"</f>
        <v>艺术设计学院</v>
      </c>
    </row>
    <row r="7004" ht="13.5" hidden="1" spans="1:5">
      <c r="A7004" s="2" t="str">
        <f>"吴胜强"</f>
        <v>吴胜强</v>
      </c>
      <c r="B7004" s="2" t="str">
        <f>"B20220202122"</f>
        <v>B20220202122</v>
      </c>
      <c r="C7004" s="2" t="str">
        <f t="shared" si="1786"/>
        <v>男</v>
      </c>
      <c r="D7004" s="2" t="str">
        <f t="shared" si="1780"/>
        <v>5</v>
      </c>
      <c r="E7004" s="2" t="str">
        <f>"机电工程学院"</f>
        <v>机电工程学院</v>
      </c>
    </row>
    <row r="7005" ht="13.5" hidden="1" spans="1:5">
      <c r="A7005" s="2" t="str">
        <f>"周心仪"</f>
        <v>周心仪</v>
      </c>
      <c r="B7005" s="2" t="str">
        <f>"B20210902330"</f>
        <v>B20210902330</v>
      </c>
      <c r="C7005" s="2" t="str">
        <f t="shared" ref="C7005:C7009" si="1788">"女"</f>
        <v>女</v>
      </c>
      <c r="D7005" s="2" t="str">
        <f t="shared" si="1780"/>
        <v>5</v>
      </c>
      <c r="E7005" s="2" t="str">
        <f t="shared" si="1787"/>
        <v>经济与管理学院</v>
      </c>
    </row>
    <row r="7006" ht="13.5" hidden="1" spans="1:5">
      <c r="A7006" s="2" t="str">
        <f>"伍骢"</f>
        <v>伍骢</v>
      </c>
      <c r="B7006" s="2" t="str">
        <f>"B20200906127"</f>
        <v>B20200906127</v>
      </c>
      <c r="C7006" s="2" t="str">
        <f t="shared" ref="C7006:C7010" si="1789">"男"</f>
        <v>男</v>
      </c>
      <c r="D7006" s="2" t="str">
        <f t="shared" si="1780"/>
        <v>5</v>
      </c>
      <c r="E7006" s="2" t="str">
        <f t="shared" si="1787"/>
        <v>经济与管理学院</v>
      </c>
    </row>
    <row r="7007" ht="13.5" hidden="1" spans="1:5">
      <c r="A7007" s="2" t="str">
        <f>"孙源培"</f>
        <v>孙源培</v>
      </c>
      <c r="B7007" s="2" t="str">
        <f>"B20230101615"</f>
        <v>B20230101615</v>
      </c>
      <c r="C7007" s="2" t="str">
        <f t="shared" si="1789"/>
        <v>男</v>
      </c>
      <c r="D7007" s="2" t="str">
        <f t="shared" si="1780"/>
        <v>5</v>
      </c>
      <c r="E7007" s="2" t="str">
        <f>"土木工程学院"</f>
        <v>土木工程学院</v>
      </c>
    </row>
    <row r="7008" ht="13.5" hidden="1" spans="1:5">
      <c r="A7008" s="2" t="str">
        <f>"何俐馨"</f>
        <v>何俐馨</v>
      </c>
      <c r="B7008" s="2" t="str">
        <f>"B20230801101"</f>
        <v>B20230801101</v>
      </c>
      <c r="C7008" s="2" t="str">
        <f t="shared" si="1788"/>
        <v>女</v>
      </c>
      <c r="D7008" s="2" t="str">
        <f t="shared" si="1780"/>
        <v>5</v>
      </c>
      <c r="E7008" s="2" t="str">
        <f>"外国语学院"</f>
        <v>外国语学院</v>
      </c>
    </row>
    <row r="7009" ht="13.5" hidden="1" spans="1:5">
      <c r="A7009" s="2" t="str">
        <f>"陈钰霈"</f>
        <v>陈钰霈</v>
      </c>
      <c r="B7009" s="2" t="str">
        <f>"B20230501213"</f>
        <v>B20230501213</v>
      </c>
      <c r="C7009" s="2" t="str">
        <f t="shared" si="1788"/>
        <v>女</v>
      </c>
      <c r="D7009" s="2" t="str">
        <f t="shared" si="1780"/>
        <v>5</v>
      </c>
      <c r="E7009" s="2" t="str">
        <f>"生物与化学工程学院"</f>
        <v>生物与化学工程学院</v>
      </c>
    </row>
    <row r="7010" ht="13.5" hidden="1" spans="1:5">
      <c r="A7010" s="2" t="str">
        <f>"谭唐鑫"</f>
        <v>谭唐鑫</v>
      </c>
      <c r="B7010" s="2" t="str">
        <f>"B20221202124"</f>
        <v>B20221202124</v>
      </c>
      <c r="C7010" s="2" t="str">
        <f>"男"</f>
        <v>男</v>
      </c>
      <c r="D7010" s="2" t="str">
        <f t="shared" si="1780"/>
        <v>5</v>
      </c>
      <c r="E7010" s="2" t="str">
        <f>"数学学院"</f>
        <v>数学学院</v>
      </c>
    </row>
    <row r="7011" ht="13.5" hidden="1" spans="1:5">
      <c r="A7011" s="2" t="str">
        <f>"陈雅利"</f>
        <v>陈雅利</v>
      </c>
      <c r="B7011" s="2" t="str">
        <f>"B20230702315"</f>
        <v>B20230702315</v>
      </c>
      <c r="C7011" s="2" t="str">
        <f t="shared" ref="C7011:C7015" si="1790">"女"</f>
        <v>女</v>
      </c>
      <c r="D7011" s="2" t="str">
        <f t="shared" si="1780"/>
        <v>5</v>
      </c>
      <c r="E7011" s="2" t="str">
        <f>"马栏山新媒体学院"</f>
        <v>马栏山新媒体学院</v>
      </c>
    </row>
    <row r="7012" ht="13.5" hidden="1" spans="1:5">
      <c r="A7012" s="2" t="str">
        <f>"罗思怡"</f>
        <v>罗思怡</v>
      </c>
      <c r="B7012" s="2" t="str">
        <f>"B20221202125"</f>
        <v>B20221202125</v>
      </c>
      <c r="C7012" s="2" t="str">
        <f t="shared" si="1790"/>
        <v>女</v>
      </c>
      <c r="D7012" s="2" t="str">
        <f t="shared" si="1780"/>
        <v>5</v>
      </c>
      <c r="E7012" s="2" t="str">
        <f>"数学学院"</f>
        <v>数学学院</v>
      </c>
    </row>
    <row r="7013" ht="13.5" hidden="1" spans="1:5">
      <c r="A7013" s="2" t="str">
        <f>"祝宇航"</f>
        <v>祝宇航</v>
      </c>
      <c r="B7013" s="2" t="str">
        <f>"B20230201217"</f>
        <v>B20230201217</v>
      </c>
      <c r="C7013" s="2" t="str">
        <f>"男"</f>
        <v>男</v>
      </c>
      <c r="D7013" s="2" t="str">
        <f t="shared" si="1780"/>
        <v>5</v>
      </c>
      <c r="E7013" s="2" t="str">
        <f>"机电工程学院"</f>
        <v>机电工程学院</v>
      </c>
    </row>
    <row r="7014" ht="13.5" hidden="1" spans="1:5">
      <c r="A7014" s="2" t="str">
        <f>"谭飞翔"</f>
        <v>谭飞翔</v>
      </c>
      <c r="B7014" s="2" t="str">
        <f>"B20231401111"</f>
        <v>B20231401111</v>
      </c>
      <c r="C7014" s="2" t="str">
        <f t="shared" si="1790"/>
        <v>女</v>
      </c>
      <c r="D7014" s="2" t="str">
        <f t="shared" si="1780"/>
        <v>5</v>
      </c>
      <c r="E7014" s="2" t="str">
        <f>"马克思主义学院"</f>
        <v>马克思主义学院</v>
      </c>
    </row>
    <row r="7015" ht="13.5" hidden="1" spans="1:5">
      <c r="A7015" s="2" t="str">
        <f>"谭圳珍"</f>
        <v>谭圳珍</v>
      </c>
      <c r="B7015" s="2" t="str">
        <f>"B20210104206"</f>
        <v>B20210104206</v>
      </c>
      <c r="C7015" s="2" t="str">
        <f t="shared" si="1790"/>
        <v>女</v>
      </c>
      <c r="D7015" s="2" t="str">
        <f t="shared" si="1780"/>
        <v>5</v>
      </c>
      <c r="E7015" s="2" t="str">
        <f>"土木工程学院"</f>
        <v>土木工程学院</v>
      </c>
    </row>
    <row r="7016" ht="13.5" hidden="1" spans="1:5">
      <c r="A7016" s="2" t="str">
        <f>"李海林"</f>
        <v>李海林</v>
      </c>
      <c r="B7016" s="2" t="str">
        <f>"B20220101611"</f>
        <v>B20220101611</v>
      </c>
      <c r="C7016" s="2" t="str">
        <f>"男"</f>
        <v>男</v>
      </c>
      <c r="D7016" s="2" t="str">
        <f t="shared" si="1780"/>
        <v>5</v>
      </c>
      <c r="E7016" s="2" t="str">
        <f>"土木工程学院"</f>
        <v>土木工程学院</v>
      </c>
    </row>
    <row r="7017" ht="13.5" hidden="1" spans="1:5">
      <c r="A7017" s="2" t="str">
        <f>"何怡朵"</f>
        <v>何怡朵</v>
      </c>
      <c r="B7017" s="2" t="str">
        <f>"B20221202127"</f>
        <v>B20221202127</v>
      </c>
      <c r="C7017" s="2" t="str">
        <f>"女"</f>
        <v>女</v>
      </c>
      <c r="D7017" s="2" t="str">
        <f>"3"</f>
        <v>3</v>
      </c>
      <c r="E7017" s="2" t="str">
        <f>"数学学院"</f>
        <v>数学学院</v>
      </c>
    </row>
    <row r="7018" ht="13.5" hidden="1" spans="1:5">
      <c r="A7018" s="2" t="str">
        <f>"刘家彤"</f>
        <v>刘家彤</v>
      </c>
      <c r="B7018" s="2" t="str">
        <f>"B20220704105"</f>
        <v>B20220704105</v>
      </c>
      <c r="C7018" s="2" t="str">
        <f t="shared" ref="C7018:C7025" si="1791">"女"</f>
        <v>女</v>
      </c>
      <c r="D7018" s="2" t="str">
        <f t="shared" si="1780"/>
        <v>5</v>
      </c>
      <c r="E7018" s="2" t="str">
        <f t="shared" ref="E7018:E7022" si="1792">"马栏山新媒体学院"</f>
        <v>马栏山新媒体学院</v>
      </c>
    </row>
    <row r="7019" ht="13.5" hidden="1" spans="1:5">
      <c r="A7019" s="2" t="str">
        <f>"孙心怡"</f>
        <v>孙心怡</v>
      </c>
      <c r="B7019" s="2" t="str">
        <f>"B20230704212"</f>
        <v>B20230704212</v>
      </c>
      <c r="C7019" s="2" t="str">
        <f t="shared" si="1791"/>
        <v>女</v>
      </c>
      <c r="D7019" s="2" t="str">
        <f t="shared" si="1780"/>
        <v>5</v>
      </c>
      <c r="E7019" s="2" t="str">
        <f t="shared" si="1792"/>
        <v>马栏山新媒体学院</v>
      </c>
    </row>
    <row r="7020" ht="13.5" hidden="1" spans="1:5">
      <c r="A7020" s="2" t="str">
        <f>"涂杨阳"</f>
        <v>涂杨阳</v>
      </c>
      <c r="B7020" s="2" t="str">
        <f>"B20230402112"</f>
        <v>B20230402112</v>
      </c>
      <c r="C7020" s="2" t="str">
        <f>"男"</f>
        <v>男</v>
      </c>
      <c r="D7020" s="2" t="str">
        <f t="shared" si="1780"/>
        <v>5</v>
      </c>
      <c r="E7020" s="2" t="str">
        <f>"电子信息与电气工程学院"</f>
        <v>电子信息与电气工程学院</v>
      </c>
    </row>
    <row r="7021" ht="13.5" hidden="1" spans="1:5">
      <c r="A7021" s="2" t="str">
        <f>"王冠珠"</f>
        <v>王冠珠</v>
      </c>
      <c r="B7021" s="2" t="str">
        <f>"B20221202132"</f>
        <v>B20221202132</v>
      </c>
      <c r="C7021" s="2" t="str">
        <f>"男"</f>
        <v>男</v>
      </c>
      <c r="D7021" s="2" t="str">
        <f>"3"</f>
        <v>3</v>
      </c>
      <c r="E7021" s="2" t="str">
        <f>"数学学院"</f>
        <v>数学学院</v>
      </c>
    </row>
    <row r="7022" ht="13.5" hidden="1" spans="1:5">
      <c r="A7022" s="2" t="str">
        <f>"谢心怡"</f>
        <v>谢心怡</v>
      </c>
      <c r="B7022" s="2" t="str">
        <f>"B20220702414"</f>
        <v>B20220702414</v>
      </c>
      <c r="C7022" s="2" t="str">
        <f t="shared" si="1791"/>
        <v>女</v>
      </c>
      <c r="D7022" s="2" t="str">
        <f t="shared" si="1780"/>
        <v>5</v>
      </c>
      <c r="E7022" s="2" t="str">
        <f t="shared" si="1792"/>
        <v>马栏山新媒体学院</v>
      </c>
    </row>
    <row r="7023" ht="13.5" hidden="1" spans="1:5">
      <c r="A7023" s="2" t="str">
        <f>"唐睿聪"</f>
        <v>唐睿聪</v>
      </c>
      <c r="B7023" s="2" t="str">
        <f>"B20201001201"</f>
        <v>B20201001201</v>
      </c>
      <c r="C7023" s="2" t="str">
        <f t="shared" si="1791"/>
        <v>女</v>
      </c>
      <c r="D7023" s="2" t="str">
        <f t="shared" si="1780"/>
        <v>5</v>
      </c>
      <c r="E7023" s="2" t="str">
        <f>"艺术设计学院"</f>
        <v>艺术设计学院</v>
      </c>
    </row>
    <row r="7024" ht="13.5" hidden="1" spans="1:5">
      <c r="A7024" s="2" t="str">
        <f>"盛恬"</f>
        <v>盛恬</v>
      </c>
      <c r="B7024" s="2" t="str">
        <f>"B20221202133"</f>
        <v>B20221202133</v>
      </c>
      <c r="C7024" s="2" t="str">
        <f t="shared" si="1791"/>
        <v>女</v>
      </c>
      <c r="D7024" s="2" t="str">
        <f>"6"</f>
        <v>6</v>
      </c>
      <c r="E7024" s="2" t="str">
        <f>"数学学院"</f>
        <v>数学学院</v>
      </c>
    </row>
    <row r="7025" ht="13.5" hidden="1" spans="1:5">
      <c r="A7025" s="2" t="str">
        <f>"邱佳怡"</f>
        <v>邱佳怡</v>
      </c>
      <c r="B7025" s="2" t="str">
        <f>"B20210901104"</f>
        <v>B20210901104</v>
      </c>
      <c r="C7025" s="2" t="str">
        <f t="shared" si="1791"/>
        <v>女</v>
      </c>
      <c r="D7025" s="2" t="str">
        <f t="shared" si="1780"/>
        <v>5</v>
      </c>
      <c r="E7025" s="2" t="str">
        <f>"经济与管理学院"</f>
        <v>经济与管理学院</v>
      </c>
    </row>
    <row r="7026" ht="13.5" hidden="1" spans="1:5">
      <c r="A7026" s="2" t="str">
        <f>"向雨轩"</f>
        <v>向雨轩</v>
      </c>
      <c r="B7026" s="2" t="str">
        <f>"B20221202201"</f>
        <v>B20221202201</v>
      </c>
      <c r="C7026" s="2" t="str">
        <f>"男"</f>
        <v>男</v>
      </c>
      <c r="D7026" s="2" t="str">
        <f>"7"</f>
        <v>7</v>
      </c>
      <c r="E7026" s="2" t="str">
        <f>"数学学院"</f>
        <v>数学学院</v>
      </c>
    </row>
    <row r="7027" ht="13.5" hidden="1" spans="1:5">
      <c r="A7027" s="2" t="str">
        <f>"万达"</f>
        <v>万达</v>
      </c>
      <c r="B7027" s="2" t="str">
        <f>"B20210902126"</f>
        <v>B20210902126</v>
      </c>
      <c r="C7027" s="2" t="str">
        <f>"男"</f>
        <v>男</v>
      </c>
      <c r="D7027" s="2" t="str">
        <f t="shared" si="1780"/>
        <v>5</v>
      </c>
      <c r="E7027" s="2" t="str">
        <f>"法学院"</f>
        <v>法学院</v>
      </c>
    </row>
    <row r="7028" ht="13.5" hidden="1" spans="1:5">
      <c r="A7028" s="2" t="str">
        <f>"胡依祺"</f>
        <v>胡依祺</v>
      </c>
      <c r="B7028" s="2" t="str">
        <f>"B20210601405"</f>
        <v>B20210601405</v>
      </c>
      <c r="C7028" s="2" t="str">
        <f t="shared" ref="C7028:C7031" si="1793">"女"</f>
        <v>女</v>
      </c>
      <c r="D7028" s="2" t="str">
        <f t="shared" si="1780"/>
        <v>5</v>
      </c>
      <c r="E7028" s="2" t="str">
        <f>"法学院"</f>
        <v>法学院</v>
      </c>
    </row>
    <row r="7029" ht="13.5" hidden="1" spans="1:5">
      <c r="A7029" s="2" t="str">
        <f>"熊燕"</f>
        <v>熊燕</v>
      </c>
      <c r="B7029" s="2" t="str">
        <f>"B20230903222"</f>
        <v>B20230903222</v>
      </c>
      <c r="C7029" s="2" t="str">
        <f t="shared" si="1793"/>
        <v>女</v>
      </c>
      <c r="D7029" s="2" t="str">
        <f t="shared" si="1780"/>
        <v>5</v>
      </c>
      <c r="E7029" s="2" t="str">
        <f>"经济与管理学院"</f>
        <v>经济与管理学院</v>
      </c>
    </row>
    <row r="7030" ht="13.5" hidden="1" spans="1:5">
      <c r="A7030" s="2" t="str">
        <f>"黎静茹"</f>
        <v>黎静茹</v>
      </c>
      <c r="B7030" s="2" t="str">
        <f>"B20230702206"</f>
        <v>B20230702206</v>
      </c>
      <c r="C7030" s="2" t="str">
        <f t="shared" si="1793"/>
        <v>女</v>
      </c>
      <c r="D7030" s="2" t="str">
        <f t="shared" si="1780"/>
        <v>5</v>
      </c>
      <c r="E7030" s="2" t="str">
        <f>"马栏山新媒体学院"</f>
        <v>马栏山新媒体学院</v>
      </c>
    </row>
    <row r="7031" ht="13.5" hidden="1" spans="1:5">
      <c r="A7031" s="2" t="str">
        <f>"刘盼"</f>
        <v>刘盼</v>
      </c>
      <c r="B7031" s="2" t="str">
        <f>"B20230101424"</f>
        <v>B20230101424</v>
      </c>
      <c r="C7031" s="2" t="str">
        <f t="shared" si="1793"/>
        <v>女</v>
      </c>
      <c r="D7031" s="2" t="str">
        <f t="shared" si="1780"/>
        <v>5</v>
      </c>
      <c r="E7031" s="2" t="str">
        <f>"土木工程学院"</f>
        <v>土木工程学院</v>
      </c>
    </row>
    <row r="7032" ht="13.5" hidden="1" spans="1:5">
      <c r="A7032" s="2" t="str">
        <f>"何翔宇"</f>
        <v>何翔宇</v>
      </c>
      <c r="B7032" s="2" t="str">
        <f>"B20230101409"</f>
        <v>B20230101409</v>
      </c>
      <c r="C7032" s="2" t="str">
        <f>"男"</f>
        <v>男</v>
      </c>
      <c r="D7032" s="2" t="str">
        <f t="shared" si="1780"/>
        <v>5</v>
      </c>
      <c r="E7032" s="2" t="str">
        <f>"土木工程学院"</f>
        <v>土木工程学院</v>
      </c>
    </row>
    <row r="7033" ht="13.5" hidden="1" spans="1:5">
      <c r="A7033" s="2" t="str">
        <f>"许阳"</f>
        <v>许阳</v>
      </c>
      <c r="B7033" s="2" t="str">
        <f>"B20210901225"</f>
        <v>B20210901225</v>
      </c>
      <c r="C7033" s="2" t="str">
        <f t="shared" ref="C7033:C7035" si="1794">"女"</f>
        <v>女</v>
      </c>
      <c r="D7033" s="2" t="str">
        <f t="shared" si="1780"/>
        <v>5</v>
      </c>
      <c r="E7033" s="2" t="str">
        <f>"经济与管理学院"</f>
        <v>经济与管理学院</v>
      </c>
    </row>
    <row r="7034" ht="13.5" hidden="1" spans="1:5">
      <c r="A7034" s="2" t="str">
        <f>"谢慧琳"</f>
        <v>谢慧琳</v>
      </c>
      <c r="B7034" s="2" t="str">
        <f>"B20221111123"</f>
        <v>B20221111123</v>
      </c>
      <c r="C7034" s="2" t="str">
        <f t="shared" si="1794"/>
        <v>女</v>
      </c>
      <c r="D7034" s="2" t="str">
        <f t="shared" si="1780"/>
        <v>5</v>
      </c>
      <c r="E7034" s="2" t="str">
        <f>"音乐学院"</f>
        <v>音乐学院</v>
      </c>
    </row>
    <row r="7035" ht="13.5" hidden="1" spans="1:5">
      <c r="A7035" s="2" t="str">
        <f>"李莉"</f>
        <v>李莉</v>
      </c>
      <c r="B7035" s="2" t="str">
        <f>"B20210903131"</f>
        <v>B20210903131</v>
      </c>
      <c r="C7035" s="2" t="str">
        <f t="shared" si="1794"/>
        <v>女</v>
      </c>
      <c r="D7035" s="2" t="str">
        <f t="shared" si="1780"/>
        <v>5</v>
      </c>
      <c r="E7035" s="2" t="str">
        <f>"经济与管理学院"</f>
        <v>经济与管理学院</v>
      </c>
    </row>
    <row r="7036" ht="13.5" hidden="1" spans="1:5">
      <c r="A7036" s="2" t="str">
        <f>"李超"</f>
        <v>李超</v>
      </c>
      <c r="B7036" s="2" t="str">
        <f>"B20220404124"</f>
        <v>B20220404124</v>
      </c>
      <c r="C7036" s="2" t="str">
        <f>"男"</f>
        <v>男</v>
      </c>
      <c r="D7036" s="2" t="str">
        <f t="shared" si="1780"/>
        <v>5</v>
      </c>
      <c r="E7036" s="2" t="str">
        <f>"电子信息与电气工程学院"</f>
        <v>电子信息与电气工程学院</v>
      </c>
    </row>
    <row r="7037" ht="13.5" hidden="1" spans="1:5">
      <c r="A7037" s="2" t="str">
        <f>"王维杰"</f>
        <v>王维杰</v>
      </c>
      <c r="B7037" s="2" t="str">
        <f>"B20221202202"</f>
        <v>B20221202202</v>
      </c>
      <c r="C7037" s="2" t="str">
        <f>"男"</f>
        <v>男</v>
      </c>
      <c r="D7037" s="2" t="str">
        <f>"3"</f>
        <v>3</v>
      </c>
      <c r="E7037" s="2" t="str">
        <f>"数学学院"</f>
        <v>数学学院</v>
      </c>
    </row>
    <row r="7038" ht="13.5" hidden="1" spans="1:5">
      <c r="A7038" s="2" t="str">
        <f>"杨爱梅"</f>
        <v>杨爱梅</v>
      </c>
      <c r="B7038" s="2" t="str">
        <f>"B20231111105"</f>
        <v>B20231111105</v>
      </c>
      <c r="C7038" s="2" t="str">
        <f t="shared" ref="C7038:C7043" si="1795">"女"</f>
        <v>女</v>
      </c>
      <c r="D7038" s="2" t="str">
        <f t="shared" si="1780"/>
        <v>5</v>
      </c>
      <c r="E7038" s="2" t="str">
        <f>"音乐学院"</f>
        <v>音乐学院</v>
      </c>
    </row>
    <row r="7039" ht="13.5" hidden="1" spans="1:5">
      <c r="A7039" s="2" t="str">
        <f>"周诗语"</f>
        <v>周诗语</v>
      </c>
      <c r="B7039" s="2" t="str">
        <f>"B20231002103"</f>
        <v>B20231002103</v>
      </c>
      <c r="C7039" s="2" t="str">
        <f t="shared" si="1795"/>
        <v>女</v>
      </c>
      <c r="D7039" s="2" t="str">
        <f t="shared" si="1780"/>
        <v>5</v>
      </c>
      <c r="E7039" s="2" t="str">
        <f>"艺术设计学院"</f>
        <v>艺术设计学院</v>
      </c>
    </row>
    <row r="7040" ht="13.5" hidden="1" spans="1:5">
      <c r="A7040" s="2" t="str">
        <f>"陈映孜"</f>
        <v>陈映孜</v>
      </c>
      <c r="B7040" s="2" t="str">
        <f>"B20220504319"</f>
        <v>B20220504319</v>
      </c>
      <c r="C7040" s="2" t="str">
        <f t="shared" si="1795"/>
        <v>女</v>
      </c>
      <c r="D7040" s="2" t="str">
        <f t="shared" si="1780"/>
        <v>5</v>
      </c>
      <c r="E7040" s="2" t="str">
        <f>"生物与化学工程学院"</f>
        <v>生物与化学工程学院</v>
      </c>
    </row>
    <row r="7041" ht="13.5" hidden="1" spans="1:5">
      <c r="A7041" s="2" t="str">
        <f>"李孟文"</f>
        <v>李孟文</v>
      </c>
      <c r="B7041" s="2" t="str">
        <f>"B20220803212"</f>
        <v>B20220803212</v>
      </c>
      <c r="C7041" s="2" t="str">
        <f t="shared" si="1795"/>
        <v>女</v>
      </c>
      <c r="D7041" s="2" t="str">
        <f t="shared" ref="D7041:D7104" si="1796">"5"</f>
        <v>5</v>
      </c>
      <c r="E7041" s="2" t="str">
        <f>"外国语学院"</f>
        <v>外国语学院</v>
      </c>
    </row>
    <row r="7042" ht="13.5" hidden="1" spans="1:5">
      <c r="A7042" s="2" t="str">
        <f>"曹广"</f>
        <v>曹广</v>
      </c>
      <c r="B7042" s="2" t="str">
        <f>"B20221202204"</f>
        <v>B20221202204</v>
      </c>
      <c r="C7042" s="2" t="str">
        <f>"男"</f>
        <v>男</v>
      </c>
      <c r="D7042" s="2" t="str">
        <f>"6"</f>
        <v>6</v>
      </c>
      <c r="E7042" s="2" t="str">
        <f>"数学学院"</f>
        <v>数学学院</v>
      </c>
    </row>
    <row r="7043" ht="13.5" hidden="1" spans="1:5">
      <c r="A7043" s="2" t="str">
        <f>"刘安娜"</f>
        <v>刘安娜</v>
      </c>
      <c r="B7043" s="2" t="str">
        <f>"B20210906116"</f>
        <v>B20210906116</v>
      </c>
      <c r="C7043" s="2" t="str">
        <f t="shared" si="1795"/>
        <v>女</v>
      </c>
      <c r="D7043" s="2" t="str">
        <f t="shared" si="1796"/>
        <v>5</v>
      </c>
      <c r="E7043" s="2" t="str">
        <f>"经济与管理学院"</f>
        <v>经济与管理学院</v>
      </c>
    </row>
    <row r="7044" ht="13.5" hidden="1" spans="1:5">
      <c r="A7044" s="2" t="str">
        <f>"刘纵宇"</f>
        <v>刘纵宇</v>
      </c>
      <c r="B7044" s="2" t="str">
        <f>"B20230101301"</f>
        <v>B20230101301</v>
      </c>
      <c r="C7044" s="2" t="str">
        <f>"男"</f>
        <v>男</v>
      </c>
      <c r="D7044" s="2" t="str">
        <f t="shared" si="1796"/>
        <v>5</v>
      </c>
      <c r="E7044" s="2" t="str">
        <f>"土木工程学院"</f>
        <v>土木工程学院</v>
      </c>
    </row>
    <row r="7045" ht="13.5" hidden="1" spans="1:5">
      <c r="A7045" s="2" t="str">
        <f>"冯添语"</f>
        <v>冯添语</v>
      </c>
      <c r="B7045" s="2" t="str">
        <f>"B20230701414"</f>
        <v>B20230701414</v>
      </c>
      <c r="C7045" s="2" t="str">
        <f t="shared" ref="C7045:C7053" si="1797">"女"</f>
        <v>女</v>
      </c>
      <c r="D7045" s="2" t="str">
        <f t="shared" si="1796"/>
        <v>5</v>
      </c>
      <c r="E7045" s="2" t="str">
        <f t="shared" ref="E7045:E7048" si="1798">"马栏山新媒体学院"</f>
        <v>马栏山新媒体学院</v>
      </c>
    </row>
    <row r="7046" ht="13.5" hidden="1" spans="1:5">
      <c r="A7046" s="2" t="str">
        <f>"梁冰蕊"</f>
        <v>梁冰蕊</v>
      </c>
      <c r="B7046" s="2" t="str">
        <f>"B20230703217"</f>
        <v>B20230703217</v>
      </c>
      <c r="C7046" s="2" t="str">
        <f t="shared" si="1797"/>
        <v>女</v>
      </c>
      <c r="D7046" s="2" t="str">
        <f t="shared" si="1796"/>
        <v>5</v>
      </c>
      <c r="E7046" s="2" t="str">
        <f t="shared" si="1798"/>
        <v>马栏山新媒体学院</v>
      </c>
    </row>
    <row r="7047" ht="13.5" hidden="1" spans="1:5">
      <c r="A7047" s="2" t="str">
        <f>"曾艺涵"</f>
        <v>曾艺涵</v>
      </c>
      <c r="B7047" s="2" t="str">
        <f>"B20220103228"</f>
        <v>B20220103228</v>
      </c>
      <c r="C7047" s="2" t="str">
        <f t="shared" si="1797"/>
        <v>女</v>
      </c>
      <c r="D7047" s="2" t="str">
        <f t="shared" si="1796"/>
        <v>5</v>
      </c>
      <c r="E7047" s="2" t="str">
        <f>"土木工程学院"</f>
        <v>土木工程学院</v>
      </c>
    </row>
    <row r="7048" ht="13.5" hidden="1" spans="1:5">
      <c r="A7048" s="2" t="str">
        <f>"李佩玲"</f>
        <v>李佩玲</v>
      </c>
      <c r="B7048" s="2" t="str">
        <f>"B20210704210"</f>
        <v>B20210704210</v>
      </c>
      <c r="C7048" s="2" t="str">
        <f t="shared" si="1797"/>
        <v>女</v>
      </c>
      <c r="D7048" s="2" t="str">
        <f t="shared" si="1796"/>
        <v>5</v>
      </c>
      <c r="E7048" s="2" t="str">
        <f t="shared" si="1798"/>
        <v>马栏山新媒体学院</v>
      </c>
    </row>
    <row r="7049" ht="13.5" hidden="1" spans="1:5">
      <c r="A7049" s="2" t="str">
        <f>"杨于语"</f>
        <v>杨于语</v>
      </c>
      <c r="B7049" s="2" t="str">
        <f>"B20221111101"</f>
        <v>B20221111101</v>
      </c>
      <c r="C7049" s="2" t="str">
        <f t="shared" si="1797"/>
        <v>女</v>
      </c>
      <c r="D7049" s="2" t="str">
        <f t="shared" si="1796"/>
        <v>5</v>
      </c>
      <c r="E7049" s="2" t="str">
        <f>"音乐学院"</f>
        <v>音乐学院</v>
      </c>
    </row>
    <row r="7050" ht="13.5" hidden="1" spans="1:5">
      <c r="A7050" s="2" t="str">
        <f>"周学婷"</f>
        <v>周学婷</v>
      </c>
      <c r="B7050" s="2" t="str">
        <f>"B20220801315"</f>
        <v>B20220801315</v>
      </c>
      <c r="C7050" s="2" t="str">
        <f t="shared" si="1797"/>
        <v>女</v>
      </c>
      <c r="D7050" s="2" t="str">
        <f t="shared" si="1796"/>
        <v>5</v>
      </c>
      <c r="E7050" s="2" t="str">
        <f>"外国语学院"</f>
        <v>外国语学院</v>
      </c>
    </row>
    <row r="7051" ht="13.5" hidden="1" spans="1:5">
      <c r="A7051" s="2" t="str">
        <f>"胡文思"</f>
        <v>胡文思</v>
      </c>
      <c r="B7051" s="2" t="str">
        <f>"B20220103230"</f>
        <v>B20220103230</v>
      </c>
      <c r="C7051" s="2" t="str">
        <f t="shared" si="1797"/>
        <v>女</v>
      </c>
      <c r="D7051" s="2" t="str">
        <f t="shared" si="1796"/>
        <v>5</v>
      </c>
      <c r="E7051" s="2" t="str">
        <f>"土木工程学院"</f>
        <v>土木工程学院</v>
      </c>
    </row>
    <row r="7052" ht="13.5" hidden="1" spans="1:5">
      <c r="A7052" s="2" t="str">
        <f>"禹欣然"</f>
        <v>禹欣然</v>
      </c>
      <c r="B7052" s="2" t="str">
        <f>"B20210201109"</f>
        <v>B20210201109</v>
      </c>
      <c r="C7052" s="2" t="str">
        <f t="shared" si="1797"/>
        <v>女</v>
      </c>
      <c r="D7052" s="2" t="str">
        <f t="shared" si="1796"/>
        <v>5</v>
      </c>
      <c r="E7052" s="2" t="str">
        <f>"机电工程学院"</f>
        <v>机电工程学院</v>
      </c>
    </row>
    <row r="7053" ht="13.5" hidden="1" spans="1:5">
      <c r="A7053" s="2" t="str">
        <f>"周颖"</f>
        <v>周颖</v>
      </c>
      <c r="B7053" s="2" t="str">
        <f>"B20220601116"</f>
        <v>B20220601116</v>
      </c>
      <c r="C7053" s="2" t="str">
        <f t="shared" si="1797"/>
        <v>女</v>
      </c>
      <c r="D7053" s="2" t="str">
        <f t="shared" si="1796"/>
        <v>5</v>
      </c>
      <c r="E7053" s="2" t="str">
        <f>"法学院"</f>
        <v>法学院</v>
      </c>
    </row>
    <row r="7054" ht="13.5" hidden="1" spans="1:5">
      <c r="A7054" s="2" t="str">
        <f>"李尚宇"</f>
        <v>李尚宇</v>
      </c>
      <c r="B7054" s="2" t="str">
        <f>"B20210504219"</f>
        <v>B20210504219</v>
      </c>
      <c r="C7054" s="2" t="str">
        <f>"男"</f>
        <v>男</v>
      </c>
      <c r="D7054" s="2" t="str">
        <f t="shared" si="1796"/>
        <v>5</v>
      </c>
      <c r="E7054" s="2" t="str">
        <f>"生物与化学工程学院"</f>
        <v>生物与化学工程学院</v>
      </c>
    </row>
    <row r="7055" ht="13.5" hidden="1" spans="1:5">
      <c r="A7055" s="2" t="str">
        <f>"汪雯"</f>
        <v>汪雯</v>
      </c>
      <c r="B7055" s="2" t="str">
        <f>"B20221202210"</f>
        <v>B20221202210</v>
      </c>
      <c r="C7055" s="2" t="str">
        <f>"女"</f>
        <v>女</v>
      </c>
      <c r="D7055" s="2" t="str">
        <f>"7"</f>
        <v>7</v>
      </c>
      <c r="E7055" s="2" t="str">
        <f>"数学学院"</f>
        <v>数学学院</v>
      </c>
    </row>
    <row r="7056" ht="13.5" hidden="1" spans="1:5">
      <c r="A7056" s="2" t="str">
        <f>"周影锋"</f>
        <v>周影锋</v>
      </c>
      <c r="B7056" s="2" t="str">
        <f>"B20210505107"</f>
        <v>B20210505107</v>
      </c>
      <c r="C7056" s="2" t="str">
        <f t="shared" ref="C7056:C7058" si="1799">"女"</f>
        <v>女</v>
      </c>
      <c r="D7056" s="2" t="str">
        <f t="shared" si="1796"/>
        <v>5</v>
      </c>
      <c r="E7056" s="2" t="str">
        <f>"材料与环境工程学院"</f>
        <v>材料与环境工程学院</v>
      </c>
    </row>
    <row r="7057" ht="13.5" hidden="1" spans="1:5">
      <c r="A7057" s="2" t="str">
        <f>"陈然"</f>
        <v>陈然</v>
      </c>
      <c r="B7057" s="2" t="str">
        <f>"B20231111116"</f>
        <v>B20231111116</v>
      </c>
      <c r="C7057" s="2" t="str">
        <f t="shared" si="1799"/>
        <v>女</v>
      </c>
      <c r="D7057" s="2" t="str">
        <f t="shared" si="1796"/>
        <v>5</v>
      </c>
      <c r="E7057" s="2" t="str">
        <f>"音乐学院"</f>
        <v>音乐学院</v>
      </c>
    </row>
    <row r="7058" ht="13.5" hidden="1" spans="1:5">
      <c r="A7058" s="2" t="str">
        <f>"王雅淇"</f>
        <v>王雅淇</v>
      </c>
      <c r="B7058" s="2" t="str">
        <f>"B20201004115"</f>
        <v>B20201004115</v>
      </c>
      <c r="C7058" s="2" t="str">
        <f t="shared" si="1799"/>
        <v>女</v>
      </c>
      <c r="D7058" s="2" t="str">
        <f t="shared" si="1796"/>
        <v>5</v>
      </c>
      <c r="E7058" s="2" t="str">
        <f>"艺术设计学院"</f>
        <v>艺术设计学院</v>
      </c>
    </row>
    <row r="7059" ht="13.5" hidden="1" spans="1:5">
      <c r="A7059" s="2" t="str">
        <f>"石阳彬"</f>
        <v>石阳彬</v>
      </c>
      <c r="B7059" s="2" t="str">
        <f>"B20230401215"</f>
        <v>B20230401215</v>
      </c>
      <c r="C7059" s="2" t="str">
        <f>"男"</f>
        <v>男</v>
      </c>
      <c r="D7059" s="2" t="str">
        <f t="shared" si="1796"/>
        <v>5</v>
      </c>
      <c r="E7059" s="2" t="str">
        <f>"电子信息与电气工程学院"</f>
        <v>电子信息与电气工程学院</v>
      </c>
    </row>
    <row r="7060" ht="13.5" hidden="1" spans="1:5">
      <c r="A7060" s="2" t="str">
        <f>"倪徐奕"</f>
        <v>倪徐奕</v>
      </c>
      <c r="B7060" s="2" t="str">
        <f>"B20210704113"</f>
        <v>B20210704113</v>
      </c>
      <c r="C7060" s="2" t="str">
        <f>"女"</f>
        <v>女</v>
      </c>
      <c r="D7060" s="2" t="str">
        <f t="shared" si="1796"/>
        <v>5</v>
      </c>
      <c r="E7060" s="2" t="str">
        <f>"马栏山新媒体学院"</f>
        <v>马栏山新媒体学院</v>
      </c>
    </row>
    <row r="7061" ht="13.5" hidden="1" spans="1:5">
      <c r="A7061" s="2" t="str">
        <f>"瞿智"</f>
        <v>瞿智</v>
      </c>
      <c r="B7061" s="2" t="str">
        <f>"B20230202410"</f>
        <v>B20230202410</v>
      </c>
      <c r="C7061" s="2" t="str">
        <f t="shared" ref="C7061:C7065" si="1800">"男"</f>
        <v>男</v>
      </c>
      <c r="D7061" s="2" t="str">
        <f t="shared" si="1796"/>
        <v>5</v>
      </c>
      <c r="E7061" s="2" t="str">
        <f>"机电工程学院"</f>
        <v>机电工程学院</v>
      </c>
    </row>
    <row r="7062" ht="13.5" hidden="1" spans="1:5">
      <c r="A7062" s="2" t="str">
        <f>"陈思男"</f>
        <v>陈思男</v>
      </c>
      <c r="B7062" s="2" t="str">
        <f>"B20231101230"</f>
        <v>B20231101230</v>
      </c>
      <c r="C7062" s="2" t="str">
        <f t="shared" si="1800"/>
        <v>男</v>
      </c>
      <c r="D7062" s="2" t="str">
        <f t="shared" si="1796"/>
        <v>5</v>
      </c>
      <c r="E7062" s="2" t="str">
        <f>"音乐学院"</f>
        <v>音乐学院</v>
      </c>
    </row>
    <row r="7063" ht="13.5" hidden="1" spans="1:5">
      <c r="A7063" s="2" t="str">
        <f>"张博"</f>
        <v>张博</v>
      </c>
      <c r="B7063" s="2" t="str">
        <f>"B20230601127"</f>
        <v>B20230601127</v>
      </c>
      <c r="C7063" s="2" t="str">
        <f t="shared" si="1800"/>
        <v>男</v>
      </c>
      <c r="D7063" s="2" t="str">
        <f t="shared" si="1796"/>
        <v>5</v>
      </c>
      <c r="E7063" s="2" t="str">
        <f>"法学院"</f>
        <v>法学院</v>
      </c>
    </row>
    <row r="7064" ht="13.5" hidden="1" spans="1:5">
      <c r="A7064" s="2" t="str">
        <f>"邓涛峰"</f>
        <v>邓涛峰</v>
      </c>
      <c r="B7064" s="2" t="str">
        <f>"B20230403224"</f>
        <v>B20230403224</v>
      </c>
      <c r="C7064" s="2" t="str">
        <f t="shared" si="1800"/>
        <v>男</v>
      </c>
      <c r="D7064" s="2" t="str">
        <f t="shared" si="1796"/>
        <v>5</v>
      </c>
      <c r="E7064" s="2" t="str">
        <f>"电子信息与电气工程学院"</f>
        <v>电子信息与电气工程学院</v>
      </c>
    </row>
    <row r="7065" ht="13.5" hidden="1" spans="1:5">
      <c r="A7065" s="2" t="str">
        <f>"罗安琪"</f>
        <v>罗安琪</v>
      </c>
      <c r="B7065" s="2" t="str">
        <f>"B20230101108"</f>
        <v>B20230101108</v>
      </c>
      <c r="C7065" s="2" t="str">
        <f t="shared" si="1800"/>
        <v>男</v>
      </c>
      <c r="D7065" s="2" t="str">
        <f t="shared" si="1796"/>
        <v>5</v>
      </c>
      <c r="E7065" s="2" t="str">
        <f>"土木工程学院"</f>
        <v>土木工程学院</v>
      </c>
    </row>
    <row r="7066" ht="13.5" hidden="1" spans="1:5">
      <c r="A7066" s="2" t="str">
        <f>"李欣怡"</f>
        <v>李欣怡</v>
      </c>
      <c r="B7066" s="2" t="str">
        <f>"B20230902219"</f>
        <v>B20230902219</v>
      </c>
      <c r="C7066" s="2" t="str">
        <f>"女"</f>
        <v>女</v>
      </c>
      <c r="D7066" s="2" t="str">
        <f t="shared" si="1796"/>
        <v>5</v>
      </c>
      <c r="E7066" s="2" t="str">
        <f>"经济与管理学院"</f>
        <v>经济与管理学院</v>
      </c>
    </row>
    <row r="7067" ht="13.5" hidden="1" spans="1:5">
      <c r="A7067" s="2" t="str">
        <f>"宋可怡"</f>
        <v>宋可怡</v>
      </c>
      <c r="B7067" s="2" t="str">
        <f>"B20220101218"</f>
        <v>B20220101218</v>
      </c>
      <c r="C7067" s="2" t="str">
        <f>"女"</f>
        <v>女</v>
      </c>
      <c r="D7067" s="2" t="str">
        <f t="shared" si="1796"/>
        <v>5</v>
      </c>
      <c r="E7067" s="2" t="str">
        <f>"土木工程学院"</f>
        <v>土木工程学院</v>
      </c>
    </row>
    <row r="7068" ht="13.5" hidden="1" spans="1:5">
      <c r="A7068" s="2" t="str">
        <f>"唐豪杰"</f>
        <v>唐豪杰</v>
      </c>
      <c r="B7068" s="2" t="str">
        <f>"B20221202211"</f>
        <v>B20221202211</v>
      </c>
      <c r="C7068" s="2" t="str">
        <f>"男"</f>
        <v>男</v>
      </c>
      <c r="D7068" s="2" t="str">
        <f t="shared" si="1796"/>
        <v>5</v>
      </c>
      <c r="E7068" s="2" t="str">
        <f>"数学学院"</f>
        <v>数学学院</v>
      </c>
    </row>
    <row r="7069" ht="13.5" hidden="1" spans="1:5">
      <c r="A7069" s="2" t="str">
        <f>"贺华康"</f>
        <v>贺华康</v>
      </c>
      <c r="B7069" s="2" t="str">
        <f>"B20221202212"</f>
        <v>B20221202212</v>
      </c>
      <c r="C7069" s="2" t="str">
        <f>"男"</f>
        <v>男</v>
      </c>
      <c r="D7069" s="2" t="str">
        <f>"3"</f>
        <v>3</v>
      </c>
      <c r="E7069" s="2" t="str">
        <f>"数学学院"</f>
        <v>数学学院</v>
      </c>
    </row>
    <row r="7070" ht="13.5" hidden="1" spans="1:5">
      <c r="A7070" s="2" t="str">
        <f>"邓雅峰"</f>
        <v>邓雅峰</v>
      </c>
      <c r="B7070" s="2" t="str">
        <f>"B20221111207"</f>
        <v>B20221111207</v>
      </c>
      <c r="C7070" s="2" t="str">
        <f t="shared" ref="C7068:C7071" si="1801">"男"</f>
        <v>男</v>
      </c>
      <c r="D7070" s="2" t="str">
        <f t="shared" si="1796"/>
        <v>5</v>
      </c>
      <c r="E7070" s="2" t="str">
        <f>"音乐学院"</f>
        <v>音乐学院</v>
      </c>
    </row>
    <row r="7071" ht="13.5" hidden="1" spans="1:5">
      <c r="A7071" s="2" t="str">
        <f>"周众"</f>
        <v>周众</v>
      </c>
      <c r="B7071" s="2" t="str">
        <f>"B20230101324"</f>
        <v>B20230101324</v>
      </c>
      <c r="C7071" s="2" t="str">
        <f t="shared" si="1801"/>
        <v>男</v>
      </c>
      <c r="D7071" s="2" t="str">
        <f t="shared" si="1796"/>
        <v>5</v>
      </c>
      <c r="E7071" s="2" t="str">
        <f>"土木工程学院"</f>
        <v>土木工程学院</v>
      </c>
    </row>
    <row r="7072" ht="13.5" hidden="1" spans="1:5">
      <c r="A7072" s="2" t="str">
        <f>"袁馨雅"</f>
        <v>袁馨雅</v>
      </c>
      <c r="B7072" s="2" t="str">
        <f>"B20231101210"</f>
        <v>B20231101210</v>
      </c>
      <c r="C7072" s="2" t="str">
        <f t="shared" ref="C7072:C7076" si="1802">"女"</f>
        <v>女</v>
      </c>
      <c r="D7072" s="2" t="str">
        <f t="shared" si="1796"/>
        <v>5</v>
      </c>
      <c r="E7072" s="2" t="str">
        <f>"音乐学院"</f>
        <v>音乐学院</v>
      </c>
    </row>
    <row r="7073" ht="13.5" hidden="1" spans="1:5">
      <c r="A7073" s="2" t="str">
        <f>"唐晶晶"</f>
        <v>唐晶晶</v>
      </c>
      <c r="B7073" s="2" t="str">
        <f>"B20211004124"</f>
        <v>B20211004124</v>
      </c>
      <c r="C7073" s="2" t="str">
        <f t="shared" si="1802"/>
        <v>女</v>
      </c>
      <c r="D7073" s="2" t="str">
        <f t="shared" si="1796"/>
        <v>5</v>
      </c>
      <c r="E7073" s="2" t="str">
        <f>"艺术设计学院"</f>
        <v>艺术设计学院</v>
      </c>
    </row>
    <row r="7074" ht="13.5" hidden="1" spans="1:5">
      <c r="A7074" s="2" t="str">
        <f>"杨欣怡"</f>
        <v>杨欣怡</v>
      </c>
      <c r="B7074" s="2" t="str">
        <f>"B20221202213"</f>
        <v>B20221202213</v>
      </c>
      <c r="C7074" s="2" t="str">
        <f t="shared" si="1802"/>
        <v>女</v>
      </c>
      <c r="D7074" s="2" t="str">
        <f>"14"</f>
        <v>14</v>
      </c>
      <c r="E7074" s="2" t="str">
        <f>"数学学院"</f>
        <v>数学学院</v>
      </c>
    </row>
    <row r="7075" ht="13.5" hidden="1" spans="1:5">
      <c r="A7075" s="2" t="str">
        <f>"徐丹璐"</f>
        <v>徐丹璐</v>
      </c>
      <c r="B7075" s="2" t="str">
        <f>"B20210601111"</f>
        <v>B20210601111</v>
      </c>
      <c r="C7075" s="2" t="str">
        <f t="shared" si="1802"/>
        <v>女</v>
      </c>
      <c r="D7075" s="2" t="str">
        <f t="shared" si="1796"/>
        <v>5</v>
      </c>
      <c r="E7075" s="2" t="str">
        <f>"法学院"</f>
        <v>法学院</v>
      </c>
    </row>
    <row r="7076" ht="13.5" hidden="1" spans="1:5">
      <c r="A7076" s="2" t="str">
        <f>"胡依"</f>
        <v>胡依</v>
      </c>
      <c r="B7076" s="2" t="str">
        <f>"B20220801503"</f>
        <v>B20220801503</v>
      </c>
      <c r="C7076" s="2" t="str">
        <f t="shared" si="1802"/>
        <v>女</v>
      </c>
      <c r="D7076" s="2" t="str">
        <f t="shared" si="1796"/>
        <v>5</v>
      </c>
      <c r="E7076" s="2" t="str">
        <f>"外国语学院"</f>
        <v>外国语学院</v>
      </c>
    </row>
    <row r="7077" ht="13.5" hidden="1" spans="1:5">
      <c r="A7077" s="2" t="str">
        <f>"谭硕"</f>
        <v>谭硕</v>
      </c>
      <c r="B7077" s="2" t="str">
        <f>"B20210101105"</f>
        <v>B20210101105</v>
      </c>
      <c r="C7077" s="2" t="str">
        <f>"男"</f>
        <v>男</v>
      </c>
      <c r="D7077" s="2" t="str">
        <f t="shared" si="1796"/>
        <v>5</v>
      </c>
      <c r="E7077" s="2" t="str">
        <f>"土木工程学院"</f>
        <v>土木工程学院</v>
      </c>
    </row>
    <row r="7078" ht="13.5" hidden="1" spans="1:5">
      <c r="A7078" s="2" t="str">
        <f>"熊瑶"</f>
        <v>熊瑶</v>
      </c>
      <c r="B7078" s="2" t="str">
        <f>"B20210801315"</f>
        <v>B20210801315</v>
      </c>
      <c r="C7078" s="2" t="str">
        <f t="shared" ref="C7078:C7082" si="1803">"女"</f>
        <v>女</v>
      </c>
      <c r="D7078" s="2" t="str">
        <f t="shared" si="1796"/>
        <v>5</v>
      </c>
      <c r="E7078" s="2" t="str">
        <f>"外国语学院"</f>
        <v>外国语学院</v>
      </c>
    </row>
    <row r="7079" ht="13.5" hidden="1" spans="1:5">
      <c r="A7079" s="2" t="str">
        <f>"李思源"</f>
        <v>李思源</v>
      </c>
      <c r="B7079" s="2" t="str">
        <f>"B20221202214"</f>
        <v>B20221202214</v>
      </c>
      <c r="C7079" s="2" t="str">
        <f>"男"</f>
        <v>男</v>
      </c>
      <c r="D7079" s="2" t="str">
        <f>"6"</f>
        <v>6</v>
      </c>
      <c r="E7079" s="2" t="str">
        <f>"数学学院"</f>
        <v>数学学院</v>
      </c>
    </row>
    <row r="7080" ht="13.5" hidden="1" spans="1:5">
      <c r="A7080" s="2" t="str">
        <f>"黄小琪"</f>
        <v>黄小琪</v>
      </c>
      <c r="B7080" s="2" t="str">
        <f>"B20221202217"</f>
        <v>B20221202217</v>
      </c>
      <c r="C7080" s="2" t="str">
        <f>"女"</f>
        <v>女</v>
      </c>
      <c r="D7080" s="2" t="str">
        <f>"2"</f>
        <v>2</v>
      </c>
      <c r="E7080" s="2" t="str">
        <f>"数学学院"</f>
        <v>数学学院</v>
      </c>
    </row>
    <row r="7081" ht="13.5" hidden="1" spans="1:5">
      <c r="A7081" s="2" t="str">
        <f>"许露"</f>
        <v>许露</v>
      </c>
      <c r="B7081" s="2" t="str">
        <f>"B20220904308"</f>
        <v>B20220904308</v>
      </c>
      <c r="C7081" s="2" t="str">
        <f t="shared" si="1803"/>
        <v>女</v>
      </c>
      <c r="D7081" s="2" t="str">
        <f t="shared" si="1796"/>
        <v>5</v>
      </c>
      <c r="E7081" s="2" t="str">
        <f>"经济与管理学院"</f>
        <v>经济与管理学院</v>
      </c>
    </row>
    <row r="7082" ht="13.5" hidden="1" spans="1:5">
      <c r="A7082" s="2" t="str">
        <f>"罗彬彬"</f>
        <v>罗彬彬</v>
      </c>
      <c r="B7082" s="2" t="str">
        <f>"B20220902102"</f>
        <v>B20220902102</v>
      </c>
      <c r="C7082" s="2" t="str">
        <f t="shared" si="1803"/>
        <v>女</v>
      </c>
      <c r="D7082" s="2" t="str">
        <f t="shared" si="1796"/>
        <v>5</v>
      </c>
      <c r="E7082" s="2" t="str">
        <f>"经济与管理学院"</f>
        <v>经济与管理学院</v>
      </c>
    </row>
    <row r="7083" ht="13.5" hidden="1" spans="1:5">
      <c r="A7083" s="2" t="str">
        <f>"杨鹏"</f>
        <v>杨鹏</v>
      </c>
      <c r="B7083" s="2" t="str">
        <f>"B20220402216"</f>
        <v>B20220402216</v>
      </c>
      <c r="C7083" s="2" t="str">
        <f t="shared" ref="C7083:C7087" si="1804">"男"</f>
        <v>男</v>
      </c>
      <c r="D7083" s="2" t="str">
        <f t="shared" si="1796"/>
        <v>5</v>
      </c>
      <c r="E7083" s="2" t="str">
        <f>"电子信息与电气工程学院"</f>
        <v>电子信息与电气工程学院</v>
      </c>
    </row>
    <row r="7084" ht="13.5" hidden="1" spans="1:5">
      <c r="A7084" s="2" t="str">
        <f>"聂锴鑫"</f>
        <v>聂锴鑫</v>
      </c>
      <c r="B7084" s="2" t="str">
        <f>"B20200401126"</f>
        <v>B20200401126</v>
      </c>
      <c r="C7084" s="2" t="str">
        <f t="shared" si="1804"/>
        <v>男</v>
      </c>
      <c r="D7084" s="2" t="str">
        <f t="shared" si="1796"/>
        <v>5</v>
      </c>
      <c r="E7084" s="2" t="str">
        <f>"电子信息与电气工程学院"</f>
        <v>电子信息与电气工程学院</v>
      </c>
    </row>
    <row r="7085" ht="13.5" hidden="1" spans="1:5">
      <c r="A7085" s="2" t="str">
        <f>"王哲琪"</f>
        <v>王哲琪</v>
      </c>
      <c r="B7085" s="2" t="str">
        <f>"B20210701210"</f>
        <v>B20210701210</v>
      </c>
      <c r="C7085" s="2" t="str">
        <f>"女"</f>
        <v>女</v>
      </c>
      <c r="D7085" s="2" t="str">
        <f t="shared" si="1796"/>
        <v>5</v>
      </c>
      <c r="E7085" s="2" t="str">
        <f>"马栏山新媒体学院"</f>
        <v>马栏山新媒体学院</v>
      </c>
    </row>
    <row r="7086" ht="13.5" hidden="1" spans="1:5">
      <c r="A7086" s="2" t="str">
        <f>"黄上兴"</f>
        <v>黄上兴</v>
      </c>
      <c r="B7086" s="2" t="str">
        <f>"B20200203108"</f>
        <v>B20200203108</v>
      </c>
      <c r="C7086" s="2" t="str">
        <f t="shared" si="1804"/>
        <v>男</v>
      </c>
      <c r="D7086" s="2" t="str">
        <f t="shared" si="1796"/>
        <v>5</v>
      </c>
      <c r="E7086" s="2" t="str">
        <f>"机电工程学院"</f>
        <v>机电工程学院</v>
      </c>
    </row>
    <row r="7087" ht="13.5" hidden="1" spans="1:5">
      <c r="A7087" s="2" t="str">
        <f>"吴俊涛"</f>
        <v>吴俊涛</v>
      </c>
      <c r="B7087" s="2" t="str">
        <f>"B20230205113"</f>
        <v>B20230205113</v>
      </c>
      <c r="C7087" s="2" t="str">
        <f t="shared" si="1804"/>
        <v>男</v>
      </c>
      <c r="D7087" s="2" t="str">
        <f t="shared" si="1796"/>
        <v>5</v>
      </c>
      <c r="E7087" s="2" t="str">
        <f>"机电工程学院"</f>
        <v>机电工程学院</v>
      </c>
    </row>
    <row r="7088" ht="13.5" hidden="1" spans="1:5">
      <c r="A7088" s="2" t="str">
        <f>"孙博"</f>
        <v>孙博</v>
      </c>
      <c r="B7088" s="2" t="str">
        <f>"B20210906201"</f>
        <v>B20210906201</v>
      </c>
      <c r="C7088" s="2" t="str">
        <f t="shared" ref="C7088:C7102" si="1805">"女"</f>
        <v>女</v>
      </c>
      <c r="D7088" s="2" t="str">
        <f t="shared" si="1796"/>
        <v>5</v>
      </c>
      <c r="E7088" s="2" t="str">
        <f>"经济与管理学院"</f>
        <v>经济与管理学院</v>
      </c>
    </row>
    <row r="7089" ht="13.5" hidden="1" spans="1:5">
      <c r="A7089" s="2" t="str">
        <f>"糜佳明"</f>
        <v>糜佳明</v>
      </c>
      <c r="B7089" s="2" t="str">
        <f>"B20230102207"</f>
        <v>B20230102207</v>
      </c>
      <c r="C7089" s="2" t="str">
        <f>"男"</f>
        <v>男</v>
      </c>
      <c r="D7089" s="2" t="str">
        <f t="shared" si="1796"/>
        <v>5</v>
      </c>
      <c r="E7089" s="2" t="str">
        <f>"土木工程学院"</f>
        <v>土木工程学院</v>
      </c>
    </row>
    <row r="7090" ht="13.5" hidden="1" spans="1:5">
      <c r="A7090" s="2" t="str">
        <f>"李富贤"</f>
        <v>李富贤</v>
      </c>
      <c r="B7090" s="2" t="str">
        <f>"B20231001122"</f>
        <v>B20231001122</v>
      </c>
      <c r="C7090" s="2" t="str">
        <f>"男"</f>
        <v>男</v>
      </c>
      <c r="D7090" s="2" t="str">
        <f t="shared" si="1796"/>
        <v>5</v>
      </c>
      <c r="E7090" s="2" t="str">
        <f>"艺术设计学院"</f>
        <v>艺术设计学院</v>
      </c>
    </row>
    <row r="7091" ht="13.5" hidden="1" spans="1:5">
      <c r="A7091" s="2" t="str">
        <f>"刘婷"</f>
        <v>刘婷</v>
      </c>
      <c r="B7091" s="2" t="str">
        <f>"B20220601108"</f>
        <v>B20220601108</v>
      </c>
      <c r="C7091" s="2" t="str">
        <f t="shared" si="1805"/>
        <v>女</v>
      </c>
      <c r="D7091" s="2" t="str">
        <f t="shared" si="1796"/>
        <v>5</v>
      </c>
      <c r="E7091" s="2" t="str">
        <f>"法学院"</f>
        <v>法学院</v>
      </c>
    </row>
    <row r="7092" ht="13.5" hidden="1" spans="1:5">
      <c r="A7092" s="2" t="str">
        <f>"王佳"</f>
        <v>王佳</v>
      </c>
      <c r="B7092" s="2" t="str">
        <f>"B20211111204"</f>
        <v>B20211111204</v>
      </c>
      <c r="C7092" s="2" t="str">
        <f t="shared" si="1805"/>
        <v>女</v>
      </c>
      <c r="D7092" s="2" t="str">
        <f t="shared" si="1796"/>
        <v>5</v>
      </c>
      <c r="E7092" s="2" t="str">
        <f>"音乐学院"</f>
        <v>音乐学院</v>
      </c>
    </row>
    <row r="7093" ht="13.5" hidden="1" spans="1:5">
      <c r="A7093" s="2" t="str">
        <f>"吕银汝"</f>
        <v>吕银汝</v>
      </c>
      <c r="B7093" s="2" t="str">
        <f>"B20220904205"</f>
        <v>B20220904205</v>
      </c>
      <c r="C7093" s="2" t="str">
        <f t="shared" si="1805"/>
        <v>女</v>
      </c>
      <c r="D7093" s="2" t="str">
        <f t="shared" si="1796"/>
        <v>5</v>
      </c>
      <c r="E7093" s="2" t="str">
        <f>"经济与管理学院"</f>
        <v>经济与管理学院</v>
      </c>
    </row>
    <row r="7094" ht="13.5" hidden="1" spans="1:5">
      <c r="A7094" s="2" t="str">
        <f>"李思雅"</f>
        <v>李思雅</v>
      </c>
      <c r="B7094" s="2" t="str">
        <f>"B20231401107"</f>
        <v>B20231401107</v>
      </c>
      <c r="C7094" s="2" t="str">
        <f t="shared" si="1805"/>
        <v>女</v>
      </c>
      <c r="D7094" s="2" t="str">
        <f t="shared" si="1796"/>
        <v>5</v>
      </c>
      <c r="E7094" s="2" t="str">
        <f>"马克思主义学院"</f>
        <v>马克思主义学院</v>
      </c>
    </row>
    <row r="7095" ht="13.5" hidden="1" spans="1:5">
      <c r="A7095" s="2" t="str">
        <f>"穆薪夷"</f>
        <v>穆薪夷</v>
      </c>
      <c r="B7095" s="2" t="str">
        <f>"B20210802112"</f>
        <v>B20210802112</v>
      </c>
      <c r="C7095" s="2" t="str">
        <f t="shared" si="1805"/>
        <v>女</v>
      </c>
      <c r="D7095" s="2" t="str">
        <f t="shared" si="1796"/>
        <v>5</v>
      </c>
      <c r="E7095" s="2" t="str">
        <f>"外国语学院"</f>
        <v>外国语学院</v>
      </c>
    </row>
    <row r="7096" ht="13.5" hidden="1" spans="1:5">
      <c r="A7096" s="2" t="str">
        <f>"龚思伊"</f>
        <v>龚思伊</v>
      </c>
      <c r="B7096" s="2" t="str">
        <f>"B20210202340"</f>
        <v>B20210202340</v>
      </c>
      <c r="C7096" s="2" t="str">
        <f t="shared" si="1805"/>
        <v>女</v>
      </c>
      <c r="D7096" s="2" t="str">
        <f t="shared" si="1796"/>
        <v>5</v>
      </c>
      <c r="E7096" s="2" t="str">
        <f>"机电工程学院"</f>
        <v>机电工程学院</v>
      </c>
    </row>
    <row r="7097" ht="13.5" hidden="1" spans="1:5">
      <c r="A7097" s="2" t="str">
        <f>"徐梁秀"</f>
        <v>徐梁秀</v>
      </c>
      <c r="B7097" s="2" t="str">
        <f>"B20231101231"</f>
        <v>B20231101231</v>
      </c>
      <c r="C7097" s="2" t="str">
        <f t="shared" si="1805"/>
        <v>女</v>
      </c>
      <c r="D7097" s="2" t="str">
        <f t="shared" si="1796"/>
        <v>5</v>
      </c>
      <c r="E7097" s="2" t="str">
        <f>"音乐学院"</f>
        <v>音乐学院</v>
      </c>
    </row>
    <row r="7098" ht="13.5" hidden="1" spans="1:5">
      <c r="A7098" s="2" t="str">
        <f>"伍江"</f>
        <v>伍江</v>
      </c>
      <c r="B7098" s="2" t="str">
        <f>"B20221202218"</f>
        <v>B20221202218</v>
      </c>
      <c r="C7098" s="2" t="str">
        <f>"男"</f>
        <v>男</v>
      </c>
      <c r="D7098" s="2" t="str">
        <f>"8"</f>
        <v>8</v>
      </c>
      <c r="E7098" s="2" t="str">
        <f>"数学学院"</f>
        <v>数学学院</v>
      </c>
    </row>
    <row r="7099" ht="13.5" hidden="1" spans="1:5">
      <c r="A7099" s="2" t="str">
        <f>"樊欣羽"</f>
        <v>樊欣羽</v>
      </c>
      <c r="B7099" s="2" t="str">
        <f>"B20230902113"</f>
        <v>B20230902113</v>
      </c>
      <c r="C7099" s="2" t="str">
        <f t="shared" si="1805"/>
        <v>女</v>
      </c>
      <c r="D7099" s="2" t="str">
        <f t="shared" si="1796"/>
        <v>5</v>
      </c>
      <c r="E7099" s="2" t="str">
        <f>"经济与管理学院"</f>
        <v>经济与管理学院</v>
      </c>
    </row>
    <row r="7100" ht="13.5" hidden="1" spans="1:5">
      <c r="A7100" s="2" t="str">
        <f>"张焱捷"</f>
        <v>张焱捷</v>
      </c>
      <c r="B7100" s="2" t="str">
        <f>"B20221202219"</f>
        <v>B20221202219</v>
      </c>
      <c r="C7100" s="2" t="str">
        <f t="shared" si="1805"/>
        <v>女</v>
      </c>
      <c r="D7100" s="2" t="str">
        <f>"18"</f>
        <v>18</v>
      </c>
      <c r="E7100" s="2" t="str">
        <f>"数学学院"</f>
        <v>数学学院</v>
      </c>
    </row>
    <row r="7101" ht="13.5" hidden="1" spans="1:5">
      <c r="A7101" s="2" t="str">
        <f>"孟亚琪"</f>
        <v>孟亚琪</v>
      </c>
      <c r="B7101" s="2" t="str">
        <f>"B20210704105"</f>
        <v>B20210704105</v>
      </c>
      <c r="C7101" s="2" t="str">
        <f t="shared" si="1805"/>
        <v>女</v>
      </c>
      <c r="D7101" s="2" t="str">
        <f t="shared" si="1796"/>
        <v>5</v>
      </c>
      <c r="E7101" s="2" t="str">
        <f t="shared" ref="E7101:E7105" si="1806">"马栏山新媒体学院"</f>
        <v>马栏山新媒体学院</v>
      </c>
    </row>
    <row r="7102" ht="13.5" hidden="1" spans="1:5">
      <c r="A7102" s="2" t="str">
        <f>"章梦菲"</f>
        <v>章梦菲</v>
      </c>
      <c r="B7102" s="2" t="str">
        <f>"B20220704224"</f>
        <v>B20220704224</v>
      </c>
      <c r="C7102" s="2" t="str">
        <f t="shared" si="1805"/>
        <v>女</v>
      </c>
      <c r="D7102" s="2" t="str">
        <f t="shared" si="1796"/>
        <v>5</v>
      </c>
      <c r="E7102" s="2" t="str">
        <f t="shared" si="1806"/>
        <v>马栏山新媒体学院</v>
      </c>
    </row>
    <row r="7103" ht="13.5" hidden="1" spans="1:5">
      <c r="A7103" s="2" t="str">
        <f>"谭向涛"</f>
        <v>谭向涛</v>
      </c>
      <c r="B7103" s="2" t="str">
        <f>"B20230103118"</f>
        <v>B20230103118</v>
      </c>
      <c r="C7103" s="2" t="str">
        <f>"男"</f>
        <v>男</v>
      </c>
      <c r="D7103" s="2" t="str">
        <f t="shared" si="1796"/>
        <v>5</v>
      </c>
      <c r="E7103" s="2" t="str">
        <f>"土木工程学院"</f>
        <v>土木工程学院</v>
      </c>
    </row>
    <row r="7104" ht="13.5" hidden="1" spans="1:5">
      <c r="A7104" s="2" t="str">
        <f>"宋永豪"</f>
        <v>宋永豪</v>
      </c>
      <c r="B7104" s="2" t="str">
        <f>"B20221202220"</f>
        <v>B20221202220</v>
      </c>
      <c r="C7104" s="2" t="str">
        <f>"男"</f>
        <v>男</v>
      </c>
      <c r="D7104" s="2" t="str">
        <f t="shared" si="1796"/>
        <v>5</v>
      </c>
      <c r="E7104" s="2" t="str">
        <f>"数学学院"</f>
        <v>数学学院</v>
      </c>
    </row>
    <row r="7105" ht="13.5" hidden="1" spans="1:5">
      <c r="A7105" s="2" t="str">
        <f>"卢玉婷"</f>
        <v>卢玉婷</v>
      </c>
      <c r="B7105" s="2" t="str">
        <f>"B20220702329"</f>
        <v>B20220702329</v>
      </c>
      <c r="C7105" s="2" t="str">
        <f t="shared" ref="C7104:C7106" si="1807">"女"</f>
        <v>女</v>
      </c>
      <c r="D7105" s="2" t="str">
        <f t="shared" ref="D7105:D7168" si="1808">"5"</f>
        <v>5</v>
      </c>
      <c r="E7105" s="2" t="str">
        <f t="shared" si="1806"/>
        <v>马栏山新媒体学院</v>
      </c>
    </row>
    <row r="7106" ht="13.5" hidden="1" spans="1:5">
      <c r="A7106" s="2" t="str">
        <f>"吴潇潇"</f>
        <v>吴潇潇</v>
      </c>
      <c r="B7106" s="2" t="str">
        <f>"B20230904237"</f>
        <v>B20230904237</v>
      </c>
      <c r="C7106" s="2" t="str">
        <f t="shared" si="1807"/>
        <v>女</v>
      </c>
      <c r="D7106" s="2" t="str">
        <f t="shared" si="1808"/>
        <v>5</v>
      </c>
      <c r="E7106" s="2" t="str">
        <f>"经济与管理学院"</f>
        <v>经济与管理学院</v>
      </c>
    </row>
    <row r="7107" ht="13.5" hidden="1" spans="1:5">
      <c r="A7107" s="2" t="str">
        <f>"田靖"</f>
        <v>田靖</v>
      </c>
      <c r="B7107" s="2" t="str">
        <f>"B20210502211"</f>
        <v>B20210502211</v>
      </c>
      <c r="C7107" s="2" t="str">
        <f t="shared" ref="C7107:C7112" si="1809">"男"</f>
        <v>男</v>
      </c>
      <c r="D7107" s="2" t="str">
        <f t="shared" si="1808"/>
        <v>5</v>
      </c>
      <c r="E7107" s="2" t="str">
        <f>"生物与化学工程学院"</f>
        <v>生物与化学工程学院</v>
      </c>
    </row>
    <row r="7108" ht="13.5" hidden="1" spans="1:5">
      <c r="A7108" s="2" t="str">
        <f>"刘恩敏"</f>
        <v>刘恩敏</v>
      </c>
      <c r="B7108" s="2" t="str">
        <f>"B20210803218"</f>
        <v>B20210803218</v>
      </c>
      <c r="C7108" s="2" t="str">
        <f t="shared" ref="C7108:C7111" si="1810">"女"</f>
        <v>女</v>
      </c>
      <c r="D7108" s="2" t="str">
        <f t="shared" si="1808"/>
        <v>5</v>
      </c>
      <c r="E7108" s="2" t="str">
        <f>"外国语学院"</f>
        <v>外国语学院</v>
      </c>
    </row>
    <row r="7109" ht="13.5" hidden="1" spans="1:5">
      <c r="A7109" s="2" t="str">
        <f>"林启君"</f>
        <v>林启君</v>
      </c>
      <c r="B7109" s="2" t="str">
        <f>"B20210902416"</f>
        <v>B20210902416</v>
      </c>
      <c r="C7109" s="2" t="str">
        <f t="shared" si="1810"/>
        <v>女</v>
      </c>
      <c r="D7109" s="2" t="str">
        <f t="shared" si="1808"/>
        <v>5</v>
      </c>
      <c r="E7109" s="2" t="str">
        <f>"经济与管理学院"</f>
        <v>经济与管理学院</v>
      </c>
    </row>
    <row r="7110" ht="13.5" hidden="1" spans="1:5">
      <c r="A7110" s="2" t="str">
        <f>"李耀阳"</f>
        <v>李耀阳</v>
      </c>
      <c r="B7110" s="2" t="str">
        <f>"B20220404117"</f>
        <v>B20220404117</v>
      </c>
      <c r="C7110" s="2" t="str">
        <f t="shared" si="1809"/>
        <v>男</v>
      </c>
      <c r="D7110" s="2" t="str">
        <f t="shared" si="1808"/>
        <v>5</v>
      </c>
      <c r="E7110" s="2" t="str">
        <f>"电子信息与电气工程学院"</f>
        <v>电子信息与电气工程学院</v>
      </c>
    </row>
    <row r="7111" ht="13.5" hidden="1" spans="1:5">
      <c r="A7111" s="2" t="str">
        <f>"侯欢"</f>
        <v>侯欢</v>
      </c>
      <c r="B7111" s="2" t="str">
        <f>"B20200803221"</f>
        <v>B20200803221</v>
      </c>
      <c r="C7111" s="2" t="str">
        <f t="shared" si="1810"/>
        <v>女</v>
      </c>
      <c r="D7111" s="2" t="str">
        <f t="shared" si="1808"/>
        <v>5</v>
      </c>
      <c r="E7111" s="2" t="str">
        <f>"外国语学院"</f>
        <v>外国语学院</v>
      </c>
    </row>
    <row r="7112" ht="13.5" hidden="1" spans="1:5">
      <c r="A7112" s="2" t="str">
        <f>"周正"</f>
        <v>周正</v>
      </c>
      <c r="B7112" s="2" t="str">
        <f>"B20210202312"</f>
        <v>B20210202312</v>
      </c>
      <c r="C7112" s="2" t="str">
        <f t="shared" si="1809"/>
        <v>男</v>
      </c>
      <c r="D7112" s="2" t="str">
        <f t="shared" si="1808"/>
        <v>5</v>
      </c>
      <c r="E7112" s="2" t="str">
        <f>"机电工程学院"</f>
        <v>机电工程学院</v>
      </c>
    </row>
    <row r="7113" ht="13.5" hidden="1" spans="1:5">
      <c r="A7113" s="2" t="str">
        <f>"赖月娥"</f>
        <v>赖月娥</v>
      </c>
      <c r="B7113" s="2" t="str">
        <f>"B20230702301"</f>
        <v>B20230702301</v>
      </c>
      <c r="C7113" s="2" t="str">
        <f t="shared" ref="C7113:C7115" si="1811">"女"</f>
        <v>女</v>
      </c>
      <c r="D7113" s="2" t="str">
        <f t="shared" si="1808"/>
        <v>5</v>
      </c>
      <c r="E7113" s="2" t="str">
        <f>"马栏山新媒体学院"</f>
        <v>马栏山新媒体学院</v>
      </c>
    </row>
    <row r="7114" ht="13.5" hidden="1" spans="1:5">
      <c r="A7114" s="2" t="str">
        <f>"杨文婷"</f>
        <v>杨文婷</v>
      </c>
      <c r="B7114" s="2" t="str">
        <f>"B20200802204"</f>
        <v>B20200802204</v>
      </c>
      <c r="C7114" s="2" t="str">
        <f t="shared" si="1811"/>
        <v>女</v>
      </c>
      <c r="D7114" s="2" t="str">
        <f t="shared" si="1808"/>
        <v>5</v>
      </c>
      <c r="E7114" s="2" t="str">
        <f>"外国语学院"</f>
        <v>外国语学院</v>
      </c>
    </row>
    <row r="7115" ht="13.5" hidden="1" spans="1:5">
      <c r="A7115" s="2" t="str">
        <f>"雷静云"</f>
        <v>雷静云</v>
      </c>
      <c r="B7115" s="2" t="str">
        <f>"B20210704418"</f>
        <v>B20210704418</v>
      </c>
      <c r="C7115" s="2" t="str">
        <f t="shared" si="1811"/>
        <v>女</v>
      </c>
      <c r="D7115" s="2" t="str">
        <f t="shared" si="1808"/>
        <v>5</v>
      </c>
      <c r="E7115" s="2" t="str">
        <f>"马栏山新媒体学院"</f>
        <v>马栏山新媒体学院</v>
      </c>
    </row>
    <row r="7116" ht="13.5" hidden="1" spans="1:5">
      <c r="A7116" s="2" t="str">
        <f>"王宇"</f>
        <v>王宇</v>
      </c>
      <c r="B7116" s="2" t="str">
        <f>"B20230601120"</f>
        <v>B20230601120</v>
      </c>
      <c r="C7116" s="2" t="str">
        <f t="shared" ref="C7116:C7119" si="1812">"男"</f>
        <v>男</v>
      </c>
      <c r="D7116" s="2" t="str">
        <f t="shared" si="1808"/>
        <v>5</v>
      </c>
      <c r="E7116" s="2" t="str">
        <f>"法学院"</f>
        <v>法学院</v>
      </c>
    </row>
    <row r="7117" ht="13.5" hidden="1" spans="1:5">
      <c r="A7117" s="2" t="str">
        <f>"刘峻屹"</f>
        <v>刘峻屹</v>
      </c>
      <c r="B7117" s="2" t="str">
        <f>"B20220204302"</f>
        <v>B20220204302</v>
      </c>
      <c r="C7117" s="2" t="str">
        <f t="shared" si="1812"/>
        <v>男</v>
      </c>
      <c r="D7117" s="2" t="str">
        <f t="shared" si="1808"/>
        <v>5</v>
      </c>
      <c r="E7117" s="2" t="str">
        <f>"机电工程学院"</f>
        <v>机电工程学院</v>
      </c>
    </row>
    <row r="7118" ht="13.5" hidden="1" spans="1:5">
      <c r="A7118" s="2" t="str">
        <f>"谭佳礼"</f>
        <v>谭佳礼</v>
      </c>
      <c r="B7118" s="2" t="str">
        <f>"B20230501119"</f>
        <v>B20230501119</v>
      </c>
      <c r="C7118" s="2" t="str">
        <f>"女"</f>
        <v>女</v>
      </c>
      <c r="D7118" s="2" t="str">
        <f t="shared" si="1808"/>
        <v>5</v>
      </c>
      <c r="E7118" s="2" t="str">
        <f>"生物与化学工程学院"</f>
        <v>生物与化学工程学院</v>
      </c>
    </row>
    <row r="7119" ht="13.5" hidden="1" spans="1:5">
      <c r="A7119" s="2" t="str">
        <f>"罗涛"</f>
        <v>罗涛</v>
      </c>
      <c r="B7119" s="2" t="str">
        <f>"B20230101322"</f>
        <v>B20230101322</v>
      </c>
      <c r="C7119" s="2" t="str">
        <f t="shared" si="1812"/>
        <v>男</v>
      </c>
      <c r="D7119" s="2" t="str">
        <f t="shared" si="1808"/>
        <v>5</v>
      </c>
      <c r="E7119" s="2" t="str">
        <f t="shared" ref="E7119:E7124" si="1813">"土木工程学院"</f>
        <v>土木工程学院</v>
      </c>
    </row>
    <row r="7120" ht="13.5" hidden="1" spans="1:5">
      <c r="A7120" s="2" t="str">
        <f>"曹艺涵"</f>
        <v>曹艺涵</v>
      </c>
      <c r="B7120" s="2" t="str">
        <f>"B20220103213"</f>
        <v>B20220103213</v>
      </c>
      <c r="C7120" s="2" t="str">
        <f>"女"</f>
        <v>女</v>
      </c>
      <c r="D7120" s="2" t="str">
        <f t="shared" si="1808"/>
        <v>5</v>
      </c>
      <c r="E7120" s="2" t="str">
        <f t="shared" si="1813"/>
        <v>土木工程学院</v>
      </c>
    </row>
    <row r="7121" ht="13.5" hidden="1" spans="1:5">
      <c r="A7121" s="2" t="str">
        <f>"吴杭聪"</f>
        <v>吴杭聪</v>
      </c>
      <c r="B7121" s="2" t="str">
        <f>"B20220702420"</f>
        <v>B20220702420</v>
      </c>
      <c r="C7121" s="2" t="str">
        <f t="shared" ref="C7121:C7128" si="1814">"男"</f>
        <v>男</v>
      </c>
      <c r="D7121" s="2" t="str">
        <f t="shared" si="1808"/>
        <v>5</v>
      </c>
      <c r="E7121" s="2" t="str">
        <f>"马栏山新媒体学院"</f>
        <v>马栏山新媒体学院</v>
      </c>
    </row>
    <row r="7122" ht="13.5" hidden="1" spans="1:5">
      <c r="A7122" s="2" t="str">
        <f>"张何明"</f>
        <v>张何明</v>
      </c>
      <c r="B7122" s="2" t="str">
        <f>"B20210403105"</f>
        <v>B20210403105</v>
      </c>
      <c r="C7122" s="2" t="str">
        <f t="shared" si="1814"/>
        <v>男</v>
      </c>
      <c r="D7122" s="2" t="str">
        <f t="shared" si="1808"/>
        <v>5</v>
      </c>
      <c r="E7122" s="2" t="str">
        <f>"电子信息与电气工程学院"</f>
        <v>电子信息与电气工程学院</v>
      </c>
    </row>
    <row r="7123" ht="13.5" hidden="1" spans="1:5">
      <c r="A7123" s="2" t="str">
        <f>"吕诗善"</f>
        <v>吕诗善</v>
      </c>
      <c r="B7123" s="2" t="str">
        <f>"B20221202221"</f>
        <v>B20221202221</v>
      </c>
      <c r="C7123" s="2" t="str">
        <f t="shared" si="1814"/>
        <v>男</v>
      </c>
      <c r="D7123" s="2" t="str">
        <f>"10"</f>
        <v>10</v>
      </c>
      <c r="E7123" s="2" t="str">
        <f>"数学学院"</f>
        <v>数学学院</v>
      </c>
    </row>
    <row r="7124" ht="13.5" hidden="1" spans="1:5">
      <c r="A7124" s="2" t="str">
        <f>"邓紫环"</f>
        <v>邓紫环</v>
      </c>
      <c r="B7124" s="2" t="str">
        <f>"B20210101606"</f>
        <v>B20210101606</v>
      </c>
      <c r="C7124" s="2" t="str">
        <f t="shared" si="1814"/>
        <v>男</v>
      </c>
      <c r="D7124" s="2" t="str">
        <f t="shared" si="1808"/>
        <v>5</v>
      </c>
      <c r="E7124" s="2" t="str">
        <f t="shared" si="1813"/>
        <v>土木工程学院</v>
      </c>
    </row>
    <row r="7125" ht="13.5" hidden="1" spans="1:5">
      <c r="A7125" s="2" t="str">
        <f>"海珂玮"</f>
        <v>海珂玮</v>
      </c>
      <c r="B7125" s="2" t="str">
        <f>"B20200501208"</f>
        <v>B20200501208</v>
      </c>
      <c r="C7125" s="2" t="str">
        <f t="shared" si="1814"/>
        <v>男</v>
      </c>
      <c r="D7125" s="2" t="str">
        <f t="shared" si="1808"/>
        <v>5</v>
      </c>
      <c r="E7125" s="2" t="str">
        <f>"生物与环境工程学院"</f>
        <v>生物与环境工程学院</v>
      </c>
    </row>
    <row r="7126" ht="13.5" hidden="1" spans="1:5">
      <c r="A7126" s="2" t="str">
        <f>"唐禀沣"</f>
        <v>唐禀沣</v>
      </c>
      <c r="B7126" s="2" t="str">
        <f>"B20220202221"</f>
        <v>B20220202221</v>
      </c>
      <c r="C7126" s="2" t="str">
        <f t="shared" si="1814"/>
        <v>男</v>
      </c>
      <c r="D7126" s="2" t="str">
        <f t="shared" si="1808"/>
        <v>5</v>
      </c>
      <c r="E7126" s="2" t="str">
        <f>"机电工程学院"</f>
        <v>机电工程学院</v>
      </c>
    </row>
    <row r="7127" ht="13.5" hidden="1" spans="1:5">
      <c r="A7127" s="2" t="str">
        <f>"周韶忠"</f>
        <v>周韶忠</v>
      </c>
      <c r="B7127" s="2" t="str">
        <f>"B20230102208"</f>
        <v>B20230102208</v>
      </c>
      <c r="C7127" s="2" t="str">
        <f t="shared" si="1814"/>
        <v>男</v>
      </c>
      <c r="D7127" s="2" t="str">
        <f t="shared" si="1808"/>
        <v>5</v>
      </c>
      <c r="E7127" s="2" t="str">
        <f t="shared" ref="E7127:E7129" si="1815">"土木工程学院"</f>
        <v>土木工程学院</v>
      </c>
    </row>
    <row r="7128" ht="13.5" hidden="1" spans="1:5">
      <c r="A7128" s="2" t="str">
        <f>"张振宇"</f>
        <v>张振宇</v>
      </c>
      <c r="B7128" s="2" t="str">
        <f>"B20230102232"</f>
        <v>B20230102232</v>
      </c>
      <c r="C7128" s="2" t="str">
        <f t="shared" si="1814"/>
        <v>男</v>
      </c>
      <c r="D7128" s="2" t="str">
        <f t="shared" si="1808"/>
        <v>5</v>
      </c>
      <c r="E7128" s="2" t="str">
        <f t="shared" si="1815"/>
        <v>土木工程学院</v>
      </c>
    </row>
    <row r="7129" ht="13.5" hidden="1" spans="1:5">
      <c r="A7129" s="2" t="str">
        <f>"孙文颖"</f>
        <v>孙文颖</v>
      </c>
      <c r="B7129" s="2" t="str">
        <f>"B20200101106"</f>
        <v>B20200101106</v>
      </c>
      <c r="C7129" s="2" t="str">
        <f t="shared" ref="C7129:C7133" si="1816">"女"</f>
        <v>女</v>
      </c>
      <c r="D7129" s="2" t="str">
        <f t="shared" si="1808"/>
        <v>5</v>
      </c>
      <c r="E7129" s="2" t="str">
        <f t="shared" si="1815"/>
        <v>土木工程学院</v>
      </c>
    </row>
    <row r="7130" ht="13.5" hidden="1" spans="1:5">
      <c r="A7130" s="2" t="str">
        <f>"邓佳妮"</f>
        <v>邓佳妮</v>
      </c>
      <c r="B7130" s="2" t="str">
        <f>"B20220906229"</f>
        <v>B20220906229</v>
      </c>
      <c r="C7130" s="2" t="str">
        <f t="shared" si="1816"/>
        <v>女</v>
      </c>
      <c r="D7130" s="2" t="str">
        <f t="shared" si="1808"/>
        <v>5</v>
      </c>
      <c r="E7130" s="2" t="str">
        <f>"经济与管理学院"</f>
        <v>经济与管理学院</v>
      </c>
    </row>
    <row r="7131" ht="13.5" hidden="1" spans="1:5">
      <c r="A7131" s="2" t="str">
        <f>"陈世蔚"</f>
        <v>陈世蔚</v>
      </c>
      <c r="B7131" s="2" t="str">
        <f>"B20210201333"</f>
        <v>B20210201333</v>
      </c>
      <c r="C7131" s="2" t="str">
        <f t="shared" ref="C7131:C7136" si="1817">"男"</f>
        <v>男</v>
      </c>
      <c r="D7131" s="2" t="str">
        <f t="shared" si="1808"/>
        <v>5</v>
      </c>
      <c r="E7131" s="2" t="str">
        <f>"机电工程学院"</f>
        <v>机电工程学院</v>
      </c>
    </row>
    <row r="7132" ht="13.5" hidden="1" spans="1:5">
      <c r="A7132" s="2" t="str">
        <f>"欧阳美佳"</f>
        <v>欧阳美佳</v>
      </c>
      <c r="B7132" s="2" t="str">
        <f>"B20230803222"</f>
        <v>B20230803222</v>
      </c>
      <c r="C7132" s="2" t="str">
        <f t="shared" si="1816"/>
        <v>女</v>
      </c>
      <c r="D7132" s="2" t="str">
        <f t="shared" si="1808"/>
        <v>5</v>
      </c>
      <c r="E7132" s="2" t="str">
        <f>"外国语学院"</f>
        <v>外国语学院</v>
      </c>
    </row>
    <row r="7133" ht="13.5" hidden="1" spans="1:5">
      <c r="A7133" s="2" t="str">
        <f>"洪怡倩"</f>
        <v>洪怡倩</v>
      </c>
      <c r="B7133" s="2" t="str">
        <f>"B20230702107"</f>
        <v>B20230702107</v>
      </c>
      <c r="C7133" s="2" t="str">
        <f t="shared" si="1816"/>
        <v>女</v>
      </c>
      <c r="D7133" s="2" t="str">
        <f t="shared" si="1808"/>
        <v>5</v>
      </c>
      <c r="E7133" s="2" t="str">
        <f>"马栏山新媒体学院"</f>
        <v>马栏山新媒体学院</v>
      </c>
    </row>
    <row r="7134" ht="13.5" hidden="1" spans="1:5">
      <c r="A7134" s="2" t="str">
        <f>"李坤"</f>
        <v>李坤</v>
      </c>
      <c r="B7134" s="2" t="str">
        <f>"B20210701131"</f>
        <v>B20210701131</v>
      </c>
      <c r="C7134" s="2" t="str">
        <f t="shared" si="1817"/>
        <v>男</v>
      </c>
      <c r="D7134" s="2" t="str">
        <f t="shared" si="1808"/>
        <v>5</v>
      </c>
      <c r="E7134" s="2" t="str">
        <f>"马栏山新媒体学院"</f>
        <v>马栏山新媒体学院</v>
      </c>
    </row>
    <row r="7135" ht="13.5" hidden="1" spans="1:5">
      <c r="A7135" s="2" t="str">
        <f>"王卫稳"</f>
        <v>王卫稳</v>
      </c>
      <c r="B7135" s="2" t="str">
        <f>"B20200101101"</f>
        <v>B20200101101</v>
      </c>
      <c r="C7135" s="2" t="str">
        <f t="shared" si="1817"/>
        <v>男</v>
      </c>
      <c r="D7135" s="2" t="str">
        <f t="shared" si="1808"/>
        <v>5</v>
      </c>
      <c r="E7135" s="2" t="str">
        <f>"土木工程学院"</f>
        <v>土木工程学院</v>
      </c>
    </row>
    <row r="7136" ht="13.5" hidden="1" spans="1:5">
      <c r="A7136" s="2" t="str">
        <f>"苏心玮"</f>
        <v>苏心玮</v>
      </c>
      <c r="B7136" s="2" t="str">
        <f>"B20210504205"</f>
        <v>B20210504205</v>
      </c>
      <c r="C7136" s="2" t="str">
        <f t="shared" si="1817"/>
        <v>男</v>
      </c>
      <c r="D7136" s="2" t="str">
        <f t="shared" si="1808"/>
        <v>5</v>
      </c>
      <c r="E7136" s="2" t="str">
        <f>"土木工程学院"</f>
        <v>土木工程学院</v>
      </c>
    </row>
    <row r="7137" ht="13.5" hidden="1" spans="1:5">
      <c r="A7137" s="2" t="str">
        <f>"曾雅文"</f>
        <v>曾雅文</v>
      </c>
      <c r="B7137" s="2" t="str">
        <f>"B20220903222"</f>
        <v>B20220903222</v>
      </c>
      <c r="C7137" s="2" t="str">
        <f t="shared" ref="C7137:C7140" si="1818">"女"</f>
        <v>女</v>
      </c>
      <c r="D7137" s="2" t="str">
        <f t="shared" si="1808"/>
        <v>5</v>
      </c>
      <c r="E7137" s="2" t="str">
        <f>"经济与管理学院"</f>
        <v>经济与管理学院</v>
      </c>
    </row>
    <row r="7138" ht="13.5" hidden="1" spans="1:5">
      <c r="A7138" s="2" t="str">
        <f>"欧阳冰露"</f>
        <v>欧阳冰露</v>
      </c>
      <c r="B7138" s="2" t="str">
        <f>"B20221002117"</f>
        <v>B20221002117</v>
      </c>
      <c r="C7138" s="2" t="str">
        <f t="shared" si="1818"/>
        <v>女</v>
      </c>
      <c r="D7138" s="2" t="str">
        <f t="shared" si="1808"/>
        <v>5</v>
      </c>
      <c r="E7138" s="2" t="str">
        <f>"艺术设计学院"</f>
        <v>艺术设计学院</v>
      </c>
    </row>
    <row r="7139" ht="13.5" hidden="1" spans="1:5">
      <c r="A7139" s="2" t="str">
        <f>"陈丙龙"</f>
        <v>陈丙龙</v>
      </c>
      <c r="B7139" s="2" t="str">
        <f>"B20230702321"</f>
        <v>B20230702321</v>
      </c>
      <c r="C7139" s="2" t="str">
        <f t="shared" ref="C7139:C7142" si="1819">"男"</f>
        <v>男</v>
      </c>
      <c r="D7139" s="2" t="str">
        <f t="shared" si="1808"/>
        <v>5</v>
      </c>
      <c r="E7139" s="2" t="str">
        <f>"马栏山新媒体学院"</f>
        <v>马栏山新媒体学院</v>
      </c>
    </row>
    <row r="7140" ht="13.5" hidden="1" spans="1:5">
      <c r="A7140" s="2" t="str">
        <f>"张雨惠"</f>
        <v>张雨惠</v>
      </c>
      <c r="B7140" s="2" t="str">
        <f>"B20220501211"</f>
        <v>B20220501211</v>
      </c>
      <c r="C7140" s="2" t="str">
        <f t="shared" si="1818"/>
        <v>女</v>
      </c>
      <c r="D7140" s="2" t="str">
        <f t="shared" si="1808"/>
        <v>5</v>
      </c>
      <c r="E7140" s="2" t="str">
        <f>"生物与化学工程学院"</f>
        <v>生物与化学工程学院</v>
      </c>
    </row>
    <row r="7141" ht="13.5" hidden="1" spans="1:5">
      <c r="A7141" s="2" t="str">
        <f>"吴万昇"</f>
        <v>吴万昇</v>
      </c>
      <c r="B7141" s="2" t="str">
        <f>"B20200503127"</f>
        <v>B20200503127</v>
      </c>
      <c r="C7141" s="2" t="str">
        <f t="shared" si="1819"/>
        <v>男</v>
      </c>
      <c r="D7141" s="2" t="str">
        <f t="shared" si="1808"/>
        <v>5</v>
      </c>
      <c r="E7141" s="2" t="str">
        <f>"生物与环境工程学院"</f>
        <v>生物与环境工程学院</v>
      </c>
    </row>
    <row r="7142" ht="13.5" hidden="1" spans="1:5">
      <c r="A7142" s="2" t="str">
        <f>"姚星"</f>
        <v>姚星</v>
      </c>
      <c r="B7142" s="2" t="str">
        <f>"B20221302108"</f>
        <v>B20221302108</v>
      </c>
      <c r="C7142" s="2" t="str">
        <f t="shared" si="1819"/>
        <v>男</v>
      </c>
      <c r="D7142" s="2" t="str">
        <f t="shared" si="1808"/>
        <v>5</v>
      </c>
      <c r="E7142" s="2" t="str">
        <f>"材料与环境工程学院"</f>
        <v>材料与环境工程学院</v>
      </c>
    </row>
    <row r="7143" ht="13.5" hidden="1" spans="1:5">
      <c r="A7143" s="2" t="str">
        <f>"傅云曦"</f>
        <v>傅云曦</v>
      </c>
      <c r="B7143" s="2" t="str">
        <f>"B20220801517"</f>
        <v>B20220801517</v>
      </c>
      <c r="C7143" s="2" t="str">
        <f t="shared" ref="C7143:C7147" si="1820">"女"</f>
        <v>女</v>
      </c>
      <c r="D7143" s="2" t="str">
        <f t="shared" si="1808"/>
        <v>5</v>
      </c>
      <c r="E7143" s="2" t="str">
        <f>"外国语学院"</f>
        <v>外国语学院</v>
      </c>
    </row>
    <row r="7144" ht="13.5" hidden="1" spans="1:5">
      <c r="A7144" s="2" t="str">
        <f>"李旺程"</f>
        <v>李旺程</v>
      </c>
      <c r="B7144" s="2" t="str">
        <f>"B20230404229"</f>
        <v>B20230404229</v>
      </c>
      <c r="C7144" s="2" t="str">
        <f>"男"</f>
        <v>男</v>
      </c>
      <c r="D7144" s="2" t="str">
        <f t="shared" si="1808"/>
        <v>5</v>
      </c>
      <c r="E7144" s="2" t="str">
        <f>"电子信息与电气工程学院"</f>
        <v>电子信息与电气工程学院</v>
      </c>
    </row>
    <row r="7145" ht="13.5" hidden="1" spans="1:5">
      <c r="A7145" s="2" t="str">
        <f>"王馨怡"</f>
        <v>王馨怡</v>
      </c>
      <c r="B7145" s="2" t="str">
        <f>"B20200904133"</f>
        <v>B20200904133</v>
      </c>
      <c r="C7145" s="2" t="str">
        <f t="shared" si="1820"/>
        <v>女</v>
      </c>
      <c r="D7145" s="2" t="str">
        <f t="shared" si="1808"/>
        <v>5</v>
      </c>
      <c r="E7145" s="2" t="str">
        <f>"经济与管理学院"</f>
        <v>经济与管理学院</v>
      </c>
    </row>
    <row r="7146" ht="13.5" hidden="1" spans="1:5">
      <c r="A7146" s="2" t="str">
        <f>"林琼辉"</f>
        <v>林琼辉</v>
      </c>
      <c r="B7146" s="2" t="str">
        <f>"B20200803115"</f>
        <v>B20200803115</v>
      </c>
      <c r="C7146" s="2" t="str">
        <f t="shared" si="1820"/>
        <v>女</v>
      </c>
      <c r="D7146" s="2" t="str">
        <f t="shared" si="1808"/>
        <v>5</v>
      </c>
      <c r="E7146" s="2" t="str">
        <f>"外国语学院"</f>
        <v>外国语学院</v>
      </c>
    </row>
    <row r="7147" ht="13.5" hidden="1" spans="1:5">
      <c r="A7147" s="2" t="str">
        <f>"程馨予"</f>
        <v>程馨予</v>
      </c>
      <c r="B7147" s="2" t="str">
        <f>"B20201004223"</f>
        <v>B20201004223</v>
      </c>
      <c r="C7147" s="2" t="str">
        <f t="shared" si="1820"/>
        <v>女</v>
      </c>
      <c r="D7147" s="2" t="str">
        <f t="shared" si="1808"/>
        <v>5</v>
      </c>
      <c r="E7147" s="2" t="str">
        <f>"艺术设计学院"</f>
        <v>艺术设计学院</v>
      </c>
    </row>
    <row r="7148" ht="13.5" hidden="1" spans="1:5">
      <c r="A7148" s="2" t="str">
        <f>"覃荣幸"</f>
        <v>覃荣幸</v>
      </c>
      <c r="B7148" s="2" t="str">
        <f>"B20221111127"</f>
        <v>B20221111127</v>
      </c>
      <c r="C7148" s="2" t="str">
        <f>"男"</f>
        <v>男</v>
      </c>
      <c r="D7148" s="2" t="str">
        <f t="shared" si="1808"/>
        <v>5</v>
      </c>
      <c r="E7148" s="2" t="str">
        <f>"音乐学院"</f>
        <v>音乐学院</v>
      </c>
    </row>
    <row r="7149" ht="13.5" hidden="1" spans="1:5">
      <c r="A7149" s="2" t="str">
        <f>"李熙蕊"</f>
        <v>李熙蕊</v>
      </c>
      <c r="B7149" s="2" t="str">
        <f>"B20211002314"</f>
        <v>B20211002314</v>
      </c>
      <c r="C7149" s="2" t="str">
        <f t="shared" ref="C7149:C7152" si="1821">"女"</f>
        <v>女</v>
      </c>
      <c r="D7149" s="2" t="str">
        <f t="shared" si="1808"/>
        <v>5</v>
      </c>
      <c r="E7149" s="2" t="str">
        <f>"艺术设计学院"</f>
        <v>艺术设计学院</v>
      </c>
    </row>
    <row r="7150" ht="13.5" hidden="1" spans="1:5">
      <c r="A7150" s="2" t="str">
        <f>"段佳秀"</f>
        <v>段佳秀</v>
      </c>
      <c r="B7150" s="2" t="str">
        <f>"B20220704125"</f>
        <v>B20220704125</v>
      </c>
      <c r="C7150" s="2" t="str">
        <f t="shared" si="1821"/>
        <v>女</v>
      </c>
      <c r="D7150" s="2" t="str">
        <f t="shared" si="1808"/>
        <v>5</v>
      </c>
      <c r="E7150" s="2" t="str">
        <f>"马栏山新媒体学院"</f>
        <v>马栏山新媒体学院</v>
      </c>
    </row>
    <row r="7151" ht="13.5" hidden="1" spans="1:5">
      <c r="A7151" s="2" t="str">
        <f>"唐藓瑜"</f>
        <v>唐藓瑜</v>
      </c>
      <c r="B7151" s="2" t="str">
        <f>"B20220202218"</f>
        <v>B20220202218</v>
      </c>
      <c r="C7151" s="2" t="str">
        <f t="shared" si="1821"/>
        <v>女</v>
      </c>
      <c r="D7151" s="2" t="str">
        <f t="shared" si="1808"/>
        <v>5</v>
      </c>
      <c r="E7151" s="2" t="str">
        <f>"机电工程学院"</f>
        <v>机电工程学院</v>
      </c>
    </row>
    <row r="7152" ht="13.5" hidden="1" spans="1:5">
      <c r="A7152" s="2" t="str">
        <f>"陈雅格"</f>
        <v>陈雅格</v>
      </c>
      <c r="B7152" s="2" t="str">
        <f>"B20220701323"</f>
        <v>B20220701323</v>
      </c>
      <c r="C7152" s="2" t="str">
        <f t="shared" si="1821"/>
        <v>女</v>
      </c>
      <c r="D7152" s="2" t="str">
        <f t="shared" si="1808"/>
        <v>5</v>
      </c>
      <c r="E7152" s="2" t="str">
        <f>"马栏山新媒体学院"</f>
        <v>马栏山新媒体学院</v>
      </c>
    </row>
    <row r="7153" ht="13.5" hidden="1" spans="1:5">
      <c r="A7153" s="2" t="str">
        <f>"叶欣"</f>
        <v>叶欣</v>
      </c>
      <c r="B7153" s="2" t="str">
        <f>"B20200906213"</f>
        <v>B20200906213</v>
      </c>
      <c r="C7153" s="2" t="str">
        <f t="shared" ref="C7153:C7156" si="1822">"男"</f>
        <v>男</v>
      </c>
      <c r="D7153" s="2" t="str">
        <f t="shared" si="1808"/>
        <v>5</v>
      </c>
      <c r="E7153" s="2" t="str">
        <f>"经济与管理学院"</f>
        <v>经济与管理学院</v>
      </c>
    </row>
    <row r="7154" ht="13.5" hidden="1" spans="1:5">
      <c r="A7154" s="2" t="str">
        <f>"周双燕"</f>
        <v>周双燕</v>
      </c>
      <c r="B7154" s="2" t="str">
        <f>"B20231001408"</f>
        <v>B20231001408</v>
      </c>
      <c r="C7154" s="2" t="str">
        <f>"女"</f>
        <v>女</v>
      </c>
      <c r="D7154" s="2" t="str">
        <f t="shared" si="1808"/>
        <v>5</v>
      </c>
      <c r="E7154" s="2" t="str">
        <f>"艺术设计学院"</f>
        <v>艺术设计学院</v>
      </c>
    </row>
    <row r="7155" ht="13.5" hidden="1" spans="1:5">
      <c r="A7155" s="2" t="str">
        <f>"尹辉扬"</f>
        <v>尹辉扬</v>
      </c>
      <c r="B7155" s="2" t="str">
        <f>"B20231302126"</f>
        <v>B20231302126</v>
      </c>
      <c r="C7155" s="2" t="str">
        <f t="shared" si="1822"/>
        <v>男</v>
      </c>
      <c r="D7155" s="2" t="str">
        <f t="shared" si="1808"/>
        <v>5</v>
      </c>
      <c r="E7155" s="2" t="str">
        <f>"材料与环境工程学院"</f>
        <v>材料与环境工程学院</v>
      </c>
    </row>
    <row r="7156" ht="13.5" hidden="1" spans="1:5">
      <c r="A7156" s="2" t="str">
        <f>"梁磊"</f>
        <v>梁磊</v>
      </c>
      <c r="B7156" s="2" t="str">
        <f>"B20221202222"</f>
        <v>B20221202222</v>
      </c>
      <c r="C7156" s="2" t="str">
        <f t="shared" si="1822"/>
        <v>男</v>
      </c>
      <c r="D7156" s="2" t="str">
        <f>"6"</f>
        <v>6</v>
      </c>
      <c r="E7156" s="2" t="str">
        <f>"数学学院"</f>
        <v>数学学院</v>
      </c>
    </row>
    <row r="7157" ht="13.5" hidden="1" spans="1:5">
      <c r="A7157" s="2" t="str">
        <f>"陈姿旸"</f>
        <v>陈姿旸</v>
      </c>
      <c r="B7157" s="2" t="str">
        <f>"B20230702221"</f>
        <v>B20230702221</v>
      </c>
      <c r="C7157" s="2" t="str">
        <f t="shared" ref="C7157:C7161" si="1823">"女"</f>
        <v>女</v>
      </c>
      <c r="D7157" s="2" t="str">
        <f t="shared" si="1808"/>
        <v>5</v>
      </c>
      <c r="E7157" s="2" t="str">
        <f>"马栏山新媒体学院"</f>
        <v>马栏山新媒体学院</v>
      </c>
    </row>
    <row r="7158" ht="13.5" hidden="1" spans="1:5">
      <c r="A7158" s="2" t="str">
        <f>"莫昆铭"</f>
        <v>莫昆铭</v>
      </c>
      <c r="B7158" s="2" t="str">
        <f>"B20211003209"</f>
        <v>B20211003209</v>
      </c>
      <c r="C7158" s="2" t="str">
        <f t="shared" ref="C7158:C7166" si="1824">"男"</f>
        <v>男</v>
      </c>
      <c r="D7158" s="2" t="str">
        <f t="shared" si="1808"/>
        <v>5</v>
      </c>
      <c r="E7158" s="2" t="str">
        <f>"艺术设计学院"</f>
        <v>艺术设计学院</v>
      </c>
    </row>
    <row r="7159" ht="13.5" hidden="1" spans="1:5">
      <c r="A7159" s="2" t="str">
        <f>"游清华"</f>
        <v>游清华</v>
      </c>
      <c r="B7159" s="2" t="str">
        <f>"B20230905102"</f>
        <v>B20230905102</v>
      </c>
      <c r="C7159" s="2" t="str">
        <f t="shared" si="1824"/>
        <v>男</v>
      </c>
      <c r="D7159" s="2" t="str">
        <f t="shared" si="1808"/>
        <v>5</v>
      </c>
      <c r="E7159" s="2" t="str">
        <f>"经济与管理学院"</f>
        <v>经济与管理学院</v>
      </c>
    </row>
    <row r="7160" ht="13.5" hidden="1" spans="1:5">
      <c r="A7160" s="2" t="str">
        <f>"卢怡静"</f>
        <v>卢怡静</v>
      </c>
      <c r="B7160" s="2" t="str">
        <f>"B20230405120"</f>
        <v>B20230405120</v>
      </c>
      <c r="C7160" s="2" t="str">
        <f t="shared" si="1823"/>
        <v>女</v>
      </c>
      <c r="D7160" s="2" t="str">
        <f t="shared" si="1808"/>
        <v>5</v>
      </c>
      <c r="E7160" s="2" t="str">
        <f>"电子信息与电气工程学院"</f>
        <v>电子信息与电气工程学院</v>
      </c>
    </row>
    <row r="7161" ht="13.5" hidden="1" spans="1:5">
      <c r="A7161" s="2" t="str">
        <f>"罗宇轩"</f>
        <v>罗宇轩</v>
      </c>
      <c r="B7161" s="2" t="str">
        <f>"B20231004119"</f>
        <v>B20231004119</v>
      </c>
      <c r="C7161" s="2" t="str">
        <f t="shared" si="1823"/>
        <v>女</v>
      </c>
      <c r="D7161" s="2" t="str">
        <f t="shared" si="1808"/>
        <v>5</v>
      </c>
      <c r="E7161" s="2" t="str">
        <f>"艺术设计学院"</f>
        <v>艺术设计学院</v>
      </c>
    </row>
    <row r="7162" ht="13.5" hidden="1" spans="1:5">
      <c r="A7162" s="2" t="str">
        <f>"张圣健"</f>
        <v>张圣健</v>
      </c>
      <c r="B7162" s="2" t="str">
        <f>"B20220202124"</f>
        <v>B20220202124</v>
      </c>
      <c r="C7162" s="2" t="str">
        <f t="shared" si="1824"/>
        <v>男</v>
      </c>
      <c r="D7162" s="2" t="str">
        <f t="shared" si="1808"/>
        <v>5</v>
      </c>
      <c r="E7162" s="2" t="str">
        <f>"机电工程学院"</f>
        <v>机电工程学院</v>
      </c>
    </row>
    <row r="7163" ht="13.5" hidden="1" spans="1:5">
      <c r="A7163" s="2" t="str">
        <f>"李伟军"</f>
        <v>李伟军</v>
      </c>
      <c r="B7163" s="2" t="str">
        <f>"B20231302228"</f>
        <v>B20231302228</v>
      </c>
      <c r="C7163" s="2" t="str">
        <f t="shared" si="1824"/>
        <v>男</v>
      </c>
      <c r="D7163" s="2" t="str">
        <f t="shared" si="1808"/>
        <v>5</v>
      </c>
      <c r="E7163" s="2" t="str">
        <f>"材料与环境工程学院"</f>
        <v>材料与环境工程学院</v>
      </c>
    </row>
    <row r="7164" ht="13.5" hidden="1" spans="1:5">
      <c r="A7164" s="2" t="str">
        <f>"杨存曦"</f>
        <v>杨存曦</v>
      </c>
      <c r="B7164" s="2" t="str">
        <f>"B20231101221"</f>
        <v>B20231101221</v>
      </c>
      <c r="C7164" s="2" t="str">
        <f t="shared" si="1824"/>
        <v>男</v>
      </c>
      <c r="D7164" s="2" t="str">
        <f t="shared" si="1808"/>
        <v>5</v>
      </c>
      <c r="E7164" s="2" t="str">
        <f>"音乐学院"</f>
        <v>音乐学院</v>
      </c>
    </row>
    <row r="7165" ht="13.5" hidden="1" spans="1:5">
      <c r="A7165" s="2" t="str">
        <f>"罗欢"</f>
        <v>罗欢</v>
      </c>
      <c r="B7165" s="2" t="str">
        <f>"B20210906215"</f>
        <v>B20210906215</v>
      </c>
      <c r="C7165" s="2" t="str">
        <f t="shared" si="1824"/>
        <v>男</v>
      </c>
      <c r="D7165" s="2" t="str">
        <f t="shared" si="1808"/>
        <v>5</v>
      </c>
      <c r="E7165" s="2" t="str">
        <f>"经济与管理学院"</f>
        <v>经济与管理学院</v>
      </c>
    </row>
    <row r="7166" ht="13.5" hidden="1" spans="1:5">
      <c r="A7166" s="2" t="str">
        <f>"龙嘉骏"</f>
        <v>龙嘉骏</v>
      </c>
      <c r="B7166" s="2" t="str">
        <f>"B20230404212"</f>
        <v>B20230404212</v>
      </c>
      <c r="C7166" s="2" t="str">
        <f t="shared" si="1824"/>
        <v>男</v>
      </c>
      <c r="D7166" s="2" t="str">
        <f t="shared" si="1808"/>
        <v>5</v>
      </c>
      <c r="E7166" s="2" t="str">
        <f>"电子信息与电气工程学院"</f>
        <v>电子信息与电气工程学院</v>
      </c>
    </row>
    <row r="7167" ht="13.5" hidden="1" spans="1:5">
      <c r="A7167" s="2" t="str">
        <f>"杨惠英"</f>
        <v>杨惠英</v>
      </c>
      <c r="B7167" s="2" t="str">
        <f>"B20230702323"</f>
        <v>B20230702323</v>
      </c>
      <c r="C7167" s="2" t="str">
        <f t="shared" ref="C7167:C7171" si="1825">"女"</f>
        <v>女</v>
      </c>
      <c r="D7167" s="2" t="str">
        <f t="shared" si="1808"/>
        <v>5</v>
      </c>
      <c r="E7167" s="2" t="str">
        <f>"马栏山新媒体学院"</f>
        <v>马栏山新媒体学院</v>
      </c>
    </row>
    <row r="7168" ht="13.5" hidden="1" spans="1:5">
      <c r="A7168" s="2" t="str">
        <f>"李璨"</f>
        <v>李璨</v>
      </c>
      <c r="B7168" s="2" t="str">
        <f>"B20210503229"</f>
        <v>B20210503229</v>
      </c>
      <c r="C7168" s="2" t="str">
        <f t="shared" ref="C7168:C7173" si="1826">"男"</f>
        <v>男</v>
      </c>
      <c r="D7168" s="2" t="str">
        <f t="shared" si="1808"/>
        <v>5</v>
      </c>
      <c r="E7168" s="2" t="str">
        <f>"材料与环境工程学院"</f>
        <v>材料与环境工程学院</v>
      </c>
    </row>
    <row r="7169" ht="13.5" hidden="1" spans="1:5">
      <c r="A7169" s="2" t="str">
        <f>"高齐鞠"</f>
        <v>高齐鞠</v>
      </c>
      <c r="B7169" s="2" t="str">
        <f>"B20210704405"</f>
        <v>B20210704405</v>
      </c>
      <c r="C7169" s="2" t="str">
        <f t="shared" si="1825"/>
        <v>女</v>
      </c>
      <c r="D7169" s="2" t="str">
        <f t="shared" ref="D7169:D7219" si="1827">"5"</f>
        <v>5</v>
      </c>
      <c r="E7169" s="2" t="str">
        <f>"马栏山新媒体学院"</f>
        <v>马栏山新媒体学院</v>
      </c>
    </row>
    <row r="7170" ht="13.5" hidden="1" spans="1:5">
      <c r="A7170" s="2" t="str">
        <f>"陈滢滢"</f>
        <v>陈滢滢</v>
      </c>
      <c r="B7170" s="2" t="str">
        <f>"B20220904336"</f>
        <v>B20220904336</v>
      </c>
      <c r="C7170" s="2" t="str">
        <f t="shared" si="1825"/>
        <v>女</v>
      </c>
      <c r="D7170" s="2" t="str">
        <f t="shared" si="1827"/>
        <v>5</v>
      </c>
      <c r="E7170" s="2" t="str">
        <f>"经济与管理学院"</f>
        <v>经济与管理学院</v>
      </c>
    </row>
    <row r="7171" ht="13.5" hidden="1" spans="1:5">
      <c r="A7171" s="2" t="str">
        <f>"陈开鑫"</f>
        <v>陈开鑫</v>
      </c>
      <c r="B7171" s="2" t="str">
        <f>"B20221202227"</f>
        <v>B20221202227</v>
      </c>
      <c r="C7171" s="2" t="str">
        <f t="shared" si="1825"/>
        <v>女</v>
      </c>
      <c r="D7171" s="2" t="str">
        <f>"15"</f>
        <v>15</v>
      </c>
      <c r="E7171" s="2" t="str">
        <f>"数学学院"</f>
        <v>数学学院</v>
      </c>
    </row>
    <row r="7172" ht="13.5" hidden="1" spans="1:5">
      <c r="A7172" s="2" t="str">
        <f>"唐鑫"</f>
        <v>唐鑫</v>
      </c>
      <c r="B7172" s="2" t="str">
        <f>"B20230601114"</f>
        <v>B20230601114</v>
      </c>
      <c r="C7172" s="2" t="str">
        <f t="shared" si="1826"/>
        <v>男</v>
      </c>
      <c r="D7172" s="2" t="str">
        <f t="shared" si="1827"/>
        <v>5</v>
      </c>
      <c r="E7172" s="2" t="str">
        <f>"法学院"</f>
        <v>法学院</v>
      </c>
    </row>
    <row r="7173" ht="13.5" hidden="1" spans="1:5">
      <c r="A7173" s="2" t="str">
        <f>"张鸣宇"</f>
        <v>张鸣宇</v>
      </c>
      <c r="B7173" s="2" t="str">
        <f>"B20220502235"</f>
        <v>B20220502235</v>
      </c>
      <c r="C7173" s="2" t="str">
        <f t="shared" si="1826"/>
        <v>男</v>
      </c>
      <c r="D7173" s="2" t="str">
        <f t="shared" si="1827"/>
        <v>5</v>
      </c>
      <c r="E7173" s="2" t="str">
        <f t="shared" ref="E7173:E7178" si="1828">"生物与化学工程学院"</f>
        <v>生物与化学工程学院</v>
      </c>
    </row>
    <row r="7174" ht="13.5" hidden="1" spans="1:5">
      <c r="A7174" s="2" t="str">
        <f>"陈露霞"</f>
        <v>陈露霞</v>
      </c>
      <c r="B7174" s="2" t="str">
        <f>"B20211003216"</f>
        <v>B20211003216</v>
      </c>
      <c r="C7174" s="2" t="str">
        <f t="shared" ref="C7174:C7177" si="1829">"女"</f>
        <v>女</v>
      </c>
      <c r="D7174" s="2" t="str">
        <f t="shared" si="1827"/>
        <v>5</v>
      </c>
      <c r="E7174" s="2" t="str">
        <f>"艺术设计学院"</f>
        <v>艺术设计学院</v>
      </c>
    </row>
    <row r="7175" ht="13.5" hidden="1" spans="1:5">
      <c r="A7175" s="2" t="str">
        <f>"孙天玉"</f>
        <v>孙天玉</v>
      </c>
      <c r="B7175" s="2" t="str">
        <f>"B20210504230"</f>
        <v>B20210504230</v>
      </c>
      <c r="C7175" s="2" t="str">
        <f t="shared" si="1829"/>
        <v>女</v>
      </c>
      <c r="D7175" s="2" t="str">
        <f t="shared" si="1827"/>
        <v>5</v>
      </c>
      <c r="E7175" s="2" t="str">
        <f t="shared" si="1828"/>
        <v>生物与化学工程学院</v>
      </c>
    </row>
    <row r="7176" ht="13.5" hidden="1" spans="1:5">
      <c r="A7176" s="2" t="str">
        <f>"廖梓烨"</f>
        <v>廖梓烨</v>
      </c>
      <c r="B7176" s="2" t="str">
        <f>"B20230102217"</f>
        <v>B20230102217</v>
      </c>
      <c r="C7176" s="2" t="str">
        <f>"男"</f>
        <v>男</v>
      </c>
      <c r="D7176" s="2" t="str">
        <f t="shared" si="1827"/>
        <v>5</v>
      </c>
      <c r="E7176" s="2" t="str">
        <f>"土木工程学院"</f>
        <v>土木工程学院</v>
      </c>
    </row>
    <row r="7177" ht="13.5" hidden="1" spans="1:5">
      <c r="A7177" s="2" t="str">
        <f>"赵佳美"</f>
        <v>赵佳美</v>
      </c>
      <c r="B7177" s="2" t="str">
        <f>"B20230903114"</f>
        <v>B20230903114</v>
      </c>
      <c r="C7177" s="2" t="str">
        <f t="shared" si="1829"/>
        <v>女</v>
      </c>
      <c r="D7177" s="2" t="str">
        <f t="shared" si="1827"/>
        <v>5</v>
      </c>
      <c r="E7177" s="2" t="str">
        <f>"经济与管理学院"</f>
        <v>经济与管理学院</v>
      </c>
    </row>
    <row r="7178" ht="13.5" hidden="1" spans="1:5">
      <c r="A7178" s="2" t="str">
        <f>"刘星麟"</f>
        <v>刘星麟</v>
      </c>
      <c r="B7178" s="2" t="str">
        <f>"B20230501122"</f>
        <v>B20230501122</v>
      </c>
      <c r="C7178" s="2" t="str">
        <f>"男"</f>
        <v>男</v>
      </c>
      <c r="D7178" s="2" t="str">
        <f t="shared" si="1827"/>
        <v>5</v>
      </c>
      <c r="E7178" s="2" t="str">
        <f t="shared" si="1828"/>
        <v>生物与化学工程学院</v>
      </c>
    </row>
    <row r="7179" ht="13.5" hidden="1" spans="1:5">
      <c r="A7179" s="2" t="str">
        <f>"杨碧珍"</f>
        <v>杨碧珍</v>
      </c>
      <c r="B7179" s="2" t="str">
        <f>"B20210902133"</f>
        <v>B20210902133</v>
      </c>
      <c r="C7179" s="2" t="str">
        <f t="shared" ref="C7179:C7181" si="1830">"女"</f>
        <v>女</v>
      </c>
      <c r="D7179" s="2" t="str">
        <f t="shared" si="1827"/>
        <v>5</v>
      </c>
      <c r="E7179" s="2" t="str">
        <f>"经济与管理学院"</f>
        <v>经济与管理学院</v>
      </c>
    </row>
    <row r="7180" ht="13.5" hidden="1" spans="1:5">
      <c r="A7180" s="2" t="str">
        <f>"袁砚琪"</f>
        <v>袁砚琪</v>
      </c>
      <c r="B7180" s="2" t="str">
        <f>"B20210102234"</f>
        <v>B20210102234</v>
      </c>
      <c r="C7180" s="2" t="str">
        <f t="shared" si="1830"/>
        <v>女</v>
      </c>
      <c r="D7180" s="2" t="str">
        <f t="shared" si="1827"/>
        <v>5</v>
      </c>
      <c r="E7180" s="2" t="str">
        <f>"土木工程学院"</f>
        <v>土木工程学院</v>
      </c>
    </row>
    <row r="7181" ht="13.5" hidden="1" spans="1:5">
      <c r="A7181" s="2" t="str">
        <f>"李胜男"</f>
        <v>李胜男</v>
      </c>
      <c r="B7181" s="2" t="str">
        <f>"B20220403212"</f>
        <v>B20220403212</v>
      </c>
      <c r="C7181" s="2" t="str">
        <f t="shared" si="1830"/>
        <v>女</v>
      </c>
      <c r="D7181" s="2" t="str">
        <f t="shared" si="1827"/>
        <v>5</v>
      </c>
      <c r="E7181" s="2" t="str">
        <f>"电子信息与电气工程学院"</f>
        <v>电子信息与电气工程学院</v>
      </c>
    </row>
    <row r="7182" ht="13.5" hidden="1" spans="1:5">
      <c r="A7182" s="2" t="str">
        <f>"张俊杰"</f>
        <v>张俊杰</v>
      </c>
      <c r="B7182" s="2" t="str">
        <f>"B20220404219"</f>
        <v>B20220404219</v>
      </c>
      <c r="C7182" s="2" t="str">
        <f t="shared" ref="C7182:C7186" si="1831">"男"</f>
        <v>男</v>
      </c>
      <c r="D7182" s="2" t="str">
        <f t="shared" si="1827"/>
        <v>5</v>
      </c>
      <c r="E7182" s="2" t="str">
        <f>"电子信息与电气工程学院"</f>
        <v>电子信息与电气工程学院</v>
      </c>
    </row>
    <row r="7183" ht="13.5" hidden="1" spans="1:5">
      <c r="A7183" s="2" t="str">
        <f>"王秋晨"</f>
        <v>王秋晨</v>
      </c>
      <c r="B7183" s="2" t="str">
        <f>"B20230702426"</f>
        <v>B20230702426</v>
      </c>
      <c r="C7183" s="2" t="str">
        <f t="shared" ref="C7183:C7187" si="1832">"女"</f>
        <v>女</v>
      </c>
      <c r="D7183" s="2" t="str">
        <f t="shared" si="1827"/>
        <v>5</v>
      </c>
      <c r="E7183" s="2" t="str">
        <f>"马栏山新媒体学院"</f>
        <v>马栏山新媒体学院</v>
      </c>
    </row>
    <row r="7184" ht="13.5" hidden="1" spans="1:5">
      <c r="A7184" s="2" t="str">
        <f>"肖阳"</f>
        <v>肖阳</v>
      </c>
      <c r="B7184" s="2" t="str">
        <f>"B20221202228"</f>
        <v>B20221202228</v>
      </c>
      <c r="C7184" s="2" t="str">
        <f>"男"</f>
        <v>男</v>
      </c>
      <c r="D7184" s="2" t="str">
        <f>"3"</f>
        <v>3</v>
      </c>
      <c r="E7184" s="2" t="str">
        <f>"数学学院"</f>
        <v>数学学院</v>
      </c>
    </row>
    <row r="7185" ht="13.5" hidden="1" spans="1:5">
      <c r="A7185" s="2" t="str">
        <f>"陈逸凡"</f>
        <v>陈逸凡</v>
      </c>
      <c r="B7185" s="2" t="str">
        <f>"B20210905121"</f>
        <v>B20210905121</v>
      </c>
      <c r="C7185" s="2" t="str">
        <f t="shared" si="1831"/>
        <v>男</v>
      </c>
      <c r="D7185" s="2" t="str">
        <f t="shared" si="1827"/>
        <v>5</v>
      </c>
      <c r="E7185" s="2" t="str">
        <f>"经济与管理学院"</f>
        <v>经济与管理学院</v>
      </c>
    </row>
    <row r="7186" ht="13.5" hidden="1" spans="1:5">
      <c r="A7186" s="2" t="str">
        <f>"唐安文"</f>
        <v>唐安文</v>
      </c>
      <c r="B7186" s="2" t="str">
        <f>"B20231302225"</f>
        <v>B20231302225</v>
      </c>
      <c r="C7186" s="2" t="str">
        <f t="shared" si="1831"/>
        <v>男</v>
      </c>
      <c r="D7186" s="2" t="str">
        <f t="shared" si="1827"/>
        <v>5</v>
      </c>
      <c r="E7186" s="2" t="str">
        <f>"材料与环境工程学院"</f>
        <v>材料与环境工程学院</v>
      </c>
    </row>
    <row r="7187" ht="13.5" hidden="1" spans="1:5">
      <c r="A7187" s="2" t="str">
        <f>"刘欣雨"</f>
        <v>刘欣雨</v>
      </c>
      <c r="B7187" s="2" t="str">
        <f>"B20220101323"</f>
        <v>B20220101323</v>
      </c>
      <c r="C7187" s="2" t="str">
        <f t="shared" si="1832"/>
        <v>女</v>
      </c>
      <c r="D7187" s="2" t="str">
        <f t="shared" si="1827"/>
        <v>5</v>
      </c>
      <c r="E7187" s="2" t="str">
        <f>"土木工程学院"</f>
        <v>土木工程学院</v>
      </c>
    </row>
    <row r="7188" ht="13.5" hidden="1" spans="1:5">
      <c r="A7188" s="2" t="str">
        <f>"曹健"</f>
        <v>曹健</v>
      </c>
      <c r="B7188" s="2" t="str">
        <f>"B20231301237"</f>
        <v>B20231301237</v>
      </c>
      <c r="C7188" s="2" t="str">
        <f t="shared" ref="C7188:C7192" si="1833">"男"</f>
        <v>男</v>
      </c>
      <c r="D7188" s="2" t="str">
        <f t="shared" si="1827"/>
        <v>5</v>
      </c>
      <c r="E7188" s="2" t="str">
        <f>"材料与环境工程学院"</f>
        <v>材料与环境工程学院</v>
      </c>
    </row>
    <row r="7189" ht="13.5" hidden="1" spans="1:5">
      <c r="A7189" s="2" t="str">
        <f>"陈芝怡"</f>
        <v>陈芝怡</v>
      </c>
      <c r="B7189" s="2" t="str">
        <f>"B20221202229"</f>
        <v>B20221202229</v>
      </c>
      <c r="C7189" s="2" t="str">
        <f>"女"</f>
        <v>女</v>
      </c>
      <c r="D7189" s="2" t="str">
        <f>"12"</f>
        <v>12</v>
      </c>
      <c r="E7189" s="2" t="str">
        <f>"数学学院"</f>
        <v>数学学院</v>
      </c>
    </row>
    <row r="7190" ht="13.5" hidden="1" spans="1:5">
      <c r="A7190" s="2" t="str">
        <f>"粟俊杰"</f>
        <v>粟俊杰</v>
      </c>
      <c r="B7190" s="2" t="str">
        <f>"B20221202230"</f>
        <v>B20221202230</v>
      </c>
      <c r="C7190" s="2" t="str">
        <f>"男"</f>
        <v>男</v>
      </c>
      <c r="D7190" s="2" t="str">
        <f>"5"</f>
        <v>5</v>
      </c>
      <c r="E7190" s="2" t="str">
        <f>"数学学院"</f>
        <v>数学学院</v>
      </c>
    </row>
    <row r="7191" ht="13.5" hidden="1" spans="1:5">
      <c r="A7191" s="2" t="str">
        <f>"邝佳斌"</f>
        <v>邝佳斌</v>
      </c>
      <c r="B7191" s="2" t="str">
        <f>"B20210704101"</f>
        <v>B20210704101</v>
      </c>
      <c r="C7191" s="2" t="str">
        <f t="shared" si="1833"/>
        <v>男</v>
      </c>
      <c r="D7191" s="2" t="str">
        <f t="shared" si="1827"/>
        <v>5</v>
      </c>
      <c r="E7191" s="2" t="str">
        <f>"马栏山新媒体学院"</f>
        <v>马栏山新媒体学院</v>
      </c>
    </row>
    <row r="7192" ht="13.5" hidden="1" spans="1:5">
      <c r="A7192" s="2" t="str">
        <f>"刘张友"</f>
        <v>刘张友</v>
      </c>
      <c r="B7192" s="2" t="str">
        <f>"B20230103132"</f>
        <v>B20230103132</v>
      </c>
      <c r="C7192" s="2" t="str">
        <f t="shared" si="1833"/>
        <v>男</v>
      </c>
      <c r="D7192" s="2" t="str">
        <f t="shared" si="1827"/>
        <v>5</v>
      </c>
      <c r="E7192" s="2" t="str">
        <f t="shared" ref="E7192:E7198" si="1834">"土木工程学院"</f>
        <v>土木工程学院</v>
      </c>
    </row>
    <row r="7193" ht="13.5" hidden="1" spans="1:5">
      <c r="A7193" s="2" t="str">
        <f>"易靓"</f>
        <v>易靓</v>
      </c>
      <c r="B7193" s="2" t="str">
        <f>"B20210902230"</f>
        <v>B20210902230</v>
      </c>
      <c r="C7193" s="2" t="str">
        <f t="shared" ref="C7190:C7194" si="1835">"女"</f>
        <v>女</v>
      </c>
      <c r="D7193" s="2" t="str">
        <f t="shared" si="1827"/>
        <v>5</v>
      </c>
      <c r="E7193" s="2" t="str">
        <f>"经济与管理学院"</f>
        <v>经济与管理学院</v>
      </c>
    </row>
    <row r="7194" ht="13.5" hidden="1" spans="1:5">
      <c r="A7194" s="2" t="str">
        <f>"刘尚"</f>
        <v>刘尚</v>
      </c>
      <c r="B7194" s="2" t="str">
        <f>"B20221003209"</f>
        <v>B20221003209</v>
      </c>
      <c r="C7194" s="2" t="str">
        <f t="shared" si="1835"/>
        <v>女</v>
      </c>
      <c r="D7194" s="2" t="str">
        <f t="shared" si="1827"/>
        <v>5</v>
      </c>
      <c r="E7194" s="2" t="str">
        <f t="shared" ref="E7194:E7199" si="1836">"艺术设计学院"</f>
        <v>艺术设计学院</v>
      </c>
    </row>
    <row r="7195" ht="13.5" hidden="1" spans="1:5">
      <c r="A7195" s="2" t="str">
        <f>"孙振宇"</f>
        <v>孙振宇</v>
      </c>
      <c r="B7195" s="2" t="str">
        <f>"B20230104128"</f>
        <v>B20230104128</v>
      </c>
      <c r="C7195" s="2" t="str">
        <f t="shared" ref="C7195:C7200" si="1837">"男"</f>
        <v>男</v>
      </c>
      <c r="D7195" s="2" t="str">
        <f t="shared" si="1827"/>
        <v>5</v>
      </c>
      <c r="E7195" s="2" t="str">
        <f t="shared" si="1834"/>
        <v>土木工程学院</v>
      </c>
    </row>
    <row r="7196" ht="13.5" hidden="1" spans="1:5">
      <c r="A7196" s="2" t="str">
        <f>"郭琳文"</f>
        <v>郭琳文</v>
      </c>
      <c r="B7196" s="2" t="str">
        <f>"B20221001123"</f>
        <v>B20221001123</v>
      </c>
      <c r="C7196" s="2" t="str">
        <f t="shared" ref="C7196:C7199" si="1838">"女"</f>
        <v>女</v>
      </c>
      <c r="D7196" s="2" t="str">
        <f t="shared" si="1827"/>
        <v>5</v>
      </c>
      <c r="E7196" s="2" t="str">
        <f t="shared" si="1836"/>
        <v>艺术设计学院</v>
      </c>
    </row>
    <row r="7197" ht="13.5" hidden="1" spans="1:5">
      <c r="A7197" s="2" t="str">
        <f>"吴立维"</f>
        <v>吴立维</v>
      </c>
      <c r="B7197" s="2" t="str">
        <f>"B20220906214"</f>
        <v>B20220906214</v>
      </c>
      <c r="C7197" s="2" t="str">
        <f t="shared" si="1838"/>
        <v>女</v>
      </c>
      <c r="D7197" s="2" t="str">
        <f t="shared" si="1827"/>
        <v>5</v>
      </c>
      <c r="E7197" s="2" t="str">
        <f t="shared" si="1834"/>
        <v>土木工程学院</v>
      </c>
    </row>
    <row r="7198" ht="13.5" hidden="1" spans="1:5">
      <c r="A7198" s="2" t="str">
        <f>"张振威"</f>
        <v>张振威</v>
      </c>
      <c r="B7198" s="2" t="str">
        <f>"B20200101527"</f>
        <v>B20200101527</v>
      </c>
      <c r="C7198" s="2" t="str">
        <f t="shared" si="1837"/>
        <v>男</v>
      </c>
      <c r="D7198" s="2" t="str">
        <f t="shared" si="1827"/>
        <v>5</v>
      </c>
      <c r="E7198" s="2" t="str">
        <f t="shared" si="1834"/>
        <v>土木工程学院</v>
      </c>
    </row>
    <row r="7199" ht="13.5" hidden="1" spans="1:5">
      <c r="A7199" s="2" t="str">
        <f>"苏梓萌"</f>
        <v>苏梓萌</v>
      </c>
      <c r="B7199" s="2" t="str">
        <f>"B20221004114"</f>
        <v>B20221004114</v>
      </c>
      <c r="C7199" s="2" t="str">
        <f t="shared" si="1838"/>
        <v>女</v>
      </c>
      <c r="D7199" s="2" t="str">
        <f t="shared" si="1827"/>
        <v>5</v>
      </c>
      <c r="E7199" s="2" t="str">
        <f t="shared" si="1836"/>
        <v>艺术设计学院</v>
      </c>
    </row>
    <row r="7200" ht="13.5" hidden="1" spans="1:5">
      <c r="A7200" s="2" t="str">
        <f>"颜睿"</f>
        <v>颜睿</v>
      </c>
      <c r="B7200" s="2" t="str">
        <f>"B20220204215"</f>
        <v>B20220204215</v>
      </c>
      <c r="C7200" s="2" t="str">
        <f t="shared" si="1837"/>
        <v>男</v>
      </c>
      <c r="D7200" s="2" t="str">
        <f t="shared" si="1827"/>
        <v>5</v>
      </c>
      <c r="E7200" s="2" t="str">
        <f>"机电工程学院"</f>
        <v>机电工程学院</v>
      </c>
    </row>
    <row r="7201" ht="13.5" hidden="1" spans="1:5">
      <c r="A7201" s="2" t="str">
        <f>"潘梦洁"</f>
        <v>潘梦洁</v>
      </c>
      <c r="B7201" s="2" t="str">
        <f>"B20220906210"</f>
        <v>B20220906210</v>
      </c>
      <c r="C7201" s="2" t="str">
        <f t="shared" ref="C7201:C7205" si="1839">"女"</f>
        <v>女</v>
      </c>
      <c r="D7201" s="2" t="str">
        <f t="shared" si="1827"/>
        <v>5</v>
      </c>
      <c r="E7201" s="2" t="str">
        <f>"经济与管理学院"</f>
        <v>经济与管理学院</v>
      </c>
    </row>
    <row r="7202" ht="13.5" hidden="1" spans="1:5">
      <c r="A7202" s="2" t="str">
        <f>"奉涛"</f>
        <v>奉涛</v>
      </c>
      <c r="B7202" s="2" t="str">
        <f>"B20210404125"</f>
        <v>B20210404125</v>
      </c>
      <c r="C7202" s="2" t="str">
        <f t="shared" ref="C7202:C7208" si="1840">"男"</f>
        <v>男</v>
      </c>
      <c r="D7202" s="2" t="str">
        <f t="shared" si="1827"/>
        <v>5</v>
      </c>
      <c r="E7202" s="2" t="str">
        <f>"电子信息与电气工程学院"</f>
        <v>电子信息与电气工程学院</v>
      </c>
    </row>
    <row r="7203" ht="13.5" hidden="1" spans="1:5">
      <c r="A7203" s="2" t="str">
        <f>"袁雄杰"</f>
        <v>袁雄杰</v>
      </c>
      <c r="B7203" s="2" t="str">
        <f>"B20230906121"</f>
        <v>B20230906121</v>
      </c>
      <c r="C7203" s="2" t="str">
        <f t="shared" si="1840"/>
        <v>男</v>
      </c>
      <c r="D7203" s="2" t="str">
        <f t="shared" si="1827"/>
        <v>5</v>
      </c>
      <c r="E7203" s="2" t="str">
        <f>"经济与管理学院"</f>
        <v>经济与管理学院</v>
      </c>
    </row>
    <row r="7204" ht="13.5" hidden="1" spans="1:5">
      <c r="A7204" s="2" t="str">
        <f>"曾心缘"</f>
        <v>曾心缘</v>
      </c>
      <c r="B7204" s="2" t="str">
        <f>"B20231003225"</f>
        <v>B20231003225</v>
      </c>
      <c r="C7204" s="2" t="str">
        <f t="shared" si="1839"/>
        <v>女</v>
      </c>
      <c r="D7204" s="2" t="str">
        <f t="shared" si="1827"/>
        <v>5</v>
      </c>
      <c r="E7204" s="2" t="str">
        <f>"艺术设计学院"</f>
        <v>艺术设计学院</v>
      </c>
    </row>
    <row r="7205" ht="13.5" hidden="1" spans="1:5">
      <c r="A7205" s="2" t="str">
        <f>"林若涵"</f>
        <v>林若涵</v>
      </c>
      <c r="B7205" s="2" t="str">
        <f>"B20231001416"</f>
        <v>B20231001416</v>
      </c>
      <c r="C7205" s="2" t="str">
        <f t="shared" si="1839"/>
        <v>女</v>
      </c>
      <c r="D7205" s="2" t="str">
        <f t="shared" si="1827"/>
        <v>5</v>
      </c>
      <c r="E7205" s="2" t="str">
        <f>"艺术设计学院"</f>
        <v>艺术设计学院</v>
      </c>
    </row>
    <row r="7206" ht="13.5" hidden="1" spans="1:5">
      <c r="A7206" s="2" t="str">
        <f>"罗俊"</f>
        <v>罗俊</v>
      </c>
      <c r="B7206" s="2" t="str">
        <f>"B20230402132"</f>
        <v>B20230402132</v>
      </c>
      <c r="C7206" s="2" t="str">
        <f t="shared" si="1840"/>
        <v>男</v>
      </c>
      <c r="D7206" s="2" t="str">
        <f t="shared" si="1827"/>
        <v>5</v>
      </c>
      <c r="E7206" s="2" t="str">
        <f>"电子信息与电气工程学院"</f>
        <v>电子信息与电气工程学院</v>
      </c>
    </row>
    <row r="7207" ht="13.5" hidden="1" spans="1:5">
      <c r="A7207" s="2" t="str">
        <f>"钟郑平"</f>
        <v>钟郑平</v>
      </c>
      <c r="B7207" s="2" t="str">
        <f>"B20210201314"</f>
        <v>B20210201314</v>
      </c>
      <c r="C7207" s="2" t="str">
        <f t="shared" si="1840"/>
        <v>男</v>
      </c>
      <c r="D7207" s="2" t="str">
        <f t="shared" si="1827"/>
        <v>5</v>
      </c>
      <c r="E7207" s="2" t="str">
        <f>"机电工程学院"</f>
        <v>机电工程学院</v>
      </c>
    </row>
    <row r="7208" ht="13.5" hidden="1" spans="1:5">
      <c r="A7208" s="2" t="str">
        <f>"吕锦洋"</f>
        <v>吕锦洋</v>
      </c>
      <c r="B7208" s="2" t="str">
        <f>"B20230402304"</f>
        <v>B20230402304</v>
      </c>
      <c r="C7208" s="2" t="str">
        <f t="shared" si="1840"/>
        <v>男</v>
      </c>
      <c r="D7208" s="2" t="str">
        <f t="shared" si="1827"/>
        <v>5</v>
      </c>
      <c r="E7208" s="2" t="str">
        <f>"电子信息与电气工程学院"</f>
        <v>电子信息与电气工程学院</v>
      </c>
    </row>
    <row r="7209" ht="13.5" hidden="1" spans="1:5">
      <c r="A7209" s="2" t="str">
        <f>"林锦怡"</f>
        <v>林锦怡</v>
      </c>
      <c r="B7209" s="2" t="str">
        <f>"B20200801120"</f>
        <v>B20200801120</v>
      </c>
      <c r="C7209" s="2" t="str">
        <f t="shared" ref="C7209:C7217" si="1841">"女"</f>
        <v>女</v>
      </c>
      <c r="D7209" s="2" t="str">
        <f t="shared" si="1827"/>
        <v>5</v>
      </c>
      <c r="E7209" s="2" t="str">
        <f>"外国语学院"</f>
        <v>外国语学院</v>
      </c>
    </row>
    <row r="7210" ht="13.5" hidden="1" spans="1:5">
      <c r="A7210" s="2" t="str">
        <f>"周艳春"</f>
        <v>周艳春</v>
      </c>
      <c r="B7210" s="2" t="str">
        <f>"B20230803201"</f>
        <v>B20230803201</v>
      </c>
      <c r="C7210" s="2" t="str">
        <f t="shared" si="1841"/>
        <v>女</v>
      </c>
      <c r="D7210" s="2" t="str">
        <f t="shared" si="1827"/>
        <v>5</v>
      </c>
      <c r="E7210" s="2" t="str">
        <f>"外国语学院"</f>
        <v>外国语学院</v>
      </c>
    </row>
    <row r="7211" ht="13.5" hidden="1" spans="1:5">
      <c r="A7211" s="2" t="str">
        <f>"王浚懿"</f>
        <v>王浚懿</v>
      </c>
      <c r="B7211" s="2" t="str">
        <f>"B20230205312"</f>
        <v>B20230205312</v>
      </c>
      <c r="C7211" s="2" t="str">
        <f t="shared" ref="C7211:C7213" si="1842">"男"</f>
        <v>男</v>
      </c>
      <c r="D7211" s="2" t="str">
        <f t="shared" si="1827"/>
        <v>5</v>
      </c>
      <c r="E7211" s="2" t="str">
        <f>"机电工程学院"</f>
        <v>机电工程学院</v>
      </c>
    </row>
    <row r="7212" ht="13.5" hidden="1" spans="1:5">
      <c r="A7212" s="2" t="str">
        <f>"胡照泼"</f>
        <v>胡照泼</v>
      </c>
      <c r="B7212" s="2" t="str">
        <f>"B20221202231"</f>
        <v>B20221202231</v>
      </c>
      <c r="C7212" s="2" t="str">
        <f t="shared" si="1842"/>
        <v>男</v>
      </c>
      <c r="D7212" s="2" t="str">
        <f>"6"</f>
        <v>6</v>
      </c>
      <c r="E7212" s="2" t="str">
        <f>"数学学院"</f>
        <v>数学学院</v>
      </c>
    </row>
    <row r="7213" ht="13.5" hidden="1" spans="1:5">
      <c r="A7213" s="2" t="str">
        <f>"凌健"</f>
        <v>凌健</v>
      </c>
      <c r="B7213" s="2" t="str">
        <f>"B20221202233"</f>
        <v>B20221202233</v>
      </c>
      <c r="C7213" s="2" t="str">
        <f t="shared" si="1842"/>
        <v>男</v>
      </c>
      <c r="D7213" s="2" t="str">
        <f>"6"</f>
        <v>6</v>
      </c>
      <c r="E7213" s="2" t="str">
        <f>"数学学院"</f>
        <v>数学学院</v>
      </c>
    </row>
    <row r="7214" ht="13.5" hidden="1" spans="1:5">
      <c r="A7214" s="2" t="str">
        <f>"徐泽方南"</f>
        <v>徐泽方南</v>
      </c>
      <c r="B7214" s="2" t="str">
        <f>"B20200904104"</f>
        <v>B20200904104</v>
      </c>
      <c r="C7214" s="2" t="str">
        <f t="shared" si="1841"/>
        <v>女</v>
      </c>
      <c r="D7214" s="2" t="str">
        <f t="shared" si="1827"/>
        <v>5</v>
      </c>
      <c r="E7214" s="2" t="str">
        <f t="shared" ref="E7214:E7216" si="1843">"经济与管理学院"</f>
        <v>经济与管理学院</v>
      </c>
    </row>
    <row r="7215" ht="13.5" hidden="1" spans="1:5">
      <c r="A7215" s="2" t="str">
        <f>"夏紫瑄"</f>
        <v>夏紫瑄</v>
      </c>
      <c r="B7215" s="2" t="str">
        <f>"B20220903207"</f>
        <v>B20220903207</v>
      </c>
      <c r="C7215" s="2" t="str">
        <f t="shared" si="1841"/>
        <v>女</v>
      </c>
      <c r="D7215" s="2" t="str">
        <f t="shared" si="1827"/>
        <v>5</v>
      </c>
      <c r="E7215" s="2" t="str">
        <f t="shared" si="1843"/>
        <v>经济与管理学院</v>
      </c>
    </row>
    <row r="7216" ht="13.5" hidden="1" spans="1:5">
      <c r="A7216" s="2" t="str">
        <f>"陈灿"</f>
        <v>陈灿</v>
      </c>
      <c r="B7216" s="2" t="str">
        <f>"B20210902206"</f>
        <v>B20210902206</v>
      </c>
      <c r="C7216" s="2" t="str">
        <f t="shared" si="1841"/>
        <v>女</v>
      </c>
      <c r="D7216" s="2" t="str">
        <f t="shared" si="1827"/>
        <v>5</v>
      </c>
      <c r="E7216" s="2" t="str">
        <f t="shared" si="1843"/>
        <v>经济与管理学院</v>
      </c>
    </row>
    <row r="7217" ht="13.5" hidden="1" spans="1:5">
      <c r="A7217" s="2" t="str">
        <f>"张君慧"</f>
        <v>张君慧</v>
      </c>
      <c r="B7217" s="2" t="str">
        <f>"B20210801409"</f>
        <v>B20210801409</v>
      </c>
      <c r="C7217" s="2" t="str">
        <f t="shared" si="1841"/>
        <v>女</v>
      </c>
      <c r="D7217" s="2" t="str">
        <f t="shared" si="1827"/>
        <v>5</v>
      </c>
      <c r="E7217" s="2" t="str">
        <f>"外国语学院"</f>
        <v>外国语学院</v>
      </c>
    </row>
    <row r="7218" ht="13.5" hidden="1" spans="1:5">
      <c r="A7218" s="2" t="str">
        <f>"许文涛"</f>
        <v>许文涛</v>
      </c>
      <c r="B7218" s="2" t="str">
        <f>"B20211001122"</f>
        <v>B20211001122</v>
      </c>
      <c r="C7218" s="2" t="str">
        <f>"男"</f>
        <v>男</v>
      </c>
      <c r="D7218" s="2" t="str">
        <f t="shared" si="1827"/>
        <v>5</v>
      </c>
      <c r="E7218" s="2" t="str">
        <f>"艺术设计学院"</f>
        <v>艺术设计学院</v>
      </c>
    </row>
    <row r="7219" ht="13.5" hidden="1" spans="1:5">
      <c r="A7219" s="2" t="str">
        <f>"杨宇桐"</f>
        <v>杨宇桐</v>
      </c>
      <c r="B7219" s="2" t="str">
        <f>"B20230201330"</f>
        <v>B20230201330</v>
      </c>
      <c r="C7219" s="2" t="str">
        <f>"男"</f>
        <v>男</v>
      </c>
      <c r="D7219" s="2" t="str">
        <f t="shared" si="1827"/>
        <v>5</v>
      </c>
      <c r="E7219" s="2" t="str">
        <f>"机电工程学院"</f>
        <v>机电工程学院</v>
      </c>
    </row>
    <row r="7220" ht="13.5" hidden="1" spans="1:5">
      <c r="A7220" s="2" t="str">
        <f>"文章宇"</f>
        <v>文章宇</v>
      </c>
      <c r="B7220" s="2" t="str">
        <f>"B20231302326"</f>
        <v>B20231302326</v>
      </c>
      <c r="C7220" s="2" t="str">
        <f>"女"</f>
        <v>女</v>
      </c>
      <c r="D7220" s="2" t="str">
        <f>"5"</f>
        <v>5</v>
      </c>
      <c r="E7220" s="2" t="str">
        <f>"材料与环境工程学院"</f>
        <v>材料与环境工程学院</v>
      </c>
    </row>
    <row r="7221" ht="13.5" hidden="1" spans="1:5">
      <c r="A7221" s="2" t="str">
        <f>"李嘉怡"</f>
        <v>李嘉怡</v>
      </c>
      <c r="B7221" s="2" t="str">
        <f>"B20231302207"</f>
        <v>B20231302207</v>
      </c>
      <c r="C7221" s="2" t="str">
        <f>"女"</f>
        <v>女</v>
      </c>
      <c r="D7221" s="2" t="str">
        <f>"5"</f>
        <v>5</v>
      </c>
      <c r="E7221" s="2" t="str">
        <f>"材料与环境工程学院"</f>
        <v>材料与环境工程学院</v>
      </c>
    </row>
    <row r="7222" ht="13.5" hidden="1" spans="1:5">
      <c r="A7222" s="2" t="str">
        <f>"郑满英"</f>
        <v>郑满英</v>
      </c>
      <c r="B7222" s="2" t="str">
        <f>"B20230104215"</f>
        <v>B20230104215</v>
      </c>
      <c r="C7222" s="2" t="str">
        <f>"女"</f>
        <v>女</v>
      </c>
      <c r="D7222" s="2" t="str">
        <f>"5"</f>
        <v>5</v>
      </c>
      <c r="E7222" s="2" t="str">
        <f>"土木工程学院"</f>
        <v>土木工程学院</v>
      </c>
    </row>
    <row r="7223" ht="13.5" hidden="1" spans="1:5">
      <c r="A7223" s="2" t="str">
        <f>"黄楷洺"</f>
        <v>黄楷洺</v>
      </c>
      <c r="B7223" s="2" t="str">
        <f>"B20220101431"</f>
        <v>B20220101431</v>
      </c>
      <c r="C7223" s="2" t="str">
        <f>"男"</f>
        <v>男</v>
      </c>
      <c r="D7223" s="2" t="str">
        <f>"5"</f>
        <v>5</v>
      </c>
      <c r="E7223" s="2" t="str">
        <f>"土木工程学院"</f>
        <v>土木工程学院</v>
      </c>
    </row>
    <row r="7224" ht="13.5" hidden="1" spans="1:5">
      <c r="A7224" s="2" t="str">
        <f>"赵文强"</f>
        <v>赵文强</v>
      </c>
      <c r="B7224" s="2" t="str">
        <f>"B20210504113"</f>
        <v>B20210504113</v>
      </c>
      <c r="C7224" s="2" t="str">
        <f>"男"</f>
        <v>男</v>
      </c>
      <c r="D7224" s="2" t="str">
        <f>"5"</f>
        <v>5</v>
      </c>
      <c r="E7224" s="2" t="str">
        <f>"生物与化学工程学院"</f>
        <v>生物与化学工程学院</v>
      </c>
    </row>
    <row r="7225" ht="13.5" hidden="1" spans="1:5">
      <c r="A7225" s="2" t="str">
        <f>"杨效"</f>
        <v>杨效</v>
      </c>
      <c r="B7225" s="2" t="str">
        <f>"B20210101311"</f>
        <v>B20210101311</v>
      </c>
      <c r="C7225" s="2" t="str">
        <f>"男"</f>
        <v>男</v>
      </c>
      <c r="D7225" s="2" t="str">
        <f>"5"</f>
        <v>5</v>
      </c>
      <c r="E7225" s="2" t="str">
        <f>"土木工程学院"</f>
        <v>土木工程学院</v>
      </c>
    </row>
    <row r="7226" ht="13.5" hidden="1" spans="1:5">
      <c r="A7226" s="2" t="str">
        <f>"符安棋"</f>
        <v>符安棋</v>
      </c>
      <c r="B7226" s="2" t="str">
        <f>"B20210704213"</f>
        <v>B20210704213</v>
      </c>
      <c r="C7226" s="2" t="str">
        <f>"女"</f>
        <v>女</v>
      </c>
      <c r="D7226" s="2" t="str">
        <f>"5"</f>
        <v>5</v>
      </c>
      <c r="E7226" s="2" t="str">
        <f>"马栏山新媒体学院"</f>
        <v>马栏山新媒体学院</v>
      </c>
    </row>
    <row r="7227" ht="13.5" hidden="1" spans="1:5">
      <c r="A7227" s="2" t="str">
        <f>"陈崇龙"</f>
        <v>陈崇龙</v>
      </c>
      <c r="B7227" s="2" t="str">
        <f>"B20200402303"</f>
        <v>B20200402303</v>
      </c>
      <c r="C7227" s="2" t="str">
        <f>"男"</f>
        <v>男</v>
      </c>
      <c r="D7227" s="2" t="str">
        <f>"5"</f>
        <v>5</v>
      </c>
      <c r="E7227" s="2" t="str">
        <f>"电子信息与电气工程学院"</f>
        <v>电子信息与电气工程学院</v>
      </c>
    </row>
    <row r="7228" ht="13.5" hidden="1" spans="1:5">
      <c r="A7228" s="2" t="str">
        <f>"刁美伊"</f>
        <v>刁美伊</v>
      </c>
      <c r="B7228" s="2" t="str">
        <f>"B20211001211"</f>
        <v>B20211001211</v>
      </c>
      <c r="C7228" s="2" t="str">
        <f>"女"</f>
        <v>女</v>
      </c>
      <c r="D7228" s="2" t="str">
        <f>"5"</f>
        <v>5</v>
      </c>
      <c r="E7228" s="2" t="str">
        <f>"艺术设计学院"</f>
        <v>艺术设计学院</v>
      </c>
    </row>
    <row r="7229" ht="13.5" hidden="1" spans="1:5">
      <c r="A7229" s="2" t="str">
        <f>"杨锟"</f>
        <v>杨锟</v>
      </c>
      <c r="B7229" s="2" t="str">
        <f>"B20210505135"</f>
        <v>B20210505135</v>
      </c>
      <c r="C7229" s="2" t="str">
        <f>"男"</f>
        <v>男</v>
      </c>
      <c r="D7229" s="2" t="str">
        <f>"5"</f>
        <v>5</v>
      </c>
      <c r="E7229" s="2" t="str">
        <f>"材料与环境工程学院"</f>
        <v>材料与环境工程学院</v>
      </c>
    </row>
    <row r="7230" ht="13.5" hidden="1" spans="1:5">
      <c r="A7230" s="2" t="str">
        <f>"沈玉良"</f>
        <v>沈玉良</v>
      </c>
      <c r="B7230" s="2" t="str">
        <f>"B20220502106"</f>
        <v>B20220502106</v>
      </c>
      <c r="C7230" s="2" t="str">
        <f>"女"</f>
        <v>女</v>
      </c>
      <c r="D7230" s="2" t="str">
        <f>"5"</f>
        <v>5</v>
      </c>
      <c r="E7230" s="2" t="str">
        <f>"生物与化学工程学院"</f>
        <v>生物与化学工程学院</v>
      </c>
    </row>
    <row r="7231" ht="13.5" hidden="1" spans="1:5">
      <c r="A7231" s="2" t="str">
        <f>"付雨凡"</f>
        <v>付雨凡</v>
      </c>
      <c r="B7231" s="2" t="str">
        <f>"B20220401205"</f>
        <v>B20220401205</v>
      </c>
      <c r="C7231" s="2" t="str">
        <f>"男"</f>
        <v>男</v>
      </c>
      <c r="D7231" s="2" t="str">
        <f>"5"</f>
        <v>5</v>
      </c>
      <c r="E7231" s="2" t="str">
        <f>"电子信息与电气工程学院"</f>
        <v>电子信息与电气工程学院</v>
      </c>
    </row>
    <row r="7232" ht="13.5" hidden="1" spans="1:5">
      <c r="A7232" s="2" t="str">
        <f>"王语菲"</f>
        <v>王语菲</v>
      </c>
      <c r="B7232" s="2" t="str">
        <f>"B20201001123"</f>
        <v>B20201001123</v>
      </c>
      <c r="C7232" s="2" t="str">
        <f>"女"</f>
        <v>女</v>
      </c>
      <c r="D7232" s="2" t="str">
        <f>"5"</f>
        <v>5</v>
      </c>
      <c r="E7232" s="2" t="str">
        <f>"艺术设计学院"</f>
        <v>艺术设计学院</v>
      </c>
    </row>
    <row r="7233" ht="13.5" hidden="1" spans="1:5">
      <c r="A7233" s="2" t="str">
        <f>"谢雪锋"</f>
        <v>谢雪锋</v>
      </c>
      <c r="B7233" s="2" t="str">
        <f>"B20211002115"</f>
        <v>B20211002115</v>
      </c>
      <c r="C7233" s="2" t="str">
        <f>"男"</f>
        <v>男</v>
      </c>
      <c r="D7233" s="2" t="str">
        <f>"5"</f>
        <v>5</v>
      </c>
      <c r="E7233" s="2" t="str">
        <f>"艺术设计学院"</f>
        <v>艺术设计学院</v>
      </c>
    </row>
    <row r="7234" ht="13.5" hidden="1" spans="1:5">
      <c r="A7234" s="2" t="str">
        <f>"何天宁"</f>
        <v>何天宁</v>
      </c>
      <c r="B7234" s="2" t="str">
        <f>"B20200401428"</f>
        <v>B20200401428</v>
      </c>
      <c r="C7234" s="2" t="str">
        <f>"男"</f>
        <v>男</v>
      </c>
      <c r="D7234" s="2" t="str">
        <f>"5"</f>
        <v>5</v>
      </c>
      <c r="E7234" s="2" t="str">
        <f>"电子信息与电气工程学院"</f>
        <v>电子信息与电气工程学院</v>
      </c>
    </row>
    <row r="7235" ht="13.5" hidden="1" spans="1:5">
      <c r="A7235" s="2" t="str">
        <f>"刘浩天"</f>
        <v>刘浩天</v>
      </c>
      <c r="B7235" s="2" t="str">
        <f>"B20230501222"</f>
        <v>B20230501222</v>
      </c>
      <c r="C7235" s="2" t="str">
        <f>"男"</f>
        <v>男</v>
      </c>
      <c r="D7235" s="2" t="str">
        <f>"5"</f>
        <v>5</v>
      </c>
      <c r="E7235" s="2" t="str">
        <f>"生物与化学工程学院"</f>
        <v>生物与化学工程学院</v>
      </c>
    </row>
    <row r="7236" ht="13.5" hidden="1" spans="1:5">
      <c r="A7236" s="2" t="str">
        <f>"张熙芸"</f>
        <v>张熙芸</v>
      </c>
      <c r="B7236" s="2" t="str">
        <f>"B20230902225"</f>
        <v>B20230902225</v>
      </c>
      <c r="C7236" s="2" t="str">
        <f t="shared" ref="C7236:C7239" si="1844">"女"</f>
        <v>女</v>
      </c>
      <c r="D7236" s="2" t="str">
        <f>"5"</f>
        <v>5</v>
      </c>
      <c r="E7236" s="2" t="str">
        <f t="shared" ref="E7236:E7242" si="1845">"经济与管理学院"</f>
        <v>经济与管理学院</v>
      </c>
    </row>
    <row r="7237" ht="13.5" hidden="1" spans="1:5">
      <c r="A7237" s="2" t="str">
        <f>"刘悦"</f>
        <v>刘悦</v>
      </c>
      <c r="B7237" s="2" t="str">
        <f>"B20211111203"</f>
        <v>B20211111203</v>
      </c>
      <c r="C7237" s="2" t="str">
        <f t="shared" si="1844"/>
        <v>女</v>
      </c>
      <c r="D7237" s="2" t="str">
        <f>"5"</f>
        <v>5</v>
      </c>
      <c r="E7237" s="2" t="str">
        <f>"音乐学院"</f>
        <v>音乐学院</v>
      </c>
    </row>
    <row r="7238" ht="13.5" hidden="1" spans="1:5">
      <c r="A7238" s="2" t="str">
        <f>"代紫雯"</f>
        <v>代紫雯</v>
      </c>
      <c r="B7238" s="2" t="str">
        <f>"B20230701116"</f>
        <v>B20230701116</v>
      </c>
      <c r="C7238" s="2" t="str">
        <f t="shared" si="1844"/>
        <v>女</v>
      </c>
      <c r="D7238" s="2" t="str">
        <f>"5"</f>
        <v>5</v>
      </c>
      <c r="E7238" s="2" t="str">
        <f>"马栏山新媒体学院"</f>
        <v>马栏山新媒体学院</v>
      </c>
    </row>
    <row r="7239" ht="13.5" hidden="1" spans="1:5">
      <c r="A7239" s="2" t="str">
        <f>"曾冰洋"</f>
        <v>曾冰洋</v>
      </c>
      <c r="B7239" s="2" t="str">
        <f>"B20230902110"</f>
        <v>B20230902110</v>
      </c>
      <c r="C7239" s="2" t="str">
        <f t="shared" si="1844"/>
        <v>女</v>
      </c>
      <c r="D7239" s="2" t="str">
        <f>"5"</f>
        <v>5</v>
      </c>
      <c r="E7239" s="2" t="str">
        <f t="shared" si="1845"/>
        <v>经济与管理学院</v>
      </c>
    </row>
    <row r="7240" ht="13.5" hidden="1" spans="1:5">
      <c r="A7240" s="2" t="str">
        <f>"高英豪"</f>
        <v>高英豪</v>
      </c>
      <c r="B7240" s="2" t="str">
        <f>"B20230205110"</f>
        <v>B20230205110</v>
      </c>
      <c r="C7240" s="2" t="str">
        <f>"男"</f>
        <v>男</v>
      </c>
      <c r="D7240" s="2" t="str">
        <f>"5"</f>
        <v>5</v>
      </c>
      <c r="E7240" s="2" t="str">
        <f>"机电工程学院"</f>
        <v>机电工程学院</v>
      </c>
    </row>
    <row r="7241" ht="13.5" hidden="1" spans="1:5">
      <c r="A7241" s="2" t="str">
        <f>"杨晓晴"</f>
        <v>杨晓晴</v>
      </c>
      <c r="B7241" s="2" t="str">
        <f>"B20220902106"</f>
        <v>B20220902106</v>
      </c>
      <c r="C7241" s="2" t="str">
        <f>"女"</f>
        <v>女</v>
      </c>
      <c r="D7241" s="2" t="str">
        <f>"5"</f>
        <v>5</v>
      </c>
      <c r="E7241" s="2" t="str">
        <f t="shared" si="1845"/>
        <v>经济与管理学院</v>
      </c>
    </row>
    <row r="7242" ht="13.5" hidden="1" spans="1:5">
      <c r="A7242" s="2" t="str">
        <f>"张炜"</f>
        <v>张炜</v>
      </c>
      <c r="B7242" s="2" t="str">
        <f>"B20230901337"</f>
        <v>B20230901337</v>
      </c>
      <c r="C7242" s="2" t="str">
        <f>"男"</f>
        <v>男</v>
      </c>
      <c r="D7242" s="2" t="str">
        <f>"5"</f>
        <v>5</v>
      </c>
      <c r="E7242" s="2" t="str">
        <f t="shared" si="1845"/>
        <v>经济与管理学院</v>
      </c>
    </row>
    <row r="7243" ht="13.5" hidden="1" spans="1:5">
      <c r="A7243" s="2" t="str">
        <f>"张均"</f>
        <v>张均</v>
      </c>
      <c r="B7243" s="2" t="str">
        <f>"B20161002305"</f>
        <v>B20161002305</v>
      </c>
      <c r="C7243" s="2" t="str">
        <f>"男"</f>
        <v>男</v>
      </c>
      <c r="D7243" s="2" t="str">
        <f>"5"</f>
        <v>5</v>
      </c>
      <c r="E7243" s="2" t="str">
        <f>"艺术设计学院"</f>
        <v>艺术设计学院</v>
      </c>
    </row>
    <row r="7244" ht="13.5" hidden="1" spans="1:5">
      <c r="A7244" s="2" t="str">
        <f>"孙世锦"</f>
        <v>孙世锦</v>
      </c>
      <c r="B7244" s="2" t="str">
        <f>"B20220101231"</f>
        <v>B20220101231</v>
      </c>
      <c r="C7244" s="2" t="str">
        <f>"男"</f>
        <v>男</v>
      </c>
      <c r="D7244" s="2" t="str">
        <f>"5"</f>
        <v>5</v>
      </c>
      <c r="E7244" s="2" t="str">
        <f>"土木工程学院"</f>
        <v>土木工程学院</v>
      </c>
    </row>
    <row r="7245" ht="13.5" hidden="1" spans="1:5">
      <c r="A7245" s="2" t="str">
        <f>"杨帆"</f>
        <v>杨帆</v>
      </c>
      <c r="B7245" s="2" t="str">
        <f>"B20210101126"</f>
        <v>B20210101126</v>
      </c>
      <c r="C7245" s="2" t="str">
        <f>"女"</f>
        <v>女</v>
      </c>
      <c r="D7245" s="2" t="str">
        <f>"5"</f>
        <v>5</v>
      </c>
      <c r="E7245" s="2" t="str">
        <f>"土木工程学院"</f>
        <v>土木工程学院</v>
      </c>
    </row>
    <row r="7246" ht="13.5" hidden="1" spans="1:5">
      <c r="A7246" s="2" t="str">
        <f>"樊奕惬"</f>
        <v>樊奕惬</v>
      </c>
      <c r="B7246" s="2" t="str">
        <f>"B20210502134"</f>
        <v>B20210502134</v>
      </c>
      <c r="C7246" s="2" t="str">
        <f>"女"</f>
        <v>女</v>
      </c>
      <c r="D7246" s="2" t="str">
        <f>"5"</f>
        <v>5</v>
      </c>
      <c r="E7246" s="2" t="str">
        <f>"生物与化学工程学院"</f>
        <v>生物与化学工程学院</v>
      </c>
    </row>
    <row r="7247" ht="13.5" hidden="1" spans="1:5">
      <c r="A7247" s="2" t="str">
        <f>"刘晓佳"</f>
        <v>刘晓佳</v>
      </c>
      <c r="B7247" s="2" t="str">
        <f>"B20210601119"</f>
        <v>B20210601119</v>
      </c>
      <c r="C7247" s="2" t="str">
        <f>"女"</f>
        <v>女</v>
      </c>
      <c r="D7247" s="2" t="str">
        <f>"5"</f>
        <v>5</v>
      </c>
      <c r="E7247" s="2" t="str">
        <f>"法学院"</f>
        <v>法学院</v>
      </c>
    </row>
    <row r="7248" ht="13.5" hidden="1" spans="1:5">
      <c r="A7248" s="2" t="str">
        <f>"张欣"</f>
        <v>张欣</v>
      </c>
      <c r="B7248" s="2" t="str">
        <f>"B20230702108"</f>
        <v>B20230702108</v>
      </c>
      <c r="C7248" s="2" t="str">
        <f>"男"</f>
        <v>男</v>
      </c>
      <c r="D7248" s="2" t="str">
        <f>"5"</f>
        <v>5</v>
      </c>
      <c r="E7248" s="2" t="str">
        <f>"马栏山新媒体学院"</f>
        <v>马栏山新媒体学院</v>
      </c>
    </row>
    <row r="7249" ht="13.5" hidden="1" spans="1:5">
      <c r="A7249" s="2" t="str">
        <f>"肖心怡"</f>
        <v>肖心怡</v>
      </c>
      <c r="B7249" s="2" t="str">
        <f>"B20220901318"</f>
        <v>B20220901318</v>
      </c>
      <c r="C7249" s="2" t="str">
        <f>"女"</f>
        <v>女</v>
      </c>
      <c r="D7249" s="2" t="str">
        <f>"5"</f>
        <v>5</v>
      </c>
      <c r="E7249" s="2" t="str">
        <f>"经济与管理学院"</f>
        <v>经济与管理学院</v>
      </c>
    </row>
    <row r="7250" ht="13.5" hidden="1" spans="1:5">
      <c r="A7250" s="2" t="str">
        <f>"张子仪"</f>
        <v>张子仪</v>
      </c>
      <c r="B7250" s="2" t="str">
        <f>"B20200802210"</f>
        <v>B20200802210</v>
      </c>
      <c r="C7250" s="2" t="str">
        <f>"女"</f>
        <v>女</v>
      </c>
      <c r="D7250" s="2" t="str">
        <f>"5"</f>
        <v>5</v>
      </c>
      <c r="E7250" s="2" t="str">
        <f>"外国语学院"</f>
        <v>外国语学院</v>
      </c>
    </row>
    <row r="7251" ht="13.5" hidden="1" spans="1:5">
      <c r="A7251" s="2" t="str">
        <f>"马浩楠"</f>
        <v>马浩楠</v>
      </c>
      <c r="B7251" s="2" t="str">
        <f>"B20221302222"</f>
        <v>B20221302222</v>
      </c>
      <c r="C7251" s="2" t="str">
        <f>"男"</f>
        <v>男</v>
      </c>
      <c r="D7251" s="2" t="str">
        <f>"5"</f>
        <v>5</v>
      </c>
      <c r="E7251" s="2" t="str">
        <f>"材料与环境工程学院"</f>
        <v>材料与环境工程学院</v>
      </c>
    </row>
    <row r="7252" ht="13.5" hidden="1" spans="1:5">
      <c r="A7252" s="2" t="str">
        <f>"杨静宜"</f>
        <v>杨静宜</v>
      </c>
      <c r="B7252" s="2" t="str">
        <f>"B20210904229"</f>
        <v>B20210904229</v>
      </c>
      <c r="C7252" s="2" t="str">
        <f>"女"</f>
        <v>女</v>
      </c>
      <c r="D7252" s="2" t="str">
        <f>"5"</f>
        <v>5</v>
      </c>
      <c r="E7252" s="2" t="str">
        <f>"经济与管理学院"</f>
        <v>经济与管理学院</v>
      </c>
    </row>
    <row r="7253" ht="13.5" hidden="1" spans="1:5">
      <c r="A7253" s="2" t="str">
        <f>"朱良乔"</f>
        <v>朱良乔</v>
      </c>
      <c r="B7253" s="2" t="str">
        <f>"B20230102227"</f>
        <v>B20230102227</v>
      </c>
      <c r="C7253" s="2" t="str">
        <f>"男"</f>
        <v>男</v>
      </c>
      <c r="D7253" s="2" t="str">
        <f>"5"</f>
        <v>5</v>
      </c>
      <c r="E7253" s="2" t="str">
        <f>"土木工程学院"</f>
        <v>土木工程学院</v>
      </c>
    </row>
    <row r="7254" ht="13.5" hidden="1" spans="1:5">
      <c r="A7254" s="2" t="str">
        <f>"肖海涛"</f>
        <v>肖海涛</v>
      </c>
      <c r="B7254" s="2" t="str">
        <f>"B20220902330"</f>
        <v>B20220902330</v>
      </c>
      <c r="C7254" s="2" t="str">
        <f>"男"</f>
        <v>男</v>
      </c>
      <c r="D7254" s="2" t="str">
        <f>"5"</f>
        <v>5</v>
      </c>
      <c r="E7254" s="2" t="str">
        <f>"经济与管理学院"</f>
        <v>经济与管理学院</v>
      </c>
    </row>
    <row r="7255" ht="13.5" hidden="1" spans="1:5">
      <c r="A7255" s="2" t="str">
        <f>"李岸徽"</f>
        <v>李岸徽</v>
      </c>
      <c r="B7255" s="2" t="str">
        <f>"B20230404211"</f>
        <v>B20230404211</v>
      </c>
      <c r="C7255" s="2" t="str">
        <f>"男"</f>
        <v>男</v>
      </c>
      <c r="D7255" s="2" t="str">
        <f>"5"</f>
        <v>5</v>
      </c>
      <c r="E7255" s="2" t="str">
        <f>"电子信息与电气工程学院"</f>
        <v>电子信息与电气工程学院</v>
      </c>
    </row>
    <row r="7256" ht="13.5" hidden="1" spans="1:5">
      <c r="A7256" s="2" t="str">
        <f>"罗佳杰"</f>
        <v>罗佳杰</v>
      </c>
      <c r="B7256" s="2" t="str">
        <f>"B20231101218"</f>
        <v>B20231101218</v>
      </c>
      <c r="C7256" s="2" t="str">
        <f>"女"</f>
        <v>女</v>
      </c>
      <c r="D7256" s="2" t="str">
        <f>"5"</f>
        <v>5</v>
      </c>
      <c r="E7256" s="2" t="str">
        <f>"音乐学院"</f>
        <v>音乐学院</v>
      </c>
    </row>
    <row r="7257" ht="13.5" hidden="1" spans="1:5">
      <c r="A7257" s="2" t="str">
        <f>"阎荣光"</f>
        <v>阎荣光</v>
      </c>
      <c r="B7257" s="2" t="str">
        <f>"B20200202201"</f>
        <v>B20200202201</v>
      </c>
      <c r="C7257" s="2" t="str">
        <f>"男"</f>
        <v>男</v>
      </c>
      <c r="D7257" s="2" t="str">
        <f>"5"</f>
        <v>5</v>
      </c>
      <c r="E7257" s="2" t="str">
        <f>"机电工程学院"</f>
        <v>机电工程学院</v>
      </c>
    </row>
    <row r="7258" ht="13.5" hidden="1" spans="1:5">
      <c r="A7258" s="2" t="str">
        <f>"张睿"</f>
        <v>张睿</v>
      </c>
      <c r="B7258" s="2" t="str">
        <f>"B20230101438"</f>
        <v>B20230101438</v>
      </c>
      <c r="C7258" s="2" t="str">
        <f>"女"</f>
        <v>女</v>
      </c>
      <c r="D7258" s="2" t="str">
        <f>"5"</f>
        <v>5</v>
      </c>
      <c r="E7258" s="2" t="str">
        <f>"土木工程学院"</f>
        <v>土木工程学院</v>
      </c>
    </row>
    <row r="7259" ht="13.5" hidden="1" spans="1:5">
      <c r="A7259" s="2" t="str">
        <f>"李博"</f>
        <v>李博</v>
      </c>
      <c r="B7259" s="2" t="str">
        <f>"B20230205320"</f>
        <v>B20230205320</v>
      </c>
      <c r="C7259" s="2" t="str">
        <f>"男"</f>
        <v>男</v>
      </c>
      <c r="D7259" s="2" t="str">
        <f t="shared" ref="D7259:D7270" si="1846">"5"</f>
        <v>5</v>
      </c>
      <c r="E7259" s="2" t="str">
        <f>"机电工程学院"</f>
        <v>机电工程学院</v>
      </c>
    </row>
    <row r="7260" ht="13.5" hidden="1" spans="1:5">
      <c r="A7260" s="2" t="str">
        <f>"陈可儿"</f>
        <v>陈可儿</v>
      </c>
      <c r="B7260" s="2" t="str">
        <f>"B20201001119"</f>
        <v>B20201001119</v>
      </c>
      <c r="C7260" s="2" t="str">
        <f t="shared" ref="C7259:C7266" si="1847">"女"</f>
        <v>女</v>
      </c>
      <c r="D7260" s="2" t="str">
        <f t="shared" si="1846"/>
        <v>5</v>
      </c>
      <c r="E7260" s="2" t="str">
        <f>"艺术设计学院"</f>
        <v>艺术设计学院</v>
      </c>
    </row>
    <row r="7261" ht="13.5" hidden="1" spans="1:5">
      <c r="A7261" s="2" t="str">
        <f>"刘佳怡"</f>
        <v>刘佳怡</v>
      </c>
      <c r="B7261" s="2" t="str">
        <f>"B20231101122"</f>
        <v>B20231101122</v>
      </c>
      <c r="C7261" s="2" t="str">
        <f t="shared" si="1847"/>
        <v>女</v>
      </c>
      <c r="D7261" s="2" t="str">
        <f t="shared" si="1846"/>
        <v>5</v>
      </c>
      <c r="E7261" s="2" t="str">
        <f>"音乐学院"</f>
        <v>音乐学院</v>
      </c>
    </row>
    <row r="7262" ht="13.5" hidden="1" spans="1:5">
      <c r="A7262" s="2" t="str">
        <f>"周思思"</f>
        <v>周思思</v>
      </c>
      <c r="B7262" s="2" t="str">
        <f>"B20220403232"</f>
        <v>B20220403232</v>
      </c>
      <c r="C7262" s="2" t="str">
        <f t="shared" si="1847"/>
        <v>女</v>
      </c>
      <c r="D7262" s="2" t="str">
        <f t="shared" si="1846"/>
        <v>5</v>
      </c>
      <c r="E7262" s="2" t="str">
        <f>"电子信息与电气工程学院"</f>
        <v>电子信息与电气工程学院</v>
      </c>
    </row>
    <row r="7263" ht="13.5" hidden="1" spans="1:5">
      <c r="A7263" s="2" t="str">
        <f>"李孟春"</f>
        <v>李孟春</v>
      </c>
      <c r="B7263" s="2" t="str">
        <f>"B20220601511"</f>
        <v>B20220601511</v>
      </c>
      <c r="C7263" s="2" t="str">
        <f t="shared" si="1847"/>
        <v>女</v>
      </c>
      <c r="D7263" s="2" t="str">
        <f t="shared" si="1846"/>
        <v>5</v>
      </c>
      <c r="E7263" s="2" t="str">
        <f t="shared" ref="E7263:E7268" si="1848">"法学院"</f>
        <v>法学院</v>
      </c>
    </row>
    <row r="7264" ht="13.5" hidden="1" spans="1:5">
      <c r="A7264" s="2" t="str">
        <f>"胡佳钰"</f>
        <v>胡佳钰</v>
      </c>
      <c r="B7264" s="2" t="str">
        <f>"B20220601322"</f>
        <v>B20220601322</v>
      </c>
      <c r="C7264" s="2" t="str">
        <f t="shared" si="1847"/>
        <v>女</v>
      </c>
      <c r="D7264" s="2" t="str">
        <f t="shared" si="1846"/>
        <v>5</v>
      </c>
      <c r="E7264" s="2" t="str">
        <f t="shared" si="1848"/>
        <v>法学院</v>
      </c>
    </row>
    <row r="7265" ht="13.5" hidden="1" spans="1:5">
      <c r="A7265" s="2" t="str">
        <f>"王彬鑫"</f>
        <v>王彬鑫</v>
      </c>
      <c r="B7265" s="2" t="str">
        <f>"B20220701129"</f>
        <v>B20220701129</v>
      </c>
      <c r="C7265" s="2" t="str">
        <f t="shared" si="1847"/>
        <v>女</v>
      </c>
      <c r="D7265" s="2" t="str">
        <f t="shared" si="1846"/>
        <v>5</v>
      </c>
      <c r="E7265" s="2" t="str">
        <f>"马栏山新媒体学院"</f>
        <v>马栏山新媒体学院</v>
      </c>
    </row>
    <row r="7266" ht="13.5" hidden="1" spans="1:5">
      <c r="A7266" s="2" t="str">
        <f>"谭鑫琪"</f>
        <v>谭鑫琪</v>
      </c>
      <c r="B7266" s="2" t="str">
        <f>"B20220504102"</f>
        <v>B20220504102</v>
      </c>
      <c r="C7266" s="2" t="str">
        <f t="shared" si="1847"/>
        <v>女</v>
      </c>
      <c r="D7266" s="2" t="str">
        <f t="shared" si="1846"/>
        <v>5</v>
      </c>
      <c r="E7266" s="2" t="str">
        <f>"生物与化学工程学院"</f>
        <v>生物与化学工程学院</v>
      </c>
    </row>
    <row r="7267" ht="13.5" hidden="1" spans="1:5">
      <c r="A7267" s="2" t="str">
        <f>"曾进"</f>
        <v>曾进</v>
      </c>
      <c r="B7267" s="2" t="str">
        <f>"B20230705107"</f>
        <v>B20230705107</v>
      </c>
      <c r="C7267" s="2" t="str">
        <f>"男"</f>
        <v>男</v>
      </c>
      <c r="D7267" s="2" t="str">
        <f t="shared" si="1846"/>
        <v>5</v>
      </c>
      <c r="E7267" s="2" t="str">
        <f>"马栏山新媒体学院"</f>
        <v>马栏山新媒体学院</v>
      </c>
    </row>
    <row r="7268" ht="13.5" hidden="1" spans="1:5">
      <c r="A7268" s="2" t="str">
        <f>"孟紫琴"</f>
        <v>孟紫琴</v>
      </c>
      <c r="B7268" s="2" t="str">
        <f>"B20220601524"</f>
        <v>B20220601524</v>
      </c>
      <c r="C7268" s="2" t="str">
        <f>"女"</f>
        <v>女</v>
      </c>
      <c r="D7268" s="2" t="str">
        <f t="shared" si="1846"/>
        <v>5</v>
      </c>
      <c r="E7268" s="2" t="str">
        <f t="shared" si="1848"/>
        <v>法学院</v>
      </c>
    </row>
    <row r="7269" ht="13.5" hidden="1" spans="1:5">
      <c r="A7269" s="2" t="str">
        <f>"周伟豪"</f>
        <v>周伟豪</v>
      </c>
      <c r="B7269" s="2" t="str">
        <f>"B20210905218"</f>
        <v>B20210905218</v>
      </c>
      <c r="C7269" s="2" t="str">
        <f>"男"</f>
        <v>男</v>
      </c>
      <c r="D7269" s="2" t="str">
        <f t="shared" si="1846"/>
        <v>5</v>
      </c>
      <c r="E7269" s="2" t="str">
        <f>"经济与管理学院"</f>
        <v>经济与管理学院</v>
      </c>
    </row>
    <row r="7270" ht="13.5" hidden="1" spans="1:5">
      <c r="A7270" s="2" t="str">
        <f>"任佩文"</f>
        <v>任佩文</v>
      </c>
      <c r="B7270" s="2" t="str">
        <f>"B20231302435"</f>
        <v>B20231302435</v>
      </c>
      <c r="C7270" s="2" t="str">
        <f>"男"</f>
        <v>男</v>
      </c>
      <c r="D7270" s="2" t="str">
        <f t="shared" si="1846"/>
        <v>5</v>
      </c>
      <c r="E7270" s="2" t="str">
        <f>"材料与环境工程学院"</f>
        <v>材料与环境工程学院</v>
      </c>
    </row>
    <row r="7271" ht="13.5" hidden="1" spans="1:5">
      <c r="A7271" s="2" t="str">
        <f>"罗雄"</f>
        <v>罗雄</v>
      </c>
      <c r="B7271" s="2" t="str">
        <f>"B20230403128"</f>
        <v>B20230403128</v>
      </c>
      <c r="C7271" s="2" t="str">
        <f>"男"</f>
        <v>男</v>
      </c>
      <c r="D7271" s="2" t="str">
        <f>"5"</f>
        <v>5</v>
      </c>
      <c r="E7271" s="2" t="str">
        <f>"电子信息与电气工程学院"</f>
        <v>电子信息与电气工程学院</v>
      </c>
    </row>
    <row r="7272" ht="13.5" hidden="1" spans="1:5">
      <c r="A7272" s="2" t="str">
        <f>"王乐"</f>
        <v>王乐</v>
      </c>
      <c r="B7272" s="2" t="str">
        <f>"B20220901105"</f>
        <v>B20220901105</v>
      </c>
      <c r="C7272" s="2" t="str">
        <f t="shared" ref="C7272:C7275" si="1849">"女"</f>
        <v>女</v>
      </c>
      <c r="D7272" s="2" t="str">
        <f>"5"</f>
        <v>5</v>
      </c>
      <c r="E7272" s="2" t="str">
        <f>"经济与管理学院"</f>
        <v>经济与管理学院</v>
      </c>
    </row>
    <row r="7273" ht="13.5" hidden="1" spans="1:5">
      <c r="A7273" s="2" t="str">
        <f>"李梓涵"</f>
        <v>李梓涵</v>
      </c>
      <c r="B7273" s="2" t="str">
        <f>"B20211101114"</f>
        <v>B20211101114</v>
      </c>
      <c r="C7273" s="2" t="str">
        <f t="shared" si="1849"/>
        <v>女</v>
      </c>
      <c r="D7273" s="2" t="str">
        <f>"5"</f>
        <v>5</v>
      </c>
      <c r="E7273" s="2" t="str">
        <f>"音乐学院"</f>
        <v>音乐学院</v>
      </c>
    </row>
    <row r="7274" ht="13.5" hidden="1" spans="1:5">
      <c r="A7274" s="2" t="str">
        <f>"周广红"</f>
        <v>周广红</v>
      </c>
      <c r="B7274" s="2" t="str">
        <f>"B20220904125"</f>
        <v>B20220904125</v>
      </c>
      <c r="C7274" s="2" t="str">
        <f t="shared" si="1849"/>
        <v>女</v>
      </c>
      <c r="D7274" s="2" t="str">
        <f>"5"</f>
        <v>5</v>
      </c>
      <c r="E7274" s="2" t="str">
        <f>"经济与管理学院"</f>
        <v>经济与管理学院</v>
      </c>
    </row>
    <row r="7275" ht="13.5" hidden="1" spans="1:5">
      <c r="A7275" s="2" t="str">
        <f>"李祎"</f>
        <v>李祎</v>
      </c>
      <c r="B7275" s="2" t="str">
        <f>"B20200101432"</f>
        <v>B20200101432</v>
      </c>
      <c r="C7275" s="2" t="str">
        <f t="shared" si="1849"/>
        <v>女</v>
      </c>
      <c r="D7275" s="2" t="str">
        <f>"5"</f>
        <v>5</v>
      </c>
      <c r="E7275" s="2" t="str">
        <f>"土木工程学院"</f>
        <v>土木工程学院</v>
      </c>
    </row>
    <row r="7276" ht="13.5" hidden="1" spans="1:5">
      <c r="A7276" s="2" t="str">
        <f>"胡世星"</f>
        <v>胡世星</v>
      </c>
      <c r="B7276" s="2" t="str">
        <f>"B20231302420"</f>
        <v>B20231302420</v>
      </c>
      <c r="C7276" s="2" t="str">
        <f>"男"</f>
        <v>男</v>
      </c>
      <c r="D7276" s="2" t="str">
        <f>"5"</f>
        <v>5</v>
      </c>
      <c r="E7276" s="2" t="str">
        <f>"材料与环境工程学院"</f>
        <v>材料与环境工程学院</v>
      </c>
    </row>
    <row r="7277" ht="13.5" hidden="1" spans="1:5">
      <c r="A7277" s="2" t="str">
        <f>"卢锦芸"</f>
        <v>卢锦芸</v>
      </c>
      <c r="B7277" s="2" t="str">
        <f>"B20231003217"</f>
        <v>B20231003217</v>
      </c>
      <c r="C7277" s="2" t="str">
        <f>"女"</f>
        <v>女</v>
      </c>
      <c r="D7277" s="2" t="str">
        <f>"5"</f>
        <v>5</v>
      </c>
      <c r="E7277" s="2" t="str">
        <f>"艺术设计学院"</f>
        <v>艺术设计学院</v>
      </c>
    </row>
    <row r="7278" ht="13.5" hidden="1" spans="1:5">
      <c r="A7278" s="2" t="str">
        <f>"师昂"</f>
        <v>师昂</v>
      </c>
      <c r="B7278" s="2" t="str">
        <f>"B20220901108"</f>
        <v>B20220901108</v>
      </c>
      <c r="C7278" s="2" t="str">
        <f>"女"</f>
        <v>女</v>
      </c>
      <c r="D7278" s="2" t="str">
        <f>"5"</f>
        <v>5</v>
      </c>
      <c r="E7278" s="2" t="str">
        <f>"经济与管理学院"</f>
        <v>经济与管理学院</v>
      </c>
    </row>
    <row r="7279" ht="13.5" hidden="1" spans="1:5">
      <c r="A7279" s="2" t="str">
        <f>"李家阳"</f>
        <v>李家阳</v>
      </c>
      <c r="B7279" s="2" t="str">
        <f>"B20230403121"</f>
        <v>B20230403121</v>
      </c>
      <c r="C7279" s="2" t="str">
        <f>"男"</f>
        <v>男</v>
      </c>
      <c r="D7279" s="2" t="str">
        <f>"5"</f>
        <v>5</v>
      </c>
      <c r="E7279" s="2" t="str">
        <f>"电子信息与电气工程学院"</f>
        <v>电子信息与电气工程学院</v>
      </c>
    </row>
    <row r="7280" ht="13.5" hidden="1" spans="1:5">
      <c r="A7280" s="2" t="str">
        <f>"孔令菲"</f>
        <v>孔令菲</v>
      </c>
      <c r="B7280" s="2" t="str">
        <f>"B20230901325"</f>
        <v>B20230901325</v>
      </c>
      <c r="C7280" s="2" t="str">
        <f>"女"</f>
        <v>女</v>
      </c>
      <c r="D7280" s="2" t="str">
        <f>"5"</f>
        <v>5</v>
      </c>
      <c r="E7280" s="2" t="str">
        <f t="shared" ref="E7280:E7285" si="1850">"经济与管理学院"</f>
        <v>经济与管理学院</v>
      </c>
    </row>
    <row r="7281" ht="13.5" hidden="1" spans="1:5">
      <c r="A7281" s="2" t="str">
        <f>"彭方圆"</f>
        <v>彭方圆</v>
      </c>
      <c r="B7281" s="2" t="str">
        <f>"B20220202105"</f>
        <v>B20220202105</v>
      </c>
      <c r="C7281" s="2" t="str">
        <f>"男"</f>
        <v>男</v>
      </c>
      <c r="D7281" s="2" t="str">
        <f>"5"</f>
        <v>5</v>
      </c>
      <c r="E7281" s="2" t="str">
        <f>"机电工程学院"</f>
        <v>机电工程学院</v>
      </c>
    </row>
    <row r="7282" ht="13.5" hidden="1" spans="1:5">
      <c r="A7282" s="2" t="str">
        <f>"冯正伟"</f>
        <v>冯正伟</v>
      </c>
      <c r="B7282" s="2" t="str">
        <f>"B20200101435"</f>
        <v>B20200101435</v>
      </c>
      <c r="C7282" s="2" t="str">
        <f>"男"</f>
        <v>男</v>
      </c>
      <c r="D7282" s="2" t="str">
        <f>"5"</f>
        <v>5</v>
      </c>
      <c r="E7282" s="2" t="str">
        <f>"土木工程学院"</f>
        <v>土木工程学院</v>
      </c>
    </row>
    <row r="7283" ht="13.5" hidden="1" spans="1:5">
      <c r="A7283" s="2" t="str">
        <f>"罗婷"</f>
        <v>罗婷</v>
      </c>
      <c r="B7283" s="2" t="str">
        <f>"B20230702217"</f>
        <v>B20230702217</v>
      </c>
      <c r="C7283" s="2" t="str">
        <f t="shared" ref="C7283:C7288" si="1851">"女"</f>
        <v>女</v>
      </c>
      <c r="D7283" s="2" t="str">
        <f>"5"</f>
        <v>5</v>
      </c>
      <c r="E7283" s="2" t="str">
        <f>"马栏山新媒体学院"</f>
        <v>马栏山新媒体学院</v>
      </c>
    </row>
    <row r="7284" ht="13.5" hidden="1" spans="1:5">
      <c r="A7284" s="2" t="str">
        <f>"王媗"</f>
        <v>王媗</v>
      </c>
      <c r="B7284" s="2" t="str">
        <f>"B20210902223"</f>
        <v>B20210902223</v>
      </c>
      <c r="C7284" s="2" t="str">
        <f t="shared" si="1851"/>
        <v>女</v>
      </c>
      <c r="D7284" s="2" t="str">
        <f>"5"</f>
        <v>5</v>
      </c>
      <c r="E7284" s="2" t="str">
        <f t="shared" si="1850"/>
        <v>经济与管理学院</v>
      </c>
    </row>
    <row r="7285" ht="13.5" hidden="1" spans="1:5">
      <c r="A7285" s="2" t="str">
        <f>"王欣怡"</f>
        <v>王欣怡</v>
      </c>
      <c r="B7285" s="2" t="str">
        <f>"B20210901105"</f>
        <v>B20210901105</v>
      </c>
      <c r="C7285" s="2" t="str">
        <f t="shared" si="1851"/>
        <v>女</v>
      </c>
      <c r="D7285" s="2" t="str">
        <f>"5"</f>
        <v>5</v>
      </c>
      <c r="E7285" s="2" t="str">
        <f t="shared" si="1850"/>
        <v>经济与管理学院</v>
      </c>
    </row>
    <row r="7286" ht="13.5" hidden="1" spans="1:5">
      <c r="A7286" s="2" t="str">
        <f>"司文杰"</f>
        <v>司文杰</v>
      </c>
      <c r="B7286" s="2" t="str">
        <f>"B20210803225"</f>
        <v>B20210803225</v>
      </c>
      <c r="C7286" s="2" t="str">
        <f t="shared" si="1851"/>
        <v>女</v>
      </c>
      <c r="D7286" s="2" t="str">
        <f>"5"</f>
        <v>5</v>
      </c>
      <c r="E7286" s="2" t="str">
        <f t="shared" ref="E7286:E7289" si="1852">"外国语学院"</f>
        <v>外国语学院</v>
      </c>
    </row>
    <row r="7287" ht="13.5" hidden="1" spans="1:5">
      <c r="A7287" s="2" t="str">
        <f>"涂慧"</f>
        <v>涂慧</v>
      </c>
      <c r="B7287" s="2" t="str">
        <f>"B20220902115"</f>
        <v>B20220902115</v>
      </c>
      <c r="C7287" s="2" t="str">
        <f t="shared" si="1851"/>
        <v>女</v>
      </c>
      <c r="D7287" s="2" t="str">
        <f>"5"</f>
        <v>5</v>
      </c>
      <c r="E7287" s="2" t="str">
        <f>"经济与管理学院"</f>
        <v>经济与管理学院</v>
      </c>
    </row>
    <row r="7288" ht="13.5" hidden="1" spans="1:5">
      <c r="A7288" s="2" t="str">
        <f>"王芝阳"</f>
        <v>王芝阳</v>
      </c>
      <c r="B7288" s="2" t="str">
        <f>"B20210803102"</f>
        <v>B20210803102</v>
      </c>
      <c r="C7288" s="2" t="str">
        <f t="shared" si="1851"/>
        <v>女</v>
      </c>
      <c r="D7288" s="2" t="str">
        <f>"5"</f>
        <v>5</v>
      </c>
      <c r="E7288" s="2" t="str">
        <f t="shared" si="1852"/>
        <v>外国语学院</v>
      </c>
    </row>
    <row r="7289" ht="13.5" hidden="1" spans="1:5">
      <c r="A7289" s="2" t="str">
        <f>"李逸"</f>
        <v>李逸</v>
      </c>
      <c r="B7289" s="2" t="str">
        <f>"B20230802116"</f>
        <v>B20230802116</v>
      </c>
      <c r="C7289" s="2" t="str">
        <f>"男"</f>
        <v>男</v>
      </c>
      <c r="D7289" s="2" t="str">
        <f>"5"</f>
        <v>5</v>
      </c>
      <c r="E7289" s="2" t="str">
        <f t="shared" si="1852"/>
        <v>外国语学院</v>
      </c>
    </row>
    <row r="7290" ht="13.5" hidden="1" spans="1:5">
      <c r="A7290" s="2" t="str">
        <f>"陈怡颖"</f>
        <v>陈怡颖</v>
      </c>
      <c r="B7290" s="2" t="str">
        <f>"B20230703106"</f>
        <v>B20230703106</v>
      </c>
      <c r="C7290" s="2" t="str">
        <f t="shared" ref="C7290:C7292" si="1853">"女"</f>
        <v>女</v>
      </c>
      <c r="D7290" s="2" t="str">
        <f>"5"</f>
        <v>5</v>
      </c>
      <c r="E7290" s="2" t="str">
        <f>"马栏山新媒体学院"</f>
        <v>马栏山新媒体学院</v>
      </c>
    </row>
    <row r="7291" ht="13.5" hidden="1" spans="1:5">
      <c r="A7291" s="2" t="str">
        <f>"孙慧娴"</f>
        <v>孙慧娴</v>
      </c>
      <c r="B7291" s="2" t="str">
        <f>"B20210402327"</f>
        <v>B20210402327</v>
      </c>
      <c r="C7291" s="2" t="str">
        <f t="shared" si="1853"/>
        <v>女</v>
      </c>
      <c r="D7291" s="2" t="str">
        <f>"5"</f>
        <v>5</v>
      </c>
      <c r="E7291" s="2" t="str">
        <f>"电子信息与电气工程学院"</f>
        <v>电子信息与电气工程学院</v>
      </c>
    </row>
    <row r="7292" ht="13.5" hidden="1" spans="1:5">
      <c r="A7292" s="2" t="str">
        <f>"王星霞"</f>
        <v>王星霞</v>
      </c>
      <c r="B7292" s="2" t="str">
        <f>"B20220902320"</f>
        <v>B20220902320</v>
      </c>
      <c r="C7292" s="2" t="str">
        <f t="shared" si="1853"/>
        <v>女</v>
      </c>
      <c r="D7292" s="2" t="str">
        <f>"5"</f>
        <v>5</v>
      </c>
      <c r="E7292" s="2" t="str">
        <f>"经济与管理学院"</f>
        <v>经济与管理学院</v>
      </c>
    </row>
    <row r="7293" ht="13.5" hidden="1" spans="1:5">
      <c r="A7293" s="2" t="str">
        <f>"杨瑞镔"</f>
        <v>杨瑞镔</v>
      </c>
      <c r="B7293" s="2" t="str">
        <f>"B20211002222"</f>
        <v>B20211002222</v>
      </c>
      <c r="C7293" s="2" t="str">
        <f>"男"</f>
        <v>男</v>
      </c>
      <c r="D7293" s="2" t="str">
        <f>"5"</f>
        <v>5</v>
      </c>
      <c r="E7293" s="2" t="str">
        <f>"艺术设计学院"</f>
        <v>艺术设计学院</v>
      </c>
    </row>
    <row r="7294" ht="13.5" hidden="1" spans="1:5">
      <c r="A7294" s="2" t="str">
        <f>"谭明轩"</f>
        <v>谭明轩</v>
      </c>
      <c r="B7294" s="2" t="str">
        <f>"B20230906125"</f>
        <v>B20230906125</v>
      </c>
      <c r="C7294" s="2" t="str">
        <f>"男"</f>
        <v>男</v>
      </c>
      <c r="D7294" s="2" t="str">
        <f>"5"</f>
        <v>5</v>
      </c>
      <c r="E7294" s="2" t="str">
        <f>"经济与管理学院"</f>
        <v>经济与管理学院</v>
      </c>
    </row>
    <row r="7295" ht="13.5" hidden="1" spans="1:5">
      <c r="A7295" s="2" t="str">
        <f>"阳灿"</f>
        <v>阳灿</v>
      </c>
      <c r="B7295" s="2" t="str">
        <f>"B20230801115"</f>
        <v>B20230801115</v>
      </c>
      <c r="C7295" s="2" t="str">
        <f t="shared" ref="C7295:C7298" si="1854">"女"</f>
        <v>女</v>
      </c>
      <c r="D7295" s="2" t="str">
        <f>"5"</f>
        <v>5</v>
      </c>
      <c r="E7295" s="2" t="str">
        <f>"外国语学院"</f>
        <v>外国语学院</v>
      </c>
    </row>
    <row r="7296" ht="13.5" hidden="1" spans="1:5">
      <c r="A7296" s="2" t="str">
        <f>"孙一凡"</f>
        <v>孙一凡</v>
      </c>
      <c r="B7296" s="2" t="str">
        <f>"B20210403209"</f>
        <v>B20210403209</v>
      </c>
      <c r="C7296" s="2" t="str">
        <f>"男"</f>
        <v>男</v>
      </c>
      <c r="D7296" s="2" t="str">
        <f>"5"</f>
        <v>5</v>
      </c>
      <c r="E7296" s="2" t="str">
        <f>"电子信息与电气工程学院"</f>
        <v>电子信息与电气工程学院</v>
      </c>
    </row>
    <row r="7297" ht="13.5" hidden="1" spans="1:5">
      <c r="A7297" s="2" t="str">
        <f>"龙菲"</f>
        <v>龙菲</v>
      </c>
      <c r="B7297" s="2" t="str">
        <f>"B20230502127"</f>
        <v>B20230502127</v>
      </c>
      <c r="C7297" s="2" t="str">
        <f t="shared" si="1854"/>
        <v>女</v>
      </c>
      <c r="D7297" s="2" t="str">
        <f>"5"</f>
        <v>5</v>
      </c>
      <c r="E7297" s="2" t="str">
        <f>"生物与化学工程学院"</f>
        <v>生物与化学工程学院</v>
      </c>
    </row>
    <row r="7298" ht="13.5" hidden="1" spans="1:5">
      <c r="A7298" s="2" t="str">
        <f>"李彤"</f>
        <v>李彤</v>
      </c>
      <c r="B7298" s="2" t="str">
        <f>"B20230702209"</f>
        <v>B20230702209</v>
      </c>
      <c r="C7298" s="2" t="str">
        <f t="shared" si="1854"/>
        <v>女</v>
      </c>
      <c r="D7298" s="2" t="str">
        <f>"5"</f>
        <v>5</v>
      </c>
      <c r="E7298" s="2" t="str">
        <f>"马栏山新媒体学院"</f>
        <v>马栏山新媒体学院</v>
      </c>
    </row>
    <row r="7299" ht="13.5" hidden="1" spans="1:5">
      <c r="A7299" s="2" t="str">
        <f>"李世杰"</f>
        <v>李世杰</v>
      </c>
      <c r="B7299" s="2" t="str">
        <f>"B20221301120"</f>
        <v>B20221301120</v>
      </c>
      <c r="C7299" s="2" t="str">
        <f>"男"</f>
        <v>男</v>
      </c>
      <c r="D7299" s="2" t="str">
        <f>"5"</f>
        <v>5</v>
      </c>
      <c r="E7299" s="2" t="str">
        <f>"材料与环境工程学院"</f>
        <v>材料与环境工程学院</v>
      </c>
    </row>
    <row r="7300" ht="13.5" hidden="1" spans="1:5">
      <c r="A7300" s="2" t="str">
        <f>"张子璇"</f>
        <v>张子璇</v>
      </c>
      <c r="B7300" s="2" t="str">
        <f>"B20221002401"</f>
        <v>B20221002401</v>
      </c>
      <c r="C7300" s="2" t="str">
        <f>"女"</f>
        <v>女</v>
      </c>
      <c r="D7300" s="2" t="str">
        <f>"5"</f>
        <v>5</v>
      </c>
      <c r="E7300" s="2" t="str">
        <f>"艺术设计学院"</f>
        <v>艺术设计学院</v>
      </c>
    </row>
    <row r="7301" ht="13.5" hidden="1" spans="1:5">
      <c r="A7301" s="2" t="str">
        <f>"许舒曼"</f>
        <v>许舒曼</v>
      </c>
      <c r="B7301" s="2" t="str">
        <f>"B20230902214"</f>
        <v>B20230902214</v>
      </c>
      <c r="C7301" s="2" t="str">
        <f>"女"</f>
        <v>女</v>
      </c>
      <c r="D7301" s="2" t="str">
        <f>"5"</f>
        <v>5</v>
      </c>
      <c r="E7301" s="2" t="str">
        <f>"经济与管理学院"</f>
        <v>经济与管理学院</v>
      </c>
    </row>
    <row r="7302" ht="13.5" hidden="1" spans="1:5">
      <c r="A7302" s="2" t="str">
        <f>"水晨宇"</f>
        <v>水晨宇</v>
      </c>
      <c r="B7302" s="2" t="str">
        <f>"B20220403319"</f>
        <v>B20220403319</v>
      </c>
      <c r="C7302" s="2" t="str">
        <f>"男"</f>
        <v>男</v>
      </c>
      <c r="D7302" s="2" t="str">
        <f>"5"</f>
        <v>5</v>
      </c>
      <c r="E7302" s="2" t="str">
        <f>"电子信息与电气工程学院"</f>
        <v>电子信息与电气工程学院</v>
      </c>
    </row>
    <row r="7303" ht="13.5" hidden="1" spans="1:5">
      <c r="A7303" s="2" t="str">
        <f>"刘雅"</f>
        <v>刘雅</v>
      </c>
      <c r="B7303" s="2" t="str">
        <f>"B20200502116"</f>
        <v>B20200502116</v>
      </c>
      <c r="C7303" s="2" t="str">
        <f>"女"</f>
        <v>女</v>
      </c>
      <c r="D7303" s="2" t="str">
        <f>"5"</f>
        <v>5</v>
      </c>
      <c r="E7303" s="2" t="str">
        <f>"生物与环境工程学院"</f>
        <v>生物与环境工程学院</v>
      </c>
    </row>
    <row r="7304" ht="13.5" hidden="1" spans="1:5">
      <c r="A7304" s="2" t="str">
        <f>"曾勇"</f>
        <v>曾勇</v>
      </c>
      <c r="B7304" s="2" t="str">
        <f>"B20200402203"</f>
        <v>B20200402203</v>
      </c>
      <c r="C7304" s="2" t="str">
        <f>"男"</f>
        <v>男</v>
      </c>
      <c r="D7304" s="2" t="str">
        <f>"5"</f>
        <v>5</v>
      </c>
      <c r="E7304" s="2" t="str">
        <f>"电子信息与电气工程学院"</f>
        <v>电子信息与电气工程学院</v>
      </c>
    </row>
    <row r="7305" ht="13.5" hidden="1" spans="1:5">
      <c r="A7305" s="2" t="str">
        <f>"方慧琳"</f>
        <v>方慧琳</v>
      </c>
      <c r="B7305" s="2" t="str">
        <f>"B20211111122"</f>
        <v>B20211111122</v>
      </c>
      <c r="C7305" s="2" t="str">
        <f>"女"</f>
        <v>女</v>
      </c>
      <c r="D7305" s="2" t="str">
        <f>"5"</f>
        <v>5</v>
      </c>
      <c r="E7305" s="2" t="str">
        <f>"音乐学院"</f>
        <v>音乐学院</v>
      </c>
    </row>
    <row r="7306" ht="13.5" hidden="1" spans="1:5">
      <c r="A7306" s="2" t="str">
        <f>"曹成一君"</f>
        <v>曹成一君</v>
      </c>
      <c r="B7306" s="2" t="str">
        <f>"B20220601528"</f>
        <v>B20220601528</v>
      </c>
      <c r="C7306" s="2" t="str">
        <f>"女"</f>
        <v>女</v>
      </c>
      <c r="D7306" s="2" t="str">
        <f>"5"</f>
        <v>5</v>
      </c>
      <c r="E7306" s="2" t="str">
        <f>"法学院"</f>
        <v>法学院</v>
      </c>
    </row>
    <row r="7307" ht="13.5" hidden="1" spans="1:5">
      <c r="A7307" s="2" t="str">
        <f>"李许欢"</f>
        <v>李许欢</v>
      </c>
      <c r="B7307" s="2" t="str">
        <f>"B20200204130"</f>
        <v>B20200204130</v>
      </c>
      <c r="C7307" s="2" t="str">
        <f>"女"</f>
        <v>女</v>
      </c>
      <c r="D7307" s="2" t="str">
        <f>"5"</f>
        <v>5</v>
      </c>
      <c r="E7307" s="2" t="str">
        <f>"机电工程学院"</f>
        <v>机电工程学院</v>
      </c>
    </row>
    <row r="7308" ht="13.5" hidden="1" spans="1:5">
      <c r="A7308" s="2" t="str">
        <f>"余祥"</f>
        <v>余祥</v>
      </c>
      <c r="B7308" s="2" t="str">
        <f>"B20230201211"</f>
        <v>B20230201211</v>
      </c>
      <c r="C7308" s="2" t="str">
        <f>"男"</f>
        <v>男</v>
      </c>
      <c r="D7308" s="2" t="str">
        <f>"5"</f>
        <v>5</v>
      </c>
      <c r="E7308" s="2" t="str">
        <f>"机电工程学院"</f>
        <v>机电工程学院</v>
      </c>
    </row>
    <row r="7309" ht="13.5" hidden="1" spans="1:5">
      <c r="A7309" s="2" t="str">
        <f>"梁钦瑞"</f>
        <v>梁钦瑞</v>
      </c>
      <c r="B7309" s="2" t="str">
        <f>"B20210403218"</f>
        <v>B20210403218</v>
      </c>
      <c r="C7309" s="2" t="str">
        <f>"男"</f>
        <v>男</v>
      </c>
      <c r="D7309" s="2" t="str">
        <f>"5"</f>
        <v>5</v>
      </c>
      <c r="E7309" s="2" t="str">
        <f>"电子信息与电气工程学院"</f>
        <v>电子信息与电气工程学院</v>
      </c>
    </row>
    <row r="7310" ht="13.5" hidden="1" spans="1:5">
      <c r="A7310" s="2" t="str">
        <f>"林益豪"</f>
        <v>林益豪</v>
      </c>
      <c r="B7310" s="2" t="str">
        <f>"B20210704102"</f>
        <v>B20210704102</v>
      </c>
      <c r="C7310" s="2" t="str">
        <f>"男"</f>
        <v>男</v>
      </c>
      <c r="D7310" s="2" t="str">
        <f>"5"</f>
        <v>5</v>
      </c>
      <c r="E7310" s="2" t="str">
        <f>"马栏山新媒体学院"</f>
        <v>马栏山新媒体学院</v>
      </c>
    </row>
    <row r="7311" ht="13.5" hidden="1" spans="1:5">
      <c r="A7311" s="2" t="str">
        <f>"管庆"</f>
        <v>管庆</v>
      </c>
      <c r="B7311" s="2" t="str">
        <f>"B20200103102"</f>
        <v>B20200103102</v>
      </c>
      <c r="C7311" s="2" t="str">
        <f>"女"</f>
        <v>女</v>
      </c>
      <c r="D7311" s="2" t="str">
        <f>"5"</f>
        <v>5</v>
      </c>
      <c r="E7311" s="2" t="str">
        <f>"土木工程学院"</f>
        <v>土木工程学院</v>
      </c>
    </row>
    <row r="7312" ht="13.5" hidden="1" spans="1:5">
      <c r="A7312" s="2" t="str">
        <f>"周子健"</f>
        <v>周子健</v>
      </c>
      <c r="B7312" s="2" t="str">
        <f>"B20230601104"</f>
        <v>B20230601104</v>
      </c>
      <c r="C7312" s="2" t="str">
        <f>"男"</f>
        <v>男</v>
      </c>
      <c r="D7312" s="2" t="str">
        <f>"5"</f>
        <v>5</v>
      </c>
      <c r="E7312" s="2" t="str">
        <f>"法学院"</f>
        <v>法学院</v>
      </c>
    </row>
    <row r="7313" ht="13.5" hidden="1" spans="1:5">
      <c r="A7313" s="2" t="str">
        <f>"肖嘉玲"</f>
        <v>肖嘉玲</v>
      </c>
      <c r="B7313" s="2" t="str">
        <f>"B20200702121"</f>
        <v>B20200702121</v>
      </c>
      <c r="C7313" s="2" t="str">
        <f>"女"</f>
        <v>女</v>
      </c>
      <c r="D7313" s="2" t="str">
        <f>"5"</f>
        <v>5</v>
      </c>
      <c r="E7313" s="2" t="str">
        <f>"马栏山新媒体学院"</f>
        <v>马栏山新媒体学院</v>
      </c>
    </row>
    <row r="7314" ht="13.5" hidden="1" spans="1:5">
      <c r="A7314" s="2" t="str">
        <f>"徐敏诚"</f>
        <v>徐敏诚</v>
      </c>
      <c r="B7314" s="2" t="str">
        <f>"B20220201205"</f>
        <v>B20220201205</v>
      </c>
      <c r="C7314" s="2" t="str">
        <f>"男"</f>
        <v>男</v>
      </c>
      <c r="D7314" s="2" t="str">
        <f>"5"</f>
        <v>5</v>
      </c>
      <c r="E7314" s="2" t="str">
        <f>"机电工程学院"</f>
        <v>机电工程学院</v>
      </c>
    </row>
    <row r="7315" ht="13.5" hidden="1" spans="1:5">
      <c r="A7315" s="2" t="str">
        <f>"霍章丽"</f>
        <v>霍章丽</v>
      </c>
      <c r="B7315" s="2" t="str">
        <f>"B20201003219"</f>
        <v>B20201003219</v>
      </c>
      <c r="C7315" s="2" t="str">
        <f>"女"</f>
        <v>女</v>
      </c>
      <c r="D7315" s="2" t="str">
        <f>"5"</f>
        <v>5</v>
      </c>
      <c r="E7315" s="2" t="str">
        <f>"艺术设计学院"</f>
        <v>艺术设计学院</v>
      </c>
    </row>
    <row r="7316" ht="13.5" hidden="1" spans="1:5">
      <c r="A7316" s="2" t="str">
        <f>"杨秋林"</f>
        <v>杨秋林</v>
      </c>
      <c r="B7316" s="2" t="str">
        <f>"B20220201214"</f>
        <v>B20220201214</v>
      </c>
      <c r="C7316" s="2" t="str">
        <f>"男"</f>
        <v>男</v>
      </c>
      <c r="D7316" s="2" t="str">
        <f>"5"</f>
        <v>5</v>
      </c>
      <c r="E7316" s="2" t="str">
        <f>"机电工程学院"</f>
        <v>机电工程学院</v>
      </c>
    </row>
    <row r="7317" ht="13.5" hidden="1" spans="1:5">
      <c r="A7317" s="2" t="str">
        <f>"邓小璐"</f>
        <v>邓小璐</v>
      </c>
      <c r="B7317" s="2" t="str">
        <f>"B20220905107"</f>
        <v>B20220905107</v>
      </c>
      <c r="C7317" s="2" t="str">
        <f>"女"</f>
        <v>女</v>
      </c>
      <c r="D7317" s="2" t="str">
        <f>"5"</f>
        <v>5</v>
      </c>
      <c r="E7317" s="2" t="str">
        <f>"经济与管理学院"</f>
        <v>经济与管理学院</v>
      </c>
    </row>
    <row r="7318" ht="13.5" hidden="1" spans="1:5">
      <c r="A7318" s="2" t="str">
        <f>"李晓艳"</f>
        <v>李晓艳</v>
      </c>
      <c r="B7318" s="2" t="str">
        <f>"B20211003211"</f>
        <v>B20211003211</v>
      </c>
      <c r="C7318" s="2" t="str">
        <f>"女"</f>
        <v>女</v>
      </c>
      <c r="D7318" s="2" t="str">
        <f>"5"</f>
        <v>5</v>
      </c>
      <c r="E7318" s="2" t="str">
        <f>"艺术设计学院"</f>
        <v>艺术设计学院</v>
      </c>
    </row>
    <row r="7319" ht="13.5" hidden="1" spans="1:5">
      <c r="A7319" s="2" t="str">
        <f>"刘思金"</f>
        <v>刘思金</v>
      </c>
      <c r="B7319" s="2" t="str">
        <f>"B20220402310"</f>
        <v>B20220402310</v>
      </c>
      <c r="C7319" s="2" t="str">
        <f>"男"</f>
        <v>男</v>
      </c>
      <c r="D7319" s="2" t="str">
        <f>"5"</f>
        <v>5</v>
      </c>
      <c r="E7319" s="2" t="str">
        <f>"电子信息与电气工程学院"</f>
        <v>电子信息与电气工程学院</v>
      </c>
    </row>
    <row r="7320" ht="13.5" hidden="1" spans="1:5">
      <c r="A7320" s="2" t="str">
        <f>"陈雅欣"</f>
        <v>陈雅欣</v>
      </c>
      <c r="B7320" s="2" t="str">
        <f>"B20221111113"</f>
        <v>B20221111113</v>
      </c>
      <c r="C7320" s="2" t="str">
        <f>"女"</f>
        <v>女</v>
      </c>
      <c r="D7320" s="2" t="str">
        <f>"5"</f>
        <v>5</v>
      </c>
      <c r="E7320" s="2" t="str">
        <f>"音乐学院"</f>
        <v>音乐学院</v>
      </c>
    </row>
    <row r="7321" ht="13.5" hidden="1" spans="1:5">
      <c r="A7321" s="2" t="str">
        <f>"周悦"</f>
        <v>周悦</v>
      </c>
      <c r="B7321" s="2" t="str">
        <f>"B20231101306"</f>
        <v>B20231101306</v>
      </c>
      <c r="C7321" s="2" t="str">
        <f>"女"</f>
        <v>女</v>
      </c>
      <c r="D7321" s="2" t="str">
        <f t="shared" ref="D7321:D7332" si="1855">"5"</f>
        <v>5</v>
      </c>
      <c r="E7321" s="2" t="str">
        <f>"音乐学院"</f>
        <v>音乐学院</v>
      </c>
    </row>
    <row r="7322" ht="13.5" hidden="1" spans="1:5">
      <c r="A7322" s="2" t="str">
        <f>"王曦白"</f>
        <v>王曦白</v>
      </c>
      <c r="B7322" s="2" t="str">
        <f>"B20210203226"</f>
        <v>B20210203226</v>
      </c>
      <c r="C7322" s="2" t="str">
        <f t="shared" ref="C7322:C7325" si="1856">"男"</f>
        <v>男</v>
      </c>
      <c r="D7322" s="2" t="str">
        <f t="shared" si="1855"/>
        <v>5</v>
      </c>
      <c r="E7322" s="2" t="str">
        <f>"机电工程学院"</f>
        <v>机电工程学院</v>
      </c>
    </row>
    <row r="7323" ht="13.5" hidden="1" spans="1:5">
      <c r="A7323" s="2" t="str">
        <f>"谢子豪"</f>
        <v>谢子豪</v>
      </c>
      <c r="B7323" s="2" t="str">
        <f>"B20230902115"</f>
        <v>B20230902115</v>
      </c>
      <c r="C7323" s="2" t="str">
        <f t="shared" si="1856"/>
        <v>男</v>
      </c>
      <c r="D7323" s="2" t="str">
        <f t="shared" si="1855"/>
        <v>5</v>
      </c>
      <c r="E7323" s="2" t="str">
        <f>"经济与管理学院"</f>
        <v>经济与管理学院</v>
      </c>
    </row>
    <row r="7324" ht="13.5" hidden="1" spans="1:5">
      <c r="A7324" s="2" t="str">
        <f>"董钰"</f>
        <v>董钰</v>
      </c>
      <c r="B7324" s="2" t="str">
        <f>"B20210703316"</f>
        <v>B20210703316</v>
      </c>
      <c r="C7324" s="2" t="str">
        <f t="shared" ref="C7324:C7328" si="1857">"女"</f>
        <v>女</v>
      </c>
      <c r="D7324" s="2" t="str">
        <f t="shared" si="1855"/>
        <v>5</v>
      </c>
      <c r="E7324" s="2" t="str">
        <f>"马栏山新媒体学院"</f>
        <v>马栏山新媒体学院</v>
      </c>
    </row>
    <row r="7325" ht="13.5" hidden="1" spans="1:5">
      <c r="A7325" s="2" t="str">
        <f>"许哲浩"</f>
        <v>许哲浩</v>
      </c>
      <c r="B7325" s="2" t="str">
        <f>"B20230701106"</f>
        <v>B20230701106</v>
      </c>
      <c r="C7325" s="2" t="str">
        <f t="shared" si="1856"/>
        <v>男</v>
      </c>
      <c r="D7325" s="2" t="str">
        <f t="shared" si="1855"/>
        <v>5</v>
      </c>
      <c r="E7325" s="2" t="str">
        <f>"马栏山新媒体学院"</f>
        <v>马栏山新媒体学院</v>
      </c>
    </row>
    <row r="7326" ht="13.5" hidden="1" spans="1:5">
      <c r="A7326" s="2" t="str">
        <f>"罗雅婧"</f>
        <v>罗雅婧</v>
      </c>
      <c r="B7326" s="2" t="str">
        <f>"B20220501233"</f>
        <v>B20220501233</v>
      </c>
      <c r="C7326" s="2" t="str">
        <f t="shared" si="1857"/>
        <v>女</v>
      </c>
      <c r="D7326" s="2" t="str">
        <f t="shared" si="1855"/>
        <v>5</v>
      </c>
      <c r="E7326" s="2" t="str">
        <f>"生物与化学工程学院"</f>
        <v>生物与化学工程学院</v>
      </c>
    </row>
    <row r="7327" ht="13.5" hidden="1" spans="1:5">
      <c r="A7327" s="2" t="str">
        <f>"石开研"</f>
        <v>石开研</v>
      </c>
      <c r="B7327" s="2" t="str">
        <f>"B20210101502"</f>
        <v>B20210101502</v>
      </c>
      <c r="C7327" s="2" t="str">
        <f t="shared" si="1857"/>
        <v>女</v>
      </c>
      <c r="D7327" s="2" t="str">
        <f t="shared" si="1855"/>
        <v>5</v>
      </c>
      <c r="E7327" s="2" t="str">
        <f>"土木工程学院"</f>
        <v>土木工程学院</v>
      </c>
    </row>
    <row r="7328" ht="13.5" hidden="1" spans="1:5">
      <c r="A7328" s="2" t="str">
        <f>"李云飞"</f>
        <v>李云飞</v>
      </c>
      <c r="B7328" s="2" t="str">
        <f>"B20200906235"</f>
        <v>B20200906235</v>
      </c>
      <c r="C7328" s="2" t="str">
        <f t="shared" si="1857"/>
        <v>女</v>
      </c>
      <c r="D7328" s="2" t="str">
        <f t="shared" si="1855"/>
        <v>5</v>
      </c>
      <c r="E7328" s="2" t="str">
        <f t="shared" ref="E7328:E7331" si="1858">"经济与管理学院"</f>
        <v>经济与管理学院</v>
      </c>
    </row>
    <row r="7329" ht="13.5" hidden="1" spans="1:5">
      <c r="A7329" s="2" t="str">
        <f>"周黎"</f>
        <v>周黎</v>
      </c>
      <c r="B7329" s="2" t="str">
        <f>"B20210902135"</f>
        <v>B20210902135</v>
      </c>
      <c r="C7329" s="2" t="str">
        <f>"男"</f>
        <v>男</v>
      </c>
      <c r="D7329" s="2" t="str">
        <f t="shared" si="1855"/>
        <v>5</v>
      </c>
      <c r="E7329" s="2" t="str">
        <f t="shared" si="1858"/>
        <v>经济与管理学院</v>
      </c>
    </row>
    <row r="7330" ht="13.5" hidden="1" spans="1:5">
      <c r="A7330" s="2" t="str">
        <f>"黄佳辉"</f>
        <v>黄佳辉</v>
      </c>
      <c r="B7330" s="2" t="str">
        <f>"B20200103235"</f>
        <v>B20200103235</v>
      </c>
      <c r="C7330" s="2" t="str">
        <f>"女"</f>
        <v>女</v>
      </c>
      <c r="D7330" s="2" t="str">
        <f t="shared" si="1855"/>
        <v>5</v>
      </c>
      <c r="E7330" s="2" t="str">
        <f>"土木工程学院"</f>
        <v>土木工程学院</v>
      </c>
    </row>
    <row r="7331" ht="13.5" hidden="1" spans="1:5">
      <c r="A7331" s="2" t="str">
        <f>"熊星淼"</f>
        <v>熊星淼</v>
      </c>
      <c r="B7331" s="2" t="str">
        <f>"B20220901326"</f>
        <v>B20220901326</v>
      </c>
      <c r="C7331" s="2" t="str">
        <f>"女"</f>
        <v>女</v>
      </c>
      <c r="D7331" s="2" t="str">
        <f t="shared" si="1855"/>
        <v>5</v>
      </c>
      <c r="E7331" s="2" t="str">
        <f t="shared" si="1858"/>
        <v>经济与管理学院</v>
      </c>
    </row>
    <row r="7332" ht="13.5" hidden="1" spans="1:5">
      <c r="A7332" s="2" t="str">
        <f>"张佳瑞"</f>
        <v>张佳瑞</v>
      </c>
      <c r="B7332" s="2" t="str">
        <f>"B20210201223"</f>
        <v>B20210201223</v>
      </c>
      <c r="C7332" s="2" t="str">
        <f>"男"</f>
        <v>男</v>
      </c>
      <c r="D7332" s="2" t="str">
        <f t="shared" si="1855"/>
        <v>5</v>
      </c>
      <c r="E7332" s="2" t="str">
        <f>"机电工程学院"</f>
        <v>机电工程学院</v>
      </c>
    </row>
    <row r="7333" ht="13.5" hidden="1" spans="1:5">
      <c r="A7333" s="2" t="str">
        <f>"潘美竹"</f>
        <v>潘美竹</v>
      </c>
      <c r="B7333" s="2" t="str">
        <f>"B20210901135"</f>
        <v>B20210901135</v>
      </c>
      <c r="C7333" s="2" t="str">
        <f>"女"</f>
        <v>女</v>
      </c>
      <c r="D7333" s="2" t="str">
        <f>"5"</f>
        <v>5</v>
      </c>
      <c r="E7333" s="2" t="str">
        <f>"经济与管理学院"</f>
        <v>经济与管理学院</v>
      </c>
    </row>
    <row r="7334" ht="13.5" hidden="1" spans="1:5">
      <c r="A7334" s="2" t="str">
        <f>"杨彧溪"</f>
        <v>杨彧溪</v>
      </c>
      <c r="B7334" s="2" t="str">
        <f>"B20210702218"</f>
        <v>B20210702218</v>
      </c>
      <c r="C7334" s="2" t="str">
        <f>"女"</f>
        <v>女</v>
      </c>
      <c r="D7334" s="2" t="str">
        <f>"5"</f>
        <v>5</v>
      </c>
      <c r="E7334" s="2" t="str">
        <f>"马栏山新媒体学院"</f>
        <v>马栏山新媒体学院</v>
      </c>
    </row>
    <row r="7335" ht="13.5" hidden="1" spans="1:5">
      <c r="A7335" s="2" t="str">
        <f>"邓亚萍"</f>
        <v>邓亚萍</v>
      </c>
      <c r="B7335" s="2" t="str">
        <f>"B20210102238"</f>
        <v>B20210102238</v>
      </c>
      <c r="C7335" s="2" t="str">
        <f>"女"</f>
        <v>女</v>
      </c>
      <c r="D7335" s="2" t="str">
        <f>"5"</f>
        <v>5</v>
      </c>
      <c r="E7335" s="2" t="str">
        <f>"土木工程学院"</f>
        <v>土木工程学院</v>
      </c>
    </row>
    <row r="7336" ht="13.5" hidden="1" spans="1:5">
      <c r="A7336" s="2" t="str">
        <f>"卢珍莹"</f>
        <v>卢珍莹</v>
      </c>
      <c r="B7336" s="2" t="str">
        <f>"B20230205102"</f>
        <v>B20230205102</v>
      </c>
      <c r="C7336" s="2" t="str">
        <f>"女"</f>
        <v>女</v>
      </c>
      <c r="D7336" s="2" t="str">
        <f>"5"</f>
        <v>5</v>
      </c>
      <c r="E7336" s="2" t="str">
        <f t="shared" ref="E7336:E7341" si="1859">"机电工程学院"</f>
        <v>机电工程学院</v>
      </c>
    </row>
    <row r="7337" ht="13.5" hidden="1" spans="1:5">
      <c r="A7337" s="2" t="str">
        <f>"刘尹洋"</f>
        <v>刘尹洋</v>
      </c>
      <c r="B7337" s="2" t="str">
        <f>"B20210501138"</f>
        <v>B20210501138</v>
      </c>
      <c r="C7337" s="2" t="str">
        <f>"女"</f>
        <v>女</v>
      </c>
      <c r="D7337" s="2" t="str">
        <f>"5"</f>
        <v>5</v>
      </c>
      <c r="E7337" s="2" t="str">
        <f>"生物与化学工程学院"</f>
        <v>生物与化学工程学院</v>
      </c>
    </row>
    <row r="7338" ht="13.5" hidden="1" spans="1:5">
      <c r="A7338" s="2" t="str">
        <f>"李松霖"</f>
        <v>李松霖</v>
      </c>
      <c r="B7338" s="2" t="str">
        <f>"B20220201426"</f>
        <v>B20220201426</v>
      </c>
      <c r="C7338" s="2" t="str">
        <f t="shared" ref="C7338:C7345" si="1860">"男"</f>
        <v>男</v>
      </c>
      <c r="D7338" s="2" t="str">
        <f>"5"</f>
        <v>5</v>
      </c>
      <c r="E7338" s="2" t="str">
        <f t="shared" si="1859"/>
        <v>机电工程学院</v>
      </c>
    </row>
    <row r="7339" ht="13.5" hidden="1" spans="1:5">
      <c r="A7339" s="2" t="str">
        <f>"何杨"</f>
        <v>何杨</v>
      </c>
      <c r="B7339" s="2" t="str">
        <f>"B20210905201"</f>
        <v>B20210905201</v>
      </c>
      <c r="C7339" s="2" t="str">
        <f>"女"</f>
        <v>女</v>
      </c>
      <c r="D7339" s="2" t="str">
        <f>"5"</f>
        <v>5</v>
      </c>
      <c r="E7339" s="2" t="str">
        <f>"经济与管理学院"</f>
        <v>经济与管理学院</v>
      </c>
    </row>
    <row r="7340" ht="13.5" hidden="1" spans="1:5">
      <c r="A7340" s="2" t="str">
        <f>"曾跃坤"</f>
        <v>曾跃坤</v>
      </c>
      <c r="B7340" s="2" t="str">
        <f>"B20230102226"</f>
        <v>B20230102226</v>
      </c>
      <c r="C7340" s="2" t="str">
        <f t="shared" si="1860"/>
        <v>男</v>
      </c>
      <c r="D7340" s="2" t="str">
        <f>"5"</f>
        <v>5</v>
      </c>
      <c r="E7340" s="2" t="str">
        <f>"土木工程学院"</f>
        <v>土木工程学院</v>
      </c>
    </row>
    <row r="7341" ht="13.5" hidden="1" spans="1:5">
      <c r="A7341" s="2" t="str">
        <f>"梁家庆"</f>
        <v>梁家庆</v>
      </c>
      <c r="B7341" s="2" t="str">
        <f>"B20230201233"</f>
        <v>B20230201233</v>
      </c>
      <c r="C7341" s="2" t="str">
        <f t="shared" si="1860"/>
        <v>男</v>
      </c>
      <c r="D7341" s="2" t="str">
        <f>"5"</f>
        <v>5</v>
      </c>
      <c r="E7341" s="2" t="str">
        <f t="shared" si="1859"/>
        <v>机电工程学院</v>
      </c>
    </row>
    <row r="7342" ht="13.5" hidden="1" spans="1:5">
      <c r="A7342" s="2" t="str">
        <f>"张鹏"</f>
        <v>张鹏</v>
      </c>
      <c r="B7342" s="2" t="str">
        <f>"B20220101535"</f>
        <v>B20220101535</v>
      </c>
      <c r="C7342" s="2" t="str">
        <f t="shared" si="1860"/>
        <v>男</v>
      </c>
      <c r="D7342" s="2" t="str">
        <f>"5"</f>
        <v>5</v>
      </c>
      <c r="E7342" s="2" t="str">
        <f>"土木工程学院"</f>
        <v>土木工程学院</v>
      </c>
    </row>
    <row r="7343" ht="13.5" hidden="1" spans="1:5">
      <c r="A7343" s="2" t="str">
        <f>"曾业伦"</f>
        <v>曾业伦</v>
      </c>
      <c r="B7343" s="2" t="str">
        <f>"B20230403332"</f>
        <v>B20230403332</v>
      </c>
      <c r="C7343" s="2" t="str">
        <f t="shared" si="1860"/>
        <v>男</v>
      </c>
      <c r="D7343" s="2" t="str">
        <f>"5"</f>
        <v>5</v>
      </c>
      <c r="E7343" s="2" t="str">
        <f>"电子信息与电气工程学院"</f>
        <v>电子信息与电气工程学院</v>
      </c>
    </row>
    <row r="7344" ht="13.5" hidden="1" spans="1:5">
      <c r="A7344" s="2" t="str">
        <f>"黄萌"</f>
        <v>黄萌</v>
      </c>
      <c r="B7344" s="2" t="str">
        <f>"B20220202321"</f>
        <v>B20220202321</v>
      </c>
      <c r="C7344" s="2" t="str">
        <f t="shared" si="1860"/>
        <v>男</v>
      </c>
      <c r="D7344" s="2" t="str">
        <f>"5"</f>
        <v>5</v>
      </c>
      <c r="E7344" s="2" t="str">
        <f>"机电工程学院"</f>
        <v>机电工程学院</v>
      </c>
    </row>
    <row r="7345" ht="13.5" hidden="1" spans="1:5">
      <c r="A7345" s="2" t="str">
        <f>"唐毅凡"</f>
        <v>唐毅凡</v>
      </c>
      <c r="B7345" s="2" t="str">
        <f>"B20231004110"</f>
        <v>B20231004110</v>
      </c>
      <c r="C7345" s="2" t="str">
        <f t="shared" si="1860"/>
        <v>男</v>
      </c>
      <c r="D7345" s="2" t="str">
        <f>"5"</f>
        <v>5</v>
      </c>
      <c r="E7345" s="2" t="str">
        <f>"艺术设计学院"</f>
        <v>艺术设计学院</v>
      </c>
    </row>
    <row r="7346" ht="13.5" hidden="1" spans="1:5">
      <c r="A7346" s="2" t="str">
        <f>"殷越"</f>
        <v>殷越</v>
      </c>
      <c r="B7346" s="2" t="str">
        <f>"B20210803103"</f>
        <v>B20210803103</v>
      </c>
      <c r="C7346" s="2" t="str">
        <f t="shared" ref="C7346:C7353" si="1861">"女"</f>
        <v>女</v>
      </c>
      <c r="D7346" s="2" t="str">
        <f>"5"</f>
        <v>5</v>
      </c>
      <c r="E7346" s="2" t="str">
        <f>"外国语学院"</f>
        <v>外国语学院</v>
      </c>
    </row>
    <row r="7347" ht="13.5" hidden="1" spans="1:5">
      <c r="A7347" s="2" t="str">
        <f>"李孟红"</f>
        <v>李孟红</v>
      </c>
      <c r="B7347" s="2" t="str">
        <f>"B20230902236"</f>
        <v>B20230902236</v>
      </c>
      <c r="C7347" s="2" t="str">
        <f t="shared" si="1861"/>
        <v>女</v>
      </c>
      <c r="D7347" s="2" t="str">
        <f>"5"</f>
        <v>5</v>
      </c>
      <c r="E7347" s="2" t="str">
        <f t="shared" ref="E7347:E7352" si="1862">"经济与管理学院"</f>
        <v>经济与管理学院</v>
      </c>
    </row>
    <row r="7348" ht="13.5" hidden="1" spans="1:5">
      <c r="A7348" s="2" t="str">
        <f>"肖坤鸿"</f>
        <v>肖坤鸿</v>
      </c>
      <c r="B7348" s="2" t="str">
        <f>"B20230403212"</f>
        <v>B20230403212</v>
      </c>
      <c r="C7348" s="2" t="str">
        <f>"男"</f>
        <v>男</v>
      </c>
      <c r="D7348" s="2" t="str">
        <f>"5"</f>
        <v>5</v>
      </c>
      <c r="E7348" s="2" t="str">
        <f>"电子信息与电气工程学院"</f>
        <v>电子信息与电气工程学院</v>
      </c>
    </row>
    <row r="7349" ht="13.5" hidden="1" spans="1:5">
      <c r="A7349" s="2" t="str">
        <f>"刘仔云"</f>
        <v>刘仔云</v>
      </c>
      <c r="B7349" s="2" t="str">
        <f>"B20230902133"</f>
        <v>B20230902133</v>
      </c>
      <c r="C7349" s="2" t="str">
        <f t="shared" si="1861"/>
        <v>女</v>
      </c>
      <c r="D7349" s="2" t="str">
        <f>"5"</f>
        <v>5</v>
      </c>
      <c r="E7349" s="2" t="str">
        <f t="shared" si="1862"/>
        <v>经济与管理学院</v>
      </c>
    </row>
    <row r="7350" ht="13.5" hidden="1" spans="1:5">
      <c r="A7350" s="2" t="str">
        <f>"杨燕玲"</f>
        <v>杨燕玲</v>
      </c>
      <c r="B7350" s="2" t="str">
        <f>"B20210801406"</f>
        <v>B20210801406</v>
      </c>
      <c r="C7350" s="2" t="str">
        <f t="shared" si="1861"/>
        <v>女</v>
      </c>
      <c r="D7350" s="2" t="str">
        <f>"5"</f>
        <v>5</v>
      </c>
      <c r="E7350" s="2" t="str">
        <f>"外国语学院"</f>
        <v>外国语学院</v>
      </c>
    </row>
    <row r="7351" ht="13.5" hidden="1" spans="1:5">
      <c r="A7351" s="2" t="str">
        <f>"郭芸希"</f>
        <v>郭芸希</v>
      </c>
      <c r="B7351" s="2" t="str">
        <f>"B20211002110"</f>
        <v>B20211002110</v>
      </c>
      <c r="C7351" s="2" t="str">
        <f t="shared" si="1861"/>
        <v>女</v>
      </c>
      <c r="D7351" s="2" t="str">
        <f>"5"</f>
        <v>5</v>
      </c>
      <c r="E7351" s="2" t="str">
        <f>"艺术设计学院"</f>
        <v>艺术设计学院</v>
      </c>
    </row>
    <row r="7352" ht="13.5" hidden="1" spans="1:5">
      <c r="A7352" s="2" t="str">
        <f>"张启迪"</f>
        <v>张启迪</v>
      </c>
      <c r="B7352" s="2" t="str">
        <f>"B20220906206"</f>
        <v>B20220906206</v>
      </c>
      <c r="C7352" s="2" t="str">
        <f t="shared" si="1861"/>
        <v>女</v>
      </c>
      <c r="D7352" s="2" t="str">
        <f>"5"</f>
        <v>5</v>
      </c>
      <c r="E7352" s="2" t="str">
        <f t="shared" si="1862"/>
        <v>经济与管理学院</v>
      </c>
    </row>
    <row r="7353" ht="13.5" hidden="1" spans="1:5">
      <c r="A7353" s="2" t="str">
        <f>"曾月圆"</f>
        <v>曾月圆</v>
      </c>
      <c r="B7353" s="2" t="str">
        <f>"B20231401209"</f>
        <v>B20231401209</v>
      </c>
      <c r="C7353" s="2" t="str">
        <f t="shared" si="1861"/>
        <v>女</v>
      </c>
      <c r="D7353" s="2" t="str">
        <f>"5"</f>
        <v>5</v>
      </c>
      <c r="E7353" s="2" t="str">
        <f>"马克思主义学院"</f>
        <v>马克思主义学院</v>
      </c>
    </row>
    <row r="7354" ht="13.5" hidden="1" spans="1:5">
      <c r="A7354" s="2" t="str">
        <f>"戴伟朋"</f>
        <v>戴伟朋</v>
      </c>
      <c r="B7354" s="2" t="str">
        <f>"B20210601313"</f>
        <v>B20210601313</v>
      </c>
      <c r="C7354" s="2" t="str">
        <f>"男"</f>
        <v>男</v>
      </c>
      <c r="D7354" s="2" t="str">
        <f>"5"</f>
        <v>5</v>
      </c>
      <c r="E7354" s="2" t="str">
        <f>"法学院"</f>
        <v>法学院</v>
      </c>
    </row>
    <row r="7355" ht="13.5" hidden="1" spans="1:5">
      <c r="A7355" s="2" t="str">
        <f>"李鸿"</f>
        <v>李鸿</v>
      </c>
      <c r="B7355" s="2" t="str">
        <f>"B20200403207"</f>
        <v>B20200403207</v>
      </c>
      <c r="C7355" s="2" t="str">
        <f>"男"</f>
        <v>男</v>
      </c>
      <c r="D7355" s="2" t="str">
        <f>"5"</f>
        <v>5</v>
      </c>
      <c r="E7355" s="2" t="str">
        <f>"电子信息与电气工程学院"</f>
        <v>电子信息与电气工程学院</v>
      </c>
    </row>
    <row r="7356" ht="13.5" hidden="1" spans="1:5">
      <c r="A7356" s="2" t="str">
        <f>"黎家文"</f>
        <v>黎家文</v>
      </c>
      <c r="B7356" s="2" t="str">
        <f>"B20230504201"</f>
        <v>B20230504201</v>
      </c>
      <c r="C7356" s="2" t="str">
        <f>"男"</f>
        <v>男</v>
      </c>
      <c r="D7356" s="2" t="str">
        <f>"5"</f>
        <v>5</v>
      </c>
      <c r="E7356" s="2" t="str">
        <f>"生物与化学工程学院"</f>
        <v>生物与化学工程学院</v>
      </c>
    </row>
    <row r="7357" ht="13.5" hidden="1" spans="1:5">
      <c r="A7357" s="2" t="str">
        <f>"刘佩佩"</f>
        <v>刘佩佩</v>
      </c>
      <c r="B7357" s="2" t="str">
        <f>"B20230704411"</f>
        <v>B20230704411</v>
      </c>
      <c r="C7357" s="2" t="str">
        <f>"女"</f>
        <v>女</v>
      </c>
      <c r="D7357" s="2" t="str">
        <f>"5"</f>
        <v>5</v>
      </c>
      <c r="E7357" s="2" t="str">
        <f>"马栏山新媒体学院"</f>
        <v>马栏山新媒体学院</v>
      </c>
    </row>
    <row r="7358" ht="13.5" hidden="1" spans="1:5">
      <c r="A7358" s="2" t="str">
        <f>"吴锦"</f>
        <v>吴锦</v>
      </c>
      <c r="B7358" s="2" t="str">
        <f>"B20231004210"</f>
        <v>B20231004210</v>
      </c>
      <c r="C7358" s="2" t="str">
        <f>"女"</f>
        <v>女</v>
      </c>
      <c r="D7358" s="2" t="str">
        <f>"5"</f>
        <v>5</v>
      </c>
      <c r="E7358" s="2" t="str">
        <f>"艺术设计学院"</f>
        <v>艺术设计学院</v>
      </c>
    </row>
    <row r="7359" ht="13.5" hidden="1" spans="1:5">
      <c r="A7359" s="2" t="str">
        <f>"何政东"</f>
        <v>何政东</v>
      </c>
      <c r="B7359" s="2" t="str">
        <f>"B20230904117"</f>
        <v>B20230904117</v>
      </c>
      <c r="C7359" s="2" t="str">
        <f t="shared" ref="C7359:C7365" si="1863">"男"</f>
        <v>男</v>
      </c>
      <c r="D7359" s="2" t="str">
        <f>"5"</f>
        <v>5</v>
      </c>
      <c r="E7359" s="2" t="str">
        <f>"经济与管理学院"</f>
        <v>经济与管理学院</v>
      </c>
    </row>
    <row r="7360" ht="13.5" hidden="1" spans="1:5">
      <c r="A7360" s="2" t="str">
        <f>"陶云娟"</f>
        <v>陶云娟</v>
      </c>
      <c r="B7360" s="2" t="str">
        <f>"B20200906139"</f>
        <v>B20200906139</v>
      </c>
      <c r="C7360" s="2" t="str">
        <f t="shared" ref="C7360:C7362" si="1864">"女"</f>
        <v>女</v>
      </c>
      <c r="D7360" s="2" t="str">
        <f>"5"</f>
        <v>5</v>
      </c>
      <c r="E7360" s="2" t="str">
        <f>"经济与管理学院"</f>
        <v>经济与管理学院</v>
      </c>
    </row>
    <row r="7361" ht="13.5" hidden="1" spans="1:5">
      <c r="A7361" s="2" t="str">
        <f>"周彦余"</f>
        <v>周彦余</v>
      </c>
      <c r="B7361" s="2" t="str">
        <f>"B20200703324"</f>
        <v>B20200703324</v>
      </c>
      <c r="C7361" s="2" t="str">
        <f t="shared" si="1864"/>
        <v>女</v>
      </c>
      <c r="D7361" s="2" t="str">
        <f>"5"</f>
        <v>5</v>
      </c>
      <c r="E7361" s="2" t="str">
        <f>"马栏山新媒体学院"</f>
        <v>马栏山新媒体学院</v>
      </c>
    </row>
    <row r="7362" ht="13.5" hidden="1" spans="1:5">
      <c r="A7362" s="2" t="str">
        <f>"徐汉铮"</f>
        <v>徐汉铮</v>
      </c>
      <c r="B7362" s="2" t="str">
        <f>"B20200402232"</f>
        <v>B20200402232</v>
      </c>
      <c r="C7362" s="2" t="str">
        <f t="shared" si="1864"/>
        <v>女</v>
      </c>
      <c r="D7362" s="2" t="str">
        <f>"5"</f>
        <v>5</v>
      </c>
      <c r="E7362" s="2" t="str">
        <f>"电子信息与电气工程学院"</f>
        <v>电子信息与电气工程学院</v>
      </c>
    </row>
    <row r="7363" ht="13.5" hidden="1" spans="1:5">
      <c r="A7363" s="2" t="str">
        <f>"王宇"</f>
        <v>王宇</v>
      </c>
      <c r="B7363" s="2" t="str">
        <f>"B20220803124"</f>
        <v>B20220803124</v>
      </c>
      <c r="C7363" s="2" t="str">
        <f t="shared" si="1863"/>
        <v>男</v>
      </c>
      <c r="D7363" s="2" t="str">
        <f>"5"</f>
        <v>5</v>
      </c>
      <c r="E7363" s="2" t="str">
        <f>"外国语学院"</f>
        <v>外国语学院</v>
      </c>
    </row>
    <row r="7364" ht="13.5" hidden="1" spans="1:5">
      <c r="A7364" s="2" t="str">
        <f>"陆文宇"</f>
        <v>陆文宇</v>
      </c>
      <c r="B7364" s="2" t="str">
        <f>"B20231003110"</f>
        <v>B20231003110</v>
      </c>
      <c r="C7364" s="2" t="str">
        <f t="shared" si="1863"/>
        <v>男</v>
      </c>
      <c r="D7364" s="2" t="str">
        <f>"5"</f>
        <v>5</v>
      </c>
      <c r="E7364" s="2" t="str">
        <f>"艺术设计学院"</f>
        <v>艺术设计学院</v>
      </c>
    </row>
    <row r="7365" ht="13.5" hidden="1" spans="1:5">
      <c r="A7365" s="2" t="str">
        <f>"曹哲"</f>
        <v>曹哲</v>
      </c>
      <c r="B7365" s="2" t="str">
        <f>"B20220201121"</f>
        <v>B20220201121</v>
      </c>
      <c r="C7365" s="2" t="str">
        <f t="shared" si="1863"/>
        <v>男</v>
      </c>
      <c r="D7365" s="2" t="str">
        <f>"5"</f>
        <v>5</v>
      </c>
      <c r="E7365" s="2" t="str">
        <f>"机电工程学院"</f>
        <v>机电工程学院</v>
      </c>
    </row>
    <row r="7366" ht="13.5" hidden="1" spans="1:5">
      <c r="A7366" s="2" t="str">
        <f>"牟文君"</f>
        <v>牟文君</v>
      </c>
      <c r="B7366" s="2" t="str">
        <f>"B20221002220"</f>
        <v>B20221002220</v>
      </c>
      <c r="C7366" s="2" t="str">
        <f>"女"</f>
        <v>女</v>
      </c>
      <c r="D7366" s="2" t="str">
        <f>"5"</f>
        <v>5</v>
      </c>
      <c r="E7366" s="2" t="str">
        <f>"艺术设计学院"</f>
        <v>艺术设计学院</v>
      </c>
    </row>
    <row r="7367" ht="13.5" hidden="1" spans="1:5">
      <c r="A7367" s="2" t="str">
        <f>"高安祺"</f>
        <v>高安祺</v>
      </c>
      <c r="B7367" s="2" t="str">
        <f>"B20220504402"</f>
        <v>B20220504402</v>
      </c>
      <c r="C7367" s="2" t="str">
        <f>"女"</f>
        <v>女</v>
      </c>
      <c r="D7367" s="2" t="str">
        <f>"5"</f>
        <v>5</v>
      </c>
      <c r="E7367" s="2" t="str">
        <f>"生物与化学工程学院"</f>
        <v>生物与化学工程学院</v>
      </c>
    </row>
    <row r="7368" ht="13.5" hidden="1" spans="1:5">
      <c r="A7368" s="2" t="str">
        <f>"周乾"</f>
        <v>周乾</v>
      </c>
      <c r="B7368" s="2" t="str">
        <f>"B20220601523"</f>
        <v>B20220601523</v>
      </c>
      <c r="C7368" s="2" t="str">
        <f>"男"</f>
        <v>男</v>
      </c>
      <c r="D7368" s="2" t="str">
        <f>"5"</f>
        <v>5</v>
      </c>
      <c r="E7368" s="2" t="str">
        <f>"法学院"</f>
        <v>法学院</v>
      </c>
    </row>
    <row r="7369" ht="13.5" hidden="1" spans="1:5">
      <c r="A7369" s="2" t="str">
        <f>"刘舒婷"</f>
        <v>刘舒婷</v>
      </c>
      <c r="B7369" s="2" t="str">
        <f>"B20220903221"</f>
        <v>B20220903221</v>
      </c>
      <c r="C7369" s="2" t="str">
        <f>"女"</f>
        <v>女</v>
      </c>
      <c r="D7369" s="2" t="str">
        <f>"5"</f>
        <v>5</v>
      </c>
      <c r="E7369" s="2" t="str">
        <f t="shared" ref="E7369:E7371" si="1865">"经济与管理学院"</f>
        <v>经济与管理学院</v>
      </c>
    </row>
    <row r="7370" ht="13.5" hidden="1" spans="1:5">
      <c r="A7370" s="2" t="str">
        <f>"邓怡妮"</f>
        <v>邓怡妮</v>
      </c>
      <c r="B7370" s="2" t="str">
        <f>"B20220902109"</f>
        <v>B20220902109</v>
      </c>
      <c r="C7370" s="2" t="str">
        <f>"女"</f>
        <v>女</v>
      </c>
      <c r="D7370" s="2" t="str">
        <f>"5"</f>
        <v>5</v>
      </c>
      <c r="E7370" s="2" t="str">
        <f t="shared" si="1865"/>
        <v>经济与管理学院</v>
      </c>
    </row>
    <row r="7371" ht="13.5" hidden="1" spans="1:5">
      <c r="A7371" s="2" t="str">
        <f>"黄雯"</f>
        <v>黄雯</v>
      </c>
      <c r="B7371" s="2" t="str">
        <f>"B20210902209"</f>
        <v>B20210902209</v>
      </c>
      <c r="C7371" s="2" t="str">
        <f>"女"</f>
        <v>女</v>
      </c>
      <c r="D7371" s="2" t="str">
        <f>"5"</f>
        <v>5</v>
      </c>
      <c r="E7371" s="2" t="str">
        <f t="shared" si="1865"/>
        <v>经济与管理学院</v>
      </c>
    </row>
    <row r="7372" ht="13.5" hidden="1" spans="1:5">
      <c r="A7372" s="2" t="str">
        <f>"王俊武"</f>
        <v>王俊武</v>
      </c>
      <c r="B7372" s="2" t="str">
        <f>"B20231301133"</f>
        <v>B20231301133</v>
      </c>
      <c r="C7372" s="2" t="str">
        <f>"男"</f>
        <v>男</v>
      </c>
      <c r="D7372" s="2" t="str">
        <f>"5"</f>
        <v>5</v>
      </c>
      <c r="E7372" s="2" t="str">
        <f>"材料与环境工程学院"</f>
        <v>材料与环境工程学院</v>
      </c>
    </row>
    <row r="7373" ht="13.5" hidden="1" spans="1:5">
      <c r="A7373" s="2" t="str">
        <f>"唐陈林"</f>
        <v>唐陈林</v>
      </c>
      <c r="B7373" s="2" t="str">
        <f>"B20230702214"</f>
        <v>B20230702214</v>
      </c>
      <c r="C7373" s="2" t="str">
        <f>"男"</f>
        <v>男</v>
      </c>
      <c r="D7373" s="2" t="str">
        <f>"5"</f>
        <v>5</v>
      </c>
      <c r="E7373" s="2" t="str">
        <f>"马栏山新媒体学院"</f>
        <v>马栏山新媒体学院</v>
      </c>
    </row>
    <row r="7374" ht="13.5" hidden="1" spans="1:5">
      <c r="A7374" s="2" t="str">
        <f>"唐语"</f>
        <v>唐语</v>
      </c>
      <c r="B7374" s="2" t="str">
        <f>"B20230703321"</f>
        <v>B20230703321</v>
      </c>
      <c r="C7374" s="2" t="str">
        <f>"女"</f>
        <v>女</v>
      </c>
      <c r="D7374" s="2" t="str">
        <f>"5"</f>
        <v>5</v>
      </c>
      <c r="E7374" s="2" t="str">
        <f>"马栏山新媒体学院"</f>
        <v>马栏山新媒体学院</v>
      </c>
    </row>
    <row r="7375" ht="13.5" hidden="1" spans="1:5">
      <c r="A7375" s="2" t="str">
        <f>"黄涛"</f>
        <v>黄涛</v>
      </c>
      <c r="B7375" s="2" t="str">
        <f>"B20211101323"</f>
        <v>B20211101323</v>
      </c>
      <c r="C7375" s="2" t="str">
        <f>"男"</f>
        <v>男</v>
      </c>
      <c r="D7375" s="2" t="str">
        <f>"5"</f>
        <v>5</v>
      </c>
      <c r="E7375" s="2" t="str">
        <f>"音乐学院"</f>
        <v>音乐学院</v>
      </c>
    </row>
    <row r="7376" ht="13.5" hidden="1" spans="1:5">
      <c r="A7376" s="2" t="str">
        <f>"周恒"</f>
        <v>周恒</v>
      </c>
      <c r="B7376" s="2" t="str">
        <f>"B20220201414"</f>
        <v>B20220201414</v>
      </c>
      <c r="C7376" s="2" t="str">
        <f>"男"</f>
        <v>男</v>
      </c>
      <c r="D7376" s="2" t="str">
        <f t="shared" ref="D7376:D7384" si="1866">"5"</f>
        <v>5</v>
      </c>
      <c r="E7376" s="2" t="str">
        <f>"机电工程学院"</f>
        <v>机电工程学院</v>
      </c>
    </row>
    <row r="7377" ht="13.5" hidden="1" spans="1:5">
      <c r="A7377" s="2" t="str">
        <f>"邵励"</f>
        <v>邵励</v>
      </c>
      <c r="B7377" s="2" t="str">
        <f>"B20210204223"</f>
        <v>B20210204223</v>
      </c>
      <c r="C7377" s="2" t="str">
        <f>"男"</f>
        <v>男</v>
      </c>
      <c r="D7377" s="2" t="str">
        <f t="shared" si="1866"/>
        <v>5</v>
      </c>
      <c r="E7377" s="2" t="str">
        <f>"机电工程学院"</f>
        <v>机电工程学院</v>
      </c>
    </row>
    <row r="7378" ht="13.5" hidden="1" spans="1:5">
      <c r="A7378" s="2" t="str">
        <f>"刘悦"</f>
        <v>刘悦</v>
      </c>
      <c r="B7378" s="2" t="str">
        <f>"B20220902334"</f>
        <v>B20220902334</v>
      </c>
      <c r="C7378" s="2" t="str">
        <f t="shared" ref="C7378:C7382" si="1867">"女"</f>
        <v>女</v>
      </c>
      <c r="D7378" s="2" t="str">
        <f t="shared" si="1866"/>
        <v>5</v>
      </c>
      <c r="E7378" s="2" t="str">
        <f>"经济与管理学院"</f>
        <v>经济与管理学院</v>
      </c>
    </row>
    <row r="7379" ht="13.5" hidden="1" spans="1:5">
      <c r="A7379" s="2" t="str">
        <f>"王玉军"</f>
        <v>王玉军</v>
      </c>
      <c r="B7379" s="2" t="str">
        <f>"B20220403124"</f>
        <v>B20220403124</v>
      </c>
      <c r="C7379" s="2" t="str">
        <f t="shared" ref="C7379:C7384" si="1868">"男"</f>
        <v>男</v>
      </c>
      <c r="D7379" s="2" t="str">
        <f t="shared" si="1866"/>
        <v>5</v>
      </c>
      <c r="E7379" s="2" t="str">
        <f>"电子信息与电气工程学院"</f>
        <v>电子信息与电气工程学院</v>
      </c>
    </row>
    <row r="7380" ht="13.5" hidden="1" spans="1:5">
      <c r="A7380" s="2" t="str">
        <f>"陈思宇"</f>
        <v>陈思宇</v>
      </c>
      <c r="B7380" s="2" t="str">
        <f>"B20210703215"</f>
        <v>B20210703215</v>
      </c>
      <c r="C7380" s="2" t="str">
        <f t="shared" si="1867"/>
        <v>女</v>
      </c>
      <c r="D7380" s="2" t="str">
        <f t="shared" si="1866"/>
        <v>5</v>
      </c>
      <c r="E7380" s="2" t="str">
        <f>"马栏山新媒体学院"</f>
        <v>马栏山新媒体学院</v>
      </c>
    </row>
    <row r="7381" ht="13.5" hidden="1" spans="1:5">
      <c r="A7381" s="2" t="str">
        <f>"丁佳慧"</f>
        <v>丁佳慧</v>
      </c>
      <c r="B7381" s="2" t="str">
        <f>"B20210503104"</f>
        <v>B20210503104</v>
      </c>
      <c r="C7381" s="2" t="str">
        <f t="shared" si="1867"/>
        <v>女</v>
      </c>
      <c r="D7381" s="2" t="str">
        <f t="shared" si="1866"/>
        <v>5</v>
      </c>
      <c r="E7381" s="2" t="str">
        <f>"材料与环境工程学院"</f>
        <v>材料与环境工程学院</v>
      </c>
    </row>
    <row r="7382" ht="13.5" hidden="1" spans="1:5">
      <c r="A7382" s="2" t="str">
        <f>"丰一帆"</f>
        <v>丰一帆</v>
      </c>
      <c r="B7382" s="2" t="str">
        <f>"B20201101228"</f>
        <v>B20201101228</v>
      </c>
      <c r="C7382" s="2" t="str">
        <f t="shared" si="1867"/>
        <v>女</v>
      </c>
      <c r="D7382" s="2" t="str">
        <f t="shared" si="1866"/>
        <v>5</v>
      </c>
      <c r="E7382" s="2" t="str">
        <f>"音乐学院"</f>
        <v>音乐学院</v>
      </c>
    </row>
    <row r="7383" ht="13.5" hidden="1" spans="1:5">
      <c r="A7383" s="2" t="str">
        <f>"焦薪维"</f>
        <v>焦薪维</v>
      </c>
      <c r="B7383" s="2" t="str">
        <f>"B20210204124"</f>
        <v>B20210204124</v>
      </c>
      <c r="C7383" s="2" t="str">
        <f t="shared" si="1868"/>
        <v>男</v>
      </c>
      <c r="D7383" s="2" t="str">
        <f t="shared" si="1866"/>
        <v>5</v>
      </c>
      <c r="E7383" s="2" t="str">
        <f>"机电工程学院"</f>
        <v>机电工程学院</v>
      </c>
    </row>
    <row r="7384" ht="13.5" hidden="1" spans="1:5">
      <c r="A7384" s="2" t="str">
        <f>"禹磊"</f>
        <v>禹磊</v>
      </c>
      <c r="B7384" s="2" t="str">
        <f>"B20220403224"</f>
        <v>B20220403224</v>
      </c>
      <c r="C7384" s="2" t="str">
        <f t="shared" si="1868"/>
        <v>男</v>
      </c>
      <c r="D7384" s="2" t="str">
        <f t="shared" si="1866"/>
        <v>5</v>
      </c>
      <c r="E7384" s="2" t="str">
        <f>"电子信息与电气工程学院"</f>
        <v>电子信息与电气工程学院</v>
      </c>
    </row>
    <row r="7385" ht="13.5" hidden="1" spans="1:5">
      <c r="A7385" s="2" t="str">
        <f>"李美琴"</f>
        <v>李美琴</v>
      </c>
      <c r="B7385" s="2" t="str">
        <f>"B20220202317"</f>
        <v>B20220202317</v>
      </c>
      <c r="C7385" s="2" t="str">
        <f>"女"</f>
        <v>女</v>
      </c>
      <c r="D7385" s="2" t="str">
        <f>"5"</f>
        <v>5</v>
      </c>
      <c r="E7385" s="2" t="str">
        <f>"机电工程学院"</f>
        <v>机电工程学院</v>
      </c>
    </row>
    <row r="7386" ht="13.5" hidden="1" spans="1:5">
      <c r="A7386" s="2" t="str">
        <f>"陈驰"</f>
        <v>陈驰</v>
      </c>
      <c r="B7386" s="2" t="str">
        <f>"B20220903234"</f>
        <v>B20220903234</v>
      </c>
      <c r="C7386" s="2" t="str">
        <f>"男"</f>
        <v>男</v>
      </c>
      <c r="D7386" s="2" t="str">
        <f>"5"</f>
        <v>5</v>
      </c>
      <c r="E7386" s="2" t="str">
        <f>"经济与管理学院"</f>
        <v>经济与管理学院</v>
      </c>
    </row>
    <row r="7387" ht="13.5" hidden="1" spans="1:5">
      <c r="A7387" s="2" t="str">
        <f>"阮会然"</f>
        <v>阮会然</v>
      </c>
      <c r="B7387" s="2" t="str">
        <f>"B20221004117"</f>
        <v>B20221004117</v>
      </c>
      <c r="C7387" s="2" t="str">
        <f>"女"</f>
        <v>女</v>
      </c>
      <c r="D7387" s="2" t="str">
        <f>"5"</f>
        <v>5</v>
      </c>
      <c r="E7387" s="2" t="str">
        <f>"艺术设计学院"</f>
        <v>艺术设计学院</v>
      </c>
    </row>
    <row r="7388" ht="13.5" hidden="1" spans="1:5">
      <c r="A7388" s="2" t="str">
        <f>"谢子洲"</f>
        <v>谢子洲</v>
      </c>
      <c r="B7388" s="2" t="str">
        <f>"B20210501201"</f>
        <v>B20210501201</v>
      </c>
      <c r="C7388" s="2" t="str">
        <f>"男"</f>
        <v>男</v>
      </c>
      <c r="D7388" s="2" t="str">
        <f>"5"</f>
        <v>5</v>
      </c>
      <c r="E7388" s="2" t="str">
        <f>"电子信息与电气工程学院"</f>
        <v>电子信息与电气工程学院</v>
      </c>
    </row>
    <row r="7389" ht="13.5" hidden="1" spans="1:5">
      <c r="A7389" s="2" t="str">
        <f>"代利澳"</f>
        <v>代利澳</v>
      </c>
      <c r="B7389" s="2" t="str">
        <f>"B20230101111"</f>
        <v>B20230101111</v>
      </c>
      <c r="C7389" s="2" t="str">
        <f>"男"</f>
        <v>男</v>
      </c>
      <c r="D7389" s="2" t="str">
        <f>"5"</f>
        <v>5</v>
      </c>
      <c r="E7389" s="2" t="str">
        <f>"土木工程学院"</f>
        <v>土木工程学院</v>
      </c>
    </row>
    <row r="7390" ht="13.5" hidden="1" spans="1:5">
      <c r="A7390" s="2" t="str">
        <f>"周子轩"</f>
        <v>周子轩</v>
      </c>
      <c r="B7390" s="2" t="str">
        <f>"B20230901330"</f>
        <v>B20230901330</v>
      </c>
      <c r="C7390" s="2" t="str">
        <f>"男"</f>
        <v>男</v>
      </c>
      <c r="D7390" s="2" t="str">
        <f>"5"</f>
        <v>5</v>
      </c>
      <c r="E7390" s="2" t="str">
        <f>"经济与管理学院"</f>
        <v>经济与管理学院</v>
      </c>
    </row>
    <row r="7391" ht="13.5" hidden="1" spans="1:5">
      <c r="A7391" s="2" t="str">
        <f>"石云峰"</f>
        <v>石云峰</v>
      </c>
      <c r="B7391" s="2" t="str">
        <f>"B20230204224"</f>
        <v>B20230204224</v>
      </c>
      <c r="C7391" s="2" t="str">
        <f>"男"</f>
        <v>男</v>
      </c>
      <c r="D7391" s="2" t="str">
        <f>"5"</f>
        <v>5</v>
      </c>
      <c r="E7391" s="2" t="str">
        <f>"机电工程学院"</f>
        <v>机电工程学院</v>
      </c>
    </row>
    <row r="7392" ht="13.5" hidden="1" spans="1:5">
      <c r="A7392" s="2" t="str">
        <f>"江敏"</f>
        <v>江敏</v>
      </c>
      <c r="B7392" s="2" t="str">
        <f>"B20220902120"</f>
        <v>B20220902120</v>
      </c>
      <c r="C7392" s="2" t="str">
        <f>"女"</f>
        <v>女</v>
      </c>
      <c r="D7392" s="2" t="str">
        <f>"5"</f>
        <v>5</v>
      </c>
      <c r="E7392" s="2" t="str">
        <f>"经济与管理学院"</f>
        <v>经济与管理学院</v>
      </c>
    </row>
    <row r="7393" ht="13.5" hidden="1" spans="1:5">
      <c r="A7393" s="2" t="str">
        <f>"阳波"</f>
        <v>阳波</v>
      </c>
      <c r="B7393" s="2" t="str">
        <f>"B20230502207"</f>
        <v>B20230502207</v>
      </c>
      <c r="C7393" s="2" t="str">
        <f>"男"</f>
        <v>男</v>
      </c>
      <c r="D7393" s="2" t="str">
        <f>"5"</f>
        <v>5</v>
      </c>
      <c r="E7393" s="2" t="str">
        <f>"生物与化学工程学院"</f>
        <v>生物与化学工程学院</v>
      </c>
    </row>
    <row r="7394" ht="13.5" hidden="1" spans="1:5">
      <c r="A7394" s="2" t="str">
        <f>"刘丽梅"</f>
        <v>刘丽梅</v>
      </c>
      <c r="B7394" s="2" t="str">
        <f>"B20210901334"</f>
        <v>B20210901334</v>
      </c>
      <c r="C7394" s="2" t="str">
        <f>"女"</f>
        <v>女</v>
      </c>
      <c r="D7394" s="2" t="str">
        <f>"5"</f>
        <v>5</v>
      </c>
      <c r="E7394" s="2" t="str">
        <f>"经济与管理学院"</f>
        <v>经济与管理学院</v>
      </c>
    </row>
    <row r="7395" ht="13.5" hidden="1" spans="1:5">
      <c r="A7395" s="2" t="str">
        <f>"胡世超"</f>
        <v>胡世超</v>
      </c>
      <c r="B7395" s="2" t="str">
        <f>"B20220202217"</f>
        <v>B20220202217</v>
      </c>
      <c r="C7395" s="2" t="str">
        <f>"男"</f>
        <v>男</v>
      </c>
      <c r="D7395" s="2" t="str">
        <f>"5"</f>
        <v>5</v>
      </c>
      <c r="E7395" s="2" t="str">
        <f>"机电工程学院"</f>
        <v>机电工程学院</v>
      </c>
    </row>
    <row r="7396" ht="13.5" hidden="1" spans="1:5">
      <c r="A7396" s="2" t="str">
        <f>"张杰"</f>
        <v>张杰</v>
      </c>
      <c r="B7396" s="2" t="str">
        <f>"B20210204214"</f>
        <v>B20210204214</v>
      </c>
      <c r="C7396" s="2" t="str">
        <f>"男"</f>
        <v>男</v>
      </c>
      <c r="D7396" s="2" t="str">
        <f>"5"</f>
        <v>5</v>
      </c>
      <c r="E7396" s="2" t="str">
        <f>"机电工程学院"</f>
        <v>机电工程学院</v>
      </c>
    </row>
    <row r="7397" ht="13.5" hidden="1" spans="1:5">
      <c r="A7397" s="2" t="str">
        <f>"陈贞蓉"</f>
        <v>陈贞蓉</v>
      </c>
      <c r="B7397" s="2" t="str">
        <f>"B20220902108"</f>
        <v>B20220902108</v>
      </c>
      <c r="C7397" s="2" t="str">
        <f>"女"</f>
        <v>女</v>
      </c>
      <c r="D7397" s="2" t="str">
        <f>"5"</f>
        <v>5</v>
      </c>
      <c r="E7397" s="2" t="str">
        <f>"经济与管理学院"</f>
        <v>经济与管理学院</v>
      </c>
    </row>
    <row r="7398" ht="13.5" hidden="1" spans="1:5">
      <c r="A7398" s="2" t="str">
        <f>"杨粟媛"</f>
        <v>杨粟媛</v>
      </c>
      <c r="B7398" s="2" t="str">
        <f>"B20230702430"</f>
        <v>B20230702430</v>
      </c>
      <c r="C7398" s="2" t="str">
        <f>"女"</f>
        <v>女</v>
      </c>
      <c r="D7398" s="2" t="str">
        <f>"5"</f>
        <v>5</v>
      </c>
      <c r="E7398" s="2" t="str">
        <f>"马栏山新媒体学院"</f>
        <v>马栏山新媒体学院</v>
      </c>
    </row>
    <row r="7399" ht="13.5" hidden="1" spans="1:5">
      <c r="A7399" s="2" t="str">
        <f>"肖艺涵"</f>
        <v>肖艺涵</v>
      </c>
      <c r="B7399" s="2" t="str">
        <f>"B20210202109"</f>
        <v>B20210202109</v>
      </c>
      <c r="C7399" s="2" t="str">
        <f>"男"</f>
        <v>男</v>
      </c>
      <c r="D7399" s="2" t="str">
        <f>"5"</f>
        <v>5</v>
      </c>
      <c r="E7399" s="2" t="str">
        <f>"机电工程学院"</f>
        <v>机电工程学院</v>
      </c>
    </row>
    <row r="7400" ht="13.5" hidden="1" spans="1:5">
      <c r="A7400" s="2" t="str">
        <f>"周炳君"</f>
        <v>周炳君</v>
      </c>
      <c r="B7400" s="2" t="str">
        <f>"B20220404102"</f>
        <v>B20220404102</v>
      </c>
      <c r="C7400" s="2" t="str">
        <f>"男"</f>
        <v>男</v>
      </c>
      <c r="D7400" s="2" t="str">
        <f>"5"</f>
        <v>5</v>
      </c>
      <c r="E7400" s="2" t="str">
        <f>"电子信息与电气工程学院"</f>
        <v>电子信息与电气工程学院</v>
      </c>
    </row>
    <row r="7401" ht="13.5" hidden="1" spans="1:5">
      <c r="A7401" s="2" t="str">
        <f>"刘芸杉"</f>
        <v>刘芸杉</v>
      </c>
      <c r="B7401" s="2" t="str">
        <f>"B20231302402"</f>
        <v>B20231302402</v>
      </c>
      <c r="C7401" s="2" t="str">
        <f>"女"</f>
        <v>女</v>
      </c>
      <c r="D7401" s="2" t="str">
        <f>"5"</f>
        <v>5</v>
      </c>
      <c r="E7401" s="2" t="str">
        <f>"材料与环境工程学院"</f>
        <v>材料与环境工程学院</v>
      </c>
    </row>
    <row r="7402" ht="13.5" hidden="1" spans="1:5">
      <c r="A7402" s="2" t="str">
        <f>"罗娟"</f>
        <v>罗娟</v>
      </c>
      <c r="B7402" s="2" t="str">
        <f>"B20220601519"</f>
        <v>B20220601519</v>
      </c>
      <c r="C7402" s="2" t="str">
        <f>"女"</f>
        <v>女</v>
      </c>
      <c r="D7402" s="2" t="str">
        <f>"5"</f>
        <v>5</v>
      </c>
      <c r="E7402" s="2" t="str">
        <f>"法学院"</f>
        <v>法学院</v>
      </c>
    </row>
    <row r="7403" ht="13.5" hidden="1" spans="1:5">
      <c r="A7403" s="2" t="str">
        <f>"宋宇奇"</f>
        <v>宋宇奇</v>
      </c>
      <c r="B7403" s="2" t="str">
        <f>"B20230501220"</f>
        <v>B20230501220</v>
      </c>
      <c r="C7403" s="2" t="str">
        <f>"男"</f>
        <v>男</v>
      </c>
      <c r="D7403" s="2" t="str">
        <f>"5"</f>
        <v>5</v>
      </c>
      <c r="E7403" s="2" t="str">
        <f>"生物与化学工程学院"</f>
        <v>生物与化学工程学院</v>
      </c>
    </row>
    <row r="7404" ht="13.5" hidden="1" spans="1:5">
      <c r="A7404" s="2" t="str">
        <f>"胡舒悦"</f>
        <v>胡舒悦</v>
      </c>
      <c r="B7404" s="2" t="str">
        <f>"B20230905232"</f>
        <v>B20230905232</v>
      </c>
      <c r="C7404" s="2" t="str">
        <f>"女"</f>
        <v>女</v>
      </c>
      <c r="D7404" s="2" t="str">
        <f>"5"</f>
        <v>5</v>
      </c>
      <c r="E7404" s="2" t="str">
        <f>"经济与管理学院"</f>
        <v>经济与管理学院</v>
      </c>
    </row>
    <row r="7405" ht="13.5" hidden="1" spans="1:5">
      <c r="A7405" s="2" t="str">
        <f>"杨明忠"</f>
        <v>杨明忠</v>
      </c>
      <c r="B7405" s="2" t="str">
        <f>"B20220201209"</f>
        <v>B20220201209</v>
      </c>
      <c r="C7405" s="2" t="str">
        <f>"男"</f>
        <v>男</v>
      </c>
      <c r="D7405" s="2" t="str">
        <f>"5"</f>
        <v>5</v>
      </c>
      <c r="E7405" s="2" t="str">
        <f>"机电工程学院"</f>
        <v>机电工程学院</v>
      </c>
    </row>
    <row r="7406" ht="13.5" hidden="1" spans="1:5">
      <c r="A7406" s="2" t="str">
        <f>"秦浏洋"</f>
        <v>秦浏洋</v>
      </c>
      <c r="B7406" s="2" t="str">
        <f>"B20210702226"</f>
        <v>B20210702226</v>
      </c>
      <c r="C7406" s="2" t="str">
        <f>"女"</f>
        <v>女</v>
      </c>
      <c r="D7406" s="2" t="str">
        <f>"5"</f>
        <v>5</v>
      </c>
      <c r="E7406" s="2" t="str">
        <f>"马栏山新媒体学院"</f>
        <v>马栏山新媒体学院</v>
      </c>
    </row>
    <row r="7407" ht="13.5" hidden="1" spans="1:5">
      <c r="A7407" s="2" t="str">
        <f>"谢付玺"</f>
        <v>谢付玺</v>
      </c>
      <c r="B7407" s="2" t="str">
        <f>"B20200505128"</f>
        <v>B20200505128</v>
      </c>
      <c r="C7407" s="2" t="str">
        <f>"男"</f>
        <v>男</v>
      </c>
      <c r="D7407" s="2" t="str">
        <f>"5"</f>
        <v>5</v>
      </c>
      <c r="E7407" s="2" t="str">
        <f>"生物与环境工程学院"</f>
        <v>生物与环境工程学院</v>
      </c>
    </row>
    <row r="7408" ht="13.5" hidden="1" spans="1:5">
      <c r="A7408" s="2" t="str">
        <f>"赵婷婷"</f>
        <v>赵婷婷</v>
      </c>
      <c r="B7408" s="2" t="str">
        <f>"B20210801222"</f>
        <v>B20210801222</v>
      </c>
      <c r="C7408" s="2" t="str">
        <f>"女"</f>
        <v>女</v>
      </c>
      <c r="D7408" s="2" t="str">
        <f>"5"</f>
        <v>5</v>
      </c>
      <c r="E7408" s="2" t="str">
        <f>"外国语学院"</f>
        <v>外国语学院</v>
      </c>
    </row>
    <row r="7409" ht="13.5" hidden="1" spans="1:5">
      <c r="A7409" s="2" t="str">
        <f>"蒋美妮"</f>
        <v>蒋美妮</v>
      </c>
      <c r="B7409" s="2" t="str">
        <f>"B20200103105"</f>
        <v>B20200103105</v>
      </c>
      <c r="C7409" s="2" t="str">
        <f>"女"</f>
        <v>女</v>
      </c>
      <c r="D7409" s="2" t="str">
        <f>"5"</f>
        <v>5</v>
      </c>
      <c r="E7409" s="2" t="str">
        <f>"土木工程学院"</f>
        <v>土木工程学院</v>
      </c>
    </row>
    <row r="7410" ht="13.5" hidden="1" spans="1:5">
      <c r="A7410" s="2" t="str">
        <f>"肖丽萍"</f>
        <v>肖丽萍</v>
      </c>
      <c r="B7410" s="2" t="str">
        <f>"B20210902428"</f>
        <v>B20210902428</v>
      </c>
      <c r="C7410" s="2" t="str">
        <f>"女"</f>
        <v>女</v>
      </c>
      <c r="D7410" s="2" t="str">
        <f>"5"</f>
        <v>5</v>
      </c>
      <c r="E7410" s="2" t="str">
        <f>"经济与管理学院"</f>
        <v>经济与管理学院</v>
      </c>
    </row>
    <row r="7411" ht="13.5" hidden="1" spans="1:5">
      <c r="A7411" s="2" t="str">
        <f>"郑扬宇"</f>
        <v>郑扬宇</v>
      </c>
      <c r="B7411" s="2" t="str">
        <f>"B20230906122"</f>
        <v>B20230906122</v>
      </c>
      <c r="C7411" s="2" t="str">
        <f>"男"</f>
        <v>男</v>
      </c>
      <c r="D7411" s="2" t="str">
        <f>"5"</f>
        <v>5</v>
      </c>
      <c r="E7411" s="2" t="str">
        <f>"经济与管理学院"</f>
        <v>经济与管理学院</v>
      </c>
    </row>
    <row r="7412" ht="13.5" hidden="1" spans="1:5">
      <c r="A7412" s="2" t="str">
        <f>"陈柯良"</f>
        <v>陈柯良</v>
      </c>
      <c r="B7412" s="2" t="str">
        <f>"B20220201419"</f>
        <v>B20220201419</v>
      </c>
      <c r="C7412" s="2" t="str">
        <f>"男"</f>
        <v>男</v>
      </c>
      <c r="D7412" s="2" t="str">
        <f t="shared" ref="D7412:D7423" si="1869">"5"</f>
        <v>5</v>
      </c>
      <c r="E7412" s="2" t="str">
        <f t="shared" ref="E7412:E7417" si="1870">"机电工程学院"</f>
        <v>机电工程学院</v>
      </c>
    </row>
    <row r="7413" ht="13.5" hidden="1" spans="1:5">
      <c r="A7413" s="2" t="str">
        <f>"吴晓楠"</f>
        <v>吴晓楠</v>
      </c>
      <c r="B7413" s="2" t="str">
        <f>"B20231001411"</f>
        <v>B20231001411</v>
      </c>
      <c r="C7413" s="2" t="str">
        <f t="shared" ref="C7413:C7418" si="1871">"女"</f>
        <v>女</v>
      </c>
      <c r="D7413" s="2" t="str">
        <f t="shared" si="1869"/>
        <v>5</v>
      </c>
      <c r="E7413" s="2" t="str">
        <f>"艺术设计学院"</f>
        <v>艺术设计学院</v>
      </c>
    </row>
    <row r="7414" ht="13.5" hidden="1" spans="1:5">
      <c r="A7414" s="2" t="str">
        <f>"张丽君"</f>
        <v>张丽君</v>
      </c>
      <c r="B7414" s="2" t="str">
        <f>"B20210702216"</f>
        <v>B20210702216</v>
      </c>
      <c r="C7414" s="2" t="str">
        <f t="shared" si="1871"/>
        <v>女</v>
      </c>
      <c r="D7414" s="2" t="str">
        <f t="shared" si="1869"/>
        <v>5</v>
      </c>
      <c r="E7414" s="2" t="str">
        <f>"马栏山新媒体学院"</f>
        <v>马栏山新媒体学院</v>
      </c>
    </row>
    <row r="7415" ht="13.5" hidden="1" spans="1:5">
      <c r="A7415" s="2" t="str">
        <f>"陈智辉"</f>
        <v>陈智辉</v>
      </c>
      <c r="B7415" s="2" t="str">
        <f>"B20210202308"</f>
        <v>B20210202308</v>
      </c>
      <c r="C7415" s="2" t="str">
        <f t="shared" ref="C7415:C7417" si="1872">"男"</f>
        <v>男</v>
      </c>
      <c r="D7415" s="2" t="str">
        <f t="shared" si="1869"/>
        <v>5</v>
      </c>
      <c r="E7415" s="2" t="str">
        <f t="shared" si="1870"/>
        <v>机电工程学院</v>
      </c>
    </row>
    <row r="7416" ht="13.5" hidden="1" spans="1:5">
      <c r="A7416" s="2" t="str">
        <f>"华子翔"</f>
        <v>华子翔</v>
      </c>
      <c r="B7416" s="2" t="str">
        <f>"B20220202334"</f>
        <v>B20220202334</v>
      </c>
      <c r="C7416" s="2" t="str">
        <f t="shared" si="1872"/>
        <v>男</v>
      </c>
      <c r="D7416" s="2" t="str">
        <f t="shared" si="1869"/>
        <v>5</v>
      </c>
      <c r="E7416" s="2" t="str">
        <f t="shared" si="1870"/>
        <v>机电工程学院</v>
      </c>
    </row>
    <row r="7417" ht="13.5" hidden="1" spans="1:5">
      <c r="A7417" s="2" t="str">
        <f>"胡宇轩"</f>
        <v>胡宇轩</v>
      </c>
      <c r="B7417" s="2" t="str">
        <f>"B20220201129"</f>
        <v>B20220201129</v>
      </c>
      <c r="C7417" s="2" t="str">
        <f t="shared" si="1872"/>
        <v>男</v>
      </c>
      <c r="D7417" s="2" t="str">
        <f t="shared" si="1869"/>
        <v>5</v>
      </c>
      <c r="E7417" s="2" t="str">
        <f t="shared" si="1870"/>
        <v>机电工程学院</v>
      </c>
    </row>
    <row r="7418" ht="13.5" hidden="1" spans="1:5">
      <c r="A7418" s="2" t="str">
        <f>"高雨彤"</f>
        <v>高雨彤</v>
      </c>
      <c r="B7418" s="2" t="str">
        <f>"B20230401303"</f>
        <v>B20230401303</v>
      </c>
      <c r="C7418" s="2" t="str">
        <f t="shared" si="1871"/>
        <v>女</v>
      </c>
      <c r="D7418" s="2" t="str">
        <f t="shared" si="1869"/>
        <v>5</v>
      </c>
      <c r="E7418" s="2" t="str">
        <f>"电子信息与电气工程学院"</f>
        <v>电子信息与电气工程学院</v>
      </c>
    </row>
    <row r="7419" ht="13.5" hidden="1" spans="1:5">
      <c r="A7419" s="2" t="str">
        <f>"李杨子健"</f>
        <v>李杨子健</v>
      </c>
      <c r="B7419" s="2" t="str">
        <f>"B20210703112"</f>
        <v>B20210703112</v>
      </c>
      <c r="C7419" s="2" t="str">
        <f>"男"</f>
        <v>男</v>
      </c>
      <c r="D7419" s="2" t="str">
        <f t="shared" si="1869"/>
        <v>5</v>
      </c>
      <c r="E7419" s="2" t="str">
        <f>"马栏山新媒体学院"</f>
        <v>马栏山新媒体学院</v>
      </c>
    </row>
    <row r="7420" ht="13.5" hidden="1" spans="1:5">
      <c r="A7420" s="2" t="str">
        <f>"肖珏"</f>
        <v>肖珏</v>
      </c>
      <c r="B7420" s="2" t="str">
        <f>"B20210801113"</f>
        <v>B20210801113</v>
      </c>
      <c r="C7420" s="2" t="str">
        <f t="shared" ref="C7420:C7423" si="1873">"女"</f>
        <v>女</v>
      </c>
      <c r="D7420" s="2" t="str">
        <f t="shared" si="1869"/>
        <v>5</v>
      </c>
      <c r="E7420" s="2" t="str">
        <f>"外国语学院"</f>
        <v>外国语学院</v>
      </c>
    </row>
    <row r="7421" ht="13.5" hidden="1" spans="1:5">
      <c r="A7421" s="2" t="str">
        <f>"李乔怡"</f>
        <v>李乔怡</v>
      </c>
      <c r="B7421" s="2" t="str">
        <f>"B20210704218"</f>
        <v>B20210704218</v>
      </c>
      <c r="C7421" s="2" t="str">
        <f t="shared" si="1873"/>
        <v>女</v>
      </c>
      <c r="D7421" s="2" t="str">
        <f t="shared" si="1869"/>
        <v>5</v>
      </c>
      <c r="E7421" s="2" t="str">
        <f>"马栏山新媒体学院"</f>
        <v>马栏山新媒体学院</v>
      </c>
    </row>
    <row r="7422" ht="13.5" hidden="1" spans="1:5">
      <c r="A7422" s="2" t="str">
        <f>"蔡晓萱"</f>
        <v>蔡晓萱</v>
      </c>
      <c r="B7422" s="2" t="str">
        <f>"B20231101101"</f>
        <v>B20231101101</v>
      </c>
      <c r="C7422" s="2" t="str">
        <f t="shared" si="1873"/>
        <v>女</v>
      </c>
      <c r="D7422" s="2" t="str">
        <f t="shared" si="1869"/>
        <v>5</v>
      </c>
      <c r="E7422" s="2" t="str">
        <f>"音乐学院"</f>
        <v>音乐学院</v>
      </c>
    </row>
    <row r="7423" ht="13.5" hidden="1" spans="1:5">
      <c r="A7423" s="2" t="str">
        <f>"蔡婷"</f>
        <v>蔡婷</v>
      </c>
      <c r="B7423" s="2" t="str">
        <f>"B20220801206"</f>
        <v>B20220801206</v>
      </c>
      <c r="C7423" s="2" t="str">
        <f t="shared" si="1873"/>
        <v>女</v>
      </c>
      <c r="D7423" s="2" t="str">
        <f t="shared" si="1869"/>
        <v>5</v>
      </c>
      <c r="E7423" s="2" t="str">
        <f>"外国语学院"</f>
        <v>外国语学院</v>
      </c>
    </row>
    <row r="7424" ht="13.5" hidden="1" spans="1:5">
      <c r="A7424" s="2" t="str">
        <f>"肖皇"</f>
        <v>肖皇</v>
      </c>
      <c r="B7424" s="2" t="str">
        <f>"B20230504304"</f>
        <v>B20230504304</v>
      </c>
      <c r="C7424" s="2" t="str">
        <f>"男"</f>
        <v>男</v>
      </c>
      <c r="D7424" s="2" t="str">
        <f>"5"</f>
        <v>5</v>
      </c>
      <c r="E7424" s="2" t="str">
        <f>"生物与化学工程学院"</f>
        <v>生物与化学工程学院</v>
      </c>
    </row>
    <row r="7425" ht="13.5" hidden="1" spans="1:5">
      <c r="A7425" s="2" t="str">
        <f>"陈卓"</f>
        <v>陈卓</v>
      </c>
      <c r="B7425" s="2" t="str">
        <f>"B20230401313"</f>
        <v>B20230401313</v>
      </c>
      <c r="C7425" s="2" t="str">
        <f>"男"</f>
        <v>男</v>
      </c>
      <c r="D7425" s="2" t="str">
        <f>"5"</f>
        <v>5</v>
      </c>
      <c r="E7425" s="2" t="str">
        <f>"电子信息与电气工程学院"</f>
        <v>电子信息与电气工程学院</v>
      </c>
    </row>
    <row r="7426" ht="13.5" hidden="1" spans="1:5">
      <c r="A7426" s="2" t="str">
        <f>"何琦"</f>
        <v>何琦</v>
      </c>
      <c r="B7426" s="2" t="str">
        <f>"B20220802229"</f>
        <v>B20220802229</v>
      </c>
      <c r="C7426" s="2" t="str">
        <f>"女"</f>
        <v>女</v>
      </c>
      <c r="D7426" s="2" t="str">
        <f>"5"</f>
        <v>5</v>
      </c>
      <c r="E7426" s="2" t="str">
        <f>"外国语学院"</f>
        <v>外国语学院</v>
      </c>
    </row>
    <row r="7427" ht="13.5" hidden="1" spans="1:5">
      <c r="A7427" s="2" t="str">
        <f>"薛意"</f>
        <v>薛意</v>
      </c>
      <c r="B7427" s="2" t="str">
        <f>"B20211004220"</f>
        <v>B20211004220</v>
      </c>
      <c r="C7427" s="2" t="str">
        <f>"女"</f>
        <v>女</v>
      </c>
      <c r="D7427" s="2" t="str">
        <f>"5"</f>
        <v>5</v>
      </c>
      <c r="E7427" s="2" t="str">
        <f>"艺术设计学院"</f>
        <v>艺术设计学院</v>
      </c>
    </row>
    <row r="7428" ht="13.5" hidden="1" spans="1:5">
      <c r="A7428" s="2" t="str">
        <f>"龚晴"</f>
        <v>龚晴</v>
      </c>
      <c r="B7428" s="2" t="str">
        <f>"B20220801103"</f>
        <v>B20220801103</v>
      </c>
      <c r="C7428" s="2" t="str">
        <f t="shared" ref="C7428:C7430" si="1874">"女"</f>
        <v>女</v>
      </c>
      <c r="D7428" s="2" t="str">
        <f>"4"</f>
        <v>4</v>
      </c>
      <c r="E7428" s="2" t="str">
        <f>"外国语学院"</f>
        <v>外国语学院</v>
      </c>
    </row>
    <row r="7429" ht="13.5" hidden="1" spans="1:5">
      <c r="A7429" s="2" t="str">
        <f>"谌雯琦"</f>
        <v>谌雯琦</v>
      </c>
      <c r="B7429" s="2" t="str">
        <f>"B20220601426"</f>
        <v>B20220601426</v>
      </c>
      <c r="C7429" s="2" t="str">
        <f t="shared" si="1874"/>
        <v>女</v>
      </c>
      <c r="D7429" s="2" t="str">
        <f>"4"</f>
        <v>4</v>
      </c>
      <c r="E7429" s="2" t="str">
        <f>"法学院"</f>
        <v>法学院</v>
      </c>
    </row>
    <row r="7430" ht="13.5" hidden="1" spans="1:5">
      <c r="A7430" s="2" t="str">
        <f>"张诗衍"</f>
        <v>张诗衍</v>
      </c>
      <c r="B7430" s="2" t="str">
        <f>"B20210102131"</f>
        <v>B20210102131</v>
      </c>
      <c r="C7430" s="2" t="str">
        <f t="shared" si="1874"/>
        <v>女</v>
      </c>
      <c r="D7430" s="2" t="str">
        <f>"4"</f>
        <v>4</v>
      </c>
      <c r="E7430" s="2" t="str">
        <f>"土木工程学院"</f>
        <v>土木工程学院</v>
      </c>
    </row>
    <row r="7431" ht="13.5" hidden="1" spans="1:5">
      <c r="A7431" s="2" t="str">
        <f>"高民兴"</f>
        <v>高民兴</v>
      </c>
      <c r="B7431" s="2" t="str">
        <f>"B20200601302"</f>
        <v>B20200601302</v>
      </c>
      <c r="C7431" s="2" t="str">
        <f>"男"</f>
        <v>男</v>
      </c>
      <c r="D7431" s="2" t="str">
        <f>"4"</f>
        <v>4</v>
      </c>
      <c r="E7431" s="2" t="str">
        <f>"法学院"</f>
        <v>法学院</v>
      </c>
    </row>
    <row r="7432" ht="13.5" hidden="1" spans="1:5">
      <c r="A7432" s="2" t="str">
        <f>"姚逸涛"</f>
        <v>姚逸涛</v>
      </c>
      <c r="B7432" s="2" t="str">
        <f>"B20220401305"</f>
        <v>B20220401305</v>
      </c>
      <c r="C7432" s="2" t="str">
        <f>"男"</f>
        <v>男</v>
      </c>
      <c r="D7432" s="2" t="str">
        <f>"4"</f>
        <v>4</v>
      </c>
      <c r="E7432" s="2" t="str">
        <f>"电子信息与电气工程学院"</f>
        <v>电子信息与电气工程学院</v>
      </c>
    </row>
    <row r="7433" ht="13.5" hidden="1" spans="1:5">
      <c r="A7433" s="2" t="str">
        <f>"陈诗珮"</f>
        <v>陈诗珮</v>
      </c>
      <c r="B7433" s="2" t="str">
        <f>"B20220504112"</f>
        <v>B20220504112</v>
      </c>
      <c r="C7433" s="2" t="str">
        <f t="shared" ref="C7433:C7438" si="1875">"女"</f>
        <v>女</v>
      </c>
      <c r="D7433" s="2" t="str">
        <f>"4"</f>
        <v>4</v>
      </c>
      <c r="E7433" s="2" t="str">
        <f>"生物与化学工程学院"</f>
        <v>生物与化学工程学院</v>
      </c>
    </row>
    <row r="7434" ht="13.5" hidden="1" spans="1:5">
      <c r="A7434" s="2" t="str">
        <f>"纵奇宏"</f>
        <v>纵奇宏</v>
      </c>
      <c r="B7434" s="2" t="str">
        <f>"B20231003114"</f>
        <v>B20231003114</v>
      </c>
      <c r="C7434" s="2" t="str">
        <f t="shared" ref="C7434:C7437" si="1876">"男"</f>
        <v>男</v>
      </c>
      <c r="D7434" s="2" t="str">
        <f>"4"</f>
        <v>4</v>
      </c>
      <c r="E7434" s="2" t="str">
        <f>"艺术设计学院"</f>
        <v>艺术设计学院</v>
      </c>
    </row>
    <row r="7435" ht="13.5" hidden="1" spans="1:5">
      <c r="A7435" s="2" t="str">
        <f>"向雅琴"</f>
        <v>向雅琴</v>
      </c>
      <c r="B7435" s="2" t="str">
        <f>"B20210202318"</f>
        <v>B20210202318</v>
      </c>
      <c r="C7435" s="2" t="str">
        <f t="shared" si="1875"/>
        <v>女</v>
      </c>
      <c r="D7435" s="2" t="str">
        <f>"4"</f>
        <v>4</v>
      </c>
      <c r="E7435" s="2" t="str">
        <f>"机电工程学院"</f>
        <v>机电工程学院</v>
      </c>
    </row>
    <row r="7436" ht="13.5" hidden="1" spans="1:5">
      <c r="A7436" s="2" t="str">
        <f>"刘佑"</f>
        <v>刘佑</v>
      </c>
      <c r="B7436" s="2" t="str">
        <f>"B20220204217"</f>
        <v>B20220204217</v>
      </c>
      <c r="C7436" s="2" t="str">
        <f t="shared" si="1876"/>
        <v>男</v>
      </c>
      <c r="D7436" s="2" t="str">
        <f>"4"</f>
        <v>4</v>
      </c>
      <c r="E7436" s="2" t="str">
        <f>"机电工程学院"</f>
        <v>机电工程学院</v>
      </c>
    </row>
    <row r="7437" ht="13.5" hidden="1" spans="1:5">
      <c r="A7437" s="2" t="str">
        <f>"张朝元"</f>
        <v>张朝元</v>
      </c>
      <c r="B7437" s="2" t="str">
        <f>"B20210401430"</f>
        <v>B20210401430</v>
      </c>
      <c r="C7437" s="2" t="str">
        <f t="shared" si="1876"/>
        <v>男</v>
      </c>
      <c r="D7437" s="2" t="str">
        <f>"4"</f>
        <v>4</v>
      </c>
      <c r="E7437" s="2" t="str">
        <f>"电子信息与电气工程学院"</f>
        <v>电子信息与电气工程学院</v>
      </c>
    </row>
    <row r="7438" ht="13.5" hidden="1" spans="1:5">
      <c r="A7438" s="2" t="str">
        <f>"罗艳霞"</f>
        <v>罗艳霞</v>
      </c>
      <c r="B7438" s="2" t="str">
        <f>"B20220702432"</f>
        <v>B20220702432</v>
      </c>
      <c r="C7438" s="2" t="str">
        <f t="shared" si="1875"/>
        <v>女</v>
      </c>
      <c r="D7438" s="2" t="str">
        <f>"4"</f>
        <v>4</v>
      </c>
      <c r="E7438" s="2" t="str">
        <f>"马栏山新媒体学院"</f>
        <v>马栏山新媒体学院</v>
      </c>
    </row>
    <row r="7439" ht="13.5" hidden="1" spans="1:5">
      <c r="A7439" s="2" t="str">
        <f>"张轩"</f>
        <v>张轩</v>
      </c>
      <c r="B7439" s="2" t="str">
        <f>"B20220502109"</f>
        <v>B20220502109</v>
      </c>
      <c r="C7439" s="2" t="str">
        <f>"女"</f>
        <v>女</v>
      </c>
      <c r="D7439" s="2" t="str">
        <f>"4"</f>
        <v>4</v>
      </c>
      <c r="E7439" s="2" t="str">
        <f>"生物与化学工程学院"</f>
        <v>生物与化学工程学院</v>
      </c>
    </row>
    <row r="7440" ht="13.5" hidden="1" spans="1:5">
      <c r="A7440" s="2" t="str">
        <f>"唐梅"</f>
        <v>唐梅</v>
      </c>
      <c r="B7440" s="2" t="str">
        <f>"B20220601115"</f>
        <v>B20220601115</v>
      </c>
      <c r="C7440" s="2" t="str">
        <f>"女"</f>
        <v>女</v>
      </c>
      <c r="D7440" s="2" t="str">
        <f>"4"</f>
        <v>4</v>
      </c>
      <c r="E7440" s="2" t="str">
        <f>"法学院"</f>
        <v>法学院</v>
      </c>
    </row>
    <row r="7441" ht="13.5" hidden="1" spans="1:5">
      <c r="A7441" s="2" t="str">
        <f>"王城"</f>
        <v>王城</v>
      </c>
      <c r="B7441" s="2" t="str">
        <f>"B20220201431"</f>
        <v>B20220201431</v>
      </c>
      <c r="C7441" s="2" t="str">
        <f>"男"</f>
        <v>男</v>
      </c>
      <c r="D7441" s="2" t="str">
        <f>"4"</f>
        <v>4</v>
      </c>
      <c r="E7441" s="2" t="str">
        <f>"机电工程学院"</f>
        <v>机电工程学院</v>
      </c>
    </row>
    <row r="7442" ht="13.5" hidden="1" spans="1:5">
      <c r="A7442" s="2" t="str">
        <f>"王夏莲"</f>
        <v>王夏莲</v>
      </c>
      <c r="B7442" s="2" t="str">
        <f>"B20210801419"</f>
        <v>B20210801419</v>
      </c>
      <c r="C7442" s="2" t="str">
        <f>"女"</f>
        <v>女</v>
      </c>
      <c r="D7442" s="2" t="str">
        <f>"4"</f>
        <v>4</v>
      </c>
      <c r="E7442" s="2" t="str">
        <f>"外国语学院"</f>
        <v>外国语学院</v>
      </c>
    </row>
    <row r="7443" ht="13.5" hidden="1" spans="1:5">
      <c r="A7443" s="2" t="str">
        <f>"王恒"</f>
        <v>王恒</v>
      </c>
      <c r="B7443" s="2" t="str">
        <f>"B20220401324"</f>
        <v>B20220401324</v>
      </c>
      <c r="C7443" s="2" t="str">
        <f>"男"</f>
        <v>男</v>
      </c>
      <c r="D7443" s="2" t="str">
        <f>"4"</f>
        <v>4</v>
      </c>
      <c r="E7443" s="2" t="str">
        <f>"电子信息与电气工程学院"</f>
        <v>电子信息与电气工程学院</v>
      </c>
    </row>
    <row r="7444" ht="13.5" hidden="1" spans="1:5">
      <c r="A7444" s="2" t="str">
        <f>"赵睿妍"</f>
        <v>赵睿妍</v>
      </c>
      <c r="B7444" s="2" t="str">
        <f>"B20221101227"</f>
        <v>B20221101227</v>
      </c>
      <c r="C7444" s="2" t="str">
        <f>"女"</f>
        <v>女</v>
      </c>
      <c r="D7444" s="2" t="str">
        <f>"4"</f>
        <v>4</v>
      </c>
      <c r="E7444" s="2" t="str">
        <f>"音乐学院"</f>
        <v>音乐学院</v>
      </c>
    </row>
    <row r="7445" ht="13.5" hidden="1" spans="1:5">
      <c r="A7445" s="2" t="str">
        <f>"徐悦文"</f>
        <v>徐悦文</v>
      </c>
      <c r="B7445" s="2" t="str">
        <f>"B20230903204"</f>
        <v>B20230903204</v>
      </c>
      <c r="C7445" s="2" t="str">
        <f>"男"</f>
        <v>男</v>
      </c>
      <c r="D7445" s="2" t="str">
        <f>"4"</f>
        <v>4</v>
      </c>
      <c r="E7445" s="2" t="str">
        <f>"经济与管理学院"</f>
        <v>经济与管理学院</v>
      </c>
    </row>
    <row r="7446" ht="13.5" hidden="1" spans="1:5">
      <c r="A7446" s="2" t="str">
        <f>"杜孜"</f>
        <v>杜孜</v>
      </c>
      <c r="B7446" s="2" t="str">
        <f>"B20220101315"</f>
        <v>B20220101315</v>
      </c>
      <c r="C7446" s="2" t="str">
        <f>"女"</f>
        <v>女</v>
      </c>
      <c r="D7446" s="2" t="str">
        <f>"4"</f>
        <v>4</v>
      </c>
      <c r="E7446" s="2" t="str">
        <f>"土木工程学院"</f>
        <v>土木工程学院</v>
      </c>
    </row>
    <row r="7447" ht="13.5" hidden="1" spans="1:5">
      <c r="A7447" s="2" t="str">
        <f>"樊明珠"</f>
        <v>樊明珠</v>
      </c>
      <c r="B7447" s="2" t="str">
        <f>"B20220704216"</f>
        <v>B20220704216</v>
      </c>
      <c r="C7447" s="2" t="str">
        <f>"女"</f>
        <v>女</v>
      </c>
      <c r="D7447" s="2" t="str">
        <f>"4"</f>
        <v>4</v>
      </c>
      <c r="E7447" s="2" t="str">
        <f>"马栏山新媒体学院"</f>
        <v>马栏山新媒体学院</v>
      </c>
    </row>
    <row r="7448" ht="13.5" hidden="1" spans="1:5">
      <c r="A7448" s="2" t="str">
        <f>"章世渊"</f>
        <v>章世渊</v>
      </c>
      <c r="B7448" s="2" t="str">
        <f>"B20220202103"</f>
        <v>B20220202103</v>
      </c>
      <c r="C7448" s="2" t="str">
        <f>"男"</f>
        <v>男</v>
      </c>
      <c r="D7448" s="2" t="str">
        <f>"4"</f>
        <v>4</v>
      </c>
      <c r="E7448" s="2" t="str">
        <f>"机电工程学院"</f>
        <v>机电工程学院</v>
      </c>
    </row>
    <row r="7449" ht="13.5" hidden="1" spans="1:5">
      <c r="A7449" s="2" t="str">
        <f>"陈毅宁"</f>
        <v>陈毅宁</v>
      </c>
      <c r="B7449" s="2" t="str">
        <f>"B20210702127"</f>
        <v>B20210702127</v>
      </c>
      <c r="C7449" s="2" t="str">
        <f>"男"</f>
        <v>男</v>
      </c>
      <c r="D7449" s="2" t="str">
        <f>"4"</f>
        <v>4</v>
      </c>
      <c r="E7449" s="2" t="str">
        <f>"马栏山新媒体学院"</f>
        <v>马栏山新媒体学院</v>
      </c>
    </row>
    <row r="7450" ht="13.5" hidden="1" spans="1:5">
      <c r="A7450" s="2" t="str">
        <f>"周超"</f>
        <v>周超</v>
      </c>
      <c r="B7450" s="2" t="str">
        <f>"B20220502233"</f>
        <v>B20220502233</v>
      </c>
      <c r="C7450" s="2" t="str">
        <f>"男"</f>
        <v>男</v>
      </c>
      <c r="D7450" s="2" t="str">
        <f>"4"</f>
        <v>4</v>
      </c>
      <c r="E7450" s="2" t="str">
        <f>"生物与化学工程学院"</f>
        <v>生物与化学工程学院</v>
      </c>
    </row>
    <row r="7451" ht="13.5" hidden="1" spans="1:5">
      <c r="A7451" s="2" t="str">
        <f>"黄一鸣"</f>
        <v>黄一鸣</v>
      </c>
      <c r="B7451" s="2" t="str">
        <f>"B20220801308"</f>
        <v>B20220801308</v>
      </c>
      <c r="C7451" s="2" t="str">
        <f>"女"</f>
        <v>女</v>
      </c>
      <c r="D7451" s="2" t="str">
        <f>"4"</f>
        <v>4</v>
      </c>
      <c r="E7451" s="2" t="str">
        <f>"外国语学院"</f>
        <v>外国语学院</v>
      </c>
    </row>
    <row r="7452" ht="13.5" hidden="1" spans="1:5">
      <c r="A7452" s="2" t="str">
        <f>"牟锐"</f>
        <v>牟锐</v>
      </c>
      <c r="B7452" s="2" t="str">
        <f>"B20230102230"</f>
        <v>B20230102230</v>
      </c>
      <c r="C7452" s="2" t="str">
        <f>"男"</f>
        <v>男</v>
      </c>
      <c r="D7452" s="2" t="str">
        <f>"4"</f>
        <v>4</v>
      </c>
      <c r="E7452" s="2" t="str">
        <f>"土木工程学院"</f>
        <v>土木工程学院</v>
      </c>
    </row>
    <row r="7453" ht="13.5" hidden="1" spans="1:5">
      <c r="A7453" s="2" t="str">
        <f>"谢雨峰"</f>
        <v>谢雨峰</v>
      </c>
      <c r="B7453" s="2" t="str">
        <f>"B20231111126"</f>
        <v>B20231111126</v>
      </c>
      <c r="C7453" s="2" t="str">
        <f>"男"</f>
        <v>男</v>
      </c>
      <c r="D7453" s="2" t="str">
        <f>"4"</f>
        <v>4</v>
      </c>
      <c r="E7453" s="2" t="str">
        <f>"音乐学院"</f>
        <v>音乐学院</v>
      </c>
    </row>
    <row r="7454" ht="13.5" hidden="1" spans="1:5">
      <c r="A7454" s="2" t="str">
        <f>"盛子盼"</f>
        <v>盛子盼</v>
      </c>
      <c r="B7454" s="2" t="str">
        <f>"B20230902220"</f>
        <v>B20230902220</v>
      </c>
      <c r="C7454" s="2" t="str">
        <f>"女"</f>
        <v>女</v>
      </c>
      <c r="D7454" s="2" t="str">
        <f>"4"</f>
        <v>4</v>
      </c>
      <c r="E7454" s="2" t="str">
        <f>"经济与管理学院"</f>
        <v>经济与管理学院</v>
      </c>
    </row>
    <row r="7455" ht="13.5" hidden="1" spans="1:5">
      <c r="A7455" s="2" t="str">
        <f>"李越"</f>
        <v>李越</v>
      </c>
      <c r="B7455" s="2" t="str">
        <f>"B20220401104"</f>
        <v>B20220401104</v>
      </c>
      <c r="C7455" s="2" t="str">
        <f>"男"</f>
        <v>男</v>
      </c>
      <c r="D7455" s="2" t="str">
        <f>"4"</f>
        <v>4</v>
      </c>
      <c r="E7455" s="2" t="str">
        <f>"电子信息与电气工程学院"</f>
        <v>电子信息与电气工程学院</v>
      </c>
    </row>
    <row r="7456" ht="13.5" hidden="1" spans="1:5">
      <c r="A7456" s="2" t="str">
        <f>"郑斯予"</f>
        <v>郑斯予</v>
      </c>
      <c r="B7456" s="2" t="str">
        <f>"B20221003205"</f>
        <v>B20221003205</v>
      </c>
      <c r="C7456" s="2" t="str">
        <f>"女"</f>
        <v>女</v>
      </c>
      <c r="D7456" s="2" t="str">
        <f>"4"</f>
        <v>4</v>
      </c>
      <c r="E7456" s="2" t="str">
        <f>"艺术设计学院"</f>
        <v>艺术设计学院</v>
      </c>
    </row>
    <row r="7457" ht="13.5" hidden="1" spans="1:5">
      <c r="A7457" s="2" t="str">
        <f>"屈杨"</f>
        <v>屈杨</v>
      </c>
      <c r="B7457" s="2" t="str">
        <f>"B20220204310"</f>
        <v>B20220204310</v>
      </c>
      <c r="C7457" s="2" t="str">
        <f>"男"</f>
        <v>男</v>
      </c>
      <c r="D7457" s="2" t="str">
        <f>"4"</f>
        <v>4</v>
      </c>
      <c r="E7457" s="2" t="str">
        <f>"机电工程学院"</f>
        <v>机电工程学院</v>
      </c>
    </row>
    <row r="7458" ht="13.5" hidden="1" spans="1:5">
      <c r="A7458" s="2" t="str">
        <f>"钟子曦"</f>
        <v>钟子曦</v>
      </c>
      <c r="B7458" s="2" t="str">
        <f>"B20220701107"</f>
        <v>B20220701107</v>
      </c>
      <c r="C7458" s="2" t="str">
        <f>"男"</f>
        <v>男</v>
      </c>
      <c r="D7458" s="2" t="str">
        <f>"4"</f>
        <v>4</v>
      </c>
      <c r="E7458" s="2" t="str">
        <f>"马栏山新媒体学院"</f>
        <v>马栏山新媒体学院</v>
      </c>
    </row>
    <row r="7459" ht="13.5" hidden="1" spans="1:5">
      <c r="A7459" s="2" t="str">
        <f>"吴飞鹏"</f>
        <v>吴飞鹏</v>
      </c>
      <c r="B7459" s="2" t="str">
        <f>"B20210204224"</f>
        <v>B20210204224</v>
      </c>
      <c r="C7459" s="2" t="str">
        <f>"男"</f>
        <v>男</v>
      </c>
      <c r="D7459" s="2" t="str">
        <f>"4"</f>
        <v>4</v>
      </c>
      <c r="E7459" s="2" t="str">
        <f>"机电工程学院"</f>
        <v>机电工程学院</v>
      </c>
    </row>
    <row r="7460" ht="13.5" hidden="1" spans="1:5">
      <c r="A7460" s="2" t="str">
        <f>"魏倩"</f>
        <v>魏倩</v>
      </c>
      <c r="B7460" s="2" t="str">
        <f>"B20210102137"</f>
        <v>B20210102137</v>
      </c>
      <c r="C7460" s="2" t="str">
        <f>"女"</f>
        <v>女</v>
      </c>
      <c r="D7460" s="2" t="str">
        <f>"4"</f>
        <v>4</v>
      </c>
      <c r="E7460" s="2" t="str">
        <f>"土木工程学院"</f>
        <v>土木工程学院</v>
      </c>
    </row>
    <row r="7461" ht="13.5" hidden="1" spans="1:5">
      <c r="A7461" s="2" t="str">
        <f>"曹聪根"</f>
        <v>曹聪根</v>
      </c>
      <c r="B7461" s="2" t="str">
        <f>"B20220204124"</f>
        <v>B20220204124</v>
      </c>
      <c r="C7461" s="2" t="str">
        <f t="shared" ref="C7461:C7467" si="1877">"男"</f>
        <v>男</v>
      </c>
      <c r="D7461" s="2" t="str">
        <f t="shared" ref="D7461:D7474" si="1878">"4"</f>
        <v>4</v>
      </c>
      <c r="E7461" s="2" t="str">
        <f t="shared" ref="E7461:E7466" si="1879">"机电工程学院"</f>
        <v>机电工程学院</v>
      </c>
    </row>
    <row r="7462" ht="13.5" hidden="1" spans="1:5">
      <c r="A7462" s="2" t="str">
        <f>"郭睿祥"</f>
        <v>郭睿祥</v>
      </c>
      <c r="B7462" s="2" t="str">
        <f>"B20220204108"</f>
        <v>B20220204108</v>
      </c>
      <c r="C7462" s="2" t="str">
        <f t="shared" si="1877"/>
        <v>男</v>
      </c>
      <c r="D7462" s="2" t="str">
        <f t="shared" si="1878"/>
        <v>4</v>
      </c>
      <c r="E7462" s="2" t="str">
        <f t="shared" si="1879"/>
        <v>机电工程学院</v>
      </c>
    </row>
    <row r="7463" ht="13.5" hidden="1" spans="1:5">
      <c r="A7463" s="2" t="str">
        <f>"夏浜耀"</f>
        <v>夏浜耀</v>
      </c>
      <c r="B7463" s="2" t="str">
        <f>"B20210902237"</f>
        <v>B20210902237</v>
      </c>
      <c r="C7463" s="2" t="str">
        <f t="shared" si="1877"/>
        <v>男</v>
      </c>
      <c r="D7463" s="2" t="str">
        <f t="shared" si="1878"/>
        <v>4</v>
      </c>
      <c r="E7463" s="2" t="str">
        <f>"经济与管理学院"</f>
        <v>经济与管理学院</v>
      </c>
    </row>
    <row r="7464" ht="13.5" hidden="1" spans="1:5">
      <c r="A7464" s="2" t="str">
        <f>"戴康琪"</f>
        <v>戴康琪</v>
      </c>
      <c r="B7464" s="2" t="str">
        <f>"B20230101231"</f>
        <v>B20230101231</v>
      </c>
      <c r="C7464" s="2" t="str">
        <f t="shared" si="1877"/>
        <v>男</v>
      </c>
      <c r="D7464" s="2" t="str">
        <f t="shared" si="1878"/>
        <v>4</v>
      </c>
      <c r="E7464" s="2" t="str">
        <f t="shared" ref="E7464:E7468" si="1880">"土木工程学院"</f>
        <v>土木工程学院</v>
      </c>
    </row>
    <row r="7465" ht="13.5" hidden="1" spans="1:5">
      <c r="A7465" s="2" t="str">
        <f>"徐智诚"</f>
        <v>徐智诚</v>
      </c>
      <c r="B7465" s="2" t="str">
        <f>"B20230101128"</f>
        <v>B20230101128</v>
      </c>
      <c r="C7465" s="2" t="str">
        <f t="shared" si="1877"/>
        <v>男</v>
      </c>
      <c r="D7465" s="2" t="str">
        <f t="shared" si="1878"/>
        <v>4</v>
      </c>
      <c r="E7465" s="2" t="str">
        <f t="shared" si="1880"/>
        <v>土木工程学院</v>
      </c>
    </row>
    <row r="7466" ht="13.5" hidden="1" spans="1:5">
      <c r="A7466" s="2" t="str">
        <f>"宗驰"</f>
        <v>宗驰</v>
      </c>
      <c r="B7466" s="2" t="str">
        <f>"B20200202328"</f>
        <v>B20200202328</v>
      </c>
      <c r="C7466" s="2" t="str">
        <f t="shared" si="1877"/>
        <v>男</v>
      </c>
      <c r="D7466" s="2" t="str">
        <f t="shared" si="1878"/>
        <v>4</v>
      </c>
      <c r="E7466" s="2" t="str">
        <f t="shared" si="1879"/>
        <v>机电工程学院</v>
      </c>
    </row>
    <row r="7467" ht="13.5" hidden="1" spans="1:5">
      <c r="A7467" s="2" t="str">
        <f>"刘玮豪"</f>
        <v>刘玮豪</v>
      </c>
      <c r="B7467" s="2" t="str">
        <f>"B20220802216"</f>
        <v>B20220802216</v>
      </c>
      <c r="C7467" s="2" t="str">
        <f t="shared" si="1877"/>
        <v>男</v>
      </c>
      <c r="D7467" s="2" t="str">
        <f t="shared" si="1878"/>
        <v>4</v>
      </c>
      <c r="E7467" s="2" t="str">
        <f>"外国语学院"</f>
        <v>外国语学院</v>
      </c>
    </row>
    <row r="7468" ht="13.5" hidden="1" spans="1:5">
      <c r="A7468" s="2" t="str">
        <f>"何海洋"</f>
        <v>何海洋</v>
      </c>
      <c r="B7468" s="2" t="str">
        <f>"B20220102222"</f>
        <v>B20220102222</v>
      </c>
      <c r="C7468" s="2" t="str">
        <f t="shared" ref="C7468:C7474" si="1881">"女"</f>
        <v>女</v>
      </c>
      <c r="D7468" s="2" t="str">
        <f t="shared" si="1878"/>
        <v>4</v>
      </c>
      <c r="E7468" s="2" t="str">
        <f t="shared" si="1880"/>
        <v>土木工程学院</v>
      </c>
    </row>
    <row r="7469" ht="13.5" hidden="1" spans="1:5">
      <c r="A7469" s="2" t="str">
        <f>"何良祯"</f>
        <v>何良祯</v>
      </c>
      <c r="B7469" s="2" t="str">
        <f>"B20231302330"</f>
        <v>B20231302330</v>
      </c>
      <c r="C7469" s="2" t="str">
        <f t="shared" ref="C7469:C7472" si="1882">"男"</f>
        <v>男</v>
      </c>
      <c r="D7469" s="2" t="str">
        <f t="shared" si="1878"/>
        <v>4</v>
      </c>
      <c r="E7469" s="2" t="str">
        <f>"材料与环境工程学院"</f>
        <v>材料与环境工程学院</v>
      </c>
    </row>
    <row r="7470" ht="13.5" hidden="1" spans="1:5">
      <c r="A7470" s="2" t="str">
        <f>"罗子翔"</f>
        <v>罗子翔</v>
      </c>
      <c r="B7470" s="2" t="str">
        <f>"B20231302321"</f>
        <v>B20231302321</v>
      </c>
      <c r="C7470" s="2" t="str">
        <f t="shared" si="1882"/>
        <v>男</v>
      </c>
      <c r="D7470" s="2" t="str">
        <f t="shared" si="1878"/>
        <v>4</v>
      </c>
      <c r="E7470" s="2" t="str">
        <f>"材料与环境工程学院"</f>
        <v>材料与环境工程学院</v>
      </c>
    </row>
    <row r="7471" ht="13.5" hidden="1" spans="1:5">
      <c r="A7471" s="2" t="str">
        <f>"李碧瑶"</f>
        <v>李碧瑶</v>
      </c>
      <c r="B7471" s="2" t="str">
        <f>"B20230601412"</f>
        <v>B20230601412</v>
      </c>
      <c r="C7471" s="2" t="str">
        <f t="shared" si="1881"/>
        <v>女</v>
      </c>
      <c r="D7471" s="2" t="str">
        <f t="shared" si="1878"/>
        <v>4</v>
      </c>
      <c r="E7471" s="2" t="str">
        <f>"法学院"</f>
        <v>法学院</v>
      </c>
    </row>
    <row r="7472" ht="13.5" hidden="1" spans="1:5">
      <c r="A7472" s="2" t="str">
        <f>"刘涛"</f>
        <v>刘涛</v>
      </c>
      <c r="B7472" s="2" t="str">
        <f>"B20210201409"</f>
        <v>B20210201409</v>
      </c>
      <c r="C7472" s="2" t="str">
        <f t="shared" si="1882"/>
        <v>男</v>
      </c>
      <c r="D7472" s="2" t="str">
        <f t="shared" si="1878"/>
        <v>4</v>
      </c>
      <c r="E7472" s="2" t="str">
        <f>"机电工程学院"</f>
        <v>机电工程学院</v>
      </c>
    </row>
    <row r="7473" ht="13.5" hidden="1" spans="1:5">
      <c r="A7473" s="2" t="str">
        <f>"谢文静"</f>
        <v>谢文静</v>
      </c>
      <c r="B7473" s="2" t="str">
        <f>"B20230405108"</f>
        <v>B20230405108</v>
      </c>
      <c r="C7473" s="2" t="str">
        <f t="shared" si="1881"/>
        <v>女</v>
      </c>
      <c r="D7473" s="2" t="str">
        <f t="shared" si="1878"/>
        <v>4</v>
      </c>
      <c r="E7473" s="2" t="str">
        <f>"电子信息与电气工程学院"</f>
        <v>电子信息与电气工程学院</v>
      </c>
    </row>
    <row r="7474" ht="13.5" hidden="1" spans="1:5">
      <c r="A7474" s="2" t="str">
        <f>"易佳颖"</f>
        <v>易佳颖</v>
      </c>
      <c r="B7474" s="2" t="str">
        <f>"B20230405123"</f>
        <v>B20230405123</v>
      </c>
      <c r="C7474" s="2" t="str">
        <f t="shared" si="1881"/>
        <v>女</v>
      </c>
      <c r="D7474" s="2" t="str">
        <f t="shared" si="1878"/>
        <v>4</v>
      </c>
      <c r="E7474" s="2" t="str">
        <f>"电子信息与电气工程学院"</f>
        <v>电子信息与电气工程学院</v>
      </c>
    </row>
    <row r="7475" ht="13.5" hidden="1" spans="1:5">
      <c r="A7475" s="2" t="str">
        <f>"李昊宇"</f>
        <v>李昊宇</v>
      </c>
      <c r="B7475" s="2" t="str">
        <f>"B20230101630"</f>
        <v>B20230101630</v>
      </c>
      <c r="C7475" s="2" t="str">
        <f>"男"</f>
        <v>男</v>
      </c>
      <c r="D7475" s="2" t="str">
        <f>"4"</f>
        <v>4</v>
      </c>
      <c r="E7475" s="2" t="str">
        <f>"土木工程学院"</f>
        <v>土木工程学院</v>
      </c>
    </row>
    <row r="7476" ht="13.5" hidden="1" spans="1:5">
      <c r="A7476" s="2" t="str">
        <f>"陈子坤"</f>
        <v>陈子坤</v>
      </c>
      <c r="B7476" s="2" t="str">
        <f>"B20230205105"</f>
        <v>B20230205105</v>
      </c>
      <c r="C7476" s="2" t="str">
        <f>"男"</f>
        <v>男</v>
      </c>
      <c r="D7476" s="2" t="str">
        <f>"4"</f>
        <v>4</v>
      </c>
      <c r="E7476" s="2" t="str">
        <f>"机电工程学院"</f>
        <v>机电工程学院</v>
      </c>
    </row>
    <row r="7477" ht="13.5" hidden="1" spans="1:5">
      <c r="A7477" s="2" t="str">
        <f>"陈小燕"</f>
        <v>陈小燕</v>
      </c>
      <c r="B7477" s="2" t="str">
        <f>"B20220501235"</f>
        <v>B20220501235</v>
      </c>
      <c r="C7477" s="2" t="str">
        <f>"女"</f>
        <v>女</v>
      </c>
      <c r="D7477" s="2" t="str">
        <f>"4"</f>
        <v>4</v>
      </c>
      <c r="E7477" s="2" t="str">
        <f>"生物与化学工程学院"</f>
        <v>生物与化学工程学院</v>
      </c>
    </row>
    <row r="7478" ht="13.5" hidden="1" spans="1:5">
      <c r="A7478" s="2" t="str">
        <f>"牛国柱"</f>
        <v>牛国柱</v>
      </c>
      <c r="B7478" s="2" t="str">
        <f>"B20231001201"</f>
        <v>B20231001201</v>
      </c>
      <c r="C7478" s="2" t="str">
        <f>"男"</f>
        <v>男</v>
      </c>
      <c r="D7478" s="2" t="str">
        <f>"4"</f>
        <v>4</v>
      </c>
      <c r="E7478" s="2" t="str">
        <f>"艺术设计学院"</f>
        <v>艺术设计学院</v>
      </c>
    </row>
    <row r="7479" ht="13.5" hidden="1" spans="1:5">
      <c r="A7479" s="2" t="str">
        <f>"周熙为"</f>
        <v>周熙为</v>
      </c>
      <c r="B7479" s="2" t="str">
        <f>"B20220405123"</f>
        <v>B20220405123</v>
      </c>
      <c r="C7479" s="2" t="str">
        <f>"男"</f>
        <v>男</v>
      </c>
      <c r="D7479" s="2" t="str">
        <f>"4"</f>
        <v>4</v>
      </c>
      <c r="E7479" s="2" t="str">
        <f>"电子信息与电气工程学院"</f>
        <v>电子信息与电气工程学院</v>
      </c>
    </row>
    <row r="7480" ht="13.5" hidden="1" spans="1:5">
      <c r="A7480" s="2" t="str">
        <f>"冷昭君"</f>
        <v>冷昭君</v>
      </c>
      <c r="B7480" s="2" t="str">
        <f>"B20200803112"</f>
        <v>B20200803112</v>
      </c>
      <c r="C7480" s="2" t="str">
        <f>"女"</f>
        <v>女</v>
      </c>
      <c r="D7480" s="2" t="str">
        <f>"4"</f>
        <v>4</v>
      </c>
      <c r="E7480" s="2" t="str">
        <f>"外国语学院"</f>
        <v>外国语学院</v>
      </c>
    </row>
    <row r="7481" ht="13.5" hidden="1" spans="1:5">
      <c r="A7481" s="2" t="str">
        <f>"樊涛琰"</f>
        <v>樊涛琰</v>
      </c>
      <c r="B7481" s="2" t="str">
        <f>"B20230103222"</f>
        <v>B20230103222</v>
      </c>
      <c r="C7481" s="2" t="str">
        <f>"男"</f>
        <v>男</v>
      </c>
      <c r="D7481" s="2" t="str">
        <f>"4"</f>
        <v>4</v>
      </c>
      <c r="E7481" s="2" t="str">
        <f>"土木工程学院"</f>
        <v>土木工程学院</v>
      </c>
    </row>
    <row r="7482" ht="13.5" hidden="1" spans="1:5">
      <c r="A7482" s="2" t="str">
        <f>"张航铭"</f>
        <v>张航铭</v>
      </c>
      <c r="B7482" s="2" t="str">
        <f>"B20230101609"</f>
        <v>B20230101609</v>
      </c>
      <c r="C7482" s="2" t="str">
        <f>"男"</f>
        <v>男</v>
      </c>
      <c r="D7482" s="2" t="str">
        <f>"4"</f>
        <v>4</v>
      </c>
      <c r="E7482" s="2" t="str">
        <f>"土木工程学院"</f>
        <v>土木工程学院</v>
      </c>
    </row>
    <row r="7483" ht="13.5" hidden="1" spans="1:5">
      <c r="A7483" s="2" t="str">
        <f>"洪艺萌"</f>
        <v>洪艺萌</v>
      </c>
      <c r="B7483" s="2" t="str">
        <f>"B20210504127"</f>
        <v>B20210504127</v>
      </c>
      <c r="C7483" s="2" t="str">
        <f>"女"</f>
        <v>女</v>
      </c>
      <c r="D7483" s="2" t="str">
        <f>"4"</f>
        <v>4</v>
      </c>
      <c r="E7483" s="2" t="str">
        <f>"生物与化学工程学院"</f>
        <v>生物与化学工程学院</v>
      </c>
    </row>
    <row r="7484" ht="13.5" hidden="1" spans="1:5">
      <c r="A7484" s="2" t="str">
        <f>"赵锦青"</f>
        <v>赵锦青</v>
      </c>
      <c r="B7484" s="2" t="str">
        <f>"B20230401401"</f>
        <v>B20230401401</v>
      </c>
      <c r="C7484" s="2" t="str">
        <f>"男"</f>
        <v>男</v>
      </c>
      <c r="D7484" s="2" t="str">
        <f>"4"</f>
        <v>4</v>
      </c>
      <c r="E7484" s="2" t="str">
        <f>"电子信息与电气工程学院"</f>
        <v>电子信息与电气工程学院</v>
      </c>
    </row>
    <row r="7485" ht="13.5" hidden="1" spans="1:5">
      <c r="A7485" s="2" t="str">
        <f>"周弘"</f>
        <v>周弘</v>
      </c>
      <c r="B7485" s="2" t="str">
        <f>"B20200401305"</f>
        <v>B20200401305</v>
      </c>
      <c r="C7485" s="2" t="str">
        <f>"男"</f>
        <v>男</v>
      </c>
      <c r="D7485" s="2" t="str">
        <f>"4"</f>
        <v>4</v>
      </c>
      <c r="E7485" s="2" t="str">
        <f>"电子信息与电气工程学院"</f>
        <v>电子信息与电气工程学院</v>
      </c>
    </row>
    <row r="7486" ht="13.5" hidden="1" spans="1:5">
      <c r="A7486" s="2" t="str">
        <f>"钟丹鸿"</f>
        <v>钟丹鸿</v>
      </c>
      <c r="B7486" s="2" t="str">
        <f>"B20210803210"</f>
        <v>B20210803210</v>
      </c>
      <c r="C7486" s="2" t="str">
        <f>"女"</f>
        <v>女</v>
      </c>
      <c r="D7486" s="2" t="str">
        <f>"4"</f>
        <v>4</v>
      </c>
      <c r="E7486" s="2" t="str">
        <f>"外国语学院"</f>
        <v>外国语学院</v>
      </c>
    </row>
    <row r="7487" ht="13.5" hidden="1" spans="1:5">
      <c r="A7487" s="2" t="str">
        <f>"孟平阳"</f>
        <v>孟平阳</v>
      </c>
      <c r="B7487" s="2" t="str">
        <f>"B20230702212"</f>
        <v>B20230702212</v>
      </c>
      <c r="C7487" s="2" t="str">
        <f>"女"</f>
        <v>女</v>
      </c>
      <c r="D7487" s="2" t="str">
        <f>"4"</f>
        <v>4</v>
      </c>
      <c r="E7487" s="2" t="str">
        <f t="shared" ref="E7487:E7489" si="1883">"马栏山新媒体学院"</f>
        <v>马栏山新媒体学院</v>
      </c>
    </row>
    <row r="7488" ht="13.5" hidden="1" spans="1:5">
      <c r="A7488" s="2" t="str">
        <f>"梁程聿"</f>
        <v>梁程聿</v>
      </c>
      <c r="B7488" s="2" t="str">
        <f>"B20230702118"</f>
        <v>B20230702118</v>
      </c>
      <c r="C7488" s="2" t="str">
        <f>"男"</f>
        <v>男</v>
      </c>
      <c r="D7488" s="2" t="str">
        <f>"4"</f>
        <v>4</v>
      </c>
      <c r="E7488" s="2" t="str">
        <f t="shared" si="1883"/>
        <v>马栏山新媒体学院</v>
      </c>
    </row>
    <row r="7489" ht="13.5" hidden="1" spans="1:5">
      <c r="A7489" s="2" t="str">
        <f>"黄红利"</f>
        <v>黄红利</v>
      </c>
      <c r="B7489" s="2" t="str">
        <f>"B20220701127"</f>
        <v>B20220701127</v>
      </c>
      <c r="C7489" s="2" t="str">
        <f>"男"</f>
        <v>男</v>
      </c>
      <c r="D7489" s="2" t="str">
        <f>"4"</f>
        <v>4</v>
      </c>
      <c r="E7489" s="2" t="str">
        <f t="shared" si="1883"/>
        <v>马栏山新媒体学院</v>
      </c>
    </row>
    <row r="7490" ht="13.5" hidden="1" spans="1:5">
      <c r="A7490" s="2" t="str">
        <f>"肖杰"</f>
        <v>肖杰</v>
      </c>
      <c r="B7490" s="2" t="str">
        <f>"B20220401206"</f>
        <v>B20220401206</v>
      </c>
      <c r="C7490" s="2" t="str">
        <f>"男"</f>
        <v>男</v>
      </c>
      <c r="D7490" s="2" t="str">
        <f>"4"</f>
        <v>4</v>
      </c>
      <c r="E7490" s="2" t="str">
        <f>"电子信息与电气工程学院"</f>
        <v>电子信息与电气工程学院</v>
      </c>
    </row>
    <row r="7491" ht="13.5" hidden="1" spans="1:5">
      <c r="A7491" s="2" t="str">
        <f>"胡俊杰"</f>
        <v>胡俊杰</v>
      </c>
      <c r="B7491" s="2" t="str">
        <f>"B20210503215"</f>
        <v>B20210503215</v>
      </c>
      <c r="C7491" s="2" t="str">
        <f>"男"</f>
        <v>男</v>
      </c>
      <c r="D7491" s="2" t="str">
        <f>"4"</f>
        <v>4</v>
      </c>
      <c r="E7491" s="2" t="str">
        <f>"材料与环境工程学院"</f>
        <v>材料与环境工程学院</v>
      </c>
    </row>
    <row r="7492" ht="13.5" hidden="1" spans="1:5">
      <c r="A7492" s="2" t="str">
        <f>"刘力慷"</f>
        <v>刘力慷</v>
      </c>
      <c r="B7492" s="2" t="str">
        <f>"B20210904233"</f>
        <v>B20210904233</v>
      </c>
      <c r="C7492" s="2" t="str">
        <f>"男"</f>
        <v>男</v>
      </c>
      <c r="D7492" s="2" t="str">
        <f>"4"</f>
        <v>4</v>
      </c>
      <c r="E7492" s="2" t="str">
        <f>"经济与管理学院"</f>
        <v>经济与管理学院</v>
      </c>
    </row>
    <row r="7493" ht="13.5" hidden="1" spans="1:5">
      <c r="A7493" s="2" t="str">
        <f>"杨佳馨"</f>
        <v>杨佳馨</v>
      </c>
      <c r="B7493" s="2" t="str">
        <f>"B20230202304"</f>
        <v>B20230202304</v>
      </c>
      <c r="C7493" s="2" t="str">
        <f t="shared" ref="C7493:C7497" si="1884">"女"</f>
        <v>女</v>
      </c>
      <c r="D7493" s="2" t="str">
        <f>"4"</f>
        <v>4</v>
      </c>
      <c r="E7493" s="2" t="str">
        <f>"机电工程学院"</f>
        <v>机电工程学院</v>
      </c>
    </row>
    <row r="7494" ht="13.5" hidden="1" spans="1:5">
      <c r="A7494" s="2" t="str">
        <f>"陈孝旺"</f>
        <v>陈孝旺</v>
      </c>
      <c r="B7494" s="2" t="str">
        <f>"B20180901213"</f>
        <v>B20180901213</v>
      </c>
      <c r="C7494" s="2" t="str">
        <f>"男"</f>
        <v>男</v>
      </c>
      <c r="D7494" s="2" t="str">
        <f>"4"</f>
        <v>4</v>
      </c>
      <c r="E7494" s="2" t="str">
        <f>"经济与管理学院"</f>
        <v>经济与管理学院</v>
      </c>
    </row>
    <row r="7495" ht="13.5" hidden="1" spans="1:5">
      <c r="A7495" s="2" t="str">
        <f>"雷玉银"</f>
        <v>雷玉银</v>
      </c>
      <c r="B7495" s="2" t="str">
        <f>"B20210803118"</f>
        <v>B20210803118</v>
      </c>
      <c r="C7495" s="2" t="str">
        <f t="shared" si="1884"/>
        <v>女</v>
      </c>
      <c r="D7495" s="2" t="str">
        <f>"4"</f>
        <v>4</v>
      </c>
      <c r="E7495" s="2" t="str">
        <f>"外国语学院"</f>
        <v>外国语学院</v>
      </c>
    </row>
    <row r="7496" ht="13.5" hidden="1" spans="1:5">
      <c r="A7496" s="2" t="str">
        <f>"施雨"</f>
        <v>施雨</v>
      </c>
      <c r="B7496" s="2" t="str">
        <f>"B20200802103"</f>
        <v>B20200802103</v>
      </c>
      <c r="C7496" s="2" t="str">
        <f t="shared" si="1884"/>
        <v>女</v>
      </c>
      <c r="D7496" s="2" t="str">
        <f>"4"</f>
        <v>4</v>
      </c>
      <c r="E7496" s="2" t="str">
        <f>"外国语学院"</f>
        <v>外国语学院</v>
      </c>
    </row>
    <row r="7497" ht="13.5" hidden="1" spans="1:5">
      <c r="A7497" s="2" t="str">
        <f>"李思"</f>
        <v>李思</v>
      </c>
      <c r="B7497" s="2" t="str">
        <f>"B20220101306"</f>
        <v>B20220101306</v>
      </c>
      <c r="C7497" s="2" t="str">
        <f t="shared" si="1884"/>
        <v>女</v>
      </c>
      <c r="D7497" s="2" t="str">
        <f>"4"</f>
        <v>4</v>
      </c>
      <c r="E7497" s="2" t="str">
        <f>"土木工程学院"</f>
        <v>土木工程学院</v>
      </c>
    </row>
    <row r="7498" ht="13.5" hidden="1" spans="1:5">
      <c r="A7498" s="2" t="str">
        <f>"段博瀚"</f>
        <v>段博瀚</v>
      </c>
      <c r="B7498" s="2" t="str">
        <f>"B20230502216"</f>
        <v>B20230502216</v>
      </c>
      <c r="C7498" s="2" t="str">
        <f t="shared" ref="C7498:C7502" si="1885">"男"</f>
        <v>男</v>
      </c>
      <c r="D7498" s="2" t="str">
        <f>"4"</f>
        <v>4</v>
      </c>
      <c r="E7498" s="2" t="str">
        <f>"生物与化学工程学院"</f>
        <v>生物与化学工程学院</v>
      </c>
    </row>
    <row r="7499" ht="13.5" hidden="1" spans="1:5">
      <c r="A7499" s="2" t="str">
        <f>"黄双洋"</f>
        <v>黄双洋</v>
      </c>
      <c r="B7499" s="2" t="str">
        <f>"B20230903103"</f>
        <v>B20230903103</v>
      </c>
      <c r="C7499" s="2" t="str">
        <f t="shared" ref="C7499:C7504" si="1886">"女"</f>
        <v>女</v>
      </c>
      <c r="D7499" s="2" t="str">
        <f>"4"</f>
        <v>4</v>
      </c>
      <c r="E7499" s="2" t="str">
        <f t="shared" ref="E7499:E7504" si="1887">"经济与管理学院"</f>
        <v>经济与管理学院</v>
      </c>
    </row>
    <row r="7500" ht="13.5" hidden="1" spans="1:5">
      <c r="A7500" s="2" t="str">
        <f>"唐怀远"</f>
        <v>唐怀远</v>
      </c>
      <c r="B7500" s="2" t="str">
        <f>"B20220903110"</f>
        <v>B20220903110</v>
      </c>
      <c r="C7500" s="2" t="str">
        <f t="shared" si="1885"/>
        <v>男</v>
      </c>
      <c r="D7500" s="2" t="str">
        <f>"4"</f>
        <v>4</v>
      </c>
      <c r="E7500" s="2" t="str">
        <f t="shared" si="1887"/>
        <v>经济与管理学院</v>
      </c>
    </row>
    <row r="7501" ht="13.5" hidden="1" spans="1:5">
      <c r="A7501" s="2" t="str">
        <f>"龙佳佳"</f>
        <v>龙佳佳</v>
      </c>
      <c r="B7501" s="2" t="str">
        <f>"B20210801519"</f>
        <v>B20210801519</v>
      </c>
      <c r="C7501" s="2" t="str">
        <f t="shared" si="1886"/>
        <v>女</v>
      </c>
      <c r="D7501" s="2" t="str">
        <f>"4"</f>
        <v>4</v>
      </c>
      <c r="E7501" s="2" t="str">
        <f>"外国语学院"</f>
        <v>外国语学院</v>
      </c>
    </row>
    <row r="7502" ht="13.5" hidden="1" spans="1:5">
      <c r="A7502" s="2" t="str">
        <f>"易成旺"</f>
        <v>易成旺</v>
      </c>
      <c r="B7502" s="2" t="str">
        <f>"B20220704207"</f>
        <v>B20220704207</v>
      </c>
      <c r="C7502" s="2" t="str">
        <f t="shared" si="1885"/>
        <v>男</v>
      </c>
      <c r="D7502" s="2" t="str">
        <f>"4"</f>
        <v>4</v>
      </c>
      <c r="E7502" s="2" t="str">
        <f>"马栏山新媒体学院"</f>
        <v>马栏山新媒体学院</v>
      </c>
    </row>
    <row r="7503" ht="13.5" hidden="1" spans="1:5">
      <c r="A7503" s="2" t="str">
        <f>"邹丹阳"</f>
        <v>邹丹阳</v>
      </c>
      <c r="B7503" s="2" t="str">
        <f>"B20230905223"</f>
        <v>B20230905223</v>
      </c>
      <c r="C7503" s="2" t="str">
        <f t="shared" si="1886"/>
        <v>女</v>
      </c>
      <c r="D7503" s="2" t="str">
        <f>"4"</f>
        <v>4</v>
      </c>
      <c r="E7503" s="2" t="str">
        <f t="shared" si="1887"/>
        <v>经济与管理学院</v>
      </c>
    </row>
    <row r="7504" ht="13.5" hidden="1" spans="1:5">
      <c r="A7504" s="2" t="str">
        <f>"汤琪"</f>
        <v>汤琪</v>
      </c>
      <c r="B7504" s="2" t="str">
        <f>"B20220901213"</f>
        <v>B20220901213</v>
      </c>
      <c r="C7504" s="2" t="str">
        <f t="shared" si="1886"/>
        <v>女</v>
      </c>
      <c r="D7504" s="2" t="str">
        <f>"4"</f>
        <v>4</v>
      </c>
      <c r="E7504" s="2" t="str">
        <f t="shared" si="1887"/>
        <v>经济与管理学院</v>
      </c>
    </row>
    <row r="7505" ht="13.5" hidden="1" spans="1:5">
      <c r="A7505" s="2" t="str">
        <f>"李伊凡"</f>
        <v>李伊凡</v>
      </c>
      <c r="B7505" s="2" t="str">
        <f>"B20230701212"</f>
        <v>B20230701212</v>
      </c>
      <c r="C7505" s="2" t="str">
        <f>"男"</f>
        <v>男</v>
      </c>
      <c r="D7505" s="2" t="str">
        <f>"4"</f>
        <v>4</v>
      </c>
      <c r="E7505" s="2" t="str">
        <f>"马栏山新媒体学院"</f>
        <v>马栏山新媒体学院</v>
      </c>
    </row>
    <row r="7506" ht="13.5" hidden="1" spans="1:5">
      <c r="A7506" s="2" t="str">
        <f>"李小翠"</f>
        <v>李小翠</v>
      </c>
      <c r="B7506" s="2" t="str">
        <f>"B20220801529"</f>
        <v>B20220801529</v>
      </c>
      <c r="C7506" s="2" t="str">
        <f t="shared" ref="C7506:C7510" si="1888">"女"</f>
        <v>女</v>
      </c>
      <c r="D7506" s="2" t="str">
        <f>"4"</f>
        <v>4</v>
      </c>
      <c r="E7506" s="2" t="str">
        <f>"外国语学院"</f>
        <v>外国语学院</v>
      </c>
    </row>
    <row r="7507" ht="13.5" hidden="1" spans="1:5">
      <c r="A7507" s="2" t="str">
        <f>"刘亚萌"</f>
        <v>刘亚萌</v>
      </c>
      <c r="B7507" s="2" t="str">
        <f>"B20201002119"</f>
        <v>B20201002119</v>
      </c>
      <c r="C7507" s="2" t="str">
        <f t="shared" si="1888"/>
        <v>女</v>
      </c>
      <c r="D7507" s="2" t="str">
        <f>"4"</f>
        <v>4</v>
      </c>
      <c r="E7507" s="2" t="str">
        <f>"艺术设计学院"</f>
        <v>艺术设计学院</v>
      </c>
    </row>
    <row r="7508" ht="13.5" hidden="1" spans="1:5">
      <c r="A7508" s="2" t="str">
        <f>"周伦"</f>
        <v>周伦</v>
      </c>
      <c r="B7508" s="2" t="str">
        <f>"B20210904206"</f>
        <v>B20210904206</v>
      </c>
      <c r="C7508" s="2" t="str">
        <f>"男"</f>
        <v>男</v>
      </c>
      <c r="D7508" s="2" t="str">
        <f>"4"</f>
        <v>4</v>
      </c>
      <c r="E7508" s="2" t="str">
        <f>"经济与管理学院"</f>
        <v>经济与管理学院</v>
      </c>
    </row>
    <row r="7509" ht="13.5" hidden="1" spans="1:5">
      <c r="A7509" s="2" t="str">
        <f>"戴雅芳"</f>
        <v>戴雅芳</v>
      </c>
      <c r="B7509" s="2" t="str">
        <f>"B20220704208"</f>
        <v>B20220704208</v>
      </c>
      <c r="C7509" s="2" t="str">
        <f t="shared" si="1888"/>
        <v>女</v>
      </c>
      <c r="D7509" s="2" t="str">
        <f>"4"</f>
        <v>4</v>
      </c>
      <c r="E7509" s="2" t="str">
        <f>"马栏山新媒体学院"</f>
        <v>马栏山新媒体学院</v>
      </c>
    </row>
    <row r="7510" ht="13.5" hidden="1" spans="1:5">
      <c r="A7510" s="2" t="str">
        <f>"安婧儿"</f>
        <v>安婧儿</v>
      </c>
      <c r="B7510" s="2" t="str">
        <f>"B20200503123"</f>
        <v>B20200503123</v>
      </c>
      <c r="C7510" s="2" t="str">
        <f t="shared" si="1888"/>
        <v>女</v>
      </c>
      <c r="D7510" s="2" t="str">
        <f>"4"</f>
        <v>4</v>
      </c>
      <c r="E7510" s="2" t="str">
        <f>"生物与环境工程学院"</f>
        <v>生物与环境工程学院</v>
      </c>
    </row>
    <row r="7511" ht="13.5" hidden="1" spans="1:5">
      <c r="A7511" s="2" t="str">
        <f>"王永康"</f>
        <v>王永康</v>
      </c>
      <c r="B7511" s="2" t="str">
        <f>"B20200803223"</f>
        <v>B20200803223</v>
      </c>
      <c r="C7511" s="2" t="str">
        <f>"男"</f>
        <v>男</v>
      </c>
      <c r="D7511" s="2" t="str">
        <f>"4"</f>
        <v>4</v>
      </c>
      <c r="E7511" s="2" t="str">
        <f>"外国语学院"</f>
        <v>外国语学院</v>
      </c>
    </row>
    <row r="7512" ht="13.5" hidden="1" spans="1:5">
      <c r="A7512" s="2" t="str">
        <f>"于凌懿"</f>
        <v>于凌懿</v>
      </c>
      <c r="B7512" s="2" t="str">
        <f>"B20220902215"</f>
        <v>B20220902215</v>
      </c>
      <c r="C7512" s="2" t="str">
        <f t="shared" ref="C7512:C7515" si="1889">"女"</f>
        <v>女</v>
      </c>
      <c r="D7512" s="2" t="str">
        <f>"4"</f>
        <v>4</v>
      </c>
      <c r="E7512" s="2" t="str">
        <f>"经济与管理学院"</f>
        <v>经济与管理学院</v>
      </c>
    </row>
    <row r="7513" ht="13.5" hidden="1" spans="1:5">
      <c r="A7513" s="2" t="str">
        <f>"李若涵"</f>
        <v>李若涵</v>
      </c>
      <c r="B7513" s="2" t="str">
        <f>"B20231002408"</f>
        <v>B20231002408</v>
      </c>
      <c r="C7513" s="2" t="str">
        <f>"男"</f>
        <v>男</v>
      </c>
      <c r="D7513" s="2" t="str">
        <f>"4"</f>
        <v>4</v>
      </c>
      <c r="E7513" s="2" t="str">
        <f>"艺术设计学院"</f>
        <v>艺术设计学院</v>
      </c>
    </row>
    <row r="7514" ht="13.5" hidden="1" spans="1:5">
      <c r="A7514" s="2" t="str">
        <f>"刘梓璇"</f>
        <v>刘梓璇</v>
      </c>
      <c r="B7514" s="2" t="str">
        <f>"B20230201127"</f>
        <v>B20230201127</v>
      </c>
      <c r="C7514" s="2" t="str">
        <f t="shared" si="1889"/>
        <v>女</v>
      </c>
      <c r="D7514" s="2" t="str">
        <f>"4"</f>
        <v>4</v>
      </c>
      <c r="E7514" s="2" t="str">
        <f>"机电工程学院"</f>
        <v>机电工程学院</v>
      </c>
    </row>
    <row r="7515" ht="13.5" hidden="1" spans="1:5">
      <c r="A7515" s="2" t="str">
        <f>"赵瑞珂"</f>
        <v>赵瑞珂</v>
      </c>
      <c r="B7515" s="2" t="str">
        <f>"B20200501236"</f>
        <v>B20200501236</v>
      </c>
      <c r="C7515" s="2" t="str">
        <f t="shared" si="1889"/>
        <v>女</v>
      </c>
      <c r="D7515" s="2" t="str">
        <f>"4"</f>
        <v>4</v>
      </c>
      <c r="E7515" s="2" t="str">
        <f>"生物与环境工程学院"</f>
        <v>生物与环境工程学院</v>
      </c>
    </row>
    <row r="7516" ht="13.5" hidden="1" spans="1:5">
      <c r="A7516" s="2" t="str">
        <f>"刘佳"</f>
        <v>刘佳</v>
      </c>
      <c r="B7516" s="2" t="str">
        <f>"B20210101408"</f>
        <v>B20210101408</v>
      </c>
      <c r="C7516" s="2" t="str">
        <f>"女"</f>
        <v>女</v>
      </c>
      <c r="D7516" s="2" t="str">
        <f t="shared" ref="D7516:D7523" si="1890">"4"</f>
        <v>4</v>
      </c>
      <c r="E7516" s="2" t="str">
        <f>"土木工程学院"</f>
        <v>土木工程学院</v>
      </c>
    </row>
    <row r="7517" ht="13.5" hidden="1" spans="1:5">
      <c r="A7517" s="2" t="str">
        <f>"宁诗妍"</f>
        <v>宁诗妍</v>
      </c>
      <c r="B7517" s="2" t="str">
        <f>"B20231302425"</f>
        <v>B20231302425</v>
      </c>
      <c r="C7517" s="2" t="str">
        <f>"女"</f>
        <v>女</v>
      </c>
      <c r="D7517" s="2" t="str">
        <f t="shared" si="1890"/>
        <v>4</v>
      </c>
      <c r="E7517" s="2" t="str">
        <f t="shared" ref="E7517:E7519" si="1891">"材料与环境工程学院"</f>
        <v>材料与环境工程学院</v>
      </c>
    </row>
    <row r="7518" ht="13.5" hidden="1" spans="1:5">
      <c r="A7518" s="2" t="str">
        <f>"高弋轩"</f>
        <v>高弋轩</v>
      </c>
      <c r="B7518" s="2" t="str">
        <f>"B20221301233"</f>
        <v>B20221301233</v>
      </c>
      <c r="C7518" s="2" t="str">
        <f>"男"</f>
        <v>男</v>
      </c>
      <c r="D7518" s="2" t="str">
        <f t="shared" si="1890"/>
        <v>4</v>
      </c>
      <c r="E7518" s="2" t="str">
        <f t="shared" si="1891"/>
        <v>材料与环境工程学院</v>
      </c>
    </row>
    <row r="7519" ht="13.5" hidden="1" spans="1:5">
      <c r="A7519" s="2" t="str">
        <f>"梁志峰"</f>
        <v>梁志峰</v>
      </c>
      <c r="B7519" s="2" t="str">
        <f>"B20210503210"</f>
        <v>B20210503210</v>
      </c>
      <c r="C7519" s="2" t="str">
        <f>"男"</f>
        <v>男</v>
      </c>
      <c r="D7519" s="2" t="str">
        <f t="shared" si="1890"/>
        <v>4</v>
      </c>
      <c r="E7519" s="2" t="str">
        <f t="shared" si="1891"/>
        <v>材料与环境工程学院</v>
      </c>
    </row>
    <row r="7520" ht="13.5" hidden="1" spans="1:5">
      <c r="A7520" s="2" t="str">
        <f>"孔诗淇"</f>
        <v>孔诗淇</v>
      </c>
      <c r="B7520" s="2" t="str">
        <f>"B20231101220"</f>
        <v>B20231101220</v>
      </c>
      <c r="C7520" s="2" t="str">
        <f t="shared" ref="C7520:C7523" si="1892">"女"</f>
        <v>女</v>
      </c>
      <c r="D7520" s="2" t="str">
        <f t="shared" si="1890"/>
        <v>4</v>
      </c>
      <c r="E7520" s="2" t="str">
        <f>"音乐学院"</f>
        <v>音乐学院</v>
      </c>
    </row>
    <row r="7521" ht="13.5" hidden="1" spans="1:5">
      <c r="A7521" s="2" t="str">
        <f>"柳洋柳"</f>
        <v>柳洋柳</v>
      </c>
      <c r="B7521" s="2" t="str">
        <f>"B20230905110"</f>
        <v>B20230905110</v>
      </c>
      <c r="C7521" s="2" t="str">
        <f t="shared" si="1892"/>
        <v>女</v>
      </c>
      <c r="D7521" s="2" t="str">
        <f t="shared" si="1890"/>
        <v>4</v>
      </c>
      <c r="E7521" s="2" t="str">
        <f>"经济与管理学院"</f>
        <v>经济与管理学院</v>
      </c>
    </row>
    <row r="7522" ht="13.5" hidden="1" spans="1:5">
      <c r="A7522" s="2" t="str">
        <f>"严格妍"</f>
        <v>严格妍</v>
      </c>
      <c r="B7522" s="2" t="str">
        <f>"B20210702124"</f>
        <v>B20210702124</v>
      </c>
      <c r="C7522" s="2" t="str">
        <f t="shared" si="1892"/>
        <v>女</v>
      </c>
      <c r="D7522" s="2" t="str">
        <f t="shared" si="1890"/>
        <v>4</v>
      </c>
      <c r="E7522" s="2" t="str">
        <f>"马栏山新媒体学院"</f>
        <v>马栏山新媒体学院</v>
      </c>
    </row>
    <row r="7523" ht="13.5" hidden="1" spans="1:5">
      <c r="A7523" s="2" t="str">
        <f>"贺天岚"</f>
        <v>贺天岚</v>
      </c>
      <c r="B7523" s="2" t="str">
        <f>"B20201101117"</f>
        <v>B20201101117</v>
      </c>
      <c r="C7523" s="2" t="str">
        <f t="shared" si="1892"/>
        <v>女</v>
      </c>
      <c r="D7523" s="2" t="str">
        <f t="shared" si="1890"/>
        <v>4</v>
      </c>
      <c r="E7523" s="2" t="str">
        <f>"音乐学院"</f>
        <v>音乐学院</v>
      </c>
    </row>
    <row r="7524" ht="13.5" hidden="1" spans="1:5">
      <c r="A7524" s="2" t="str">
        <f>"丁砺锋"</f>
        <v>丁砺锋</v>
      </c>
      <c r="B7524" s="2" t="str">
        <f>"B20200403217"</f>
        <v>B20200403217</v>
      </c>
      <c r="C7524" s="2" t="str">
        <f>"男"</f>
        <v>男</v>
      </c>
      <c r="D7524" s="2" t="str">
        <f>"4"</f>
        <v>4</v>
      </c>
      <c r="E7524" s="2" t="str">
        <f>"电子信息与电气工程学院"</f>
        <v>电子信息与电气工程学院</v>
      </c>
    </row>
    <row r="7525" ht="13.5" hidden="1" spans="1:5">
      <c r="A7525" s="2" t="str">
        <f>"潘纤纤"</f>
        <v>潘纤纤</v>
      </c>
      <c r="B7525" s="2" t="str">
        <f>"B20220702305"</f>
        <v>B20220702305</v>
      </c>
      <c r="C7525" s="2" t="str">
        <f>"女"</f>
        <v>女</v>
      </c>
      <c r="D7525" s="2" t="str">
        <f>"4"</f>
        <v>4</v>
      </c>
      <c r="E7525" s="2" t="str">
        <f>"马栏山新媒体学院"</f>
        <v>马栏山新媒体学院</v>
      </c>
    </row>
    <row r="7526" ht="13.5" hidden="1" spans="1:5">
      <c r="A7526" s="2" t="str">
        <f>"李桐瑶"</f>
        <v>李桐瑶</v>
      </c>
      <c r="B7526" s="2" t="str">
        <f>"B20210702130"</f>
        <v>B20210702130</v>
      </c>
      <c r="C7526" s="2" t="str">
        <f>"女"</f>
        <v>女</v>
      </c>
      <c r="D7526" s="2" t="str">
        <f>"4"</f>
        <v>4</v>
      </c>
      <c r="E7526" s="2" t="str">
        <f>"马栏山新媒体学院"</f>
        <v>马栏山新媒体学院</v>
      </c>
    </row>
    <row r="7527" ht="13.5" hidden="1" spans="1:5">
      <c r="A7527" s="2" t="str">
        <f>"王娜"</f>
        <v>王娜</v>
      </c>
      <c r="B7527" s="2" t="str">
        <f>"B20230104110"</f>
        <v>B20230104110</v>
      </c>
      <c r="C7527" s="2" t="str">
        <f>"女"</f>
        <v>女</v>
      </c>
      <c r="D7527" s="2" t="str">
        <f>"4"</f>
        <v>4</v>
      </c>
      <c r="E7527" s="2" t="str">
        <f>"土木工程学院"</f>
        <v>土木工程学院</v>
      </c>
    </row>
    <row r="7528" ht="13.5" hidden="1" spans="1:5">
      <c r="A7528" s="2" t="str">
        <f>"唐林"</f>
        <v>唐林</v>
      </c>
      <c r="B7528" s="2" t="str">
        <f>"B20200203127"</f>
        <v>B20200203127</v>
      </c>
      <c r="C7528" s="2" t="str">
        <f>"女"</f>
        <v>女</v>
      </c>
      <c r="D7528" s="2" t="str">
        <f>"4"</f>
        <v>4</v>
      </c>
      <c r="E7528" s="2" t="str">
        <f>"机电工程学院"</f>
        <v>机电工程学院</v>
      </c>
    </row>
    <row r="7529" ht="13.5" hidden="1" spans="1:5">
      <c r="A7529" s="2" t="str">
        <f>"王李宇杰"</f>
        <v>王李宇杰</v>
      </c>
      <c r="B7529" s="2" t="str">
        <f>"B20220102121"</f>
        <v>B20220102121</v>
      </c>
      <c r="C7529" s="2" t="str">
        <f>"男"</f>
        <v>男</v>
      </c>
      <c r="D7529" s="2" t="str">
        <f>"4"</f>
        <v>4</v>
      </c>
      <c r="E7529" s="2" t="str">
        <f>"土木工程学院"</f>
        <v>土木工程学院</v>
      </c>
    </row>
    <row r="7530" ht="13.5" hidden="1" spans="1:5">
      <c r="A7530" s="2" t="str">
        <f>"龚娜娜"</f>
        <v>龚娜娜</v>
      </c>
      <c r="B7530" s="2" t="str">
        <f>"B20200501123"</f>
        <v>B20200501123</v>
      </c>
      <c r="C7530" s="2" t="str">
        <f>"女"</f>
        <v>女</v>
      </c>
      <c r="D7530" s="2" t="str">
        <f>"4"</f>
        <v>4</v>
      </c>
      <c r="E7530" s="2" t="str">
        <f>"生物与环境工程学院"</f>
        <v>生物与环境工程学院</v>
      </c>
    </row>
    <row r="7531" ht="13.5" hidden="1" spans="1:5">
      <c r="A7531" s="2" t="str">
        <f>"谢涛"</f>
        <v>谢涛</v>
      </c>
      <c r="B7531" s="2" t="str">
        <f>"B20200201202"</f>
        <v>B20200201202</v>
      </c>
      <c r="C7531" s="2" t="str">
        <f t="shared" ref="C7531:C7535" si="1893">"男"</f>
        <v>男</v>
      </c>
      <c r="D7531" s="2" t="str">
        <f>"4"</f>
        <v>4</v>
      </c>
      <c r="E7531" s="2" t="str">
        <f>"机电工程学院"</f>
        <v>机电工程学院</v>
      </c>
    </row>
    <row r="7532" ht="13.5" hidden="1" spans="1:5">
      <c r="A7532" s="2" t="str">
        <f>"宋嘉琦"</f>
        <v>宋嘉琦</v>
      </c>
      <c r="B7532" s="2" t="str">
        <f>"B20220601229"</f>
        <v>B20220601229</v>
      </c>
      <c r="C7532" s="2" t="str">
        <f>"女"</f>
        <v>女</v>
      </c>
      <c r="D7532" s="2" t="str">
        <f>"4"</f>
        <v>4</v>
      </c>
      <c r="E7532" s="2" t="str">
        <f>"法学院"</f>
        <v>法学院</v>
      </c>
    </row>
    <row r="7533" ht="13.5" hidden="1" spans="1:5">
      <c r="A7533" s="2" t="str">
        <f>"徐朝富"</f>
        <v>徐朝富</v>
      </c>
      <c r="B7533" s="2" t="str">
        <f>"B20220103129"</f>
        <v>B20220103129</v>
      </c>
      <c r="C7533" s="2" t="str">
        <f t="shared" si="1893"/>
        <v>男</v>
      </c>
      <c r="D7533" s="2" t="str">
        <f>"4"</f>
        <v>4</v>
      </c>
      <c r="E7533" s="2" t="str">
        <f>"土木工程学院"</f>
        <v>土木工程学院</v>
      </c>
    </row>
    <row r="7534" ht="13.5" hidden="1" spans="1:5">
      <c r="A7534" s="2" t="str">
        <f>"常天阔"</f>
        <v>常天阔</v>
      </c>
      <c r="B7534" s="2" t="str">
        <f>"B20220202219"</f>
        <v>B20220202219</v>
      </c>
      <c r="C7534" s="2" t="str">
        <f t="shared" si="1893"/>
        <v>男</v>
      </c>
      <c r="D7534" s="2" t="str">
        <f>"4"</f>
        <v>4</v>
      </c>
      <c r="E7534" s="2" t="str">
        <f>"机电工程学院"</f>
        <v>机电工程学院</v>
      </c>
    </row>
    <row r="7535" ht="13.5" hidden="1" spans="1:5">
      <c r="A7535" s="2" t="str">
        <f>"廖添福"</f>
        <v>廖添福</v>
      </c>
      <c r="B7535" s="2" t="str">
        <f>"B20210504123"</f>
        <v>B20210504123</v>
      </c>
      <c r="C7535" s="2" t="str">
        <f t="shared" si="1893"/>
        <v>男</v>
      </c>
      <c r="D7535" s="2" t="str">
        <f>"4"</f>
        <v>4</v>
      </c>
      <c r="E7535" s="2" t="str">
        <f>"生物与化学工程学院"</f>
        <v>生物与化学工程学院</v>
      </c>
    </row>
    <row r="7536" ht="13.5" hidden="1" spans="1:5">
      <c r="A7536" s="2" t="str">
        <f>"吴颂慈"</f>
        <v>吴颂慈</v>
      </c>
      <c r="B7536" s="2" t="str">
        <f>"B20231003115"</f>
        <v>B20231003115</v>
      </c>
      <c r="C7536" s="2" t="str">
        <f>"女"</f>
        <v>女</v>
      </c>
      <c r="D7536" s="2" t="str">
        <f>"4"</f>
        <v>4</v>
      </c>
      <c r="E7536" s="2" t="str">
        <f>"艺术设计学院"</f>
        <v>艺术设计学院</v>
      </c>
    </row>
    <row r="7537" ht="13.5" hidden="1" spans="1:5">
      <c r="A7537" s="2" t="str">
        <f>"付宇"</f>
        <v>付宇</v>
      </c>
      <c r="B7537" s="2" t="str">
        <f>"B20231301106"</f>
        <v>B20231301106</v>
      </c>
      <c r="C7537" s="2" t="str">
        <f>"男"</f>
        <v>男</v>
      </c>
      <c r="D7537" s="2" t="str">
        <f>"4"</f>
        <v>4</v>
      </c>
      <c r="E7537" s="2" t="str">
        <f>"材料与环境工程学院"</f>
        <v>材料与环境工程学院</v>
      </c>
    </row>
    <row r="7538" ht="13.5" hidden="1" spans="1:5">
      <c r="A7538" s="2" t="str">
        <f>"方峥瑜"</f>
        <v>方峥瑜</v>
      </c>
      <c r="B7538" s="2" t="str">
        <f>"B20230601527"</f>
        <v>B20230601527</v>
      </c>
      <c r="C7538" s="2" t="str">
        <f t="shared" ref="C7537:C7546" si="1894">"女"</f>
        <v>女</v>
      </c>
      <c r="D7538" s="2" t="str">
        <f>"4"</f>
        <v>4</v>
      </c>
      <c r="E7538" s="2" t="str">
        <f>"法学院"</f>
        <v>法学院</v>
      </c>
    </row>
    <row r="7539" ht="13.5" hidden="1" spans="1:5">
      <c r="A7539" s="2" t="str">
        <f>"谭莹"</f>
        <v>谭莹</v>
      </c>
      <c r="B7539" s="2" t="str">
        <f>"B20211001216"</f>
        <v>B20211001216</v>
      </c>
      <c r="C7539" s="2" t="str">
        <f t="shared" si="1894"/>
        <v>女</v>
      </c>
      <c r="D7539" s="2" t="str">
        <f>"4"</f>
        <v>4</v>
      </c>
      <c r="E7539" s="2" t="str">
        <f>"艺术设计学院"</f>
        <v>艺术设计学院</v>
      </c>
    </row>
    <row r="7540" ht="13.5" hidden="1" spans="1:5">
      <c r="A7540" s="2" t="str">
        <f>"陶嘉琪"</f>
        <v>陶嘉琪</v>
      </c>
      <c r="B7540" s="2" t="str">
        <f>"B20210802225"</f>
        <v>B20210802225</v>
      </c>
      <c r="C7540" s="2" t="str">
        <f t="shared" si="1894"/>
        <v>女</v>
      </c>
      <c r="D7540" s="2" t="str">
        <f>"4"</f>
        <v>4</v>
      </c>
      <c r="E7540" s="2" t="str">
        <f>"外国语学院"</f>
        <v>外国语学院</v>
      </c>
    </row>
    <row r="7541" ht="13.5" hidden="1" spans="1:5">
      <c r="A7541" s="2" t="str">
        <f>"杨慧"</f>
        <v>杨慧</v>
      </c>
      <c r="B7541" s="2" t="str">
        <f>"B20210903127"</f>
        <v>B20210903127</v>
      </c>
      <c r="C7541" s="2" t="str">
        <f t="shared" si="1894"/>
        <v>女</v>
      </c>
      <c r="D7541" s="2" t="str">
        <f>"4"</f>
        <v>4</v>
      </c>
      <c r="E7541" s="2" t="str">
        <f>"经济与管理学院"</f>
        <v>经济与管理学院</v>
      </c>
    </row>
    <row r="7542" ht="13.5" hidden="1" spans="1:5">
      <c r="A7542" s="2" t="str">
        <f>"何艳梅"</f>
        <v>何艳梅</v>
      </c>
      <c r="B7542" s="2" t="str">
        <f>"B20200905129"</f>
        <v>B20200905129</v>
      </c>
      <c r="C7542" s="2" t="str">
        <f t="shared" si="1894"/>
        <v>女</v>
      </c>
      <c r="D7542" s="2" t="str">
        <f>"4"</f>
        <v>4</v>
      </c>
      <c r="E7542" s="2" t="str">
        <f>"经济与管理学院"</f>
        <v>经济与管理学院</v>
      </c>
    </row>
    <row r="7543" ht="13.5" hidden="1" spans="1:5">
      <c r="A7543" s="2" t="str">
        <f>"何嘉玲"</f>
        <v>何嘉玲</v>
      </c>
      <c r="B7543" s="2" t="str">
        <f>"B20200504225"</f>
        <v>B20200504225</v>
      </c>
      <c r="C7543" s="2" t="str">
        <f t="shared" si="1894"/>
        <v>女</v>
      </c>
      <c r="D7543" s="2" t="str">
        <f>"4"</f>
        <v>4</v>
      </c>
      <c r="E7543" s="2" t="str">
        <f>"生物与环境工程学院"</f>
        <v>生物与环境工程学院</v>
      </c>
    </row>
    <row r="7544" ht="13.5" hidden="1" spans="1:5">
      <c r="A7544" s="2" t="str">
        <f>"余翠"</f>
        <v>余翠</v>
      </c>
      <c r="B7544" s="2" t="str">
        <f>"B20220601226"</f>
        <v>B20220601226</v>
      </c>
      <c r="C7544" s="2" t="str">
        <f t="shared" si="1894"/>
        <v>女</v>
      </c>
      <c r="D7544" s="2" t="str">
        <f>"4"</f>
        <v>4</v>
      </c>
      <c r="E7544" s="2" t="str">
        <f>"法学院"</f>
        <v>法学院</v>
      </c>
    </row>
    <row r="7545" ht="13.5" hidden="1" spans="1:5">
      <c r="A7545" s="2" t="str">
        <f>"於洋"</f>
        <v>於洋</v>
      </c>
      <c r="B7545" s="2" t="str">
        <f>"B20220703204"</f>
        <v>B20220703204</v>
      </c>
      <c r="C7545" s="2" t="str">
        <f t="shared" si="1894"/>
        <v>女</v>
      </c>
      <c r="D7545" s="2" t="str">
        <f>"4"</f>
        <v>4</v>
      </c>
      <c r="E7545" s="2" t="str">
        <f>"马栏山新媒体学院"</f>
        <v>马栏山新媒体学院</v>
      </c>
    </row>
    <row r="7546" ht="13.5" hidden="1" spans="1:5">
      <c r="A7546" s="2" t="str">
        <f>"刘雨露"</f>
        <v>刘雨露</v>
      </c>
      <c r="B7546" s="2" t="str">
        <f>"B20230601503"</f>
        <v>B20230601503</v>
      </c>
      <c r="C7546" s="2" t="str">
        <f t="shared" si="1894"/>
        <v>女</v>
      </c>
      <c r="D7546" s="2" t="str">
        <f>"4"</f>
        <v>4</v>
      </c>
      <c r="E7546" s="2" t="str">
        <f>"法学院"</f>
        <v>法学院</v>
      </c>
    </row>
    <row r="7547" ht="13.5" hidden="1" spans="1:5">
      <c r="A7547" s="2" t="str">
        <f>"肖博"</f>
        <v>肖博</v>
      </c>
      <c r="B7547" s="2" t="str">
        <f>"B20230904323"</f>
        <v>B20230904323</v>
      </c>
      <c r="C7547" s="2" t="str">
        <f>"男"</f>
        <v>男</v>
      </c>
      <c r="D7547" s="2" t="str">
        <f>"4"</f>
        <v>4</v>
      </c>
      <c r="E7547" s="2" t="str">
        <f>"经济与管理学院"</f>
        <v>经济与管理学院</v>
      </c>
    </row>
    <row r="7548" ht="13.5" hidden="1" spans="1:5">
      <c r="A7548" s="2" t="str">
        <f>"许怡婷"</f>
        <v>许怡婷</v>
      </c>
      <c r="B7548" s="2" t="str">
        <f>"B20210404207"</f>
        <v>B20210404207</v>
      </c>
      <c r="C7548" s="2" t="str">
        <f>"女"</f>
        <v>女</v>
      </c>
      <c r="D7548" s="2" t="str">
        <f>"4"</f>
        <v>4</v>
      </c>
      <c r="E7548" s="2" t="str">
        <f>"电子信息与电气工程学院"</f>
        <v>电子信息与电气工程学院</v>
      </c>
    </row>
    <row r="7549" ht="13.5" hidden="1" spans="1:5">
      <c r="A7549" s="2" t="str">
        <f>"徐熠"</f>
        <v>徐熠</v>
      </c>
      <c r="B7549" s="2" t="str">
        <f>"B20231001305"</f>
        <v>B20231001305</v>
      </c>
      <c r="C7549" s="2" t="str">
        <f>"男"</f>
        <v>男</v>
      </c>
      <c r="D7549" s="2" t="str">
        <f>"4"</f>
        <v>4</v>
      </c>
      <c r="E7549" s="2" t="str">
        <f>"艺术设计学院"</f>
        <v>艺术设计学院</v>
      </c>
    </row>
    <row r="7550" ht="13.5" hidden="1" spans="1:5">
      <c r="A7550" s="2" t="str">
        <f>"廖丽娜"</f>
        <v>廖丽娜</v>
      </c>
      <c r="B7550" s="2" t="str">
        <f>"B20230402202"</f>
        <v>B20230402202</v>
      </c>
      <c r="C7550" s="2" t="str">
        <f>"女"</f>
        <v>女</v>
      </c>
      <c r="D7550" s="2" t="str">
        <f>"4"</f>
        <v>4</v>
      </c>
      <c r="E7550" s="2" t="str">
        <f>"电子信息与电气工程学院"</f>
        <v>电子信息与电气工程学院</v>
      </c>
    </row>
    <row r="7551" ht="13.5" hidden="1" spans="1:5">
      <c r="A7551" s="2" t="str">
        <f>"廖书友"</f>
        <v>廖书友</v>
      </c>
      <c r="B7551" s="2" t="str">
        <f>"B20220101119"</f>
        <v>B20220101119</v>
      </c>
      <c r="C7551" s="2" t="str">
        <f t="shared" ref="C7550:C7556" si="1895">"男"</f>
        <v>男</v>
      </c>
      <c r="D7551" s="2" t="str">
        <f>"4"</f>
        <v>4</v>
      </c>
      <c r="E7551" s="2" t="str">
        <f>"土木工程学院"</f>
        <v>土木工程学院</v>
      </c>
    </row>
    <row r="7552" ht="13.5" hidden="1" spans="1:5">
      <c r="A7552" s="2" t="str">
        <f>"张梓雄"</f>
        <v>张梓雄</v>
      </c>
      <c r="B7552" s="2" t="str">
        <f>"B20200501111"</f>
        <v>B20200501111</v>
      </c>
      <c r="C7552" s="2" t="str">
        <f t="shared" si="1895"/>
        <v>男</v>
      </c>
      <c r="D7552" s="2" t="str">
        <f>"4"</f>
        <v>4</v>
      </c>
      <c r="E7552" s="2" t="str">
        <f>"生物与环境工程学院"</f>
        <v>生物与环境工程学院</v>
      </c>
    </row>
    <row r="7553" ht="13.5" hidden="1" spans="1:5">
      <c r="A7553" s="2" t="str">
        <f>"邹宇"</f>
        <v>邹宇</v>
      </c>
      <c r="B7553" s="2" t="str">
        <f>"B20230202408"</f>
        <v>B20230202408</v>
      </c>
      <c r="C7553" s="2" t="str">
        <f t="shared" si="1895"/>
        <v>男</v>
      </c>
      <c r="D7553" s="2" t="str">
        <f>"4"</f>
        <v>4</v>
      </c>
      <c r="E7553" s="2" t="str">
        <f>"机电工程学院"</f>
        <v>机电工程学院</v>
      </c>
    </row>
    <row r="7554" ht="13.5" hidden="1" spans="1:5">
      <c r="A7554" s="2" t="str">
        <f>"刘嘉伟"</f>
        <v>刘嘉伟</v>
      </c>
      <c r="B7554" s="2" t="str">
        <f>"B20220901308"</f>
        <v>B20220901308</v>
      </c>
      <c r="C7554" s="2" t="str">
        <f t="shared" si="1895"/>
        <v>男</v>
      </c>
      <c r="D7554" s="2" t="str">
        <f>"4"</f>
        <v>4</v>
      </c>
      <c r="E7554" s="2" t="str">
        <f>"经济与管理学院"</f>
        <v>经济与管理学院</v>
      </c>
    </row>
    <row r="7555" ht="13.5" hidden="1" spans="1:5">
      <c r="A7555" s="2" t="str">
        <f>"何盛文"</f>
        <v>何盛文</v>
      </c>
      <c r="B7555" s="2" t="str">
        <f>"B20220202233"</f>
        <v>B20220202233</v>
      </c>
      <c r="C7555" s="2" t="str">
        <f t="shared" si="1895"/>
        <v>男</v>
      </c>
      <c r="D7555" s="2" t="str">
        <f>"4"</f>
        <v>4</v>
      </c>
      <c r="E7555" s="2" t="str">
        <f>"机电工程学院"</f>
        <v>机电工程学院</v>
      </c>
    </row>
    <row r="7556" ht="13.5" hidden="1" spans="1:5">
      <c r="A7556" s="2" t="str">
        <f>"杨重杰"</f>
        <v>杨重杰</v>
      </c>
      <c r="B7556" s="2" t="str">
        <f>"B20230801313"</f>
        <v>B20230801313</v>
      </c>
      <c r="C7556" s="2" t="str">
        <f t="shared" si="1895"/>
        <v>男</v>
      </c>
      <c r="D7556" s="2" t="str">
        <f>"4"</f>
        <v>4</v>
      </c>
      <c r="E7556" s="2" t="str">
        <f>"外国语学院"</f>
        <v>外国语学院</v>
      </c>
    </row>
    <row r="7557" ht="13.5" hidden="1" spans="1:5">
      <c r="A7557" s="2" t="str">
        <f>"李强"</f>
        <v>李强</v>
      </c>
      <c r="B7557" s="2" t="str">
        <f>"B20230401225"</f>
        <v>B20230401225</v>
      </c>
      <c r="C7557" s="2" t="str">
        <f>"男"</f>
        <v>男</v>
      </c>
      <c r="D7557" s="2" t="str">
        <f>"4"</f>
        <v>4</v>
      </c>
      <c r="E7557" s="2" t="str">
        <f>"电子信息与电气工程学院"</f>
        <v>电子信息与电气工程学院</v>
      </c>
    </row>
    <row r="7558" ht="13.5" hidden="1" spans="1:5">
      <c r="A7558" s="2" t="str">
        <f>"周婷婷"</f>
        <v>周婷婷</v>
      </c>
      <c r="B7558" s="2" t="str">
        <f>"B20210803116"</f>
        <v>B20210803116</v>
      </c>
      <c r="C7558" s="2" t="str">
        <f>"女"</f>
        <v>女</v>
      </c>
      <c r="D7558" s="2" t="str">
        <f>"4"</f>
        <v>4</v>
      </c>
      <c r="E7558" s="2" t="str">
        <f>"外国语学院"</f>
        <v>外国语学院</v>
      </c>
    </row>
    <row r="7559" ht="13.5" hidden="1" spans="1:5">
      <c r="A7559" s="2" t="str">
        <f>"周俊名"</f>
        <v>周俊名</v>
      </c>
      <c r="B7559" s="2" t="str">
        <f>"B20230906111"</f>
        <v>B20230906111</v>
      </c>
      <c r="C7559" s="2" t="str">
        <f>"男"</f>
        <v>男</v>
      </c>
      <c r="D7559" s="2" t="str">
        <f>"4"</f>
        <v>4</v>
      </c>
      <c r="E7559" s="2" t="str">
        <f>"经济与管理学院"</f>
        <v>经济与管理学院</v>
      </c>
    </row>
    <row r="7560" ht="13.5" hidden="1" spans="1:5">
      <c r="A7560" s="2" t="str">
        <f>"张妍"</f>
        <v>张妍</v>
      </c>
      <c r="B7560" s="2" t="str">
        <f>"B20210103130"</f>
        <v>B20210103130</v>
      </c>
      <c r="C7560" s="2" t="str">
        <f>"女"</f>
        <v>女</v>
      </c>
      <c r="D7560" s="2" t="str">
        <f>"4"</f>
        <v>4</v>
      </c>
      <c r="E7560" s="2" t="str">
        <f>"土木工程学院"</f>
        <v>土木工程学院</v>
      </c>
    </row>
    <row r="7561" ht="13.5" hidden="1" spans="1:5">
      <c r="A7561" s="2" t="str">
        <f>"陈珺"</f>
        <v>陈珺</v>
      </c>
      <c r="B7561" s="2" t="str">
        <f>"B20220801309"</f>
        <v>B20220801309</v>
      </c>
      <c r="C7561" s="2" t="str">
        <f>"女"</f>
        <v>女</v>
      </c>
      <c r="D7561" s="2" t="str">
        <f>"4"</f>
        <v>4</v>
      </c>
      <c r="E7561" s="2" t="str">
        <f>"外国语学院"</f>
        <v>外国语学院</v>
      </c>
    </row>
    <row r="7562" ht="13.5" hidden="1" spans="1:5">
      <c r="A7562" s="2" t="str">
        <f>"赵杰"</f>
        <v>赵杰</v>
      </c>
      <c r="B7562" s="2" t="str">
        <f>"B20210201421"</f>
        <v>B20210201421</v>
      </c>
      <c r="C7562" s="2" t="str">
        <f>"男"</f>
        <v>男</v>
      </c>
      <c r="D7562" s="2" t="str">
        <f>"4"</f>
        <v>4</v>
      </c>
      <c r="E7562" s="2" t="str">
        <f>"机电工程学院"</f>
        <v>机电工程学院</v>
      </c>
    </row>
    <row r="7563" ht="13.5" hidden="1" spans="1:5">
      <c r="A7563" s="2" t="str">
        <f>"潘登"</f>
        <v>潘登</v>
      </c>
      <c r="B7563" s="2" t="str">
        <f>"B20210101320"</f>
        <v>B20210101320</v>
      </c>
      <c r="C7563" s="2" t="str">
        <f>"男"</f>
        <v>男</v>
      </c>
      <c r="D7563" s="2" t="str">
        <f>"4"</f>
        <v>4</v>
      </c>
      <c r="E7563" s="2" t="str">
        <f>"土木工程学院"</f>
        <v>土木工程学院</v>
      </c>
    </row>
    <row r="7564" ht="13.5" hidden="1" spans="1:5">
      <c r="A7564" s="2" t="str">
        <f>"李琦"</f>
        <v>李琦</v>
      </c>
      <c r="B7564" s="2" t="str">
        <f>"B20201001305"</f>
        <v>B20201001305</v>
      </c>
      <c r="C7564" s="2" t="str">
        <f>"男"</f>
        <v>男</v>
      </c>
      <c r="D7564" s="2" t="str">
        <f>"4"</f>
        <v>4</v>
      </c>
      <c r="E7564" s="2" t="str">
        <f>"艺术设计学院"</f>
        <v>艺术设计学院</v>
      </c>
    </row>
    <row r="7565" ht="13.5" hidden="1" spans="1:5">
      <c r="A7565" s="2" t="str">
        <f>"蒲佳慧"</f>
        <v>蒲佳慧</v>
      </c>
      <c r="B7565" s="2" t="str">
        <f>"B20230901229"</f>
        <v>B20230901229</v>
      </c>
      <c r="C7565" s="2" t="str">
        <f t="shared" ref="C7565:C7570" si="1896">"女"</f>
        <v>女</v>
      </c>
      <c r="D7565" s="2" t="str">
        <f>"4"</f>
        <v>4</v>
      </c>
      <c r="E7565" s="2" t="str">
        <f>"经济与管理学院"</f>
        <v>经济与管理学院</v>
      </c>
    </row>
    <row r="7566" ht="13.5" hidden="1" spans="1:5">
      <c r="A7566" s="2" t="str">
        <f>"叶婷"</f>
        <v>叶婷</v>
      </c>
      <c r="B7566" s="2" t="str">
        <f>"B20210502212"</f>
        <v>B20210502212</v>
      </c>
      <c r="C7566" s="2" t="str">
        <f t="shared" si="1896"/>
        <v>女</v>
      </c>
      <c r="D7566" s="2" t="str">
        <f>"4"</f>
        <v>4</v>
      </c>
      <c r="E7566" s="2" t="str">
        <f>"生物与化学工程学院"</f>
        <v>生物与化学工程学院</v>
      </c>
    </row>
    <row r="7567" ht="13.5" hidden="1" spans="1:5">
      <c r="A7567" s="2" t="str">
        <f>"罗雄洲"</f>
        <v>罗雄洲</v>
      </c>
      <c r="B7567" s="2" t="str">
        <f>"B20210204208"</f>
        <v>B20210204208</v>
      </c>
      <c r="C7567" s="2" t="str">
        <f>"男"</f>
        <v>男</v>
      </c>
      <c r="D7567" s="2" t="str">
        <f>"4"</f>
        <v>4</v>
      </c>
      <c r="E7567" s="2" t="str">
        <f>"机电工程学院"</f>
        <v>机电工程学院</v>
      </c>
    </row>
    <row r="7568" ht="13.5" hidden="1" spans="1:5">
      <c r="A7568" s="2" t="str">
        <f>"胡洪耀"</f>
        <v>胡洪耀</v>
      </c>
      <c r="B7568" s="2" t="str">
        <f>"B20210904321"</f>
        <v>B20210904321</v>
      </c>
      <c r="C7568" s="2" t="str">
        <f>"男"</f>
        <v>男</v>
      </c>
      <c r="D7568" s="2" t="str">
        <f>"4"</f>
        <v>4</v>
      </c>
      <c r="E7568" s="2" t="str">
        <f>"经济与管理学院"</f>
        <v>经济与管理学院</v>
      </c>
    </row>
    <row r="7569" ht="13.5" hidden="1" spans="1:5">
      <c r="A7569" s="2" t="str">
        <f>"陈慧婕"</f>
        <v>陈慧婕</v>
      </c>
      <c r="B7569" s="2" t="str">
        <f>"B20220701424"</f>
        <v>B20220701424</v>
      </c>
      <c r="C7569" s="2" t="str">
        <f t="shared" si="1896"/>
        <v>女</v>
      </c>
      <c r="D7569" s="2" t="str">
        <f>"4"</f>
        <v>4</v>
      </c>
      <c r="E7569" s="2" t="str">
        <f>"马栏山新媒体学院"</f>
        <v>马栏山新媒体学院</v>
      </c>
    </row>
    <row r="7570" ht="13.5" hidden="1" spans="1:5">
      <c r="A7570" s="2" t="str">
        <f>"李静怡"</f>
        <v>李静怡</v>
      </c>
      <c r="B7570" s="2" t="str">
        <f>"B20230202302"</f>
        <v>B20230202302</v>
      </c>
      <c r="C7570" s="2" t="str">
        <f t="shared" si="1896"/>
        <v>女</v>
      </c>
      <c r="D7570" s="2" t="str">
        <f>"4"</f>
        <v>4</v>
      </c>
      <c r="E7570" s="2" t="str">
        <f>"机电工程学院"</f>
        <v>机电工程学院</v>
      </c>
    </row>
    <row r="7571" ht="13.5" hidden="1" spans="1:5">
      <c r="A7571" s="2" t="str">
        <f>"黄春晖"</f>
        <v>黄春晖</v>
      </c>
      <c r="B7571" s="2" t="str">
        <f>"B20231301128"</f>
        <v>B20231301128</v>
      </c>
      <c r="C7571" s="2" t="str">
        <f>"男"</f>
        <v>男</v>
      </c>
      <c r="D7571" s="2" t="str">
        <f t="shared" ref="D7571:D7586" si="1897">"4"</f>
        <v>4</v>
      </c>
      <c r="E7571" s="2" t="str">
        <f>"材料与环境工程学院"</f>
        <v>材料与环境工程学院</v>
      </c>
    </row>
    <row r="7572" ht="13.5" hidden="1" spans="1:5">
      <c r="A7572" s="2" t="str">
        <f>"罗雅丽"</f>
        <v>罗雅丽</v>
      </c>
      <c r="B7572" s="2" t="str">
        <f>"B20231111122"</f>
        <v>B20231111122</v>
      </c>
      <c r="C7572" s="2" t="str">
        <f t="shared" ref="C7572:C7575" si="1898">"女"</f>
        <v>女</v>
      </c>
      <c r="D7572" s="2" t="str">
        <f t="shared" si="1897"/>
        <v>4</v>
      </c>
      <c r="E7572" s="2" t="str">
        <f>"音乐学院"</f>
        <v>音乐学院</v>
      </c>
    </row>
    <row r="7573" ht="13.5" hidden="1" spans="1:5">
      <c r="A7573" s="2" t="str">
        <f>"罗欣鑫"</f>
        <v>罗欣鑫</v>
      </c>
      <c r="B7573" s="2" t="str">
        <f>"B20230906211"</f>
        <v>B20230906211</v>
      </c>
      <c r="C7573" s="2" t="str">
        <f t="shared" si="1898"/>
        <v>女</v>
      </c>
      <c r="D7573" s="2" t="str">
        <f t="shared" si="1897"/>
        <v>4</v>
      </c>
      <c r="E7573" s="2" t="str">
        <f t="shared" ref="E7573:E7577" si="1899">"经济与管理学院"</f>
        <v>经济与管理学院</v>
      </c>
    </row>
    <row r="7574" ht="13.5" hidden="1" spans="1:5">
      <c r="A7574" s="2" t="str">
        <f>"李泽辉"</f>
        <v>李泽辉</v>
      </c>
      <c r="B7574" s="2" t="str">
        <f>"B20221302213"</f>
        <v>B20221302213</v>
      </c>
      <c r="C7574" s="2" t="str">
        <f t="shared" ref="C7574:C7578" si="1900">"男"</f>
        <v>男</v>
      </c>
      <c r="D7574" s="2" t="str">
        <f t="shared" si="1897"/>
        <v>4</v>
      </c>
      <c r="E7574" s="2" t="str">
        <f>"材料与环境工程学院"</f>
        <v>材料与环境工程学院</v>
      </c>
    </row>
    <row r="7575" ht="13.5" hidden="1" spans="1:5">
      <c r="A7575" s="2" t="str">
        <f>"黄芯蕊"</f>
        <v>黄芯蕊</v>
      </c>
      <c r="B7575" s="2" t="str">
        <f>"B20220902227"</f>
        <v>B20220902227</v>
      </c>
      <c r="C7575" s="2" t="str">
        <f t="shared" si="1898"/>
        <v>女</v>
      </c>
      <c r="D7575" s="2" t="str">
        <f t="shared" si="1897"/>
        <v>4</v>
      </c>
      <c r="E7575" s="2" t="str">
        <f t="shared" si="1899"/>
        <v>经济与管理学院</v>
      </c>
    </row>
    <row r="7576" ht="13.5" hidden="1" spans="1:5">
      <c r="A7576" s="2" t="str">
        <f>"苏科杰"</f>
        <v>苏科杰</v>
      </c>
      <c r="B7576" s="2" t="str">
        <f>"B20220902332"</f>
        <v>B20220902332</v>
      </c>
      <c r="C7576" s="2" t="str">
        <f t="shared" si="1900"/>
        <v>男</v>
      </c>
      <c r="D7576" s="2" t="str">
        <f t="shared" si="1897"/>
        <v>4</v>
      </c>
      <c r="E7576" s="2" t="str">
        <f t="shared" si="1899"/>
        <v>经济与管理学院</v>
      </c>
    </row>
    <row r="7577" ht="13.5" hidden="1" spans="1:5">
      <c r="A7577" s="2" t="str">
        <f>"胡永长"</f>
        <v>胡永长</v>
      </c>
      <c r="B7577" s="2" t="str">
        <f>"B20210904319"</f>
        <v>B20210904319</v>
      </c>
      <c r="C7577" s="2" t="str">
        <f t="shared" si="1900"/>
        <v>男</v>
      </c>
      <c r="D7577" s="2" t="str">
        <f t="shared" si="1897"/>
        <v>4</v>
      </c>
      <c r="E7577" s="2" t="str">
        <f t="shared" si="1899"/>
        <v>经济与管理学院</v>
      </c>
    </row>
    <row r="7578" ht="13.5" hidden="1" spans="1:5">
      <c r="A7578" s="2" t="str">
        <f>"刘振华"</f>
        <v>刘振华</v>
      </c>
      <c r="B7578" s="2" t="str">
        <f>"B20230705123"</f>
        <v>B20230705123</v>
      </c>
      <c r="C7578" s="2" t="str">
        <f t="shared" si="1900"/>
        <v>男</v>
      </c>
      <c r="D7578" s="2" t="str">
        <f t="shared" si="1897"/>
        <v>4</v>
      </c>
      <c r="E7578" s="2" t="str">
        <f>"马栏山新媒体学院"</f>
        <v>马栏山新媒体学院</v>
      </c>
    </row>
    <row r="7579" ht="13.5" hidden="1" spans="1:5">
      <c r="A7579" s="2" t="str">
        <f>"左静怡"</f>
        <v>左静怡</v>
      </c>
      <c r="B7579" s="2" t="str">
        <f>"B20231302217"</f>
        <v>B20231302217</v>
      </c>
      <c r="C7579" s="2" t="str">
        <f t="shared" ref="C7579:C7584" si="1901">"女"</f>
        <v>女</v>
      </c>
      <c r="D7579" s="2" t="str">
        <f t="shared" si="1897"/>
        <v>4</v>
      </c>
      <c r="E7579" s="2" t="str">
        <f>"材料与环境工程学院"</f>
        <v>材料与环境工程学院</v>
      </c>
    </row>
    <row r="7580" ht="13.5" hidden="1" spans="1:5">
      <c r="A7580" s="2" t="str">
        <f>"王楠"</f>
        <v>王楠</v>
      </c>
      <c r="B7580" s="2" t="str">
        <f>"B20221004221"</f>
        <v>B20221004221</v>
      </c>
      <c r="C7580" s="2" t="str">
        <f t="shared" si="1901"/>
        <v>女</v>
      </c>
      <c r="D7580" s="2" t="str">
        <f t="shared" si="1897"/>
        <v>4</v>
      </c>
      <c r="E7580" s="2" t="str">
        <f>"艺术设计学院"</f>
        <v>艺术设计学院</v>
      </c>
    </row>
    <row r="7581" ht="13.5" hidden="1" spans="1:5">
      <c r="A7581" s="2" t="str">
        <f>"郑伟航"</f>
        <v>郑伟航</v>
      </c>
      <c r="B7581" s="2" t="str">
        <f>"B20231302229"</f>
        <v>B20231302229</v>
      </c>
      <c r="C7581" s="2" t="str">
        <f t="shared" ref="C7581:C7585" si="1902">"男"</f>
        <v>男</v>
      </c>
      <c r="D7581" s="2" t="str">
        <f t="shared" si="1897"/>
        <v>4</v>
      </c>
      <c r="E7581" s="2" t="str">
        <f>"材料与环境工程学院"</f>
        <v>材料与环境工程学院</v>
      </c>
    </row>
    <row r="7582" ht="13.5" hidden="1" spans="1:5">
      <c r="A7582" s="2" t="str">
        <f>"黎聪"</f>
        <v>黎聪</v>
      </c>
      <c r="B7582" s="2" t="str">
        <f>"B20230202401"</f>
        <v>B20230202401</v>
      </c>
      <c r="C7582" s="2" t="str">
        <f t="shared" si="1902"/>
        <v>男</v>
      </c>
      <c r="D7582" s="2" t="str">
        <f t="shared" si="1897"/>
        <v>4</v>
      </c>
      <c r="E7582" s="2" t="str">
        <f>"机电工程学院"</f>
        <v>机电工程学院</v>
      </c>
    </row>
    <row r="7583" ht="13.5" hidden="1" spans="1:5">
      <c r="A7583" s="2" t="str">
        <f>"刘程"</f>
        <v>刘程</v>
      </c>
      <c r="B7583" s="2" t="str">
        <f>"B20230905219"</f>
        <v>B20230905219</v>
      </c>
      <c r="C7583" s="2" t="str">
        <f t="shared" si="1901"/>
        <v>女</v>
      </c>
      <c r="D7583" s="2" t="str">
        <f t="shared" si="1897"/>
        <v>4</v>
      </c>
      <c r="E7583" s="2" t="str">
        <f>"经济与管理学院"</f>
        <v>经济与管理学院</v>
      </c>
    </row>
    <row r="7584" ht="13.5" hidden="1" spans="1:5">
      <c r="A7584" s="2" t="str">
        <f>"周姝芳"</f>
        <v>周姝芳</v>
      </c>
      <c r="B7584" s="2" t="str">
        <f>"B20200802207"</f>
        <v>B20200802207</v>
      </c>
      <c r="C7584" s="2" t="str">
        <f t="shared" si="1901"/>
        <v>女</v>
      </c>
      <c r="D7584" s="2" t="str">
        <f t="shared" si="1897"/>
        <v>4</v>
      </c>
      <c r="E7584" s="2" t="str">
        <f>"外国语学院"</f>
        <v>外国语学院</v>
      </c>
    </row>
    <row r="7585" ht="13.5" hidden="1" spans="1:5">
      <c r="A7585" s="2" t="str">
        <f>"孙昂"</f>
        <v>孙昂</v>
      </c>
      <c r="B7585" s="2" t="str">
        <f>"B20210501217"</f>
        <v>B20210501217</v>
      </c>
      <c r="C7585" s="2" t="str">
        <f t="shared" si="1902"/>
        <v>男</v>
      </c>
      <c r="D7585" s="2" t="str">
        <f t="shared" si="1897"/>
        <v>4</v>
      </c>
      <c r="E7585" s="2" t="str">
        <f>"生物与化学工程学院"</f>
        <v>生物与化学工程学院</v>
      </c>
    </row>
    <row r="7586" ht="13.5" hidden="1" spans="1:5">
      <c r="A7586" s="2" t="str">
        <f>"闫熙唯"</f>
        <v>闫熙唯</v>
      </c>
      <c r="B7586" s="2" t="str">
        <f>"B20230702103"</f>
        <v>B20230702103</v>
      </c>
      <c r="C7586" s="2" t="str">
        <f>"女"</f>
        <v>女</v>
      </c>
      <c r="D7586" s="2" t="str">
        <f t="shared" si="1897"/>
        <v>4</v>
      </c>
      <c r="E7586" s="2" t="str">
        <f>"马栏山新媒体学院"</f>
        <v>马栏山新媒体学院</v>
      </c>
    </row>
    <row r="7587" ht="13.5" hidden="1" spans="1:5">
      <c r="A7587" s="2" t="str">
        <f>"肖俊武"</f>
        <v>肖俊武</v>
      </c>
      <c r="B7587" s="2" t="str">
        <f>"B20231302422"</f>
        <v>B20231302422</v>
      </c>
      <c r="C7587" s="2" t="str">
        <f>"男"</f>
        <v>男</v>
      </c>
      <c r="D7587" s="2" t="str">
        <f>"4"</f>
        <v>4</v>
      </c>
      <c r="E7587" s="2" t="str">
        <f>"材料与环境工程学院"</f>
        <v>材料与环境工程学院</v>
      </c>
    </row>
    <row r="7588" ht="13.5" hidden="1" spans="1:5">
      <c r="A7588" s="2" t="str">
        <f>"李丹"</f>
        <v>李丹</v>
      </c>
      <c r="B7588" s="2" t="str">
        <f>"B20220701430"</f>
        <v>B20220701430</v>
      </c>
      <c r="C7588" s="2" t="str">
        <f>"女"</f>
        <v>女</v>
      </c>
      <c r="D7588" s="2" t="str">
        <f>"4"</f>
        <v>4</v>
      </c>
      <c r="E7588" s="2" t="str">
        <f>"马栏山新媒体学院"</f>
        <v>马栏山新媒体学院</v>
      </c>
    </row>
    <row r="7589" ht="13.5" hidden="1" spans="1:5">
      <c r="A7589" s="2" t="str">
        <f>"李萍"</f>
        <v>李萍</v>
      </c>
      <c r="B7589" s="2" t="str">
        <f>"B20220504103"</f>
        <v>B20220504103</v>
      </c>
      <c r="C7589" s="2" t="str">
        <f>"女"</f>
        <v>女</v>
      </c>
      <c r="D7589" s="2" t="str">
        <f>"4"</f>
        <v>4</v>
      </c>
      <c r="E7589" s="2" t="str">
        <f>"生物与化学工程学院"</f>
        <v>生物与化学工程学院</v>
      </c>
    </row>
    <row r="7590" ht="13.5" hidden="1" spans="1:5">
      <c r="A7590" s="2" t="str">
        <f>"李建军"</f>
        <v>李建军</v>
      </c>
      <c r="B7590" s="2" t="str">
        <f>"B20220402222"</f>
        <v>B20220402222</v>
      </c>
      <c r="C7590" s="2" t="str">
        <f>"男"</f>
        <v>男</v>
      </c>
      <c r="D7590" s="2" t="str">
        <f>"4"</f>
        <v>4</v>
      </c>
      <c r="E7590" s="2" t="str">
        <f>"电子信息与电气工程学院"</f>
        <v>电子信息与电气工程学院</v>
      </c>
    </row>
    <row r="7591" ht="13.5" hidden="1" spans="1:5">
      <c r="A7591" s="2" t="str">
        <f>"叶磊"</f>
        <v>叶磊</v>
      </c>
      <c r="B7591" s="2" t="str">
        <f>"B20200204102"</f>
        <v>B20200204102</v>
      </c>
      <c r="C7591" s="2" t="str">
        <f>"男"</f>
        <v>男</v>
      </c>
      <c r="D7591" s="2" t="str">
        <f>"4"</f>
        <v>4</v>
      </c>
      <c r="E7591" s="2" t="str">
        <f>"机电工程学院"</f>
        <v>机电工程学院</v>
      </c>
    </row>
    <row r="7592" ht="13.5" hidden="1" spans="1:5">
      <c r="A7592" s="2" t="str">
        <f>"何飞宏"</f>
        <v>何飞宏</v>
      </c>
      <c r="B7592" s="2" t="str">
        <f>"B20231111213"</f>
        <v>B20231111213</v>
      </c>
      <c r="C7592" s="2" t="str">
        <f>"男"</f>
        <v>男</v>
      </c>
      <c r="D7592" s="2" t="str">
        <f>"4"</f>
        <v>4</v>
      </c>
      <c r="E7592" s="2" t="str">
        <f>"音乐学院"</f>
        <v>音乐学院</v>
      </c>
    </row>
    <row r="7593" ht="13.5" hidden="1" spans="1:5">
      <c r="A7593" s="2" t="str">
        <f>"黄祥"</f>
        <v>黄祥</v>
      </c>
      <c r="B7593" s="2" t="str">
        <f>"B20210505221"</f>
        <v>B20210505221</v>
      </c>
      <c r="C7593" s="2" t="str">
        <f t="shared" ref="C7593:C7599" si="1903">"男"</f>
        <v>男</v>
      </c>
      <c r="D7593" s="2" t="str">
        <f t="shared" ref="D7593:D7621" si="1904">"4"</f>
        <v>4</v>
      </c>
      <c r="E7593" s="2" t="str">
        <f>"材料与环境工程学院"</f>
        <v>材料与环境工程学院</v>
      </c>
    </row>
    <row r="7594" ht="13.5" hidden="1" spans="1:5">
      <c r="A7594" s="2" t="str">
        <f>"刘偲晟"</f>
        <v>刘偲晟</v>
      </c>
      <c r="B7594" s="2" t="str">
        <f>"B20230101130"</f>
        <v>B20230101130</v>
      </c>
      <c r="C7594" s="2" t="str">
        <f t="shared" si="1903"/>
        <v>男</v>
      </c>
      <c r="D7594" s="2" t="str">
        <f t="shared" si="1904"/>
        <v>4</v>
      </c>
      <c r="E7594" s="2" t="str">
        <f>"土木工程学院"</f>
        <v>土木工程学院</v>
      </c>
    </row>
    <row r="7595" ht="13.5" hidden="1" spans="1:5">
      <c r="A7595" s="2" t="str">
        <f>"刘明"</f>
        <v>刘明</v>
      </c>
      <c r="B7595" s="2" t="str">
        <f>"B20230701312"</f>
        <v>B20230701312</v>
      </c>
      <c r="C7595" s="2" t="str">
        <f t="shared" si="1903"/>
        <v>男</v>
      </c>
      <c r="D7595" s="2" t="str">
        <f t="shared" si="1904"/>
        <v>4</v>
      </c>
      <c r="E7595" s="2" t="str">
        <f>"马栏山新媒体学院"</f>
        <v>马栏山新媒体学院</v>
      </c>
    </row>
    <row r="7596" ht="13.5" hidden="1" spans="1:5">
      <c r="A7596" s="2" t="str">
        <f>"文爽"</f>
        <v>文爽</v>
      </c>
      <c r="B7596" s="2" t="str">
        <f>"B20200502218"</f>
        <v>B20200502218</v>
      </c>
      <c r="C7596" s="2" t="str">
        <f t="shared" si="1903"/>
        <v>男</v>
      </c>
      <c r="D7596" s="2" t="str">
        <f t="shared" si="1904"/>
        <v>4</v>
      </c>
      <c r="E7596" s="2" t="str">
        <f>"生物与环境工程学院"</f>
        <v>生物与环境工程学院</v>
      </c>
    </row>
    <row r="7597" ht="13.5" hidden="1" spans="1:5">
      <c r="A7597" s="2" t="str">
        <f>"张子延"</f>
        <v>张子延</v>
      </c>
      <c r="B7597" s="2" t="str">
        <f>"B20220101608"</f>
        <v>B20220101608</v>
      </c>
      <c r="C7597" s="2" t="str">
        <f t="shared" si="1903"/>
        <v>男</v>
      </c>
      <c r="D7597" s="2" t="str">
        <f t="shared" si="1904"/>
        <v>4</v>
      </c>
      <c r="E7597" s="2" t="str">
        <f>"土木工程学院"</f>
        <v>土木工程学院</v>
      </c>
    </row>
    <row r="7598" ht="13.5" hidden="1" spans="1:5">
      <c r="A7598" s="2" t="str">
        <f>"吴天乐"</f>
        <v>吴天乐</v>
      </c>
      <c r="B7598" s="2" t="str">
        <f>"B20230904325"</f>
        <v>B20230904325</v>
      </c>
      <c r="C7598" s="2" t="str">
        <f t="shared" si="1903"/>
        <v>男</v>
      </c>
      <c r="D7598" s="2" t="str">
        <f t="shared" si="1904"/>
        <v>4</v>
      </c>
      <c r="E7598" s="2" t="str">
        <f t="shared" ref="E7598:E7603" si="1905">"经济与管理学院"</f>
        <v>经济与管理学院</v>
      </c>
    </row>
    <row r="7599" ht="13.5" hidden="1" spans="1:5">
      <c r="A7599" s="2" t="str">
        <f>"严子恒"</f>
        <v>严子恒</v>
      </c>
      <c r="B7599" s="2" t="str">
        <f>"B20210904334"</f>
        <v>B20210904334</v>
      </c>
      <c r="C7599" s="2" t="str">
        <f t="shared" si="1903"/>
        <v>男</v>
      </c>
      <c r="D7599" s="2" t="str">
        <f t="shared" si="1904"/>
        <v>4</v>
      </c>
      <c r="E7599" s="2" t="str">
        <f t="shared" si="1905"/>
        <v>经济与管理学院</v>
      </c>
    </row>
    <row r="7600" ht="13.5" hidden="1" spans="1:5">
      <c r="A7600" s="2" t="str">
        <f>"格桑玉珍"</f>
        <v>格桑玉珍</v>
      </c>
      <c r="B7600" s="2" t="str">
        <f>"B20230702431"</f>
        <v>B20230702431</v>
      </c>
      <c r="C7600" s="2" t="str">
        <f t="shared" ref="C7600:C7606" si="1906">"女"</f>
        <v>女</v>
      </c>
      <c r="D7600" s="2" t="str">
        <f t="shared" si="1904"/>
        <v>4</v>
      </c>
      <c r="E7600" s="2" t="str">
        <f>"马栏山新媒体学院"</f>
        <v>马栏山新媒体学院</v>
      </c>
    </row>
    <row r="7601" ht="13.5" hidden="1" spans="1:5">
      <c r="A7601" s="2" t="str">
        <f>"喻妙"</f>
        <v>喻妙</v>
      </c>
      <c r="B7601" s="2" t="str">
        <f>"B20220801311"</f>
        <v>B20220801311</v>
      </c>
      <c r="C7601" s="2" t="str">
        <f t="shared" si="1906"/>
        <v>女</v>
      </c>
      <c r="D7601" s="2" t="str">
        <f t="shared" si="1904"/>
        <v>4</v>
      </c>
      <c r="E7601" s="2" t="str">
        <f>"外国语学院"</f>
        <v>外国语学院</v>
      </c>
    </row>
    <row r="7602" ht="13.5" hidden="1" spans="1:5">
      <c r="A7602" s="2" t="str">
        <f>"贺雨"</f>
        <v>贺雨</v>
      </c>
      <c r="B7602" s="2" t="str">
        <f>"B20210901245"</f>
        <v>B20210901245</v>
      </c>
      <c r="C7602" s="2" t="str">
        <f t="shared" si="1906"/>
        <v>女</v>
      </c>
      <c r="D7602" s="2" t="str">
        <f t="shared" si="1904"/>
        <v>4</v>
      </c>
      <c r="E7602" s="2" t="str">
        <f t="shared" si="1905"/>
        <v>经济与管理学院</v>
      </c>
    </row>
    <row r="7603" ht="13.5" hidden="1" spans="1:5">
      <c r="A7603" s="2" t="str">
        <f>"谭心怡"</f>
        <v>谭心怡</v>
      </c>
      <c r="B7603" s="2" t="str">
        <f>"B20210901344"</f>
        <v>B20210901344</v>
      </c>
      <c r="C7603" s="2" t="str">
        <f t="shared" si="1906"/>
        <v>女</v>
      </c>
      <c r="D7603" s="2" t="str">
        <f t="shared" si="1904"/>
        <v>4</v>
      </c>
      <c r="E7603" s="2" t="str">
        <f t="shared" si="1905"/>
        <v>经济与管理学院</v>
      </c>
    </row>
    <row r="7604" ht="13.5" hidden="1" spans="1:5">
      <c r="A7604" s="2" t="str">
        <f>"易思雨"</f>
        <v>易思雨</v>
      </c>
      <c r="B7604" s="2" t="str">
        <f>"B20220102118"</f>
        <v>B20220102118</v>
      </c>
      <c r="C7604" s="2" t="str">
        <f t="shared" si="1906"/>
        <v>女</v>
      </c>
      <c r="D7604" s="2" t="str">
        <f t="shared" si="1904"/>
        <v>4</v>
      </c>
      <c r="E7604" s="2" t="str">
        <f>"土木工程学院"</f>
        <v>土木工程学院</v>
      </c>
    </row>
    <row r="7605" ht="13.5" hidden="1" spans="1:5">
      <c r="A7605" s="2" t="str">
        <f>"谭雅彤"</f>
        <v>谭雅彤</v>
      </c>
      <c r="B7605" s="2" t="str">
        <f>"B20220504432"</f>
        <v>B20220504432</v>
      </c>
      <c r="C7605" s="2" t="str">
        <f t="shared" si="1906"/>
        <v>女</v>
      </c>
      <c r="D7605" s="2" t="str">
        <f t="shared" si="1904"/>
        <v>4</v>
      </c>
      <c r="E7605" s="2" t="str">
        <f>"生物与化学工程学院"</f>
        <v>生物与化学工程学院</v>
      </c>
    </row>
    <row r="7606" ht="13.5" hidden="1" spans="1:5">
      <c r="A7606" s="2" t="str">
        <f>"孙雨欢"</f>
        <v>孙雨欢</v>
      </c>
      <c r="B7606" s="2" t="str">
        <f>"B20231101212"</f>
        <v>B20231101212</v>
      </c>
      <c r="C7606" s="2" t="str">
        <f t="shared" si="1906"/>
        <v>女</v>
      </c>
      <c r="D7606" s="2" t="str">
        <f t="shared" si="1904"/>
        <v>4</v>
      </c>
      <c r="E7606" s="2" t="str">
        <f>"音乐学院"</f>
        <v>音乐学院</v>
      </c>
    </row>
    <row r="7607" ht="13.5" hidden="1" spans="1:5">
      <c r="A7607" s="2" t="str">
        <f>"汤继旺"</f>
        <v>汤继旺</v>
      </c>
      <c r="B7607" s="2" t="str">
        <f>"B20221302204"</f>
        <v>B20221302204</v>
      </c>
      <c r="C7607" s="2" t="str">
        <f t="shared" ref="C7607:C7610" si="1907">"男"</f>
        <v>男</v>
      </c>
      <c r="D7607" s="2" t="str">
        <f t="shared" si="1904"/>
        <v>4</v>
      </c>
      <c r="E7607" s="2" t="str">
        <f>"材料与环境工程学院"</f>
        <v>材料与环境工程学院</v>
      </c>
    </row>
    <row r="7608" ht="13.5" hidden="1" spans="1:5">
      <c r="A7608" s="2" t="str">
        <f>"余天佑"</f>
        <v>余天佑</v>
      </c>
      <c r="B7608" s="2" t="str">
        <f>"B20210405113"</f>
        <v>B20210405113</v>
      </c>
      <c r="C7608" s="2" t="str">
        <f t="shared" si="1907"/>
        <v>男</v>
      </c>
      <c r="D7608" s="2" t="str">
        <f t="shared" si="1904"/>
        <v>4</v>
      </c>
      <c r="E7608" s="2" t="str">
        <f>"电子信息与电气工程学院"</f>
        <v>电子信息与电气工程学院</v>
      </c>
    </row>
    <row r="7609" ht="13.5" hidden="1" spans="1:5">
      <c r="A7609" s="2" t="str">
        <f>"顾萍"</f>
        <v>顾萍</v>
      </c>
      <c r="B7609" s="2" t="str">
        <f>"B20210702118"</f>
        <v>B20210702118</v>
      </c>
      <c r="C7609" s="2" t="str">
        <f t="shared" ref="C7609:C7612" si="1908">"女"</f>
        <v>女</v>
      </c>
      <c r="D7609" s="2" t="str">
        <f t="shared" si="1904"/>
        <v>4</v>
      </c>
      <c r="E7609" s="2" t="str">
        <f>"马栏山新媒体学院"</f>
        <v>马栏山新媒体学院</v>
      </c>
    </row>
    <row r="7610" ht="13.5" hidden="1" spans="1:5">
      <c r="A7610" s="2" t="str">
        <f>"江彬杰"</f>
        <v>江彬杰</v>
      </c>
      <c r="B7610" s="2" t="str">
        <f>"B20200101406"</f>
        <v>B20200101406</v>
      </c>
      <c r="C7610" s="2" t="str">
        <f t="shared" si="1907"/>
        <v>男</v>
      </c>
      <c r="D7610" s="2" t="str">
        <f t="shared" si="1904"/>
        <v>4</v>
      </c>
      <c r="E7610" s="2" t="str">
        <f>"土木工程学院"</f>
        <v>土木工程学院</v>
      </c>
    </row>
    <row r="7611" ht="13.5" hidden="1" spans="1:5">
      <c r="A7611" s="2" t="str">
        <f>"王澜"</f>
        <v>王澜</v>
      </c>
      <c r="B7611" s="2" t="str">
        <f>"B20210501211"</f>
        <v>B20210501211</v>
      </c>
      <c r="C7611" s="2" t="str">
        <f t="shared" si="1908"/>
        <v>女</v>
      </c>
      <c r="D7611" s="2" t="str">
        <f t="shared" si="1904"/>
        <v>4</v>
      </c>
      <c r="E7611" s="2" t="str">
        <f>"生物与化学工程学院"</f>
        <v>生物与化学工程学院</v>
      </c>
    </row>
    <row r="7612" ht="13.5" hidden="1" spans="1:5">
      <c r="A7612" s="2" t="str">
        <f>"朱婧婧"</f>
        <v>朱婧婧</v>
      </c>
      <c r="B7612" s="2" t="str">
        <f>"B20210701128"</f>
        <v>B20210701128</v>
      </c>
      <c r="C7612" s="2" t="str">
        <f t="shared" si="1908"/>
        <v>女</v>
      </c>
      <c r="D7612" s="2" t="str">
        <f t="shared" si="1904"/>
        <v>4</v>
      </c>
      <c r="E7612" s="2" t="str">
        <f>"马栏山新媒体学院"</f>
        <v>马栏山新媒体学院</v>
      </c>
    </row>
    <row r="7613" ht="13.5" hidden="1" spans="1:5">
      <c r="A7613" s="2" t="str">
        <f>"钟超"</f>
        <v>钟超</v>
      </c>
      <c r="B7613" s="2" t="str">
        <f>"B20220404223"</f>
        <v>B20220404223</v>
      </c>
      <c r="C7613" s="2" t="str">
        <f t="shared" ref="C7613:C7616" si="1909">"男"</f>
        <v>男</v>
      </c>
      <c r="D7613" s="2" t="str">
        <f t="shared" si="1904"/>
        <v>4</v>
      </c>
      <c r="E7613" s="2" t="str">
        <f>"电子信息与电气工程学院"</f>
        <v>电子信息与电气工程学院</v>
      </c>
    </row>
    <row r="7614" ht="13.5" hidden="1" spans="1:5">
      <c r="A7614" s="2" t="str">
        <f>"程一可"</f>
        <v>程一可</v>
      </c>
      <c r="B7614" s="2" t="str">
        <f>"B20220801312"</f>
        <v>B20220801312</v>
      </c>
      <c r="C7614" s="2" t="str">
        <f t="shared" ref="C7614:C7621" si="1910">"女"</f>
        <v>女</v>
      </c>
      <c r="D7614" s="2" t="str">
        <f t="shared" si="1904"/>
        <v>4</v>
      </c>
      <c r="E7614" s="2" t="str">
        <f>"外国语学院"</f>
        <v>外国语学院</v>
      </c>
    </row>
    <row r="7615" ht="13.5" hidden="1" spans="1:5">
      <c r="A7615" s="2" t="str">
        <f>"龙江俊"</f>
        <v>龙江俊</v>
      </c>
      <c r="B7615" s="2" t="str">
        <f>"B20220401219"</f>
        <v>B20220401219</v>
      </c>
      <c r="C7615" s="2" t="str">
        <f t="shared" si="1909"/>
        <v>男</v>
      </c>
      <c r="D7615" s="2" t="str">
        <f t="shared" si="1904"/>
        <v>4</v>
      </c>
      <c r="E7615" s="2" t="str">
        <f>"电子信息与电气工程学院"</f>
        <v>电子信息与电气工程学院</v>
      </c>
    </row>
    <row r="7616" ht="13.5" hidden="1" spans="1:5">
      <c r="A7616" s="2" t="str">
        <f>"李阳"</f>
        <v>李阳</v>
      </c>
      <c r="B7616" s="2" t="str">
        <f>"B20220202406"</f>
        <v>B20220202406</v>
      </c>
      <c r="C7616" s="2" t="str">
        <f t="shared" si="1909"/>
        <v>男</v>
      </c>
      <c r="D7616" s="2" t="str">
        <f t="shared" si="1904"/>
        <v>4</v>
      </c>
      <c r="E7616" s="2" t="str">
        <f>"机电工程学院"</f>
        <v>机电工程学院</v>
      </c>
    </row>
    <row r="7617" ht="13.5" hidden="1" spans="1:5">
      <c r="A7617" s="2" t="str">
        <f>"李荟柯"</f>
        <v>李荟柯</v>
      </c>
      <c r="B7617" s="2" t="str">
        <f>"B20210704211"</f>
        <v>B20210704211</v>
      </c>
      <c r="C7617" s="2" t="str">
        <f t="shared" si="1910"/>
        <v>女</v>
      </c>
      <c r="D7617" s="2" t="str">
        <f t="shared" si="1904"/>
        <v>4</v>
      </c>
      <c r="E7617" s="2" t="str">
        <f>"马栏山新媒体学院"</f>
        <v>马栏山新媒体学院</v>
      </c>
    </row>
    <row r="7618" ht="13.5" hidden="1" spans="1:5">
      <c r="A7618" s="2" t="str">
        <f>"胡佳妮"</f>
        <v>胡佳妮</v>
      </c>
      <c r="B7618" s="2" t="str">
        <f>"B20230701316"</f>
        <v>B20230701316</v>
      </c>
      <c r="C7618" s="2" t="str">
        <f t="shared" si="1910"/>
        <v>女</v>
      </c>
      <c r="D7618" s="2" t="str">
        <f t="shared" si="1904"/>
        <v>4</v>
      </c>
      <c r="E7618" s="2" t="str">
        <f>"马栏山新媒体学院"</f>
        <v>马栏山新媒体学院</v>
      </c>
    </row>
    <row r="7619" ht="13.5" hidden="1" spans="1:5">
      <c r="A7619" s="2" t="str">
        <f>"胡佳琪"</f>
        <v>胡佳琪</v>
      </c>
      <c r="B7619" s="2" t="str">
        <f>"B20230904303"</f>
        <v>B20230904303</v>
      </c>
      <c r="C7619" s="2" t="str">
        <f t="shared" si="1910"/>
        <v>女</v>
      </c>
      <c r="D7619" s="2" t="str">
        <f t="shared" si="1904"/>
        <v>4</v>
      </c>
      <c r="E7619" s="2" t="str">
        <f>"经济与管理学院"</f>
        <v>经济与管理学院</v>
      </c>
    </row>
    <row r="7620" ht="13.5" hidden="1" spans="1:5">
      <c r="A7620" s="2" t="str">
        <f>"孟迪"</f>
        <v>孟迪</v>
      </c>
      <c r="B7620" s="2" t="str">
        <f>"B20210501135"</f>
        <v>B20210501135</v>
      </c>
      <c r="C7620" s="2" t="str">
        <f t="shared" si="1910"/>
        <v>女</v>
      </c>
      <c r="D7620" s="2" t="str">
        <f t="shared" si="1904"/>
        <v>4</v>
      </c>
      <c r="E7620" s="2" t="str">
        <f>"生物与化学工程学院"</f>
        <v>生物与化学工程学院</v>
      </c>
    </row>
    <row r="7621" ht="13.5" hidden="1" spans="1:5">
      <c r="A7621" s="2" t="str">
        <f>"李婉婷"</f>
        <v>李婉婷</v>
      </c>
      <c r="B7621" s="2" t="str">
        <f>"B20230502129"</f>
        <v>B20230502129</v>
      </c>
      <c r="C7621" s="2" t="str">
        <f t="shared" si="1910"/>
        <v>女</v>
      </c>
      <c r="D7621" s="2" t="str">
        <f t="shared" si="1904"/>
        <v>4</v>
      </c>
      <c r="E7621" s="2" t="str">
        <f>"生物与化学工程学院"</f>
        <v>生物与化学工程学院</v>
      </c>
    </row>
    <row r="7622" ht="13.5" hidden="1" spans="1:5">
      <c r="A7622" s="2" t="str">
        <f>"杨颖怡"</f>
        <v>杨颖怡</v>
      </c>
      <c r="B7622" s="2" t="str">
        <f>"B20211001414"</f>
        <v>B20211001414</v>
      </c>
      <c r="C7622" s="2" t="str">
        <f t="shared" ref="C7622:C7624" si="1911">"女"</f>
        <v>女</v>
      </c>
      <c r="D7622" s="2" t="str">
        <f>"4"</f>
        <v>4</v>
      </c>
      <c r="E7622" s="2" t="str">
        <f>"艺术设计学院"</f>
        <v>艺术设计学院</v>
      </c>
    </row>
    <row r="7623" ht="13.5" hidden="1" spans="1:5">
      <c r="A7623" s="2" t="str">
        <f>"袁若昕"</f>
        <v>袁若昕</v>
      </c>
      <c r="B7623" s="2" t="str">
        <f>"B20230701427"</f>
        <v>B20230701427</v>
      </c>
      <c r="C7623" s="2" t="str">
        <f t="shared" si="1911"/>
        <v>女</v>
      </c>
      <c r="D7623" s="2" t="str">
        <f>"4"</f>
        <v>4</v>
      </c>
      <c r="E7623" s="2" t="str">
        <f>"马栏山新媒体学院"</f>
        <v>马栏山新媒体学院</v>
      </c>
    </row>
    <row r="7624" ht="13.5" hidden="1" spans="1:5">
      <c r="A7624" s="2" t="str">
        <f>"郑芷芹"</f>
        <v>郑芷芹</v>
      </c>
      <c r="B7624" s="2" t="str">
        <f>"B20210802315"</f>
        <v>B20210802315</v>
      </c>
      <c r="C7624" s="2" t="str">
        <f t="shared" si="1911"/>
        <v>女</v>
      </c>
      <c r="D7624" s="2" t="str">
        <f>"4"</f>
        <v>4</v>
      </c>
      <c r="E7624" s="2" t="str">
        <f>"外国语学院"</f>
        <v>外国语学院</v>
      </c>
    </row>
    <row r="7625" ht="13.5" hidden="1" spans="1:5">
      <c r="A7625" s="2" t="str">
        <f>"彭国栋"</f>
        <v>彭国栋</v>
      </c>
      <c r="B7625" s="2" t="str">
        <f>"B20230401222"</f>
        <v>B20230401222</v>
      </c>
      <c r="C7625" s="2" t="str">
        <f>"男"</f>
        <v>男</v>
      </c>
      <c r="D7625" s="2" t="str">
        <f>"4"</f>
        <v>4</v>
      </c>
      <c r="E7625" s="2" t="str">
        <f>"电子信息与电气工程学院"</f>
        <v>电子信息与电气工程学院</v>
      </c>
    </row>
    <row r="7626" ht="13.5" hidden="1" spans="1:5">
      <c r="A7626" s="2" t="str">
        <f>"史雯巧"</f>
        <v>史雯巧</v>
      </c>
      <c r="B7626" s="2" t="str">
        <f>"B20200801410"</f>
        <v>B20200801410</v>
      </c>
      <c r="C7626" s="2" t="str">
        <f t="shared" ref="C7626:C7630" si="1912">"女"</f>
        <v>女</v>
      </c>
      <c r="D7626" s="2" t="str">
        <f>"4"</f>
        <v>4</v>
      </c>
      <c r="E7626" s="2" t="str">
        <f>"外国语学院"</f>
        <v>外国语学院</v>
      </c>
    </row>
    <row r="7627" ht="13.5" hidden="1" spans="1:5">
      <c r="A7627" s="2" t="str">
        <f>"张圆"</f>
        <v>张圆</v>
      </c>
      <c r="B7627" s="2" t="str">
        <f>"B20221302406"</f>
        <v>B20221302406</v>
      </c>
      <c r="C7627" s="2" t="str">
        <f t="shared" si="1912"/>
        <v>女</v>
      </c>
      <c r="D7627" s="2" t="str">
        <f>"4"</f>
        <v>4</v>
      </c>
      <c r="E7627" s="2" t="str">
        <f>"材料与环境工程学院"</f>
        <v>材料与环境工程学院</v>
      </c>
    </row>
    <row r="7628" ht="13.5" hidden="1" spans="1:5">
      <c r="A7628" s="2" t="str">
        <f>"金国涛"</f>
        <v>金国涛</v>
      </c>
      <c r="B7628" s="2" t="str">
        <f>"B20220905225"</f>
        <v>B20220905225</v>
      </c>
      <c r="C7628" s="2" t="str">
        <f>"男"</f>
        <v>男</v>
      </c>
      <c r="D7628" s="2" t="str">
        <f>"4"</f>
        <v>4</v>
      </c>
      <c r="E7628" s="2" t="str">
        <f>"经济与管理学院"</f>
        <v>经济与管理学院</v>
      </c>
    </row>
    <row r="7629" ht="13.5" hidden="1" spans="1:5">
      <c r="A7629" s="2" t="str">
        <f>"郑志伟"</f>
        <v>郑志伟</v>
      </c>
      <c r="B7629" s="2" t="str">
        <f>"B20210403110"</f>
        <v>B20210403110</v>
      </c>
      <c r="C7629" s="2" t="str">
        <f>"男"</f>
        <v>男</v>
      </c>
      <c r="D7629" s="2" t="str">
        <f>"4"</f>
        <v>4</v>
      </c>
      <c r="E7629" s="2" t="str">
        <f>"电子信息与电气工程学院"</f>
        <v>电子信息与电气工程学院</v>
      </c>
    </row>
    <row r="7630" ht="13.5" hidden="1" spans="1:5">
      <c r="A7630" s="2" t="str">
        <f>"洪雅莉"</f>
        <v>洪雅莉</v>
      </c>
      <c r="B7630" s="2" t="str">
        <f>"B20230601419"</f>
        <v>B20230601419</v>
      </c>
      <c r="C7630" s="2" t="str">
        <f t="shared" si="1912"/>
        <v>女</v>
      </c>
      <c r="D7630" s="2" t="str">
        <f>"4"</f>
        <v>4</v>
      </c>
      <c r="E7630" s="2" t="str">
        <f>"法学院"</f>
        <v>法学院</v>
      </c>
    </row>
    <row r="7631" ht="13.5" hidden="1" spans="1:5">
      <c r="A7631" s="2" t="str">
        <f>"沈冰莹"</f>
        <v>沈冰莹</v>
      </c>
      <c r="B7631" s="2" t="str">
        <f>"B20210704417"</f>
        <v>B20210704417</v>
      </c>
      <c r="C7631" s="2" t="str">
        <f t="shared" ref="C7631:C7633" si="1913">"女"</f>
        <v>女</v>
      </c>
      <c r="D7631" s="2" t="str">
        <f>"4"</f>
        <v>4</v>
      </c>
      <c r="E7631" s="2" t="str">
        <f>"马栏山新媒体学院"</f>
        <v>马栏山新媒体学院</v>
      </c>
    </row>
    <row r="7632" ht="13.5" hidden="1" spans="1:5">
      <c r="A7632" s="2" t="str">
        <f>"王淑怡"</f>
        <v>王淑怡</v>
      </c>
      <c r="B7632" s="2" t="str">
        <f>"B20220906102"</f>
        <v>B20220906102</v>
      </c>
      <c r="C7632" s="2" t="str">
        <f t="shared" si="1913"/>
        <v>女</v>
      </c>
      <c r="D7632" s="2" t="str">
        <f>"4"</f>
        <v>4</v>
      </c>
      <c r="E7632" s="2" t="str">
        <f>"经济与管理学院"</f>
        <v>经济与管理学院</v>
      </c>
    </row>
    <row r="7633" ht="13.5" hidden="1" spans="1:5">
      <c r="A7633" s="2" t="str">
        <f>"查玮琦"</f>
        <v>查玮琦</v>
      </c>
      <c r="B7633" s="2" t="str">
        <f>"B20231101319"</f>
        <v>B20231101319</v>
      </c>
      <c r="C7633" s="2" t="str">
        <f t="shared" si="1913"/>
        <v>女</v>
      </c>
      <c r="D7633" s="2" t="str">
        <f>"4"</f>
        <v>4</v>
      </c>
      <c r="E7633" s="2" t="str">
        <f>"音乐学院"</f>
        <v>音乐学院</v>
      </c>
    </row>
    <row r="7634" ht="13.5" hidden="1" spans="1:5">
      <c r="A7634" s="2" t="str">
        <f>"谢辉"</f>
        <v>谢辉</v>
      </c>
      <c r="B7634" s="2" t="str">
        <f>"B20210401310"</f>
        <v>B20210401310</v>
      </c>
      <c r="C7634" s="2" t="str">
        <f t="shared" ref="C7634:C7637" si="1914">"男"</f>
        <v>男</v>
      </c>
      <c r="D7634" s="2" t="str">
        <f>"4"</f>
        <v>4</v>
      </c>
      <c r="E7634" s="2" t="str">
        <f>"电子信息与电气工程学院"</f>
        <v>电子信息与电气工程学院</v>
      </c>
    </row>
    <row r="7635" ht="13.5" hidden="1" spans="1:5">
      <c r="A7635" s="2" t="str">
        <f>"晏婕妤"</f>
        <v>晏婕妤</v>
      </c>
      <c r="B7635" s="2" t="str">
        <f>"B20210702224"</f>
        <v>B20210702224</v>
      </c>
      <c r="C7635" s="2" t="str">
        <f t="shared" ref="C7635:C7639" si="1915">"女"</f>
        <v>女</v>
      </c>
      <c r="D7635" s="2" t="str">
        <f>"4"</f>
        <v>4</v>
      </c>
      <c r="E7635" s="2" t="str">
        <f>"马栏山新媒体学院"</f>
        <v>马栏山新媒体学院</v>
      </c>
    </row>
    <row r="7636" ht="13.5" hidden="1" spans="1:5">
      <c r="A7636" s="2" t="str">
        <f>"蔡泽元"</f>
        <v>蔡泽元</v>
      </c>
      <c r="B7636" s="2" t="str">
        <f>"B20221101111"</f>
        <v>B20221101111</v>
      </c>
      <c r="C7636" s="2" t="str">
        <f t="shared" si="1914"/>
        <v>男</v>
      </c>
      <c r="D7636" s="2" t="str">
        <f>"4"</f>
        <v>4</v>
      </c>
      <c r="E7636" s="2" t="str">
        <f>"音乐学院"</f>
        <v>音乐学院</v>
      </c>
    </row>
    <row r="7637" ht="13.5" hidden="1" spans="1:5">
      <c r="A7637" s="2" t="str">
        <f>"何志奇"</f>
        <v>何志奇</v>
      </c>
      <c r="B7637" s="2" t="str">
        <f>"B20220403116"</f>
        <v>B20220403116</v>
      </c>
      <c r="C7637" s="2" t="str">
        <f t="shared" si="1914"/>
        <v>男</v>
      </c>
      <c r="D7637" s="2" t="str">
        <f>"4"</f>
        <v>4</v>
      </c>
      <c r="E7637" s="2" t="str">
        <f>"电子信息与电气工程学院"</f>
        <v>电子信息与电气工程学院</v>
      </c>
    </row>
    <row r="7638" ht="13.5" hidden="1" spans="1:5">
      <c r="A7638" s="2" t="str">
        <f>"陈佩瑶"</f>
        <v>陈佩瑶</v>
      </c>
      <c r="B7638" s="2" t="str">
        <f>"B20210901141"</f>
        <v>B20210901141</v>
      </c>
      <c r="C7638" s="2" t="str">
        <f t="shared" si="1915"/>
        <v>女</v>
      </c>
      <c r="D7638" s="2" t="str">
        <f>"4"</f>
        <v>4</v>
      </c>
      <c r="E7638" s="2" t="str">
        <f>"经济与管理学院"</f>
        <v>经济与管理学院</v>
      </c>
    </row>
    <row r="7639" ht="13.5" hidden="1" spans="1:5">
      <c r="A7639" s="2" t="str">
        <f>"冷湘烨"</f>
        <v>冷湘烨</v>
      </c>
      <c r="B7639" s="2" t="str">
        <f>"B20230902128"</f>
        <v>B20230902128</v>
      </c>
      <c r="C7639" s="2" t="str">
        <f t="shared" si="1915"/>
        <v>女</v>
      </c>
      <c r="D7639" s="2" t="str">
        <f>"4"</f>
        <v>4</v>
      </c>
      <c r="E7639" s="2" t="str">
        <f>"经济与管理学院"</f>
        <v>经济与管理学院</v>
      </c>
    </row>
    <row r="7640" ht="13.5" hidden="1" spans="1:5">
      <c r="A7640" s="2" t="str">
        <f>"李翊鹏"</f>
        <v>李翊鹏</v>
      </c>
      <c r="B7640" s="2" t="str">
        <f>"B20200201224"</f>
        <v>B20200201224</v>
      </c>
      <c r="C7640" s="2" t="str">
        <f>"男"</f>
        <v>男</v>
      </c>
      <c r="D7640" s="2" t="str">
        <f>"4"</f>
        <v>4</v>
      </c>
      <c r="E7640" s="2" t="str">
        <f>"机电工程学院"</f>
        <v>机电工程学院</v>
      </c>
    </row>
    <row r="7641" ht="13.5" hidden="1" spans="1:5">
      <c r="A7641" s="2" t="str">
        <f>"彭荣军"</f>
        <v>彭荣军</v>
      </c>
      <c r="B7641" s="2" t="str">
        <f>"B20230404114"</f>
        <v>B20230404114</v>
      </c>
      <c r="C7641" s="2" t="str">
        <f>"男"</f>
        <v>男</v>
      </c>
      <c r="D7641" s="2" t="str">
        <f>"4"</f>
        <v>4</v>
      </c>
      <c r="E7641" s="2" t="str">
        <f>"电子信息与电气工程学院"</f>
        <v>电子信息与电气工程学院</v>
      </c>
    </row>
    <row r="7642" ht="13.5" hidden="1" spans="1:5">
      <c r="A7642" s="2" t="str">
        <f>"毛鑫钿"</f>
        <v>毛鑫钿</v>
      </c>
      <c r="B7642" s="2" t="str">
        <f>"B20230601230"</f>
        <v>B20230601230</v>
      </c>
      <c r="C7642" s="2" t="str">
        <f>"男"</f>
        <v>男</v>
      </c>
      <c r="D7642" s="2" t="str">
        <f>"4"</f>
        <v>4</v>
      </c>
      <c r="E7642" s="2" t="str">
        <f>"法学院"</f>
        <v>法学院</v>
      </c>
    </row>
    <row r="7643" ht="13.5" hidden="1" spans="1:5">
      <c r="A7643" s="2" t="str">
        <f>"卢路"</f>
        <v>卢路</v>
      </c>
      <c r="B7643" s="2" t="str">
        <f>"B20210705124"</f>
        <v>B20210705124</v>
      </c>
      <c r="C7643" s="2" t="str">
        <f>"男"</f>
        <v>男</v>
      </c>
      <c r="D7643" s="2" t="str">
        <f>"4"</f>
        <v>4</v>
      </c>
      <c r="E7643" s="2" t="str">
        <f>"马栏山新媒体学院"</f>
        <v>马栏山新媒体学院</v>
      </c>
    </row>
    <row r="7644" ht="13.5" hidden="1" spans="1:5">
      <c r="A7644" s="2" t="str">
        <f>"杨嘉乐"</f>
        <v>杨嘉乐</v>
      </c>
      <c r="B7644" s="2" t="str">
        <f>"B20221001105"</f>
        <v>B20221001105</v>
      </c>
      <c r="C7644" s="2" t="str">
        <f>"男"</f>
        <v>男</v>
      </c>
      <c r="D7644" s="2" t="str">
        <f>"4"</f>
        <v>4</v>
      </c>
      <c r="E7644" s="2" t="str">
        <f>"艺术设计学院"</f>
        <v>艺术设计学院</v>
      </c>
    </row>
    <row r="7645" ht="13.5" hidden="1" spans="1:5">
      <c r="A7645" s="2" t="str">
        <f>"杨颖甜"</f>
        <v>杨颖甜</v>
      </c>
      <c r="B7645" s="2" t="str">
        <f>"B20220701201"</f>
        <v>B20220701201</v>
      </c>
      <c r="C7645" s="2" t="str">
        <f>"女"</f>
        <v>女</v>
      </c>
      <c r="D7645" s="2" t="str">
        <f>"4"</f>
        <v>4</v>
      </c>
      <c r="E7645" s="2" t="str">
        <f>"马栏山新媒体学院"</f>
        <v>马栏山新媒体学院</v>
      </c>
    </row>
    <row r="7646" ht="13.5" hidden="1" spans="1:5">
      <c r="A7646" s="2" t="str">
        <f>"李艳芳"</f>
        <v>李艳芳</v>
      </c>
      <c r="B7646" s="2" t="str">
        <f>"B20200503104"</f>
        <v>B20200503104</v>
      </c>
      <c r="C7646" s="2" t="str">
        <f>"女"</f>
        <v>女</v>
      </c>
      <c r="D7646" s="2" t="str">
        <f>"4"</f>
        <v>4</v>
      </c>
      <c r="E7646" s="2" t="str">
        <f>"生物与环境工程学院"</f>
        <v>生物与环境工程学院</v>
      </c>
    </row>
    <row r="7647" ht="13.5" hidden="1" spans="1:5">
      <c r="A7647" s="2" t="str">
        <f>"向成"</f>
        <v>向成</v>
      </c>
      <c r="B7647" s="2" t="str">
        <f>"B20230404110"</f>
        <v>B20230404110</v>
      </c>
      <c r="C7647" s="2" t="str">
        <f>"男"</f>
        <v>男</v>
      </c>
      <c r="D7647" s="2" t="str">
        <f>"4"</f>
        <v>4</v>
      </c>
      <c r="E7647" s="2" t="str">
        <f>"电子信息与电气工程学院"</f>
        <v>电子信息与电气工程学院</v>
      </c>
    </row>
    <row r="7648" ht="13.5" hidden="1" spans="1:5">
      <c r="A7648" s="2" t="str">
        <f>"陈澜"</f>
        <v>陈澜</v>
      </c>
      <c r="B7648" s="2" t="str">
        <f>"B20230704403"</f>
        <v>B20230704403</v>
      </c>
      <c r="C7648" s="2" t="str">
        <f>"女"</f>
        <v>女</v>
      </c>
      <c r="D7648" s="2" t="str">
        <f>"4"</f>
        <v>4</v>
      </c>
      <c r="E7648" s="2" t="str">
        <f>"马栏山新媒体学院"</f>
        <v>马栏山新媒体学院</v>
      </c>
    </row>
    <row r="7649" ht="13.5" hidden="1" spans="1:5">
      <c r="A7649" s="2" t="str">
        <f>"伍奕"</f>
        <v>伍奕</v>
      </c>
      <c r="B7649" s="2" t="str">
        <f>"B20221301109"</f>
        <v>B20221301109</v>
      </c>
      <c r="C7649" s="2" t="str">
        <f>"男"</f>
        <v>男</v>
      </c>
      <c r="D7649" s="2" t="str">
        <f>"4"</f>
        <v>4</v>
      </c>
      <c r="E7649" s="2" t="str">
        <f>"材料与环境工程学院"</f>
        <v>材料与环境工程学院</v>
      </c>
    </row>
    <row r="7650" ht="13.5" hidden="1" spans="1:5">
      <c r="A7650" s="2" t="str">
        <f>"伍晋葳"</f>
        <v>伍晋葳</v>
      </c>
      <c r="B7650" s="2" t="str">
        <f>"B20210103219"</f>
        <v>B20210103219</v>
      </c>
      <c r="C7650" s="2" t="str">
        <f>"男"</f>
        <v>男</v>
      </c>
      <c r="D7650" s="2" t="str">
        <f>"4"</f>
        <v>4</v>
      </c>
      <c r="E7650" s="2" t="str">
        <f>"土木工程学院"</f>
        <v>土木工程学院</v>
      </c>
    </row>
    <row r="7651" ht="13.5" hidden="1" spans="1:5">
      <c r="A7651" s="2" t="str">
        <f>"韦也娜"</f>
        <v>韦也娜</v>
      </c>
      <c r="B7651" s="2" t="str">
        <f>"B20220901134"</f>
        <v>B20220901134</v>
      </c>
      <c r="C7651" s="2" t="str">
        <f>"女"</f>
        <v>女</v>
      </c>
      <c r="D7651" s="2" t="str">
        <f>"4"</f>
        <v>4</v>
      </c>
      <c r="E7651" s="2" t="str">
        <f>"经济与管理学院"</f>
        <v>经济与管理学院</v>
      </c>
    </row>
    <row r="7652" ht="13.5" hidden="1" spans="1:5">
      <c r="A7652" s="2" t="str">
        <f>"李运发"</f>
        <v>李运发</v>
      </c>
      <c r="B7652" s="2" t="str">
        <f>"B20230402121"</f>
        <v>B20230402121</v>
      </c>
      <c r="C7652" s="2" t="str">
        <f>"男"</f>
        <v>男</v>
      </c>
      <c r="D7652" s="2" t="str">
        <f>"4"</f>
        <v>4</v>
      </c>
      <c r="E7652" s="2" t="str">
        <f>"电子信息与电气工程学院"</f>
        <v>电子信息与电气工程学院</v>
      </c>
    </row>
    <row r="7653" ht="13.5" hidden="1" spans="1:5">
      <c r="A7653" s="2" t="str">
        <f>"李紫妍"</f>
        <v>李紫妍</v>
      </c>
      <c r="B7653" s="2" t="str">
        <f>"B20230901221"</f>
        <v>B20230901221</v>
      </c>
      <c r="C7653" s="2" t="str">
        <f t="shared" ref="C7653:C7658" si="1916">"女"</f>
        <v>女</v>
      </c>
      <c r="D7653" s="2" t="str">
        <f>"4"</f>
        <v>4</v>
      </c>
      <c r="E7653" s="2" t="str">
        <f>"经济与管理学院"</f>
        <v>经济与管理学院</v>
      </c>
    </row>
    <row r="7654" ht="13.5" hidden="1" spans="1:5">
      <c r="A7654" s="2" t="str">
        <f>"刘嘉玲"</f>
        <v>刘嘉玲</v>
      </c>
      <c r="B7654" s="2" t="str">
        <f>"B20220601202"</f>
        <v>B20220601202</v>
      </c>
      <c r="C7654" s="2" t="str">
        <f t="shared" si="1916"/>
        <v>女</v>
      </c>
      <c r="D7654" s="2" t="str">
        <f>"4"</f>
        <v>4</v>
      </c>
      <c r="E7654" s="2" t="str">
        <f>"法学院"</f>
        <v>法学院</v>
      </c>
    </row>
    <row r="7655" ht="13.5" hidden="1" spans="1:5">
      <c r="A7655" s="2" t="str">
        <f>"王贤达"</f>
        <v>王贤达</v>
      </c>
      <c r="B7655" s="2" t="str">
        <f>"B20200505237"</f>
        <v>B20200505237</v>
      </c>
      <c r="C7655" s="2" t="str">
        <f t="shared" ref="C7655:C7661" si="1917">"男"</f>
        <v>男</v>
      </c>
      <c r="D7655" s="2" t="str">
        <f>"4"</f>
        <v>4</v>
      </c>
      <c r="E7655" s="2" t="str">
        <f>"生物与环境工程学院"</f>
        <v>生物与环境工程学院</v>
      </c>
    </row>
    <row r="7656" ht="13.5" hidden="1" spans="1:5">
      <c r="A7656" s="2" t="str">
        <f>"徐晨露"</f>
        <v>徐晨露</v>
      </c>
      <c r="B7656" s="2" t="str">
        <f>"B20200505231"</f>
        <v>B20200505231</v>
      </c>
      <c r="C7656" s="2" t="str">
        <f t="shared" si="1916"/>
        <v>女</v>
      </c>
      <c r="D7656" s="2" t="str">
        <f>"4"</f>
        <v>4</v>
      </c>
      <c r="E7656" s="2" t="str">
        <f>"生物与环境工程学院"</f>
        <v>生物与环境工程学院</v>
      </c>
    </row>
    <row r="7657" ht="13.5" hidden="1" spans="1:5">
      <c r="A7657" s="2" t="str">
        <f>"范栎丹"</f>
        <v>范栎丹</v>
      </c>
      <c r="B7657" s="2" t="str">
        <f>"B20231003206"</f>
        <v>B20231003206</v>
      </c>
      <c r="C7657" s="2" t="str">
        <f t="shared" si="1916"/>
        <v>女</v>
      </c>
      <c r="D7657" s="2" t="str">
        <f>"4"</f>
        <v>4</v>
      </c>
      <c r="E7657" s="2" t="str">
        <f>"艺术设计学院"</f>
        <v>艺术设计学院</v>
      </c>
    </row>
    <row r="7658" ht="13.5" hidden="1" spans="1:5">
      <c r="A7658" s="2" t="str">
        <f>"黎诗怡"</f>
        <v>黎诗怡</v>
      </c>
      <c r="B7658" s="2" t="str">
        <f>"B20231003104"</f>
        <v>B20231003104</v>
      </c>
      <c r="C7658" s="2" t="str">
        <f t="shared" si="1916"/>
        <v>女</v>
      </c>
      <c r="D7658" s="2" t="str">
        <f>"4"</f>
        <v>4</v>
      </c>
      <c r="E7658" s="2" t="str">
        <f>"艺术设计学院"</f>
        <v>艺术设计学院</v>
      </c>
    </row>
    <row r="7659" ht="13.5" hidden="1" spans="1:5">
      <c r="A7659" s="2" t="str">
        <f>"叶富玮"</f>
        <v>叶富玮</v>
      </c>
      <c r="B7659" s="2" t="str">
        <f>"B20230101304"</f>
        <v>B20230101304</v>
      </c>
      <c r="C7659" s="2" t="str">
        <f t="shared" si="1917"/>
        <v>男</v>
      </c>
      <c r="D7659" s="2" t="str">
        <f>"4"</f>
        <v>4</v>
      </c>
      <c r="E7659" s="2" t="str">
        <f>"土木工程学院"</f>
        <v>土木工程学院</v>
      </c>
    </row>
    <row r="7660" ht="13.5" hidden="1" spans="1:5">
      <c r="A7660" s="2" t="str">
        <f>"夏昊翔"</f>
        <v>夏昊翔</v>
      </c>
      <c r="B7660" s="2" t="str">
        <f>"B20230904316"</f>
        <v>B20230904316</v>
      </c>
      <c r="C7660" s="2" t="str">
        <f t="shared" si="1917"/>
        <v>男</v>
      </c>
      <c r="D7660" s="2" t="str">
        <f>"4"</f>
        <v>4</v>
      </c>
      <c r="E7660" s="2" t="str">
        <f>"经济与管理学院"</f>
        <v>经济与管理学院</v>
      </c>
    </row>
    <row r="7661" ht="13.5" hidden="1" spans="1:5">
      <c r="A7661" s="2" t="str">
        <f>"梅逸涵"</f>
        <v>梅逸涵</v>
      </c>
      <c r="B7661" s="2" t="str">
        <f>"B20200701223"</f>
        <v>B20200701223</v>
      </c>
      <c r="C7661" s="2" t="str">
        <f t="shared" si="1917"/>
        <v>男</v>
      </c>
      <c r="D7661" s="2" t="str">
        <f>"4"</f>
        <v>4</v>
      </c>
      <c r="E7661" s="2" t="str">
        <f>"马栏山新媒体学院"</f>
        <v>马栏山新媒体学院</v>
      </c>
    </row>
    <row r="7662" ht="13.5" hidden="1" spans="1:5">
      <c r="A7662" s="2" t="str">
        <f>"谢耀娴"</f>
        <v>谢耀娴</v>
      </c>
      <c r="B7662" s="2" t="str">
        <f>"B20220901102"</f>
        <v>B20220901102</v>
      </c>
      <c r="C7662" s="2" t="str">
        <f>"女"</f>
        <v>女</v>
      </c>
      <c r="D7662" s="2" t="str">
        <f>"4"</f>
        <v>4</v>
      </c>
      <c r="E7662" s="2" t="str">
        <f>"经济与管理学院"</f>
        <v>经济与管理学院</v>
      </c>
    </row>
    <row r="7663" ht="13.5" hidden="1" spans="1:5">
      <c r="A7663" s="2" t="str">
        <f>"肖玉坤"</f>
        <v>肖玉坤</v>
      </c>
      <c r="B7663" s="2" t="str">
        <f>"B20200201317"</f>
        <v>B20200201317</v>
      </c>
      <c r="C7663" s="2" t="str">
        <f>"男"</f>
        <v>男</v>
      </c>
      <c r="D7663" s="2" t="str">
        <f>"4"</f>
        <v>4</v>
      </c>
      <c r="E7663" s="2" t="str">
        <f>"机电工程学院"</f>
        <v>机电工程学院</v>
      </c>
    </row>
    <row r="7664" ht="13.5" hidden="1" spans="1:5">
      <c r="A7664" s="2" t="str">
        <f>"王灵丹"</f>
        <v>王灵丹</v>
      </c>
      <c r="B7664" s="2" t="str">
        <f>"B20231101302"</f>
        <v>B20231101302</v>
      </c>
      <c r="C7664" s="2" t="str">
        <f>"女"</f>
        <v>女</v>
      </c>
      <c r="D7664" s="2" t="str">
        <f>"4"</f>
        <v>4</v>
      </c>
      <c r="E7664" s="2" t="str">
        <f>"音乐学院"</f>
        <v>音乐学院</v>
      </c>
    </row>
    <row r="7665" ht="13.5" hidden="1" spans="1:5">
      <c r="A7665" s="2" t="str">
        <f>"陈卓"</f>
        <v>陈卓</v>
      </c>
      <c r="B7665" s="2" t="str">
        <f>"B20220504125"</f>
        <v>B20220504125</v>
      </c>
      <c r="C7665" s="2" t="str">
        <f>"男"</f>
        <v>男</v>
      </c>
      <c r="D7665" s="2" t="str">
        <f>"4"</f>
        <v>4</v>
      </c>
      <c r="E7665" s="2" t="str">
        <f>"生物与化学工程学院"</f>
        <v>生物与化学工程学院</v>
      </c>
    </row>
    <row r="7666" ht="13.5" hidden="1" spans="1:5">
      <c r="A7666" s="2" t="str">
        <f>"张婷"</f>
        <v>张婷</v>
      </c>
      <c r="B7666" s="2" t="str">
        <f>"B20210801522"</f>
        <v>B20210801522</v>
      </c>
      <c r="C7666" s="2" t="str">
        <f>"女"</f>
        <v>女</v>
      </c>
      <c r="D7666" s="2" t="str">
        <f>"4"</f>
        <v>4</v>
      </c>
      <c r="E7666" s="2" t="str">
        <f>"外国语学院"</f>
        <v>外国语学院</v>
      </c>
    </row>
    <row r="7667" ht="13.5" hidden="1" spans="1:5">
      <c r="A7667" s="2" t="str">
        <f>"邹奕"</f>
        <v>邹奕</v>
      </c>
      <c r="B7667" s="2" t="str">
        <f>"B20230906115"</f>
        <v>B20230906115</v>
      </c>
      <c r="C7667" s="2" t="str">
        <f>"男"</f>
        <v>男</v>
      </c>
      <c r="D7667" s="2" t="str">
        <f>"4"</f>
        <v>4</v>
      </c>
      <c r="E7667" s="2" t="str">
        <f>"经济与管理学院"</f>
        <v>经济与管理学院</v>
      </c>
    </row>
    <row r="7668" ht="13.5" hidden="1" spans="1:5">
      <c r="A7668" s="2" t="str">
        <f>"颜炜进"</f>
        <v>颜炜进</v>
      </c>
      <c r="B7668" s="2" t="str">
        <f>"B20230103221"</f>
        <v>B20230103221</v>
      </c>
      <c r="C7668" s="2" t="str">
        <f>"男"</f>
        <v>男</v>
      </c>
      <c r="D7668" s="2" t="str">
        <f>"4"</f>
        <v>4</v>
      </c>
      <c r="E7668" s="2" t="str">
        <f>"土木工程学院"</f>
        <v>土木工程学院</v>
      </c>
    </row>
    <row r="7669" ht="13.5" hidden="1" spans="1:5">
      <c r="A7669" s="2" t="str">
        <f>"熊昕怡"</f>
        <v>熊昕怡</v>
      </c>
      <c r="B7669" s="2" t="str">
        <f>"B20200203121"</f>
        <v>B20200203121</v>
      </c>
      <c r="C7669" s="2" t="str">
        <f>"女"</f>
        <v>女</v>
      </c>
      <c r="D7669" s="2" t="str">
        <f>"4"</f>
        <v>4</v>
      </c>
      <c r="E7669" s="2" t="str">
        <f>"马栏山新媒体学院"</f>
        <v>马栏山新媒体学院</v>
      </c>
    </row>
    <row r="7670" ht="13.5" hidden="1" spans="1:5">
      <c r="A7670" s="2" t="str">
        <f>"曹芷若"</f>
        <v>曹芷若</v>
      </c>
      <c r="B7670" s="2" t="str">
        <f>"B20200103238"</f>
        <v>B20200103238</v>
      </c>
      <c r="C7670" s="2" t="str">
        <f>"女"</f>
        <v>女</v>
      </c>
      <c r="D7670" s="2" t="str">
        <f>"4"</f>
        <v>4</v>
      </c>
      <c r="E7670" s="2" t="str">
        <f>"土木工程学院"</f>
        <v>土木工程学院</v>
      </c>
    </row>
    <row r="7671" ht="13.5" hidden="1" spans="1:5">
      <c r="A7671" s="2" t="str">
        <f>"陈振昌"</f>
        <v>陈振昌</v>
      </c>
      <c r="B7671" s="2" t="str">
        <f>"B20230101403"</f>
        <v>B20230101403</v>
      </c>
      <c r="C7671" s="2" t="str">
        <f t="shared" ref="C7671:C7674" si="1918">"男"</f>
        <v>男</v>
      </c>
      <c r="D7671" s="2" t="str">
        <f>"4"</f>
        <v>4</v>
      </c>
      <c r="E7671" s="2" t="str">
        <f>"土木工程学院"</f>
        <v>土木工程学院</v>
      </c>
    </row>
    <row r="7672" ht="13.5" hidden="1" spans="1:5">
      <c r="A7672" s="2" t="str">
        <f>"王翼洲"</f>
        <v>王翼洲</v>
      </c>
      <c r="B7672" s="2" t="str">
        <f>"B20231301201"</f>
        <v>B20231301201</v>
      </c>
      <c r="C7672" s="2" t="str">
        <f t="shared" si="1918"/>
        <v>男</v>
      </c>
      <c r="D7672" s="2" t="str">
        <f>"4"</f>
        <v>4</v>
      </c>
      <c r="E7672" s="2" t="str">
        <f>"材料与环境工程学院"</f>
        <v>材料与环境工程学院</v>
      </c>
    </row>
    <row r="7673" ht="13.5" hidden="1" spans="1:5">
      <c r="A7673" s="2" t="str">
        <f>"彭扬"</f>
        <v>彭扬</v>
      </c>
      <c r="B7673" s="2" t="str">
        <f>"B20220501229"</f>
        <v>B20220501229</v>
      </c>
      <c r="C7673" s="2" t="str">
        <f t="shared" si="1918"/>
        <v>男</v>
      </c>
      <c r="D7673" s="2" t="str">
        <f>"4"</f>
        <v>4</v>
      </c>
      <c r="E7673" s="2" t="str">
        <f>"生物与化学工程学院"</f>
        <v>生物与化学工程学院</v>
      </c>
    </row>
    <row r="7674" ht="13.5" hidden="1" spans="1:5">
      <c r="A7674" s="2" t="str">
        <f>"李浩杰"</f>
        <v>李浩杰</v>
      </c>
      <c r="B7674" s="2" t="str">
        <f>"B20220101238"</f>
        <v>B20220101238</v>
      </c>
      <c r="C7674" s="2" t="str">
        <f t="shared" si="1918"/>
        <v>男</v>
      </c>
      <c r="D7674" s="2" t="str">
        <f>"4"</f>
        <v>4</v>
      </c>
      <c r="E7674" s="2" t="str">
        <f>"土木工程学院"</f>
        <v>土木工程学院</v>
      </c>
    </row>
    <row r="7675" ht="13.5" hidden="1" spans="1:5">
      <c r="A7675" s="2" t="str">
        <f>"彭苏"</f>
        <v>彭苏</v>
      </c>
      <c r="B7675" s="2" t="str">
        <f>"B20220905232"</f>
        <v>B20220905232</v>
      </c>
      <c r="C7675" s="2" t="str">
        <f>"女"</f>
        <v>女</v>
      </c>
      <c r="D7675" s="2" t="str">
        <f>"4"</f>
        <v>4</v>
      </c>
      <c r="E7675" s="2" t="str">
        <f>"经济与管理学院"</f>
        <v>经济与管理学院</v>
      </c>
    </row>
    <row r="7676" ht="13.5" hidden="1" spans="1:5">
      <c r="A7676" s="2" t="str">
        <f>"蒋鼎"</f>
        <v>蒋鼎</v>
      </c>
      <c r="B7676" s="2" t="str">
        <f>"B20200803222"</f>
        <v>B20200803222</v>
      </c>
      <c r="C7676" s="2" t="str">
        <f>"男"</f>
        <v>男</v>
      </c>
      <c r="D7676" s="2" t="str">
        <f>"4"</f>
        <v>4</v>
      </c>
      <c r="E7676" s="2" t="str">
        <f>"外国语学院"</f>
        <v>外国语学院</v>
      </c>
    </row>
    <row r="7677" ht="13.5" hidden="1" spans="1:5">
      <c r="A7677" s="2" t="str">
        <f>"周梓钰"</f>
        <v>周梓钰</v>
      </c>
      <c r="B7677" s="2" t="str">
        <f>"B20210701228"</f>
        <v>B20210701228</v>
      </c>
      <c r="C7677" s="2" t="str">
        <f>"女"</f>
        <v>女</v>
      </c>
      <c r="D7677" s="2" t="str">
        <f>"4"</f>
        <v>4</v>
      </c>
      <c r="E7677" s="2" t="str">
        <f>"马栏山新媒体学院"</f>
        <v>马栏山新媒体学院</v>
      </c>
    </row>
    <row r="7678" ht="13.5" hidden="1" spans="1:5">
      <c r="A7678" s="2" t="str">
        <f>"万佳琪"</f>
        <v>万佳琪</v>
      </c>
      <c r="B7678" s="2" t="str">
        <f>"B20230702213"</f>
        <v>B20230702213</v>
      </c>
      <c r="C7678" s="2" t="str">
        <f>"女"</f>
        <v>女</v>
      </c>
      <c r="D7678" s="2" t="str">
        <f>"4"</f>
        <v>4</v>
      </c>
      <c r="E7678" s="2" t="str">
        <f>"马栏山新媒体学院"</f>
        <v>马栏山新媒体学院</v>
      </c>
    </row>
    <row r="7679" ht="13.5" hidden="1" spans="1:5">
      <c r="A7679" s="2" t="str">
        <f>"涂莹"</f>
        <v>涂莹</v>
      </c>
      <c r="B7679" s="2" t="str">
        <f>"B20221003116"</f>
        <v>B20221003116</v>
      </c>
      <c r="C7679" s="2" t="str">
        <f>"女"</f>
        <v>女</v>
      </c>
      <c r="D7679" s="2" t="str">
        <f>"4"</f>
        <v>4</v>
      </c>
      <c r="E7679" s="2" t="str">
        <f>"艺术设计学院"</f>
        <v>艺术设计学院</v>
      </c>
    </row>
    <row r="7680" ht="13.5" hidden="1" spans="1:5">
      <c r="A7680" s="2" t="str">
        <f>"詹子怡"</f>
        <v>詹子怡</v>
      </c>
      <c r="B7680" s="2" t="str">
        <f>"B20230802107"</f>
        <v>B20230802107</v>
      </c>
      <c r="C7680" s="2" t="str">
        <f>"女"</f>
        <v>女</v>
      </c>
      <c r="D7680" s="2" t="str">
        <f>"4"</f>
        <v>4</v>
      </c>
      <c r="E7680" s="2" t="str">
        <f>"外国语学院"</f>
        <v>外国语学院</v>
      </c>
    </row>
    <row r="7681" ht="13.5" hidden="1" spans="1:5">
      <c r="A7681" s="2" t="str">
        <f>"李可豪"</f>
        <v>李可豪</v>
      </c>
      <c r="B7681" s="2" t="str">
        <f>"B20230202211"</f>
        <v>B20230202211</v>
      </c>
      <c r="C7681" s="2" t="str">
        <f>"男"</f>
        <v>男</v>
      </c>
      <c r="D7681" s="2" t="str">
        <f>"4"</f>
        <v>4</v>
      </c>
      <c r="E7681" s="2" t="str">
        <f>"机电工程学院"</f>
        <v>机电工程学院</v>
      </c>
    </row>
    <row r="7682" ht="13.5" hidden="1" spans="1:5">
      <c r="A7682" s="2" t="str">
        <f>"郑孝康"</f>
        <v>郑孝康</v>
      </c>
      <c r="B7682" s="2" t="str">
        <f>"B20230401411"</f>
        <v>B20230401411</v>
      </c>
      <c r="C7682" s="2" t="str">
        <f>"男"</f>
        <v>男</v>
      </c>
      <c r="D7682" s="2" t="str">
        <f>"4"</f>
        <v>4</v>
      </c>
      <c r="E7682" s="2" t="str">
        <f>"电子信息与电气工程学院"</f>
        <v>电子信息与电气工程学院</v>
      </c>
    </row>
    <row r="7683" ht="13.5" hidden="1" spans="1:5">
      <c r="A7683" s="2" t="str">
        <f>"文彦茜"</f>
        <v>文彦茜</v>
      </c>
      <c r="B7683" s="2" t="str">
        <f>"B20231003113"</f>
        <v>B20231003113</v>
      </c>
      <c r="C7683" s="2" t="str">
        <f t="shared" ref="C7683:C7687" si="1919">"女"</f>
        <v>女</v>
      </c>
      <c r="D7683" s="2" t="str">
        <f t="shared" ref="D7683:D7688" si="1920">"4"</f>
        <v>4</v>
      </c>
      <c r="E7683" s="2" t="str">
        <f>"艺术设计学院"</f>
        <v>艺术设计学院</v>
      </c>
    </row>
    <row r="7684" ht="13.5" hidden="1" spans="1:5">
      <c r="A7684" s="2" t="str">
        <f>"朱懿"</f>
        <v>朱懿</v>
      </c>
      <c r="B7684" s="2" t="str">
        <f>"B20210801523"</f>
        <v>B20210801523</v>
      </c>
      <c r="C7684" s="2" t="str">
        <f t="shared" si="1919"/>
        <v>女</v>
      </c>
      <c r="D7684" s="2" t="str">
        <f t="shared" si="1920"/>
        <v>4</v>
      </c>
      <c r="E7684" s="2" t="str">
        <f>"外国语学院"</f>
        <v>外国语学院</v>
      </c>
    </row>
    <row r="7685" ht="13.5" hidden="1" spans="1:5">
      <c r="A7685" s="2" t="str">
        <f>"马心怡"</f>
        <v>马心怡</v>
      </c>
      <c r="B7685" s="2" t="str">
        <f>"B20220802125"</f>
        <v>B20220802125</v>
      </c>
      <c r="C7685" s="2" t="str">
        <f t="shared" si="1919"/>
        <v>女</v>
      </c>
      <c r="D7685" s="2" t="str">
        <f t="shared" si="1920"/>
        <v>4</v>
      </c>
      <c r="E7685" s="2" t="str">
        <f>"外国语学院"</f>
        <v>外国语学院</v>
      </c>
    </row>
    <row r="7686" ht="13.5" hidden="1" spans="1:5">
      <c r="A7686" s="2" t="str">
        <f>"刘雨佳"</f>
        <v>刘雨佳</v>
      </c>
      <c r="B7686" s="2" t="str">
        <f>"B20230704114"</f>
        <v>B20230704114</v>
      </c>
      <c r="C7686" s="2" t="str">
        <f t="shared" si="1919"/>
        <v>女</v>
      </c>
      <c r="D7686" s="2" t="str">
        <f t="shared" si="1920"/>
        <v>4</v>
      </c>
      <c r="E7686" s="2" t="str">
        <f>"马栏山新媒体学院"</f>
        <v>马栏山新媒体学院</v>
      </c>
    </row>
    <row r="7687" ht="13.5" hidden="1" spans="1:5">
      <c r="A7687" s="2" t="str">
        <f>"宋雨恣"</f>
        <v>宋雨恣</v>
      </c>
      <c r="B7687" s="2" t="str">
        <f>"B20220401216"</f>
        <v>B20220401216</v>
      </c>
      <c r="C7687" s="2" t="str">
        <f t="shared" si="1919"/>
        <v>女</v>
      </c>
      <c r="D7687" s="2" t="str">
        <f t="shared" si="1920"/>
        <v>4</v>
      </c>
      <c r="E7687" s="2" t="str">
        <f>"电子信息与电气工程学院"</f>
        <v>电子信息与电气工程学院</v>
      </c>
    </row>
    <row r="7688" ht="13.5" hidden="1" spans="1:5">
      <c r="A7688" s="2" t="str">
        <f>"杨宇成"</f>
        <v>杨宇成</v>
      </c>
      <c r="B7688" s="2" t="str">
        <f>"B20230502122"</f>
        <v>B20230502122</v>
      </c>
      <c r="C7688" s="2" t="str">
        <f>"男"</f>
        <v>男</v>
      </c>
      <c r="D7688" s="2" t="str">
        <f t="shared" si="1920"/>
        <v>4</v>
      </c>
      <c r="E7688" s="2" t="str">
        <f>"生物与化学工程学院"</f>
        <v>生物与化学工程学院</v>
      </c>
    </row>
    <row r="7689" ht="13.5" hidden="1" spans="1:5">
      <c r="A7689" s="2" t="str">
        <f>"丁娜"</f>
        <v>丁娜</v>
      </c>
      <c r="B7689" s="2" t="str">
        <f>"B20231002124"</f>
        <v>B20231002124</v>
      </c>
      <c r="C7689" s="2" t="str">
        <f>"女"</f>
        <v>女</v>
      </c>
      <c r="D7689" s="2" t="str">
        <f>"4"</f>
        <v>4</v>
      </c>
      <c r="E7689" s="2" t="str">
        <f>"艺术设计学院"</f>
        <v>艺术设计学院</v>
      </c>
    </row>
    <row r="7690" ht="13.5" hidden="1" spans="1:5">
      <c r="A7690" s="2" t="str">
        <f>"阳梅"</f>
        <v>阳梅</v>
      </c>
      <c r="B7690" s="2" t="str">
        <f>"B20230701213"</f>
        <v>B20230701213</v>
      </c>
      <c r="C7690" s="2" t="str">
        <f>"女"</f>
        <v>女</v>
      </c>
      <c r="D7690" s="2" t="str">
        <f>"4"</f>
        <v>4</v>
      </c>
      <c r="E7690" s="2" t="str">
        <f>"马栏山新媒体学院"</f>
        <v>马栏山新媒体学院</v>
      </c>
    </row>
    <row r="7691" ht="13.5" hidden="1" spans="1:5">
      <c r="A7691" s="2" t="str">
        <f>"赵天荣"</f>
        <v>赵天荣</v>
      </c>
      <c r="B7691" s="2" t="str">
        <f>"B20230502208"</f>
        <v>B20230502208</v>
      </c>
      <c r="C7691" s="2" t="str">
        <f>"男"</f>
        <v>男</v>
      </c>
      <c r="D7691" s="2" t="str">
        <f>"4"</f>
        <v>4</v>
      </c>
      <c r="E7691" s="2" t="str">
        <f>"生物与化学工程学院"</f>
        <v>生物与化学工程学院</v>
      </c>
    </row>
    <row r="7692" ht="13.5" hidden="1" spans="1:5">
      <c r="A7692" s="2" t="str">
        <f>"刘安琪"</f>
        <v>刘安琪</v>
      </c>
      <c r="B7692" s="2" t="str">
        <f>"B20201002410"</f>
        <v>B20201002410</v>
      </c>
      <c r="C7692" s="2" t="str">
        <f>"女"</f>
        <v>女</v>
      </c>
      <c r="D7692" s="2" t="str">
        <f>"4"</f>
        <v>4</v>
      </c>
      <c r="E7692" s="2" t="str">
        <f>"艺术设计学院"</f>
        <v>艺术设计学院</v>
      </c>
    </row>
    <row r="7693" ht="13.5" hidden="1" spans="1:5">
      <c r="A7693" s="2" t="str">
        <f>"朱帆"</f>
        <v>朱帆</v>
      </c>
      <c r="B7693" s="2" t="str">
        <f>"B20230101126"</f>
        <v>B20230101126</v>
      </c>
      <c r="C7693" s="2" t="str">
        <f>"男"</f>
        <v>男</v>
      </c>
      <c r="D7693" s="2" t="str">
        <f>"4"</f>
        <v>4</v>
      </c>
      <c r="E7693" s="2" t="str">
        <f>"土木工程学院"</f>
        <v>土木工程学院</v>
      </c>
    </row>
    <row r="7694" ht="13.5" hidden="1" spans="1:5">
      <c r="A7694" s="2" t="str">
        <f>"邢婉靖"</f>
        <v>邢婉靖</v>
      </c>
      <c r="B7694" s="2" t="str">
        <f>"B20231003107"</f>
        <v>B20231003107</v>
      </c>
      <c r="C7694" s="2" t="str">
        <f>"女"</f>
        <v>女</v>
      </c>
      <c r="D7694" s="2" t="str">
        <f>"4"</f>
        <v>4</v>
      </c>
      <c r="E7694" s="2" t="str">
        <f>"艺术设计学院"</f>
        <v>艺术设计学院</v>
      </c>
    </row>
    <row r="7695" ht="13.5" hidden="1" spans="1:5">
      <c r="A7695" s="2" t="str">
        <f>"杜鹏程"</f>
        <v>杜鹏程</v>
      </c>
      <c r="B7695" s="2" t="str">
        <f>"B20230401113"</f>
        <v>B20230401113</v>
      </c>
      <c r="C7695" s="2" t="str">
        <f>"男"</f>
        <v>男</v>
      </c>
      <c r="D7695" s="2" t="str">
        <f>"4"</f>
        <v>4</v>
      </c>
      <c r="E7695" s="2" t="str">
        <f>"电子信息与电气工程学院"</f>
        <v>电子信息与电气工程学院</v>
      </c>
    </row>
    <row r="7696" ht="13.5" hidden="1" spans="1:5">
      <c r="A7696" s="2" t="str">
        <f>"卢鑫"</f>
        <v>卢鑫</v>
      </c>
      <c r="B7696" s="2" t="str">
        <f>"B20210204219"</f>
        <v>B20210204219</v>
      </c>
      <c r="C7696" s="2" t="str">
        <f>"男"</f>
        <v>男</v>
      </c>
      <c r="D7696" s="2" t="str">
        <f>"4"</f>
        <v>4</v>
      </c>
      <c r="E7696" s="2" t="str">
        <f>"机电工程学院"</f>
        <v>机电工程学院</v>
      </c>
    </row>
    <row r="7697" ht="13.5" hidden="1" spans="1:5">
      <c r="A7697" s="2" t="str">
        <f>"毛璐"</f>
        <v>毛璐</v>
      </c>
      <c r="B7697" s="2" t="str">
        <f>"B20210701317"</f>
        <v>B20210701317</v>
      </c>
      <c r="C7697" s="2" t="str">
        <f t="shared" ref="C7697:C7699" si="1921">"女"</f>
        <v>女</v>
      </c>
      <c r="D7697" s="2" t="str">
        <f>"4"</f>
        <v>4</v>
      </c>
      <c r="E7697" s="2" t="str">
        <f>"马栏山新媒体学院"</f>
        <v>马栏山新媒体学院</v>
      </c>
    </row>
    <row r="7698" ht="13.5" hidden="1" spans="1:5">
      <c r="A7698" s="2" t="str">
        <f>"李馨婷"</f>
        <v>李馨婷</v>
      </c>
      <c r="B7698" s="2" t="str">
        <f>"B20210502101"</f>
        <v>B20210502101</v>
      </c>
      <c r="C7698" s="2" t="str">
        <f t="shared" si="1921"/>
        <v>女</v>
      </c>
      <c r="D7698" s="2" t="str">
        <f>"4"</f>
        <v>4</v>
      </c>
      <c r="E7698" s="2" t="str">
        <f>"生物与化学工程学院"</f>
        <v>生物与化学工程学院</v>
      </c>
    </row>
    <row r="7699" ht="13.5" hidden="1" spans="1:5">
      <c r="A7699" s="2" t="str">
        <f>"金湘玫"</f>
        <v>金湘玫</v>
      </c>
      <c r="B7699" s="2" t="str">
        <f>"B20210801609"</f>
        <v>B20210801609</v>
      </c>
      <c r="C7699" s="2" t="str">
        <f t="shared" si="1921"/>
        <v>女</v>
      </c>
      <c r="D7699" s="2" t="str">
        <f>"4"</f>
        <v>4</v>
      </c>
      <c r="E7699" s="2" t="str">
        <f>"外国语学院"</f>
        <v>外国语学院</v>
      </c>
    </row>
    <row r="7700" ht="13.5" hidden="1" spans="1:5">
      <c r="A7700" s="2" t="str">
        <f>"陈文帅"</f>
        <v>陈文帅</v>
      </c>
      <c r="B7700" s="2" t="str">
        <f>"B20231302120"</f>
        <v>B20231302120</v>
      </c>
      <c r="C7700" s="2" t="str">
        <f t="shared" ref="C7700:C7703" si="1922">"男"</f>
        <v>男</v>
      </c>
      <c r="D7700" s="2" t="str">
        <f>"4"</f>
        <v>4</v>
      </c>
      <c r="E7700" s="2" t="str">
        <f>"材料与环境工程学院"</f>
        <v>材料与环境工程学院</v>
      </c>
    </row>
    <row r="7701" ht="13.5" hidden="1" spans="1:5">
      <c r="A7701" s="2" t="str">
        <f>"孙鑫乾"</f>
        <v>孙鑫乾</v>
      </c>
      <c r="B7701" s="2" t="str">
        <f>"B20220403333"</f>
        <v>B20220403333</v>
      </c>
      <c r="C7701" s="2" t="str">
        <f t="shared" si="1922"/>
        <v>男</v>
      </c>
      <c r="D7701" s="2" t="str">
        <f>"4"</f>
        <v>4</v>
      </c>
      <c r="E7701" s="2" t="str">
        <f>"电子信息与电气工程学院"</f>
        <v>电子信息与电气工程学院</v>
      </c>
    </row>
    <row r="7702" ht="13.5" hidden="1" spans="1:5">
      <c r="A7702" s="2" t="str">
        <f>"龙新聪"</f>
        <v>龙新聪</v>
      </c>
      <c r="B7702" s="2" t="str">
        <f>"B20231301232"</f>
        <v>B20231301232</v>
      </c>
      <c r="C7702" s="2" t="str">
        <f t="shared" si="1922"/>
        <v>男</v>
      </c>
      <c r="D7702" s="2" t="str">
        <f>"4"</f>
        <v>4</v>
      </c>
      <c r="E7702" s="2" t="str">
        <f>"材料与环境工程学院"</f>
        <v>材料与环境工程学院</v>
      </c>
    </row>
    <row r="7703" ht="13.5" hidden="1" spans="1:5">
      <c r="A7703" s="2" t="str">
        <f>"周旺"</f>
        <v>周旺</v>
      </c>
      <c r="B7703" s="2" t="str">
        <f>"B20200101523"</f>
        <v>B20200101523</v>
      </c>
      <c r="C7703" s="2" t="str">
        <f t="shared" si="1922"/>
        <v>男</v>
      </c>
      <c r="D7703" s="2" t="str">
        <f>"4"</f>
        <v>4</v>
      </c>
      <c r="E7703" s="2" t="str">
        <f t="shared" ref="E7703:E7708" si="1923">"土木工程学院"</f>
        <v>土木工程学院</v>
      </c>
    </row>
    <row r="7704" ht="13.5" hidden="1" spans="1:5">
      <c r="A7704" s="2" t="str">
        <f>"车冰阳"</f>
        <v>车冰阳</v>
      </c>
      <c r="B7704" s="2" t="str">
        <f>"B20220104129"</f>
        <v>B20220104129</v>
      </c>
      <c r="C7704" s="2" t="str">
        <f>"女"</f>
        <v>女</v>
      </c>
      <c r="D7704" s="2" t="str">
        <f>"4"</f>
        <v>4</v>
      </c>
      <c r="E7704" s="2" t="str">
        <f t="shared" si="1923"/>
        <v>土木工程学院</v>
      </c>
    </row>
    <row r="7705" ht="13.5" hidden="1" spans="1:5">
      <c r="A7705" s="2" t="str">
        <f>"李祥智"</f>
        <v>李祥智</v>
      </c>
      <c r="B7705" s="2" t="str">
        <f>"B20221004217"</f>
        <v>B20221004217</v>
      </c>
      <c r="C7705" s="2" t="str">
        <f t="shared" ref="C7705:C7708" si="1924">"男"</f>
        <v>男</v>
      </c>
      <c r="D7705" s="2" t="str">
        <f>"4"</f>
        <v>4</v>
      </c>
      <c r="E7705" s="2" t="str">
        <f>"艺术设计学院"</f>
        <v>艺术设计学院</v>
      </c>
    </row>
    <row r="7706" ht="13.5" hidden="1" spans="1:5">
      <c r="A7706" s="2" t="str">
        <f>"张燊"</f>
        <v>张燊</v>
      </c>
      <c r="B7706" s="2" t="str">
        <f>"B20230903116"</f>
        <v>B20230903116</v>
      </c>
      <c r="C7706" s="2" t="str">
        <f t="shared" si="1924"/>
        <v>男</v>
      </c>
      <c r="D7706" s="2" t="str">
        <f>"4"</f>
        <v>4</v>
      </c>
      <c r="E7706" s="2" t="str">
        <f>"经济与管理学院"</f>
        <v>经济与管理学院</v>
      </c>
    </row>
    <row r="7707" ht="13.5" hidden="1" spans="1:5">
      <c r="A7707" s="2" t="str">
        <f>"黄文杰"</f>
        <v>黄文杰</v>
      </c>
      <c r="B7707" s="2" t="str">
        <f>"B20230401409"</f>
        <v>B20230401409</v>
      </c>
      <c r="C7707" s="2" t="str">
        <f t="shared" si="1924"/>
        <v>男</v>
      </c>
      <c r="D7707" s="2" t="str">
        <f>"4"</f>
        <v>4</v>
      </c>
      <c r="E7707" s="2" t="str">
        <f>"电子信息与电气工程学院"</f>
        <v>电子信息与电气工程学院</v>
      </c>
    </row>
    <row r="7708" ht="13.5" hidden="1" spans="1:5">
      <c r="A7708" s="2" t="str">
        <f>"鄢宸卓"</f>
        <v>鄢宸卓</v>
      </c>
      <c r="B7708" s="2" t="str">
        <f>"B20210102201"</f>
        <v>B20210102201</v>
      </c>
      <c r="C7708" s="2" t="str">
        <f t="shared" si="1924"/>
        <v>男</v>
      </c>
      <c r="D7708" s="2" t="str">
        <f>"4"</f>
        <v>4</v>
      </c>
      <c r="E7708" s="2" t="str">
        <f t="shared" si="1923"/>
        <v>土木工程学院</v>
      </c>
    </row>
    <row r="7709" ht="13.5" hidden="1" spans="1:5">
      <c r="A7709" s="2" t="str">
        <f>"夏金花"</f>
        <v>夏金花</v>
      </c>
      <c r="B7709" s="2" t="str">
        <f>"B20210701107"</f>
        <v>B20210701107</v>
      </c>
      <c r="C7709" s="2" t="str">
        <f t="shared" ref="C7709:C7712" si="1925">"女"</f>
        <v>女</v>
      </c>
      <c r="D7709" s="2" t="str">
        <f>"4"</f>
        <v>4</v>
      </c>
      <c r="E7709" s="2" t="str">
        <f>"马栏山新媒体学院"</f>
        <v>马栏山新媒体学院</v>
      </c>
    </row>
    <row r="7710" ht="13.5" hidden="1" spans="1:5">
      <c r="A7710" s="2" t="str">
        <f>"梅紫彤"</f>
        <v>梅紫彤</v>
      </c>
      <c r="B7710" s="2" t="str">
        <f>"B20231002306"</f>
        <v>B20231002306</v>
      </c>
      <c r="C7710" s="2" t="str">
        <f t="shared" si="1925"/>
        <v>女</v>
      </c>
      <c r="D7710" s="2" t="str">
        <f>"4"</f>
        <v>4</v>
      </c>
      <c r="E7710" s="2" t="str">
        <f>"艺术设计学院"</f>
        <v>艺术设计学院</v>
      </c>
    </row>
    <row r="7711" ht="13.5" hidden="1" spans="1:5">
      <c r="A7711" s="2" t="str">
        <f>"尹成明"</f>
        <v>尹成明</v>
      </c>
      <c r="B7711" s="2" t="str">
        <f>"B20210202328"</f>
        <v>B20210202328</v>
      </c>
      <c r="C7711" s="2" t="str">
        <f>"男"</f>
        <v>男</v>
      </c>
      <c r="D7711" s="2" t="str">
        <f>"4"</f>
        <v>4</v>
      </c>
      <c r="E7711" s="2" t="str">
        <f>"机电工程学院"</f>
        <v>机电工程学院</v>
      </c>
    </row>
    <row r="7712" ht="13.5" hidden="1" spans="1:5">
      <c r="A7712" s="2" t="str">
        <f>"黄瑾"</f>
        <v>黄瑾</v>
      </c>
      <c r="B7712" s="2" t="str">
        <f>"B20231401215"</f>
        <v>B20231401215</v>
      </c>
      <c r="C7712" s="2" t="str">
        <f t="shared" si="1925"/>
        <v>女</v>
      </c>
      <c r="D7712" s="2" t="str">
        <f>"4"</f>
        <v>4</v>
      </c>
      <c r="E7712" s="2" t="str">
        <f>"马克思主义学院"</f>
        <v>马克思主义学院</v>
      </c>
    </row>
    <row r="7713" ht="13.5" hidden="1" spans="1:5">
      <c r="A7713" s="2" t="str">
        <f>"郑健雄"</f>
        <v>郑健雄</v>
      </c>
      <c r="B7713" s="2" t="str">
        <f>"B20220201231"</f>
        <v>B20220201231</v>
      </c>
      <c r="C7713" s="2" t="str">
        <f>"男"</f>
        <v>男</v>
      </c>
      <c r="D7713" s="2" t="str">
        <f>"4"</f>
        <v>4</v>
      </c>
      <c r="E7713" s="2" t="str">
        <f>"机电工程学院"</f>
        <v>机电工程学院</v>
      </c>
    </row>
    <row r="7714" ht="13.5" hidden="1" spans="1:5">
      <c r="A7714" s="2" t="str">
        <f>"黎小宇"</f>
        <v>黎小宇</v>
      </c>
      <c r="B7714" s="2" t="str">
        <f>"B20220901332"</f>
        <v>B20220901332</v>
      </c>
      <c r="C7714" s="2" t="str">
        <f>"女"</f>
        <v>女</v>
      </c>
      <c r="D7714" s="2" t="str">
        <f>"4"</f>
        <v>4</v>
      </c>
      <c r="E7714" s="2" t="str">
        <f>"经济与管理学院"</f>
        <v>经济与管理学院</v>
      </c>
    </row>
    <row r="7715" ht="13.5" hidden="1" spans="1:5">
      <c r="A7715" s="2" t="str">
        <f>"黄煜果"</f>
        <v>黄煜果</v>
      </c>
      <c r="B7715" s="2" t="str">
        <f>"B20230104223"</f>
        <v>B20230104223</v>
      </c>
      <c r="C7715" s="2" t="str">
        <f>"男"</f>
        <v>男</v>
      </c>
      <c r="D7715" s="2" t="str">
        <f>"4"</f>
        <v>4</v>
      </c>
      <c r="E7715" s="2" t="str">
        <f>"土木工程学院"</f>
        <v>土木工程学院</v>
      </c>
    </row>
    <row r="7716" ht="13.5" hidden="1" spans="1:5">
      <c r="A7716" s="2" t="str">
        <f>"匡雪晴"</f>
        <v>匡雪晴</v>
      </c>
      <c r="B7716" s="2" t="str">
        <f>"B20220601407"</f>
        <v>B20220601407</v>
      </c>
      <c r="C7716" s="2" t="str">
        <f>"女"</f>
        <v>女</v>
      </c>
      <c r="D7716" s="2" t="str">
        <f>"4"</f>
        <v>4</v>
      </c>
      <c r="E7716" s="2" t="str">
        <f>"法学院"</f>
        <v>法学院</v>
      </c>
    </row>
    <row r="7717" ht="13.5" hidden="1" spans="1:5">
      <c r="A7717" s="2" t="str">
        <f>"谭雨峰"</f>
        <v>谭雨峰</v>
      </c>
      <c r="B7717" s="2" t="str">
        <f>"B20200204216"</f>
        <v>B20200204216</v>
      </c>
      <c r="C7717" s="2" t="str">
        <f>"男"</f>
        <v>男</v>
      </c>
      <c r="D7717" s="2" t="str">
        <f>"4"</f>
        <v>4</v>
      </c>
      <c r="E7717" s="2" t="str">
        <f t="shared" ref="E7717:E7719" si="1926">"机电工程学院"</f>
        <v>机电工程学院</v>
      </c>
    </row>
    <row r="7718" ht="13.5" hidden="1" spans="1:5">
      <c r="A7718" s="2" t="str">
        <f>"刘睿"</f>
        <v>刘睿</v>
      </c>
      <c r="B7718" s="2" t="str">
        <f>"B20230204119"</f>
        <v>B20230204119</v>
      </c>
      <c r="C7718" s="2" t="str">
        <f>"男"</f>
        <v>男</v>
      </c>
      <c r="D7718" s="2" t="str">
        <f>"4"</f>
        <v>4</v>
      </c>
      <c r="E7718" s="2" t="str">
        <f t="shared" si="1926"/>
        <v>机电工程学院</v>
      </c>
    </row>
    <row r="7719" ht="13.5" hidden="1" spans="1:5">
      <c r="A7719" s="2" t="str">
        <f>"李晨"</f>
        <v>李晨</v>
      </c>
      <c r="B7719" s="2" t="str">
        <f>"B20230202326"</f>
        <v>B20230202326</v>
      </c>
      <c r="C7719" s="2" t="str">
        <f>"女"</f>
        <v>女</v>
      </c>
      <c r="D7719" s="2" t="str">
        <f>"4"</f>
        <v>4</v>
      </c>
      <c r="E7719" s="2" t="str">
        <f t="shared" si="1926"/>
        <v>机电工程学院</v>
      </c>
    </row>
    <row r="7720" ht="13.5" hidden="1" spans="1:5">
      <c r="A7720" s="2" t="str">
        <f>"张晴怡"</f>
        <v>张晴怡</v>
      </c>
      <c r="B7720" s="2" t="str">
        <f>"B20200702215"</f>
        <v>B20200702215</v>
      </c>
      <c r="C7720" s="2" t="str">
        <f>"女"</f>
        <v>女</v>
      </c>
      <c r="D7720" s="2" t="str">
        <f>"4"</f>
        <v>4</v>
      </c>
      <c r="E7720" s="2" t="str">
        <f>"马栏山新媒体学院"</f>
        <v>马栏山新媒体学院</v>
      </c>
    </row>
    <row r="7721" ht="13.5" hidden="1" spans="1:5">
      <c r="A7721" s="2" t="str">
        <f>"李姿潼"</f>
        <v>李姿潼</v>
      </c>
      <c r="B7721" s="2" t="str">
        <f>"B20220703310"</f>
        <v>B20220703310</v>
      </c>
      <c r="C7721" s="2" t="str">
        <f>"女"</f>
        <v>女</v>
      </c>
      <c r="D7721" s="2" t="str">
        <f>"4"</f>
        <v>4</v>
      </c>
      <c r="E7721" s="2" t="str">
        <f>"马栏山新媒体学院"</f>
        <v>马栏山新媒体学院</v>
      </c>
    </row>
    <row r="7722" ht="13.5" hidden="1" spans="1:5">
      <c r="A7722" s="2" t="str">
        <f>"周宁港"</f>
        <v>周宁港</v>
      </c>
      <c r="B7722" s="2" t="str">
        <f>"B20210505102"</f>
        <v>B20210505102</v>
      </c>
      <c r="C7722" s="2" t="str">
        <f>"男"</f>
        <v>男</v>
      </c>
      <c r="D7722" s="2" t="str">
        <f>"4"</f>
        <v>4</v>
      </c>
      <c r="E7722" s="2" t="str">
        <f>"材料与环境工程学院"</f>
        <v>材料与环境工程学院</v>
      </c>
    </row>
    <row r="7723" ht="13.5" hidden="1" spans="1:5">
      <c r="A7723" s="2" t="str">
        <f>"曾熙凯"</f>
        <v>曾熙凯</v>
      </c>
      <c r="B7723" s="2" t="str">
        <f>"B20221302128"</f>
        <v>B20221302128</v>
      </c>
      <c r="C7723" s="2" t="str">
        <f>"男"</f>
        <v>男</v>
      </c>
      <c r="D7723" s="2" t="str">
        <f>"4"</f>
        <v>4</v>
      </c>
      <c r="E7723" s="2" t="str">
        <f>"材料与环境工程学院"</f>
        <v>材料与环境工程学院</v>
      </c>
    </row>
    <row r="7724" ht="13.5" hidden="1" spans="1:5">
      <c r="A7724" s="2" t="str">
        <f>"易清"</f>
        <v>易清</v>
      </c>
      <c r="B7724" s="2" t="str">
        <f>"B20220702123"</f>
        <v>B20220702123</v>
      </c>
      <c r="C7724" s="2" t="str">
        <f>"女"</f>
        <v>女</v>
      </c>
      <c r="D7724" s="2" t="str">
        <f>"4"</f>
        <v>4</v>
      </c>
      <c r="E7724" s="2" t="str">
        <f>"马栏山新媒体学院"</f>
        <v>马栏山新媒体学院</v>
      </c>
    </row>
    <row r="7725" ht="13.5" hidden="1" spans="1:5">
      <c r="A7725" s="2" t="str">
        <f>"段家福"</f>
        <v>段家福</v>
      </c>
      <c r="B7725" s="2" t="str">
        <f>"B20210904214"</f>
        <v>B20210904214</v>
      </c>
      <c r="C7725" s="2" t="str">
        <f>"男"</f>
        <v>男</v>
      </c>
      <c r="D7725" s="2" t="str">
        <f>"4"</f>
        <v>4</v>
      </c>
      <c r="E7725" s="2" t="str">
        <f>"经济与管理学院"</f>
        <v>经济与管理学院</v>
      </c>
    </row>
    <row r="7726" ht="13.5" hidden="1" spans="1:5">
      <c r="A7726" s="2" t="str">
        <f>"周文奇"</f>
        <v>周文奇</v>
      </c>
      <c r="B7726" s="2" t="str">
        <f>"B20190902435"</f>
        <v>B20190902435</v>
      </c>
      <c r="C7726" s="2" t="str">
        <f>"女"</f>
        <v>女</v>
      </c>
      <c r="D7726" s="2" t="str">
        <f>"4"</f>
        <v>4</v>
      </c>
      <c r="E7726" s="2" t="str">
        <f>"经济与管理学院"</f>
        <v>经济与管理学院</v>
      </c>
    </row>
    <row r="7727" ht="13.5" hidden="1" spans="1:5">
      <c r="A7727" s="2" t="str">
        <f>"王倩"</f>
        <v>王倩</v>
      </c>
      <c r="B7727" s="2" t="str">
        <f>"B20210501223"</f>
        <v>B20210501223</v>
      </c>
      <c r="C7727" s="2" t="str">
        <f>"女"</f>
        <v>女</v>
      </c>
      <c r="D7727" s="2" t="str">
        <f>"4"</f>
        <v>4</v>
      </c>
      <c r="E7727" s="2" t="str">
        <f>"生物与化学工程学院"</f>
        <v>生物与化学工程学院</v>
      </c>
    </row>
    <row r="7728" ht="13.5" hidden="1" spans="1:5">
      <c r="A7728" s="2" t="str">
        <f>"陆佳瑜"</f>
        <v>陆佳瑜</v>
      </c>
      <c r="B7728" s="2" t="str">
        <f>"B20230704316"</f>
        <v>B20230704316</v>
      </c>
      <c r="C7728" s="2" t="str">
        <f>"女"</f>
        <v>女</v>
      </c>
      <c r="D7728" s="2" t="str">
        <f>"4"</f>
        <v>4</v>
      </c>
      <c r="E7728" s="2" t="str">
        <f>"马栏山新媒体学院"</f>
        <v>马栏山新媒体学院</v>
      </c>
    </row>
    <row r="7729" ht="13.5" hidden="1" spans="1:5">
      <c r="A7729" s="2" t="str">
        <f>"肖畅"</f>
        <v>肖畅</v>
      </c>
      <c r="B7729" s="2" t="str">
        <f>"B20220103121"</f>
        <v>B20220103121</v>
      </c>
      <c r="C7729" s="2" t="str">
        <f>"女"</f>
        <v>女</v>
      </c>
      <c r="D7729" s="2" t="str">
        <f>"4"</f>
        <v>4</v>
      </c>
      <c r="E7729" s="2" t="str">
        <f>"土木工程学院"</f>
        <v>土木工程学院</v>
      </c>
    </row>
    <row r="7730" ht="13.5" hidden="1" spans="1:5">
      <c r="A7730" s="2" t="str">
        <f>"王春会"</f>
        <v>王春会</v>
      </c>
      <c r="B7730" s="2" t="str">
        <f>"B20231002323"</f>
        <v>B20231002323</v>
      </c>
      <c r="C7730" s="2" t="str">
        <f>"女"</f>
        <v>女</v>
      </c>
      <c r="D7730" s="2" t="str">
        <f>"4"</f>
        <v>4</v>
      </c>
      <c r="E7730" s="2" t="str">
        <f>"艺术设计学院"</f>
        <v>艺术设计学院</v>
      </c>
    </row>
    <row r="7731" ht="13.5" hidden="1" spans="1:5">
      <c r="A7731" s="2" t="str">
        <f>"赵薇"</f>
        <v>赵薇</v>
      </c>
      <c r="B7731" s="2" t="str">
        <f>"B20220601122"</f>
        <v>B20220601122</v>
      </c>
      <c r="C7731" s="2" t="str">
        <f>"女"</f>
        <v>女</v>
      </c>
      <c r="D7731" s="2" t="str">
        <f>"4"</f>
        <v>4</v>
      </c>
      <c r="E7731" s="2" t="str">
        <f>"法学院"</f>
        <v>法学院</v>
      </c>
    </row>
    <row r="7732" ht="13.5" hidden="1" spans="1:5">
      <c r="A7732" s="2" t="str">
        <f>"曹嘉祥"</f>
        <v>曹嘉祥</v>
      </c>
      <c r="B7732" s="2" t="str">
        <f>"B20210202143"</f>
        <v>B20210202143</v>
      </c>
      <c r="C7732" s="2" t="str">
        <f t="shared" ref="C7732:C7738" si="1927">"男"</f>
        <v>男</v>
      </c>
      <c r="D7732" s="2" t="str">
        <f>"4"</f>
        <v>4</v>
      </c>
      <c r="E7732" s="2" t="str">
        <f>"机电工程学院"</f>
        <v>机电工程学院</v>
      </c>
    </row>
    <row r="7733" ht="13.5" hidden="1" spans="1:5">
      <c r="A7733" s="2" t="str">
        <f>"罗诗棋"</f>
        <v>罗诗棋</v>
      </c>
      <c r="B7733" s="2" t="str">
        <f>"B20230902324"</f>
        <v>B20230902324</v>
      </c>
      <c r="C7733" s="2" t="str">
        <f>"女"</f>
        <v>女</v>
      </c>
      <c r="D7733" s="2" t="str">
        <f>"4"</f>
        <v>4</v>
      </c>
      <c r="E7733" s="2" t="str">
        <f>"经济与管理学院"</f>
        <v>经济与管理学院</v>
      </c>
    </row>
    <row r="7734" ht="13.5" hidden="1" spans="1:5">
      <c r="A7734" s="2" t="str">
        <f>"晏书涵"</f>
        <v>晏书涵</v>
      </c>
      <c r="B7734" s="2" t="str">
        <f>"B20210101131"</f>
        <v>B20210101131</v>
      </c>
      <c r="C7734" s="2" t="str">
        <f t="shared" si="1927"/>
        <v>男</v>
      </c>
      <c r="D7734" s="2" t="str">
        <f>"4"</f>
        <v>4</v>
      </c>
      <c r="E7734" s="2" t="str">
        <f>"土木工程学院"</f>
        <v>土木工程学院</v>
      </c>
    </row>
    <row r="7735" ht="13.5" hidden="1" spans="1:5">
      <c r="A7735" s="2" t="str">
        <f>"刘茜"</f>
        <v>刘茜</v>
      </c>
      <c r="B7735" s="2" t="str">
        <f>"B20210802212"</f>
        <v>B20210802212</v>
      </c>
      <c r="C7735" s="2" t="str">
        <f>"女"</f>
        <v>女</v>
      </c>
      <c r="D7735" s="2" t="str">
        <f>"4"</f>
        <v>4</v>
      </c>
      <c r="E7735" s="2" t="str">
        <f>"外国语学院"</f>
        <v>外国语学院</v>
      </c>
    </row>
    <row r="7736" ht="13.5" hidden="1" spans="1:5">
      <c r="A7736" s="2" t="str">
        <f>"胡峻康"</f>
        <v>胡峻康</v>
      </c>
      <c r="B7736" s="2" t="str">
        <f>"B20231301217"</f>
        <v>B20231301217</v>
      </c>
      <c r="C7736" s="2" t="str">
        <f t="shared" si="1927"/>
        <v>男</v>
      </c>
      <c r="D7736" s="2" t="str">
        <f>"4"</f>
        <v>4</v>
      </c>
      <c r="E7736" s="2" t="str">
        <f>"材料与环境工程学院"</f>
        <v>材料与环境工程学院</v>
      </c>
    </row>
    <row r="7737" ht="13.5" hidden="1" spans="1:5">
      <c r="A7737" s="2" t="str">
        <f>"周乐"</f>
        <v>周乐</v>
      </c>
      <c r="B7737" s="2" t="str">
        <f>"B20220903219"</f>
        <v>B20220903219</v>
      </c>
      <c r="C7737" s="2" t="str">
        <f t="shared" si="1927"/>
        <v>男</v>
      </c>
      <c r="D7737" s="2" t="str">
        <f>"4"</f>
        <v>4</v>
      </c>
      <c r="E7737" s="2" t="str">
        <f>"经济与管理学院"</f>
        <v>经济与管理学院</v>
      </c>
    </row>
    <row r="7738" ht="13.5" hidden="1" spans="1:5">
      <c r="A7738" s="2" t="str">
        <f>"唐林鑫"</f>
        <v>唐林鑫</v>
      </c>
      <c r="B7738" s="2" t="str">
        <f>"B20210202224"</f>
        <v>B20210202224</v>
      </c>
      <c r="C7738" s="2" t="str">
        <f t="shared" si="1927"/>
        <v>男</v>
      </c>
      <c r="D7738" s="2" t="str">
        <f>"4"</f>
        <v>4</v>
      </c>
      <c r="E7738" s="2" t="str">
        <f>"机电工程学院"</f>
        <v>机电工程学院</v>
      </c>
    </row>
    <row r="7739" ht="13.5" hidden="1" spans="1:5">
      <c r="A7739" s="2" t="str">
        <f>"袁子龙"</f>
        <v>袁子龙</v>
      </c>
      <c r="B7739" s="2" t="str">
        <f>"B20220501132"</f>
        <v>B20220501132</v>
      </c>
      <c r="C7739" s="2" t="str">
        <f>"男"</f>
        <v>男</v>
      </c>
      <c r="D7739" s="2" t="str">
        <f>"4"</f>
        <v>4</v>
      </c>
      <c r="E7739" s="2" t="str">
        <f>"生物与化学工程学院"</f>
        <v>生物与化学工程学院</v>
      </c>
    </row>
    <row r="7740" ht="13.5" hidden="1" spans="1:5">
      <c r="A7740" s="2" t="str">
        <f>"刘畅"</f>
        <v>刘畅</v>
      </c>
      <c r="B7740" s="2" t="str">
        <f>"B20231003121"</f>
        <v>B20231003121</v>
      </c>
      <c r="C7740" s="2" t="str">
        <f>"女"</f>
        <v>女</v>
      </c>
      <c r="D7740" s="2" t="str">
        <f>"4"</f>
        <v>4</v>
      </c>
      <c r="E7740" s="2" t="str">
        <f>"艺术设计学院"</f>
        <v>艺术设计学院</v>
      </c>
    </row>
    <row r="7741" ht="13.5" hidden="1" spans="1:5">
      <c r="A7741" s="2" t="str">
        <f>"汪宇帆"</f>
        <v>汪宇帆</v>
      </c>
      <c r="B7741" s="2" t="str">
        <f>"B20231004126"</f>
        <v>B20231004126</v>
      </c>
      <c r="C7741" s="2" t="str">
        <f>"男"</f>
        <v>男</v>
      </c>
      <c r="D7741" s="2" t="str">
        <f>"4"</f>
        <v>4</v>
      </c>
      <c r="E7741" s="2" t="str">
        <f>"艺术设计学院"</f>
        <v>艺术设计学院</v>
      </c>
    </row>
    <row r="7742" ht="13.5" hidden="1" spans="1:5">
      <c r="A7742" s="2" t="str">
        <f>"王高翔"</f>
        <v>王高翔</v>
      </c>
      <c r="B7742" s="2" t="str">
        <f>"B20220902137"</f>
        <v>B20220902137</v>
      </c>
      <c r="C7742" s="2" t="str">
        <f>"男"</f>
        <v>男</v>
      </c>
      <c r="D7742" s="2" t="str">
        <f>"4"</f>
        <v>4</v>
      </c>
      <c r="E7742" s="2" t="str">
        <f>"经济与管理学院"</f>
        <v>经济与管理学院</v>
      </c>
    </row>
    <row r="7743" ht="13.5" hidden="1" spans="1:5">
      <c r="A7743" s="2" t="str">
        <f>"王婧雯"</f>
        <v>王婧雯</v>
      </c>
      <c r="B7743" s="2" t="str">
        <f>"B20230906206"</f>
        <v>B20230906206</v>
      </c>
      <c r="C7743" s="2" t="str">
        <f>"女"</f>
        <v>女</v>
      </c>
      <c r="D7743" s="2" t="str">
        <f>"4"</f>
        <v>4</v>
      </c>
      <c r="E7743" s="2" t="str">
        <f>"经济与管理学院"</f>
        <v>经济与管理学院</v>
      </c>
    </row>
    <row r="7744" ht="13.5" hidden="1" spans="1:5">
      <c r="A7744" s="2" t="str">
        <f>"杨琪"</f>
        <v>杨琪</v>
      </c>
      <c r="B7744" s="2" t="str">
        <f>"B20220202319"</f>
        <v>B20220202319</v>
      </c>
      <c r="C7744" s="2" t="str">
        <f>"女"</f>
        <v>女</v>
      </c>
      <c r="D7744" s="2" t="str">
        <f>"4"</f>
        <v>4</v>
      </c>
      <c r="E7744" s="2" t="str">
        <f>"机电工程学院"</f>
        <v>机电工程学院</v>
      </c>
    </row>
    <row r="7745" ht="13.5" hidden="1" spans="1:5">
      <c r="A7745" s="2" t="str">
        <f>"廖琦"</f>
        <v>廖琦</v>
      </c>
      <c r="B7745" s="2" t="str">
        <f>"B20210501219"</f>
        <v>B20210501219</v>
      </c>
      <c r="C7745" s="2" t="str">
        <f>"女"</f>
        <v>女</v>
      </c>
      <c r="D7745" s="2" t="str">
        <f>"4"</f>
        <v>4</v>
      </c>
      <c r="E7745" s="2" t="str">
        <f>"生物与化学工程学院"</f>
        <v>生物与化学工程学院</v>
      </c>
    </row>
    <row r="7746" ht="13.5" hidden="1" spans="1:5">
      <c r="A7746" s="2" t="str">
        <f>"欧阳俊杰"</f>
        <v>欧阳俊杰</v>
      </c>
      <c r="B7746" s="2" t="str">
        <f>"B20210101202"</f>
        <v>B20210101202</v>
      </c>
      <c r="C7746" s="2" t="str">
        <f t="shared" ref="C7746:C7749" si="1928">"男"</f>
        <v>男</v>
      </c>
      <c r="D7746" s="2" t="str">
        <f>"4"</f>
        <v>4</v>
      </c>
      <c r="E7746" s="2" t="str">
        <f>"土木工程学院"</f>
        <v>土木工程学院</v>
      </c>
    </row>
    <row r="7747" ht="13.5" hidden="1" spans="1:5">
      <c r="A7747" s="2" t="str">
        <f>"陈龙"</f>
        <v>陈龙</v>
      </c>
      <c r="B7747" s="2" t="str">
        <f>"B20200504218"</f>
        <v>B20200504218</v>
      </c>
      <c r="C7747" s="2" t="str">
        <f t="shared" si="1928"/>
        <v>男</v>
      </c>
      <c r="D7747" s="2" t="str">
        <f>"4"</f>
        <v>4</v>
      </c>
      <c r="E7747" s="2" t="str">
        <f>"生物与环境工程学院"</f>
        <v>生物与环境工程学院</v>
      </c>
    </row>
    <row r="7748" ht="13.5" hidden="1" spans="1:5">
      <c r="A7748" s="2" t="str">
        <f>"冷芳烨"</f>
        <v>冷芳烨</v>
      </c>
      <c r="B7748" s="2" t="str">
        <f>"B20210503118"</f>
        <v>B20210503118</v>
      </c>
      <c r="C7748" s="2" t="str">
        <f>"女"</f>
        <v>女</v>
      </c>
      <c r="D7748" s="2" t="str">
        <f>"4"</f>
        <v>4</v>
      </c>
      <c r="E7748" s="2" t="str">
        <f>"材料与环境工程学院"</f>
        <v>材料与环境工程学院</v>
      </c>
    </row>
    <row r="7749" ht="13.5" hidden="1" spans="1:5">
      <c r="A7749" s="2" t="str">
        <f>"袁仔沐"</f>
        <v>袁仔沐</v>
      </c>
      <c r="B7749" s="2" t="str">
        <f>"B20200401328"</f>
        <v>B20200401328</v>
      </c>
      <c r="C7749" s="2" t="str">
        <f t="shared" si="1928"/>
        <v>男</v>
      </c>
      <c r="D7749" s="2" t="str">
        <f>"4"</f>
        <v>4</v>
      </c>
      <c r="E7749" s="2" t="str">
        <f>"电子信息与电气工程学院"</f>
        <v>电子信息与电气工程学院</v>
      </c>
    </row>
    <row r="7750" ht="13.5" hidden="1" spans="1:5">
      <c r="A7750" s="2" t="str">
        <f>"刘汝君"</f>
        <v>刘汝君</v>
      </c>
      <c r="B7750" s="2" t="str">
        <f>"B20221302405"</f>
        <v>B20221302405</v>
      </c>
      <c r="C7750" s="2" t="str">
        <f>"女"</f>
        <v>女</v>
      </c>
      <c r="D7750" s="2" t="str">
        <f>"4"</f>
        <v>4</v>
      </c>
      <c r="E7750" s="2" t="str">
        <f>"材料与环境工程学院"</f>
        <v>材料与环境工程学院</v>
      </c>
    </row>
    <row r="7751" ht="13.5" hidden="1" spans="1:5">
      <c r="A7751" s="2" t="str">
        <f>"成星宇"</f>
        <v>成星宇</v>
      </c>
      <c r="B7751" s="2" t="str">
        <f>"B20230402217"</f>
        <v>B20230402217</v>
      </c>
      <c r="C7751" s="2" t="str">
        <f>"男"</f>
        <v>男</v>
      </c>
      <c r="D7751" s="2" t="str">
        <f>"4"</f>
        <v>4</v>
      </c>
      <c r="E7751" s="2" t="str">
        <f>"电子信息与电气工程学院"</f>
        <v>电子信息与电气工程学院</v>
      </c>
    </row>
    <row r="7752" ht="13.5" hidden="1" spans="1:5">
      <c r="A7752" s="2" t="str">
        <f>"胥如意"</f>
        <v>胥如意</v>
      </c>
      <c r="B7752" s="2" t="str">
        <f>"B20230703310"</f>
        <v>B20230703310</v>
      </c>
      <c r="C7752" s="2" t="str">
        <f t="shared" ref="C7752:C7754" si="1929">"女"</f>
        <v>女</v>
      </c>
      <c r="D7752" s="2" t="str">
        <f>"4"</f>
        <v>4</v>
      </c>
      <c r="E7752" s="2" t="str">
        <f>"马栏山新媒体学院"</f>
        <v>马栏山新媒体学院</v>
      </c>
    </row>
    <row r="7753" ht="13.5" hidden="1" spans="1:5">
      <c r="A7753" s="2" t="str">
        <f>"莫嘉雯"</f>
        <v>莫嘉雯</v>
      </c>
      <c r="B7753" s="2" t="str">
        <f>"B20220504134"</f>
        <v>B20220504134</v>
      </c>
      <c r="C7753" s="2" t="str">
        <f t="shared" si="1929"/>
        <v>女</v>
      </c>
      <c r="D7753" s="2" t="str">
        <f>"4"</f>
        <v>4</v>
      </c>
      <c r="E7753" s="2" t="str">
        <f>"生物与化学工程学院"</f>
        <v>生物与化学工程学院</v>
      </c>
    </row>
    <row r="7754" ht="13.5" hidden="1" spans="1:5">
      <c r="A7754" s="2" t="str">
        <f>"李亚黎"</f>
        <v>李亚黎</v>
      </c>
      <c r="B7754" s="2" t="str">
        <f>"B20230905124"</f>
        <v>B20230905124</v>
      </c>
      <c r="C7754" s="2" t="str">
        <f t="shared" si="1929"/>
        <v>女</v>
      </c>
      <c r="D7754" s="2" t="str">
        <f>"4"</f>
        <v>4</v>
      </c>
      <c r="E7754" s="2" t="str">
        <f t="shared" ref="E7754:E7759" si="1930">"经济与管理学院"</f>
        <v>经济与管理学院</v>
      </c>
    </row>
    <row r="7755" ht="13.5" hidden="1" spans="1:5">
      <c r="A7755" s="2" t="str">
        <f>"吴磊"</f>
        <v>吴磊</v>
      </c>
      <c r="B7755" s="2" t="str">
        <f>"B20230903234"</f>
        <v>B20230903234</v>
      </c>
      <c r="C7755" s="2" t="str">
        <f t="shared" ref="C7755:C7758" si="1931">"男"</f>
        <v>男</v>
      </c>
      <c r="D7755" s="2" t="str">
        <f>"4"</f>
        <v>4</v>
      </c>
      <c r="E7755" s="2" t="str">
        <f t="shared" si="1930"/>
        <v>经济与管理学院</v>
      </c>
    </row>
    <row r="7756" ht="13.5" hidden="1" spans="1:5">
      <c r="A7756" s="2" t="str">
        <f>"刘向"</f>
        <v>刘向</v>
      </c>
      <c r="B7756" s="2" t="str">
        <f>"B20210401106"</f>
        <v>B20210401106</v>
      </c>
      <c r="C7756" s="2" t="str">
        <f t="shared" si="1931"/>
        <v>男</v>
      </c>
      <c r="D7756" s="2" t="str">
        <f>"4"</f>
        <v>4</v>
      </c>
      <c r="E7756" s="2" t="str">
        <f>"电子信息与电气工程学院"</f>
        <v>电子信息与电气工程学院</v>
      </c>
    </row>
    <row r="7757" ht="13.5" hidden="1" spans="1:5">
      <c r="A7757" s="2" t="str">
        <f>"杨奕"</f>
        <v>杨奕</v>
      </c>
      <c r="B7757" s="2" t="str">
        <f>"B20220504216"</f>
        <v>B20220504216</v>
      </c>
      <c r="C7757" s="2" t="str">
        <f t="shared" ref="C7757:C7760" si="1932">"女"</f>
        <v>女</v>
      </c>
      <c r="D7757" s="2" t="str">
        <f>"4"</f>
        <v>4</v>
      </c>
      <c r="E7757" s="2" t="str">
        <f>"生物与化学工程学院"</f>
        <v>生物与化学工程学院</v>
      </c>
    </row>
    <row r="7758" ht="13.5" hidden="1" spans="1:5">
      <c r="A7758" s="2" t="str">
        <f>"高伊飞"</f>
        <v>高伊飞</v>
      </c>
      <c r="B7758" s="2" t="str">
        <f>"B20200104130"</f>
        <v>B20200104130</v>
      </c>
      <c r="C7758" s="2" t="str">
        <f t="shared" si="1931"/>
        <v>男</v>
      </c>
      <c r="D7758" s="2" t="str">
        <f>"4"</f>
        <v>4</v>
      </c>
      <c r="E7758" s="2" t="str">
        <f>"土木工程学院"</f>
        <v>土木工程学院</v>
      </c>
    </row>
    <row r="7759" ht="13.5" hidden="1" spans="1:5">
      <c r="A7759" s="2" t="str">
        <f>"杜心晶"</f>
        <v>杜心晶</v>
      </c>
      <c r="B7759" s="2" t="str">
        <f>"B20220902235"</f>
        <v>B20220902235</v>
      </c>
      <c r="C7759" s="2" t="str">
        <f t="shared" si="1932"/>
        <v>女</v>
      </c>
      <c r="D7759" s="2" t="str">
        <f>"4"</f>
        <v>4</v>
      </c>
      <c r="E7759" s="2" t="str">
        <f t="shared" si="1930"/>
        <v>经济与管理学院</v>
      </c>
    </row>
    <row r="7760" ht="13.5" hidden="1" spans="1:5">
      <c r="A7760" s="2" t="str">
        <f>"戴婉娴"</f>
        <v>戴婉娴</v>
      </c>
      <c r="B7760" s="2" t="str">
        <f>"B20210702205"</f>
        <v>B20210702205</v>
      </c>
      <c r="C7760" s="2" t="str">
        <f t="shared" si="1932"/>
        <v>女</v>
      </c>
      <c r="D7760" s="2" t="str">
        <f>"4"</f>
        <v>4</v>
      </c>
      <c r="E7760" s="2" t="str">
        <f>"马栏山新媒体学院"</f>
        <v>马栏山新媒体学院</v>
      </c>
    </row>
    <row r="7761" ht="13.5" hidden="1" spans="1:5">
      <c r="A7761" s="2" t="str">
        <f>"周采峰"</f>
        <v>周采峰</v>
      </c>
      <c r="B7761" s="2" t="str">
        <f>"B20230404216"</f>
        <v>B20230404216</v>
      </c>
      <c r="C7761" s="2" t="str">
        <f>"男"</f>
        <v>男</v>
      </c>
      <c r="D7761" s="2" t="str">
        <f>"4"</f>
        <v>4</v>
      </c>
      <c r="E7761" s="2" t="str">
        <f>"电子信息与电气工程学院"</f>
        <v>电子信息与电气工程学院</v>
      </c>
    </row>
    <row r="7762" ht="13.5" hidden="1" spans="1:5">
      <c r="A7762" s="2" t="str">
        <f>"梁谨绮"</f>
        <v>梁谨绮</v>
      </c>
      <c r="B7762" s="2" t="str">
        <f>"B20220902207"</f>
        <v>B20220902207</v>
      </c>
      <c r="C7762" s="2" t="str">
        <f>"女"</f>
        <v>女</v>
      </c>
      <c r="D7762" s="2" t="str">
        <f>"4"</f>
        <v>4</v>
      </c>
      <c r="E7762" s="2" t="str">
        <f>"经济与管理学院"</f>
        <v>经济与管理学院</v>
      </c>
    </row>
    <row r="7763" ht="13.5" hidden="1" spans="1:5">
      <c r="A7763" s="2" t="str">
        <f>"黄子强"</f>
        <v>黄子强</v>
      </c>
      <c r="B7763" s="2" t="str">
        <f>"B20231101202"</f>
        <v>B20231101202</v>
      </c>
      <c r="C7763" s="2" t="str">
        <f>"男"</f>
        <v>男</v>
      </c>
      <c r="D7763" s="2" t="str">
        <f>"4"</f>
        <v>4</v>
      </c>
      <c r="E7763" s="2" t="str">
        <f>"音乐学院"</f>
        <v>音乐学院</v>
      </c>
    </row>
    <row r="7764" ht="13.5" hidden="1" spans="1:5">
      <c r="A7764" s="2" t="str">
        <f>"林芮溪"</f>
        <v>林芮溪</v>
      </c>
      <c r="B7764" s="2" t="str">
        <f>"B20220903211"</f>
        <v>B20220903211</v>
      </c>
      <c r="C7764" s="2" t="str">
        <f>"女"</f>
        <v>女</v>
      </c>
      <c r="D7764" s="2" t="str">
        <f>"4"</f>
        <v>4</v>
      </c>
      <c r="E7764" s="2" t="str">
        <f>"经济与管理学院"</f>
        <v>经济与管理学院</v>
      </c>
    </row>
    <row r="7765" ht="13.5" hidden="1" spans="1:5">
      <c r="A7765" s="2" t="str">
        <f>"刘曦"</f>
        <v>刘曦</v>
      </c>
      <c r="B7765" s="2" t="str">
        <f>"B20220101110"</f>
        <v>B20220101110</v>
      </c>
      <c r="C7765" s="2" t="str">
        <f>"男"</f>
        <v>男</v>
      </c>
      <c r="D7765" s="2" t="str">
        <f>"4"</f>
        <v>4</v>
      </c>
      <c r="E7765" s="2" t="str">
        <f>"土木工程学院"</f>
        <v>土木工程学院</v>
      </c>
    </row>
    <row r="7766" ht="13.5" hidden="1" spans="1:5">
      <c r="A7766" s="2" t="str">
        <f>"李依霏"</f>
        <v>李依霏</v>
      </c>
      <c r="B7766" s="2" t="str">
        <f>"B20200906212"</f>
        <v>B20200906212</v>
      </c>
      <c r="C7766" s="2" t="str">
        <f>"女"</f>
        <v>女</v>
      </c>
      <c r="D7766" s="2" t="str">
        <f>"4"</f>
        <v>4</v>
      </c>
      <c r="E7766" s="2" t="str">
        <f>"土木工程学院"</f>
        <v>土木工程学院</v>
      </c>
    </row>
    <row r="7767" ht="13.5" hidden="1" spans="1:5">
      <c r="A7767" s="2" t="str">
        <f>"谭坪"</f>
        <v>谭坪</v>
      </c>
      <c r="B7767" s="2" t="str">
        <f>"B20231301202"</f>
        <v>B20231301202</v>
      </c>
      <c r="C7767" s="2" t="str">
        <f>"男"</f>
        <v>男</v>
      </c>
      <c r="D7767" s="2" t="str">
        <f>"4"</f>
        <v>4</v>
      </c>
      <c r="E7767" s="2" t="str">
        <f>"材料与环境工程学院"</f>
        <v>材料与环境工程学院</v>
      </c>
    </row>
    <row r="7768" ht="13.5" hidden="1" spans="1:5">
      <c r="A7768" s="2" t="str">
        <f>"马宗飞"</f>
        <v>马宗飞</v>
      </c>
      <c r="B7768" s="2" t="str">
        <f>"B20230201433"</f>
        <v>B20230201433</v>
      </c>
      <c r="C7768" s="2" t="str">
        <f>"男"</f>
        <v>男</v>
      </c>
      <c r="D7768" s="2" t="str">
        <f>"4"</f>
        <v>4</v>
      </c>
      <c r="E7768" s="2" t="str">
        <f>"机电工程学院"</f>
        <v>机电工程学院</v>
      </c>
    </row>
    <row r="7769" ht="13.5" hidden="1" spans="1:5">
      <c r="A7769" s="2" t="str">
        <f>"何佳越"</f>
        <v>何佳越</v>
      </c>
      <c r="B7769" s="2" t="str">
        <f>"B20200901325"</f>
        <v>B20200901325</v>
      </c>
      <c r="C7769" s="2" t="str">
        <f>"女"</f>
        <v>女</v>
      </c>
      <c r="D7769" s="2" t="str">
        <f>"4"</f>
        <v>4</v>
      </c>
      <c r="E7769" s="2" t="str">
        <f>"经济与管理学院"</f>
        <v>经济与管理学院</v>
      </c>
    </row>
    <row r="7770" ht="13.5" hidden="1" spans="1:5">
      <c r="A7770" s="2" t="str">
        <f>"贺岳"</f>
        <v>贺岳</v>
      </c>
      <c r="B7770" s="2" t="str">
        <f>"B20220902131"</f>
        <v>B20220902131</v>
      </c>
      <c r="C7770" s="2" t="str">
        <f>"男"</f>
        <v>男</v>
      </c>
      <c r="D7770" s="2" t="str">
        <f>"4"</f>
        <v>4</v>
      </c>
      <c r="E7770" s="2" t="str">
        <f>"经济与管理学院"</f>
        <v>经济与管理学院</v>
      </c>
    </row>
    <row r="7771" ht="13.5" hidden="1" spans="1:5">
      <c r="A7771" s="2" t="str">
        <f>"黄旭"</f>
        <v>黄旭</v>
      </c>
      <c r="B7771" s="2" t="str">
        <f>"B20210801116"</f>
        <v>B20210801116</v>
      </c>
      <c r="C7771" s="2" t="str">
        <f>"男"</f>
        <v>男</v>
      </c>
      <c r="D7771" s="2" t="str">
        <f>"4"</f>
        <v>4</v>
      </c>
      <c r="E7771" s="2" t="str">
        <f>"外国语学院"</f>
        <v>外国语学院</v>
      </c>
    </row>
    <row r="7772" ht="13.5" hidden="1" spans="1:5">
      <c r="A7772" s="2" t="str">
        <f>"蔡昕雨"</f>
        <v>蔡昕雨</v>
      </c>
      <c r="B7772" s="2" t="str">
        <f>"B20230601119"</f>
        <v>B20230601119</v>
      </c>
      <c r="C7772" s="2" t="str">
        <f>"女"</f>
        <v>女</v>
      </c>
      <c r="D7772" s="2" t="str">
        <f>"4"</f>
        <v>4</v>
      </c>
      <c r="E7772" s="2" t="str">
        <f>"法学院"</f>
        <v>法学院</v>
      </c>
    </row>
    <row r="7773" ht="13.5" hidden="1" spans="1:5">
      <c r="A7773" s="2" t="str">
        <f>"易佳豪"</f>
        <v>易佳豪</v>
      </c>
      <c r="B7773" s="2" t="str">
        <f>"B20231301109"</f>
        <v>B20231301109</v>
      </c>
      <c r="C7773" s="2" t="str">
        <f>"男"</f>
        <v>男</v>
      </c>
      <c r="D7773" s="2" t="str">
        <f>"4"</f>
        <v>4</v>
      </c>
      <c r="E7773" s="2" t="str">
        <f>"材料与环境工程学院"</f>
        <v>材料与环境工程学院</v>
      </c>
    </row>
    <row r="7774" ht="13.5" hidden="1" spans="1:5">
      <c r="A7774" s="2" t="str">
        <f>"李娜"</f>
        <v>李娜</v>
      </c>
      <c r="B7774" s="2" t="str">
        <f>"B20210501108"</f>
        <v>B20210501108</v>
      </c>
      <c r="C7774" s="2" t="str">
        <f>"女"</f>
        <v>女</v>
      </c>
      <c r="D7774" s="2" t="str">
        <f>"4"</f>
        <v>4</v>
      </c>
      <c r="E7774" s="2" t="str">
        <f>"生物与化学工程学院"</f>
        <v>生物与化学工程学院</v>
      </c>
    </row>
    <row r="7775" ht="13.5" hidden="1" spans="1:5">
      <c r="A7775" s="2" t="str">
        <f>"刘芳君"</f>
        <v>刘芳君</v>
      </c>
      <c r="B7775" s="2" t="str">
        <f>"B20220701121"</f>
        <v>B20220701121</v>
      </c>
      <c r="C7775" s="2" t="str">
        <f>"女"</f>
        <v>女</v>
      </c>
      <c r="D7775" s="2" t="str">
        <f>"4"</f>
        <v>4</v>
      </c>
      <c r="E7775" s="2" t="str">
        <f>"马栏山新媒体学院"</f>
        <v>马栏山新媒体学院</v>
      </c>
    </row>
    <row r="7776" ht="13.5" hidden="1" spans="1:5">
      <c r="A7776" s="2" t="str">
        <f>"李佳"</f>
        <v>李佳</v>
      </c>
      <c r="B7776" s="2" t="str">
        <f>"B20230902315"</f>
        <v>B20230902315</v>
      </c>
      <c r="C7776" s="2" t="str">
        <f>"女"</f>
        <v>女</v>
      </c>
      <c r="D7776" s="2" t="str">
        <f>"4"</f>
        <v>4</v>
      </c>
      <c r="E7776" s="2" t="str">
        <f>"经济与管理学院"</f>
        <v>经济与管理学院</v>
      </c>
    </row>
    <row r="7777" ht="13.5" hidden="1" spans="1:5">
      <c r="A7777" s="2" t="str">
        <f>"周玉锋"</f>
        <v>周玉锋</v>
      </c>
      <c r="B7777" s="2" t="str">
        <f>"B20230402208"</f>
        <v>B20230402208</v>
      </c>
      <c r="C7777" s="2" t="str">
        <f>"男"</f>
        <v>男</v>
      </c>
      <c r="D7777" s="2" t="str">
        <f>"4"</f>
        <v>4</v>
      </c>
      <c r="E7777" s="2" t="str">
        <f>"电子信息与电气工程学院"</f>
        <v>电子信息与电气工程学院</v>
      </c>
    </row>
    <row r="7778" ht="13.5" hidden="1" spans="1:5">
      <c r="A7778" s="2" t="str">
        <f>"申睿"</f>
        <v>申睿</v>
      </c>
      <c r="B7778" s="2" t="str">
        <f>"B20230601105"</f>
        <v>B20230601105</v>
      </c>
      <c r="C7778" s="2" t="str">
        <f>"男"</f>
        <v>男</v>
      </c>
      <c r="D7778" s="2" t="str">
        <f>"4"</f>
        <v>4</v>
      </c>
      <c r="E7778" s="2" t="str">
        <f>"法学院"</f>
        <v>法学院</v>
      </c>
    </row>
    <row r="7779" ht="13.5" hidden="1" spans="1:5">
      <c r="A7779" s="2" t="str">
        <f>"刘诗雨"</f>
        <v>刘诗雨</v>
      </c>
      <c r="B7779" s="2" t="str">
        <f>"B20220601328"</f>
        <v>B20220601328</v>
      </c>
      <c r="C7779" s="2" t="str">
        <f>"女"</f>
        <v>女</v>
      </c>
      <c r="D7779" s="2" t="str">
        <f>"4"</f>
        <v>4</v>
      </c>
      <c r="E7779" s="2" t="str">
        <f>"法学院"</f>
        <v>法学院</v>
      </c>
    </row>
    <row r="7780" ht="13.5" hidden="1" spans="1:5">
      <c r="A7780" s="2" t="str">
        <f>"沈少春"</f>
        <v>沈少春</v>
      </c>
      <c r="B7780" s="2" t="str">
        <f>"B20221001120"</f>
        <v>B20221001120</v>
      </c>
      <c r="C7780" s="2" t="str">
        <f>"男"</f>
        <v>男</v>
      </c>
      <c r="D7780" s="2" t="str">
        <f>"4"</f>
        <v>4</v>
      </c>
      <c r="E7780" s="2" t="str">
        <f>"艺术设计学院"</f>
        <v>艺术设计学院</v>
      </c>
    </row>
    <row r="7781" ht="13.5" hidden="1" spans="1:5">
      <c r="A7781" s="2" t="str">
        <f>"王佳树"</f>
        <v>王佳树</v>
      </c>
      <c r="B7781" s="2" t="str">
        <f>"B20211002421"</f>
        <v>B20211002421</v>
      </c>
      <c r="C7781" s="2" t="str">
        <f>"男"</f>
        <v>男</v>
      </c>
      <c r="D7781" s="2" t="str">
        <f>"4"</f>
        <v>4</v>
      </c>
      <c r="E7781" s="2" t="str">
        <f>"艺术设计学院"</f>
        <v>艺术设计学院</v>
      </c>
    </row>
    <row r="7782" ht="13.5" hidden="1" spans="1:5">
      <c r="A7782" s="2" t="str">
        <f>"钟情"</f>
        <v>钟情</v>
      </c>
      <c r="B7782" s="2" t="str">
        <f>"B20230903229"</f>
        <v>B20230903229</v>
      </c>
      <c r="C7782" s="2" t="str">
        <f>"女"</f>
        <v>女</v>
      </c>
      <c r="D7782" s="2" t="str">
        <f>"4"</f>
        <v>4</v>
      </c>
      <c r="E7782" s="2" t="str">
        <f>"经济与管理学院"</f>
        <v>经济与管理学院</v>
      </c>
    </row>
    <row r="7783" ht="13.5" hidden="1" spans="1:5">
      <c r="A7783" s="2" t="str">
        <f>"伍惟正"</f>
        <v>伍惟正</v>
      </c>
      <c r="B7783" s="2" t="str">
        <f>"B20210601106"</f>
        <v>B20210601106</v>
      </c>
      <c r="C7783" s="2" t="str">
        <f>"男"</f>
        <v>男</v>
      </c>
      <c r="D7783" s="2" t="str">
        <f>"4"</f>
        <v>4</v>
      </c>
      <c r="E7783" s="2" t="str">
        <f>"法学院"</f>
        <v>法学院</v>
      </c>
    </row>
    <row r="7784" ht="13.5" hidden="1" spans="1:5">
      <c r="A7784" s="2" t="str">
        <f>"袁嘉辉"</f>
        <v>袁嘉辉</v>
      </c>
      <c r="B7784" s="2" t="str">
        <f>"B20200204110"</f>
        <v>B20200204110</v>
      </c>
      <c r="C7784" s="2" t="str">
        <f>"男"</f>
        <v>男</v>
      </c>
      <c r="D7784" s="2" t="str">
        <f>"4"</f>
        <v>4</v>
      </c>
      <c r="E7784" s="2" t="str">
        <f>"机电工程学院"</f>
        <v>机电工程学院</v>
      </c>
    </row>
    <row r="7785" ht="13.5" hidden="1" spans="1:5">
      <c r="A7785" s="2" t="str">
        <f>"贺宇航"</f>
        <v>贺宇航</v>
      </c>
      <c r="B7785" s="2" t="str">
        <f>"B20220403202"</f>
        <v>B20220403202</v>
      </c>
      <c r="C7785" s="2" t="str">
        <f>"男"</f>
        <v>男</v>
      </c>
      <c r="D7785" s="2" t="str">
        <f>"4"</f>
        <v>4</v>
      </c>
      <c r="E7785" s="2" t="str">
        <f>"电子信息与电气工程学院"</f>
        <v>电子信息与电气工程学院</v>
      </c>
    </row>
    <row r="7786" ht="13.5" hidden="1" spans="1:5">
      <c r="A7786" s="2" t="str">
        <f>"黄茂浇"</f>
        <v>黄茂浇</v>
      </c>
      <c r="B7786" s="2" t="str">
        <f>"B20230701233"</f>
        <v>B20230701233</v>
      </c>
      <c r="C7786" s="2" t="str">
        <f>"女"</f>
        <v>女</v>
      </c>
      <c r="D7786" s="2" t="str">
        <f>"4"</f>
        <v>4</v>
      </c>
      <c r="E7786" s="2" t="str">
        <f>"马栏山新媒体学院"</f>
        <v>马栏山新媒体学院</v>
      </c>
    </row>
    <row r="7787" ht="13.5" hidden="1" spans="1:5">
      <c r="A7787" s="2" t="str">
        <f>"刘自豪"</f>
        <v>刘自豪</v>
      </c>
      <c r="B7787" s="2" t="str">
        <f>"B20200204205"</f>
        <v>B20200204205</v>
      </c>
      <c r="C7787" s="2" t="str">
        <f>"男"</f>
        <v>男</v>
      </c>
      <c r="D7787" s="2" t="str">
        <f t="shared" ref="D7787:D7795" si="1933">"4"</f>
        <v>4</v>
      </c>
      <c r="E7787" s="2" t="str">
        <f>"机电工程学院"</f>
        <v>机电工程学院</v>
      </c>
    </row>
    <row r="7788" ht="13.5" hidden="1" spans="1:5">
      <c r="A7788" s="2" t="str">
        <f>"张雨桐"</f>
        <v>张雨桐</v>
      </c>
      <c r="B7788" s="2" t="str">
        <f>"B20210101234"</f>
        <v>B20210101234</v>
      </c>
      <c r="C7788" s="2" t="str">
        <f>"女"</f>
        <v>女</v>
      </c>
      <c r="D7788" s="2" t="str">
        <f t="shared" si="1933"/>
        <v>4</v>
      </c>
      <c r="E7788" s="2" t="str">
        <f>"土木工程学院"</f>
        <v>土木工程学院</v>
      </c>
    </row>
    <row r="7789" ht="13.5" hidden="1" spans="1:5">
      <c r="A7789" s="2" t="str">
        <f>"郭盛琪"</f>
        <v>郭盛琪</v>
      </c>
      <c r="B7789" s="2" t="str">
        <f>"B20230902126"</f>
        <v>B20230902126</v>
      </c>
      <c r="C7789" s="2" t="str">
        <f>"女"</f>
        <v>女</v>
      </c>
      <c r="D7789" s="2" t="str">
        <f t="shared" si="1933"/>
        <v>4</v>
      </c>
      <c r="E7789" s="2" t="str">
        <f>"经济与管理学院"</f>
        <v>经济与管理学院</v>
      </c>
    </row>
    <row r="7790" ht="13.5" hidden="1" spans="1:5">
      <c r="A7790" s="2" t="str">
        <f>"李贞慧"</f>
        <v>李贞慧</v>
      </c>
      <c r="B7790" s="2" t="str">
        <f>"B20220902305"</f>
        <v>B20220902305</v>
      </c>
      <c r="C7790" s="2" t="str">
        <f>"女"</f>
        <v>女</v>
      </c>
      <c r="D7790" s="2" t="str">
        <f t="shared" si="1933"/>
        <v>4</v>
      </c>
      <c r="E7790" s="2" t="str">
        <f>"经济与管理学院"</f>
        <v>经济与管理学院</v>
      </c>
    </row>
    <row r="7791" ht="13.5" hidden="1" spans="1:5">
      <c r="A7791" s="2" t="str">
        <f>"原鑫野"</f>
        <v>原鑫野</v>
      </c>
      <c r="B7791" s="2" t="str">
        <f>"B20231401129"</f>
        <v>B20231401129</v>
      </c>
      <c r="C7791" s="2" t="str">
        <f>"女"</f>
        <v>女</v>
      </c>
      <c r="D7791" s="2" t="str">
        <f t="shared" si="1933"/>
        <v>4</v>
      </c>
      <c r="E7791" s="2" t="str">
        <f>"马克思主义学院"</f>
        <v>马克思主义学院</v>
      </c>
    </row>
    <row r="7792" ht="13.5" hidden="1" spans="1:5">
      <c r="A7792" s="2" t="str">
        <f>"梁智杰"</f>
        <v>梁智杰</v>
      </c>
      <c r="B7792" s="2" t="str">
        <f>"B20230205112"</f>
        <v>B20230205112</v>
      </c>
      <c r="C7792" s="2" t="str">
        <f>"男"</f>
        <v>男</v>
      </c>
      <c r="D7792" s="2" t="str">
        <f t="shared" si="1933"/>
        <v>4</v>
      </c>
      <c r="E7792" s="2" t="str">
        <f>"机电工程学院"</f>
        <v>机电工程学院</v>
      </c>
    </row>
    <row r="7793" ht="13.5" hidden="1" spans="1:5">
      <c r="A7793" s="2" t="str">
        <f>"易辉明"</f>
        <v>易辉明</v>
      </c>
      <c r="B7793" s="2" t="str">
        <f>"B20230403120"</f>
        <v>B20230403120</v>
      </c>
      <c r="C7793" s="2" t="str">
        <f>"男"</f>
        <v>男</v>
      </c>
      <c r="D7793" s="2" t="str">
        <f t="shared" si="1933"/>
        <v>4</v>
      </c>
      <c r="E7793" s="2" t="str">
        <f>"电子信息与电气工程学院"</f>
        <v>电子信息与电气工程学院</v>
      </c>
    </row>
    <row r="7794" ht="13.5" hidden="1" spans="1:5">
      <c r="A7794" s="2" t="str">
        <f>"刘振欣"</f>
        <v>刘振欣</v>
      </c>
      <c r="B7794" s="2" t="str">
        <f>"B20210801424"</f>
        <v>B20210801424</v>
      </c>
      <c r="C7794" s="2" t="str">
        <f>"女"</f>
        <v>女</v>
      </c>
      <c r="D7794" s="2" t="str">
        <f t="shared" si="1933"/>
        <v>4</v>
      </c>
      <c r="E7794" s="2" t="str">
        <f>"外国语学院"</f>
        <v>外国语学院</v>
      </c>
    </row>
    <row r="7795" ht="13.5" hidden="1" spans="1:5">
      <c r="A7795" s="2" t="str">
        <f>"许煜莹"</f>
        <v>许煜莹</v>
      </c>
      <c r="B7795" s="2" t="str">
        <f>"B20210801514"</f>
        <v>B20210801514</v>
      </c>
      <c r="C7795" s="2" t="str">
        <f>"女"</f>
        <v>女</v>
      </c>
      <c r="D7795" s="2" t="str">
        <f t="shared" si="1933"/>
        <v>4</v>
      </c>
      <c r="E7795" s="2" t="str">
        <f>"外国语学院"</f>
        <v>外国语学院</v>
      </c>
    </row>
    <row r="7796" ht="13.5" hidden="1" spans="1:5">
      <c r="A7796" s="2" t="str">
        <f>"薛儒潇"</f>
        <v>薛儒潇</v>
      </c>
      <c r="B7796" s="2" t="str">
        <f>"B20210402309"</f>
        <v>B20210402309</v>
      </c>
      <c r="C7796" s="2" t="str">
        <f>"男"</f>
        <v>男</v>
      </c>
      <c r="D7796" s="2" t="str">
        <f>"4"</f>
        <v>4</v>
      </c>
      <c r="E7796" s="2" t="str">
        <f>"电子信息与电气工程学院"</f>
        <v>电子信息与电气工程学院</v>
      </c>
    </row>
    <row r="7797" ht="13.5" hidden="1" spans="1:5">
      <c r="A7797" s="2" t="str">
        <f>"章一飞"</f>
        <v>章一飞</v>
      </c>
      <c r="B7797" s="2" t="str">
        <f>"B20230601429"</f>
        <v>B20230601429</v>
      </c>
      <c r="C7797" s="2" t="str">
        <f>"女"</f>
        <v>女</v>
      </c>
      <c r="D7797" s="2" t="str">
        <f>"4"</f>
        <v>4</v>
      </c>
      <c r="E7797" s="2" t="str">
        <f>"法学院"</f>
        <v>法学院</v>
      </c>
    </row>
    <row r="7798" ht="13.5" hidden="1" spans="1:5">
      <c r="A7798" s="2" t="str">
        <f>"吴俊宇"</f>
        <v>吴俊宇</v>
      </c>
      <c r="B7798" s="2" t="str">
        <f>"B20231301104"</f>
        <v>B20231301104</v>
      </c>
      <c r="C7798" s="2" t="str">
        <f>"男"</f>
        <v>男</v>
      </c>
      <c r="D7798" s="2" t="str">
        <f>"4"</f>
        <v>4</v>
      </c>
      <c r="E7798" s="2" t="str">
        <f>"材料与环境工程学院"</f>
        <v>材料与环境工程学院</v>
      </c>
    </row>
    <row r="7799" ht="13.5" hidden="1" spans="1:5">
      <c r="A7799" s="2" t="str">
        <f>"陈潇"</f>
        <v>陈潇</v>
      </c>
      <c r="B7799" s="2" t="str">
        <f>"B20201002115"</f>
        <v>B20201002115</v>
      </c>
      <c r="C7799" s="2" t="str">
        <f>"女"</f>
        <v>女</v>
      </c>
      <c r="D7799" s="2" t="str">
        <f>"4"</f>
        <v>4</v>
      </c>
      <c r="E7799" s="2" t="str">
        <f>"艺术设计学院"</f>
        <v>艺术设计学院</v>
      </c>
    </row>
    <row r="7800" ht="13.5" hidden="1" spans="1:5">
      <c r="A7800" s="2" t="str">
        <f>"郭静怡"</f>
        <v>郭静怡</v>
      </c>
      <c r="B7800" s="2" t="str">
        <f>"B20210405117"</f>
        <v>B20210405117</v>
      </c>
      <c r="C7800" s="2" t="str">
        <f>"女"</f>
        <v>女</v>
      </c>
      <c r="D7800" s="2" t="str">
        <f>"4"</f>
        <v>4</v>
      </c>
      <c r="E7800" s="2" t="str">
        <f>"电子信息与电气工程学院"</f>
        <v>电子信息与电气工程学院</v>
      </c>
    </row>
    <row r="7801" ht="13.5" hidden="1" spans="1:5">
      <c r="A7801" s="2" t="str">
        <f>"蒋洋洋"</f>
        <v>蒋洋洋</v>
      </c>
      <c r="B7801" s="2" t="str">
        <f>"B20221302302"</f>
        <v>B20221302302</v>
      </c>
      <c r="C7801" s="2" t="str">
        <f>"男"</f>
        <v>男</v>
      </c>
      <c r="D7801" s="2" t="str">
        <f>"4"</f>
        <v>4</v>
      </c>
      <c r="E7801" s="2" t="str">
        <f>"材料与环境工程学院"</f>
        <v>材料与环境工程学院</v>
      </c>
    </row>
    <row r="7802" ht="13.5" hidden="1" spans="1:5">
      <c r="A7802" s="2" t="str">
        <f>"易甜"</f>
        <v>易甜</v>
      </c>
      <c r="B7802" s="2" t="str">
        <f>"B20230906202"</f>
        <v>B20230906202</v>
      </c>
      <c r="C7802" s="2" t="str">
        <f>"女"</f>
        <v>女</v>
      </c>
      <c r="D7802" s="2" t="str">
        <f>"4"</f>
        <v>4</v>
      </c>
      <c r="E7802" s="2" t="str">
        <f>"经济与管理学院"</f>
        <v>经济与管理学院</v>
      </c>
    </row>
    <row r="7803" ht="13.5" hidden="1" spans="1:5">
      <c r="A7803" s="2" t="str">
        <f>"梅东东"</f>
        <v>梅东东</v>
      </c>
      <c r="B7803" s="2" t="str">
        <f>"B20230502123"</f>
        <v>B20230502123</v>
      </c>
      <c r="C7803" s="2" t="str">
        <f t="shared" ref="C7803:C7805" si="1934">"男"</f>
        <v>男</v>
      </c>
      <c r="D7803" s="2" t="str">
        <f>"4"</f>
        <v>4</v>
      </c>
      <c r="E7803" s="2" t="str">
        <f>"生物与化学工程学院"</f>
        <v>生物与化学工程学院</v>
      </c>
    </row>
    <row r="7804" ht="13.5" hidden="1" spans="1:5">
      <c r="A7804" s="2" t="str">
        <f>"吴显龙"</f>
        <v>吴显龙</v>
      </c>
      <c r="B7804" s="2" t="str">
        <f>"B20220403311"</f>
        <v>B20220403311</v>
      </c>
      <c r="C7804" s="2" t="str">
        <f t="shared" si="1934"/>
        <v>男</v>
      </c>
      <c r="D7804" s="2" t="str">
        <f>"4"</f>
        <v>4</v>
      </c>
      <c r="E7804" s="2" t="str">
        <f>"电子信息与电气工程学院"</f>
        <v>电子信息与电气工程学院</v>
      </c>
    </row>
    <row r="7805" ht="13.5" hidden="1" spans="1:5">
      <c r="A7805" s="2" t="str">
        <f>"杨靖"</f>
        <v>杨靖</v>
      </c>
      <c r="B7805" s="2" t="str">
        <f>"B20230101418"</f>
        <v>B20230101418</v>
      </c>
      <c r="C7805" s="2" t="str">
        <f t="shared" si="1934"/>
        <v>男</v>
      </c>
      <c r="D7805" s="2" t="str">
        <f>"4"</f>
        <v>4</v>
      </c>
      <c r="E7805" s="2" t="str">
        <f>"土木工程学院"</f>
        <v>土木工程学院</v>
      </c>
    </row>
    <row r="7806" ht="13.5" hidden="1" spans="1:5">
      <c r="A7806" s="2" t="str">
        <f>"邱琪"</f>
        <v>邱琪</v>
      </c>
      <c r="B7806" s="2" t="str">
        <f>"B20210504209"</f>
        <v>B20210504209</v>
      </c>
      <c r="C7806" s="2" t="str">
        <f>"女"</f>
        <v>女</v>
      </c>
      <c r="D7806" s="2" t="str">
        <f>"4"</f>
        <v>4</v>
      </c>
      <c r="E7806" s="2" t="str">
        <f>"生物与化学工程学院"</f>
        <v>生物与化学工程学院</v>
      </c>
    </row>
    <row r="7807" ht="13.5" hidden="1" spans="1:5">
      <c r="A7807" s="2" t="str">
        <f>"熊志刚"</f>
        <v>熊志刚</v>
      </c>
      <c r="B7807" s="2" t="str">
        <f>"B20220901223"</f>
        <v>B20220901223</v>
      </c>
      <c r="C7807" s="2" t="str">
        <f>"男"</f>
        <v>男</v>
      </c>
      <c r="D7807" s="2" t="str">
        <f>"4"</f>
        <v>4</v>
      </c>
      <c r="E7807" s="2" t="str">
        <f>"经济与管理学院"</f>
        <v>经济与管理学院</v>
      </c>
    </row>
    <row r="7808" ht="13.5" hidden="1" spans="1:5">
      <c r="A7808" s="2" t="str">
        <f>"蔡慧媛"</f>
        <v>蔡慧媛</v>
      </c>
      <c r="B7808" s="2" t="str">
        <f>"B20230902107"</f>
        <v>B20230902107</v>
      </c>
      <c r="C7808" s="2" t="str">
        <f>"女"</f>
        <v>女</v>
      </c>
      <c r="D7808" s="2" t="str">
        <f>"4"</f>
        <v>4</v>
      </c>
      <c r="E7808" s="2" t="str">
        <f>"经济与管理学院"</f>
        <v>经济与管理学院</v>
      </c>
    </row>
    <row r="7809" ht="13.5" hidden="1" spans="1:5">
      <c r="A7809" s="2" t="str">
        <f>"谢娉婷"</f>
        <v>谢娉婷</v>
      </c>
      <c r="B7809" s="2" t="str">
        <f>"B20220701203"</f>
        <v>B20220701203</v>
      </c>
      <c r="C7809" s="2" t="str">
        <f>"女"</f>
        <v>女</v>
      </c>
      <c r="D7809" s="2" t="str">
        <f>"4"</f>
        <v>4</v>
      </c>
      <c r="E7809" s="2" t="str">
        <f>"马栏山新媒体学院"</f>
        <v>马栏山新媒体学院</v>
      </c>
    </row>
    <row r="7810" ht="13.5" hidden="1" spans="1:5">
      <c r="A7810" s="2" t="str">
        <f>"汤琳"</f>
        <v>汤琳</v>
      </c>
      <c r="B7810" s="2" t="str">
        <f>"B20201002207"</f>
        <v>B20201002207</v>
      </c>
      <c r="C7810" s="2" t="str">
        <f>"女"</f>
        <v>女</v>
      </c>
      <c r="D7810" s="2" t="str">
        <f>"4"</f>
        <v>4</v>
      </c>
      <c r="E7810" s="2" t="str">
        <f>"艺术设计学院"</f>
        <v>艺术设计学院</v>
      </c>
    </row>
    <row r="7811" ht="13.5" hidden="1" spans="1:5">
      <c r="A7811" s="2" t="str">
        <f>"吕世欣"</f>
        <v>吕世欣</v>
      </c>
      <c r="B7811" s="2" t="str">
        <f>"B20210405128"</f>
        <v>B20210405128</v>
      </c>
      <c r="C7811" s="2" t="str">
        <f>"女"</f>
        <v>女</v>
      </c>
      <c r="D7811" s="2" t="str">
        <f>"4"</f>
        <v>4</v>
      </c>
      <c r="E7811" s="2" t="str">
        <f>"电子信息与电气工程学院"</f>
        <v>电子信息与电气工程学院</v>
      </c>
    </row>
    <row r="7812" ht="13.5" hidden="1" spans="1:5">
      <c r="A7812" s="2" t="str">
        <f>"王荣鑫"</f>
        <v>王荣鑫</v>
      </c>
      <c r="B7812" s="2" t="str">
        <f>"B20220704206"</f>
        <v>B20220704206</v>
      </c>
      <c r="C7812" s="2" t="str">
        <f t="shared" ref="C7812:C7815" si="1935">"男"</f>
        <v>男</v>
      </c>
      <c r="D7812" s="2" t="str">
        <f>"4"</f>
        <v>4</v>
      </c>
      <c r="E7812" s="2" t="str">
        <f>"马栏山新媒体学院"</f>
        <v>马栏山新媒体学院</v>
      </c>
    </row>
    <row r="7813" ht="13.5" hidden="1" spans="1:5">
      <c r="A7813" s="2" t="str">
        <f>"江苗苗"</f>
        <v>江苗苗</v>
      </c>
      <c r="B7813" s="2" t="str">
        <f>"B20230402108"</f>
        <v>B20230402108</v>
      </c>
      <c r="C7813" s="2" t="str">
        <f t="shared" ref="C7813:C7817" si="1936">"女"</f>
        <v>女</v>
      </c>
      <c r="D7813" s="2" t="str">
        <f>"4"</f>
        <v>4</v>
      </c>
      <c r="E7813" s="2" t="str">
        <f>"电子信息与电气工程学院"</f>
        <v>电子信息与电气工程学院</v>
      </c>
    </row>
    <row r="7814" ht="13.5" hidden="1" spans="1:5">
      <c r="A7814" s="2" t="str">
        <f>"高子涵"</f>
        <v>高子涵</v>
      </c>
      <c r="B7814" s="2" t="str">
        <f>"B20230403330"</f>
        <v>B20230403330</v>
      </c>
      <c r="C7814" s="2" t="str">
        <f t="shared" si="1935"/>
        <v>男</v>
      </c>
      <c r="D7814" s="2" t="str">
        <f>"4"</f>
        <v>4</v>
      </c>
      <c r="E7814" s="2" t="str">
        <f>"电子信息与电气工程学院"</f>
        <v>电子信息与电气工程学院</v>
      </c>
    </row>
    <row r="7815" ht="13.5" hidden="1" spans="1:5">
      <c r="A7815" s="2" t="str">
        <f>"胡爽"</f>
        <v>胡爽</v>
      </c>
      <c r="B7815" s="2" t="str">
        <f>"B20230102108"</f>
        <v>B20230102108</v>
      </c>
      <c r="C7815" s="2" t="str">
        <f t="shared" si="1935"/>
        <v>男</v>
      </c>
      <c r="D7815" s="2" t="str">
        <f>"4"</f>
        <v>4</v>
      </c>
      <c r="E7815" s="2" t="str">
        <f>"土木工程学院"</f>
        <v>土木工程学院</v>
      </c>
    </row>
    <row r="7816" ht="13.5" hidden="1" spans="1:5">
      <c r="A7816" s="2" t="str">
        <f>"李彦璇"</f>
        <v>李彦璇</v>
      </c>
      <c r="B7816" s="2" t="str">
        <f>"B20200905225"</f>
        <v>B20200905225</v>
      </c>
      <c r="C7816" s="2" t="str">
        <f t="shared" si="1936"/>
        <v>女</v>
      </c>
      <c r="D7816" s="2" t="str">
        <f>"4"</f>
        <v>4</v>
      </c>
      <c r="E7816" s="2" t="str">
        <f>"经济与管理学院"</f>
        <v>经济与管理学院</v>
      </c>
    </row>
    <row r="7817" ht="13.5" hidden="1" spans="1:5">
      <c r="A7817" s="2" t="str">
        <f>"唐可欣"</f>
        <v>唐可欣</v>
      </c>
      <c r="B7817" s="2" t="str">
        <f>"B20230905109"</f>
        <v>B20230905109</v>
      </c>
      <c r="C7817" s="2" t="str">
        <f t="shared" si="1936"/>
        <v>女</v>
      </c>
      <c r="D7817" s="2" t="str">
        <f>"4"</f>
        <v>4</v>
      </c>
      <c r="E7817" s="2" t="str">
        <f>"经济与管理学院"</f>
        <v>经济与管理学院</v>
      </c>
    </row>
    <row r="7818" ht="13.5" hidden="1" spans="1:5">
      <c r="A7818" s="2" t="str">
        <f>"陈哲"</f>
        <v>陈哲</v>
      </c>
      <c r="B7818" s="2" t="str">
        <f>"B20230401326"</f>
        <v>B20230401326</v>
      </c>
      <c r="C7818" s="2" t="str">
        <f>"男"</f>
        <v>男</v>
      </c>
      <c r="D7818" s="2" t="str">
        <f>"4"</f>
        <v>4</v>
      </c>
      <c r="E7818" s="2" t="str">
        <f>"电子信息与电气工程学院"</f>
        <v>电子信息与电气工程学院</v>
      </c>
    </row>
    <row r="7819" ht="13.5" hidden="1" spans="1:5">
      <c r="A7819" s="2" t="str">
        <f>"郭超"</f>
        <v>郭超</v>
      </c>
      <c r="B7819" s="2" t="str">
        <f>"B20210904222"</f>
        <v>B20210904222</v>
      </c>
      <c r="C7819" s="2" t="str">
        <f>"男"</f>
        <v>男</v>
      </c>
      <c r="D7819" s="2" t="str">
        <f>"4"</f>
        <v>4</v>
      </c>
      <c r="E7819" s="2" t="str">
        <f>"经济与管理学院"</f>
        <v>经济与管理学院</v>
      </c>
    </row>
    <row r="7820" ht="13.5" hidden="1" spans="1:5">
      <c r="A7820" s="2" t="str">
        <f>"邓天佑"</f>
        <v>邓天佑</v>
      </c>
      <c r="B7820" s="2" t="str">
        <f>"B20230703207"</f>
        <v>B20230703207</v>
      </c>
      <c r="C7820" s="2" t="str">
        <f>"男"</f>
        <v>男</v>
      </c>
      <c r="D7820" s="2" t="str">
        <f>"4"</f>
        <v>4</v>
      </c>
      <c r="E7820" s="2" t="str">
        <f>"马栏山新媒体学院"</f>
        <v>马栏山新媒体学院</v>
      </c>
    </row>
    <row r="7821" ht="13.5" hidden="1" spans="1:5">
      <c r="A7821" s="2" t="str">
        <f>"蒋松旭"</f>
        <v>蒋松旭</v>
      </c>
      <c r="B7821" s="2" t="str">
        <f>"B20230102118"</f>
        <v>B20230102118</v>
      </c>
      <c r="C7821" s="2" t="str">
        <f>"男"</f>
        <v>男</v>
      </c>
      <c r="D7821" s="2" t="str">
        <f>"4"</f>
        <v>4</v>
      </c>
      <c r="E7821" s="2" t="str">
        <f>"土木工程学院"</f>
        <v>土木工程学院</v>
      </c>
    </row>
    <row r="7822" ht="13.5" hidden="1" spans="1:5">
      <c r="A7822" s="2" t="str">
        <f>"韩林汐"</f>
        <v>韩林汐</v>
      </c>
      <c r="B7822" s="2" t="str">
        <f>"B20221004203"</f>
        <v>B20221004203</v>
      </c>
      <c r="C7822" s="2" t="str">
        <f>"女"</f>
        <v>女</v>
      </c>
      <c r="D7822" s="2" t="str">
        <f>"4"</f>
        <v>4</v>
      </c>
      <c r="E7822" s="2" t="str">
        <f>"艺术设计学院"</f>
        <v>艺术设计学院</v>
      </c>
    </row>
    <row r="7823" ht="13.5" hidden="1" spans="1:5">
      <c r="A7823" s="2" t="str">
        <f>"杨琪"</f>
        <v>杨琪</v>
      </c>
      <c r="B7823" s="2" t="str">
        <f>"B20201101329"</f>
        <v>B20201101329</v>
      </c>
      <c r="C7823" s="2" t="str">
        <f>"女"</f>
        <v>女</v>
      </c>
      <c r="D7823" s="2" t="str">
        <f>"4"</f>
        <v>4</v>
      </c>
      <c r="E7823" s="2" t="str">
        <f>"音乐学院"</f>
        <v>音乐学院</v>
      </c>
    </row>
    <row r="7824" ht="13.5" hidden="1" spans="1:5">
      <c r="A7824" s="2" t="str">
        <f>"翟连君"</f>
        <v>翟连君</v>
      </c>
      <c r="B7824" s="2" t="str">
        <f>"B20220705103"</f>
        <v>B20220705103</v>
      </c>
      <c r="C7824" s="2" t="str">
        <f t="shared" ref="C7824:C7828" si="1937">"男"</f>
        <v>男</v>
      </c>
      <c r="D7824" s="2" t="str">
        <f>"4"</f>
        <v>4</v>
      </c>
      <c r="E7824" s="2" t="str">
        <f>"马栏山新媒体学院"</f>
        <v>马栏山新媒体学院</v>
      </c>
    </row>
    <row r="7825" ht="13.5" hidden="1" spans="1:5">
      <c r="A7825" s="2" t="str">
        <f>"舒泓锟"</f>
        <v>舒泓锟</v>
      </c>
      <c r="B7825" s="2" t="str">
        <f>"B20221302424"</f>
        <v>B20221302424</v>
      </c>
      <c r="C7825" s="2" t="str">
        <f t="shared" si="1937"/>
        <v>男</v>
      </c>
      <c r="D7825" s="2" t="str">
        <f>"4"</f>
        <v>4</v>
      </c>
      <c r="E7825" s="2" t="str">
        <f>"材料与环境工程学院"</f>
        <v>材料与环境工程学院</v>
      </c>
    </row>
    <row r="7826" ht="13.5" hidden="1" spans="1:5">
      <c r="A7826" s="2" t="str">
        <f>"尹靖翔"</f>
        <v>尹靖翔</v>
      </c>
      <c r="B7826" s="2" t="str">
        <f>"B20210505228"</f>
        <v>B20210505228</v>
      </c>
      <c r="C7826" s="2" t="str">
        <f t="shared" si="1937"/>
        <v>男</v>
      </c>
      <c r="D7826" s="2" t="str">
        <f>"4"</f>
        <v>4</v>
      </c>
      <c r="E7826" s="2" t="str">
        <f>"材料与环境工程学院"</f>
        <v>材料与环境工程学院</v>
      </c>
    </row>
    <row r="7827" ht="13.5" hidden="1" spans="1:5">
      <c r="A7827" s="2" t="str">
        <f>"刘洋"</f>
        <v>刘洋</v>
      </c>
      <c r="B7827" s="2" t="str">
        <f>"B20220204317"</f>
        <v>B20220204317</v>
      </c>
      <c r="C7827" s="2" t="str">
        <f t="shared" si="1937"/>
        <v>男</v>
      </c>
      <c r="D7827" s="2" t="str">
        <f>"4"</f>
        <v>4</v>
      </c>
      <c r="E7827" s="2" t="str">
        <f t="shared" ref="E7827:E7831" si="1938">"机电工程学院"</f>
        <v>机电工程学院</v>
      </c>
    </row>
    <row r="7828" ht="13.5" hidden="1" spans="1:5">
      <c r="A7828" s="2" t="str">
        <f>"罗威"</f>
        <v>罗威</v>
      </c>
      <c r="B7828" s="2" t="str">
        <f>"B20220201219"</f>
        <v>B20220201219</v>
      </c>
      <c r="C7828" s="2" t="str">
        <f t="shared" si="1937"/>
        <v>男</v>
      </c>
      <c r="D7828" s="2" t="str">
        <f>"4"</f>
        <v>4</v>
      </c>
      <c r="E7828" s="2" t="str">
        <f t="shared" si="1938"/>
        <v>机电工程学院</v>
      </c>
    </row>
    <row r="7829" ht="13.5" hidden="1" spans="1:5">
      <c r="A7829" s="2" t="str">
        <f>"张桂香"</f>
        <v>张桂香</v>
      </c>
      <c r="B7829" s="2" t="str">
        <f>"B20200505221"</f>
        <v>B20200505221</v>
      </c>
      <c r="C7829" s="2" t="str">
        <f>"女"</f>
        <v>女</v>
      </c>
      <c r="D7829" s="2" t="str">
        <f>"4"</f>
        <v>4</v>
      </c>
      <c r="E7829" s="2" t="str">
        <f>"生物与环境工程学院"</f>
        <v>生物与环境工程学院</v>
      </c>
    </row>
    <row r="7830" ht="13.5" hidden="1" spans="1:5">
      <c r="A7830" s="2" t="str">
        <f>"沈川"</f>
        <v>沈川</v>
      </c>
      <c r="B7830" s="2" t="str">
        <f>"B20210202429"</f>
        <v>B20210202429</v>
      </c>
      <c r="C7830" s="2" t="str">
        <f>"男"</f>
        <v>男</v>
      </c>
      <c r="D7830" s="2" t="str">
        <f>"4"</f>
        <v>4</v>
      </c>
      <c r="E7830" s="2" t="str">
        <f t="shared" si="1938"/>
        <v>机电工程学院</v>
      </c>
    </row>
    <row r="7831" ht="13.5" hidden="1" spans="1:5">
      <c r="A7831" s="2" t="str">
        <f>"孙酷"</f>
        <v>孙酷</v>
      </c>
      <c r="B7831" s="2" t="str">
        <f>"B20210201301"</f>
        <v>B20210201301</v>
      </c>
      <c r="C7831" s="2" t="str">
        <f>"男"</f>
        <v>男</v>
      </c>
      <c r="D7831" s="2" t="str">
        <f>"4"</f>
        <v>4</v>
      </c>
      <c r="E7831" s="2" t="str">
        <f t="shared" si="1938"/>
        <v>机电工程学院</v>
      </c>
    </row>
    <row r="7832" ht="13.5" hidden="1" spans="1:5">
      <c r="A7832" s="2" t="str">
        <f>"焦进成"</f>
        <v>焦进成</v>
      </c>
      <c r="B7832" s="2" t="str">
        <f>"B20221302433"</f>
        <v>B20221302433</v>
      </c>
      <c r="C7832" s="2" t="str">
        <f>"男"</f>
        <v>男</v>
      </c>
      <c r="D7832" s="2" t="str">
        <f>"4"</f>
        <v>4</v>
      </c>
      <c r="E7832" s="2" t="str">
        <f>"材料与环境工程学院"</f>
        <v>材料与环境工程学院</v>
      </c>
    </row>
    <row r="7833" ht="13.5" hidden="1" spans="1:5">
      <c r="A7833" s="2" t="str">
        <f>"郭广建"</f>
        <v>郭广建</v>
      </c>
      <c r="B7833" s="2" t="str">
        <f>"B20230703123"</f>
        <v>B20230703123</v>
      </c>
      <c r="C7833" s="2" t="str">
        <f>"男"</f>
        <v>男</v>
      </c>
      <c r="D7833" s="2" t="str">
        <f>"4"</f>
        <v>4</v>
      </c>
      <c r="E7833" s="2" t="str">
        <f>"马栏山新媒体学院"</f>
        <v>马栏山新媒体学院</v>
      </c>
    </row>
    <row r="7834" ht="13.5" hidden="1" spans="1:5">
      <c r="A7834" s="2" t="str">
        <f>"肖凯迪"</f>
        <v>肖凯迪</v>
      </c>
      <c r="B7834" s="2" t="str">
        <f>"B20231003222"</f>
        <v>B20231003222</v>
      </c>
      <c r="C7834" s="2" t="str">
        <f>"女"</f>
        <v>女</v>
      </c>
      <c r="D7834" s="2" t="str">
        <f>"4"</f>
        <v>4</v>
      </c>
      <c r="E7834" s="2" t="str">
        <f>"艺术设计学院"</f>
        <v>艺术设计学院</v>
      </c>
    </row>
    <row r="7835" ht="13.5" hidden="1" spans="1:5">
      <c r="A7835" s="2" t="str">
        <f>"时黛"</f>
        <v>时黛</v>
      </c>
      <c r="B7835" s="2" t="str">
        <f>"B20200703317"</f>
        <v>B20200703317</v>
      </c>
      <c r="C7835" s="2" t="str">
        <f>"女"</f>
        <v>女</v>
      </c>
      <c r="D7835" s="2" t="str">
        <f>"4"</f>
        <v>4</v>
      </c>
      <c r="E7835" s="2" t="str">
        <f>"马栏山新媒体学院"</f>
        <v>马栏山新媒体学院</v>
      </c>
    </row>
    <row r="7836" ht="13.5" hidden="1" spans="1:5">
      <c r="A7836" s="2" t="str">
        <f>"贺鸿铭"</f>
        <v>贺鸿铭</v>
      </c>
      <c r="B7836" s="2" t="str">
        <f>"B20220202403"</f>
        <v>B20220202403</v>
      </c>
      <c r="C7836" s="2" t="str">
        <f>"男"</f>
        <v>男</v>
      </c>
      <c r="D7836" s="2" t="str">
        <f>"4"</f>
        <v>4</v>
      </c>
      <c r="E7836" s="2" t="str">
        <f>"机电工程学院"</f>
        <v>机电工程学院</v>
      </c>
    </row>
    <row r="7837" ht="13.5" hidden="1" spans="1:5">
      <c r="A7837" s="2" t="str">
        <f>"吴金恒"</f>
        <v>吴金恒</v>
      </c>
      <c r="B7837" s="2" t="str">
        <f>"B20230101406"</f>
        <v>B20230101406</v>
      </c>
      <c r="C7837" s="2" t="str">
        <f>"男"</f>
        <v>男</v>
      </c>
      <c r="D7837" s="2" t="str">
        <f>"4"</f>
        <v>4</v>
      </c>
      <c r="E7837" s="2" t="str">
        <f>"土木工程学院"</f>
        <v>土木工程学院</v>
      </c>
    </row>
    <row r="7838" ht="13.5" hidden="1" spans="1:5">
      <c r="A7838" s="2" t="str">
        <f>"邓芷俊"</f>
        <v>邓芷俊</v>
      </c>
      <c r="B7838" s="2" t="str">
        <f>"B20220204319"</f>
        <v>B20220204319</v>
      </c>
      <c r="C7838" s="2" t="str">
        <f>"男"</f>
        <v>男</v>
      </c>
      <c r="D7838" s="2" t="str">
        <f>"4"</f>
        <v>4</v>
      </c>
      <c r="E7838" s="2" t="str">
        <f>"机电工程学院"</f>
        <v>机电工程学院</v>
      </c>
    </row>
    <row r="7839" ht="13.5" hidden="1" spans="1:5">
      <c r="A7839" s="2" t="str">
        <f>"付骏看"</f>
        <v>付骏看</v>
      </c>
      <c r="B7839" s="2" t="str">
        <f>"B20230401223"</f>
        <v>B20230401223</v>
      </c>
      <c r="C7839" s="2" t="str">
        <f>"男"</f>
        <v>男</v>
      </c>
      <c r="D7839" s="2" t="str">
        <f>"4"</f>
        <v>4</v>
      </c>
      <c r="E7839" s="2" t="str">
        <f>"电子信息与电气工程学院"</f>
        <v>电子信息与电气工程学院</v>
      </c>
    </row>
    <row r="7840" ht="13.5" hidden="1" spans="1:5">
      <c r="A7840" s="2" t="str">
        <f>"谭仁峰"</f>
        <v>谭仁峰</v>
      </c>
      <c r="B7840" s="2" t="str">
        <f>"B20220201401"</f>
        <v>B20220201401</v>
      </c>
      <c r="C7840" s="2" t="str">
        <f>"男"</f>
        <v>男</v>
      </c>
      <c r="D7840" s="2" t="str">
        <f>"4"</f>
        <v>4</v>
      </c>
      <c r="E7840" s="2" t="str">
        <f>"机电工程学院"</f>
        <v>机电工程学院</v>
      </c>
    </row>
    <row r="7841" ht="13.5" hidden="1" spans="1:5">
      <c r="A7841" s="2" t="str">
        <f>"贺鑫"</f>
        <v>贺鑫</v>
      </c>
      <c r="B7841" s="2" t="str">
        <f>"B20220902317"</f>
        <v>B20220902317</v>
      </c>
      <c r="C7841" s="2" t="str">
        <f>"男"</f>
        <v>男</v>
      </c>
      <c r="D7841" s="2" t="str">
        <f>"4"</f>
        <v>4</v>
      </c>
      <c r="E7841" s="2" t="str">
        <f>"经济与管理学院"</f>
        <v>经济与管理学院</v>
      </c>
    </row>
    <row r="7842" ht="13.5" hidden="1" spans="1:5">
      <c r="A7842" s="2" t="str">
        <f>"张秋彤"</f>
        <v>张秋彤</v>
      </c>
      <c r="B7842" s="2" t="str">
        <f>"B20230701119"</f>
        <v>B20230701119</v>
      </c>
      <c r="C7842" s="2" t="str">
        <f>"女"</f>
        <v>女</v>
      </c>
      <c r="D7842" s="2" t="str">
        <f t="shared" ref="D7842:D7852" si="1939">"4"</f>
        <v>4</v>
      </c>
      <c r="E7842" s="2" t="str">
        <f>"马栏山新媒体学院"</f>
        <v>马栏山新媒体学院</v>
      </c>
    </row>
    <row r="7843" ht="13.5" hidden="1" spans="1:5">
      <c r="A7843" s="2" t="str">
        <f>"毛宇娇"</f>
        <v>毛宇娇</v>
      </c>
      <c r="B7843" s="2" t="str">
        <f>"B20220702405"</f>
        <v>B20220702405</v>
      </c>
      <c r="C7843" s="2" t="str">
        <f>"女"</f>
        <v>女</v>
      </c>
      <c r="D7843" s="2" t="str">
        <f t="shared" si="1939"/>
        <v>4</v>
      </c>
      <c r="E7843" s="2" t="str">
        <f>"马栏山新媒体学院"</f>
        <v>马栏山新媒体学院</v>
      </c>
    </row>
    <row r="7844" ht="13.5" hidden="1" spans="1:5">
      <c r="A7844" s="2" t="str">
        <f>"成可雅"</f>
        <v>成可雅</v>
      </c>
      <c r="B7844" s="2" t="str">
        <f>"B20230904305"</f>
        <v>B20230904305</v>
      </c>
      <c r="C7844" s="2" t="str">
        <f>"女"</f>
        <v>女</v>
      </c>
      <c r="D7844" s="2" t="str">
        <f t="shared" si="1939"/>
        <v>4</v>
      </c>
      <c r="E7844" s="2" t="str">
        <f>"经济与管理学院"</f>
        <v>经济与管理学院</v>
      </c>
    </row>
    <row r="7845" ht="13.5" hidden="1" spans="1:5">
      <c r="A7845" s="2" t="str">
        <f>"余翔"</f>
        <v>余翔</v>
      </c>
      <c r="B7845" s="2" t="str">
        <f>"B20230101411"</f>
        <v>B20230101411</v>
      </c>
      <c r="C7845" s="2" t="str">
        <f t="shared" ref="C7845:C7848" si="1940">"男"</f>
        <v>男</v>
      </c>
      <c r="D7845" s="2" t="str">
        <f t="shared" si="1939"/>
        <v>4</v>
      </c>
      <c r="E7845" s="2" t="str">
        <f>"土木工程学院"</f>
        <v>土木工程学院</v>
      </c>
    </row>
    <row r="7846" ht="13.5" hidden="1" spans="1:5">
      <c r="A7846" s="2" t="str">
        <f>"赵思宇"</f>
        <v>赵思宇</v>
      </c>
      <c r="B7846" s="2" t="str">
        <f>"B20220904212"</f>
        <v>B20220904212</v>
      </c>
      <c r="C7846" s="2" t="str">
        <f t="shared" ref="C7846:C7850" si="1941">"女"</f>
        <v>女</v>
      </c>
      <c r="D7846" s="2" t="str">
        <f t="shared" si="1939"/>
        <v>4</v>
      </c>
      <c r="E7846" s="2" t="str">
        <f>"经济与管理学院"</f>
        <v>经济与管理学院</v>
      </c>
    </row>
    <row r="7847" ht="13.5" hidden="1" spans="1:5">
      <c r="A7847" s="2" t="str">
        <f>"罗淋"</f>
        <v>罗淋</v>
      </c>
      <c r="B7847" s="2" t="str">
        <f>"B20231003201"</f>
        <v>B20231003201</v>
      </c>
      <c r="C7847" s="2" t="str">
        <f t="shared" si="1940"/>
        <v>男</v>
      </c>
      <c r="D7847" s="2" t="str">
        <f t="shared" si="1939"/>
        <v>4</v>
      </c>
      <c r="E7847" s="2" t="str">
        <f>"艺术设计学院"</f>
        <v>艺术设计学院</v>
      </c>
    </row>
    <row r="7848" ht="13.5" hidden="1" spans="1:5">
      <c r="A7848" s="2" t="str">
        <f>"杨子墨"</f>
        <v>杨子墨</v>
      </c>
      <c r="B7848" s="2" t="str">
        <f>"B20230802125"</f>
        <v>B20230802125</v>
      </c>
      <c r="C7848" s="2" t="str">
        <f t="shared" si="1940"/>
        <v>男</v>
      </c>
      <c r="D7848" s="2" t="str">
        <f t="shared" si="1939"/>
        <v>4</v>
      </c>
      <c r="E7848" s="2" t="str">
        <f>"外国语学院"</f>
        <v>外国语学院</v>
      </c>
    </row>
    <row r="7849" ht="13.5" hidden="1" spans="1:5">
      <c r="A7849" s="2" t="str">
        <f>"邹佳慧"</f>
        <v>邹佳慧</v>
      </c>
      <c r="B7849" s="2" t="str">
        <f>"B20231002119"</f>
        <v>B20231002119</v>
      </c>
      <c r="C7849" s="2" t="str">
        <f t="shared" si="1941"/>
        <v>女</v>
      </c>
      <c r="D7849" s="2" t="str">
        <f t="shared" si="1939"/>
        <v>4</v>
      </c>
      <c r="E7849" s="2" t="str">
        <f>"艺术设计学院"</f>
        <v>艺术设计学院</v>
      </c>
    </row>
    <row r="7850" ht="13.5" hidden="1" spans="1:5">
      <c r="A7850" s="2" t="str">
        <f>"邹婷婷"</f>
        <v>邹婷婷</v>
      </c>
      <c r="B7850" s="2" t="str">
        <f>"B20200901140"</f>
        <v>B20200901140</v>
      </c>
      <c r="C7850" s="2" t="str">
        <f t="shared" si="1941"/>
        <v>女</v>
      </c>
      <c r="D7850" s="2" t="str">
        <f t="shared" si="1939"/>
        <v>4</v>
      </c>
      <c r="E7850" s="2" t="str">
        <f>"经济与管理学院"</f>
        <v>经济与管理学院</v>
      </c>
    </row>
    <row r="7851" ht="13.5" hidden="1" spans="1:5">
      <c r="A7851" s="2" t="str">
        <f>"赵钰龙"</f>
        <v>赵钰龙</v>
      </c>
      <c r="B7851" s="2" t="str">
        <f>"B20230701224"</f>
        <v>B20230701224</v>
      </c>
      <c r="C7851" s="2" t="str">
        <f>"男"</f>
        <v>男</v>
      </c>
      <c r="D7851" s="2" t="str">
        <f t="shared" si="1939"/>
        <v>4</v>
      </c>
      <c r="E7851" s="2" t="str">
        <f>"马栏山新媒体学院"</f>
        <v>马栏山新媒体学院</v>
      </c>
    </row>
    <row r="7852" ht="13.5" hidden="1" spans="1:5">
      <c r="A7852" s="2" t="str">
        <f>"杨辰序"</f>
        <v>杨辰序</v>
      </c>
      <c r="B7852" s="2" t="str">
        <f>"B20220501228"</f>
        <v>B20220501228</v>
      </c>
      <c r="C7852" s="2" t="str">
        <f>"男"</f>
        <v>男</v>
      </c>
      <c r="D7852" s="2" t="str">
        <f t="shared" si="1939"/>
        <v>4</v>
      </c>
      <c r="E7852" s="2" t="str">
        <f>"生物与化学工程学院"</f>
        <v>生物与化学工程学院</v>
      </c>
    </row>
    <row r="7853" ht="13.5" hidden="1" spans="1:5">
      <c r="A7853" s="2" t="str">
        <f>"刘鑫荣"</f>
        <v>刘鑫荣</v>
      </c>
      <c r="B7853" s="2" t="str">
        <f>"B20210903126"</f>
        <v>B20210903126</v>
      </c>
      <c r="C7853" s="2" t="str">
        <f>"女"</f>
        <v>女</v>
      </c>
      <c r="D7853" s="2" t="str">
        <f>"3"</f>
        <v>3</v>
      </c>
      <c r="E7853" s="2" t="str">
        <f>"经济与管理学院"</f>
        <v>经济与管理学院</v>
      </c>
    </row>
    <row r="7854" ht="13.5" hidden="1" spans="1:5">
      <c r="A7854" s="2" t="str">
        <f>"陈智杰"</f>
        <v>陈智杰</v>
      </c>
      <c r="B7854" s="2" t="str">
        <f>"B20230403328"</f>
        <v>B20230403328</v>
      </c>
      <c r="C7854" s="2" t="str">
        <f>"男"</f>
        <v>男</v>
      </c>
      <c r="D7854" s="2" t="str">
        <f>"3"</f>
        <v>3</v>
      </c>
      <c r="E7854" s="2" t="str">
        <f>"电子信息与电气工程学院"</f>
        <v>电子信息与电气工程学院</v>
      </c>
    </row>
    <row r="7855" ht="13.5" hidden="1" spans="1:5">
      <c r="A7855" s="2" t="str">
        <f>"李潘"</f>
        <v>李潘</v>
      </c>
      <c r="B7855" s="2" t="str">
        <f>"B20220204209"</f>
        <v>B20220204209</v>
      </c>
      <c r="C7855" s="2" t="str">
        <f>"男"</f>
        <v>男</v>
      </c>
      <c r="D7855" s="2" t="str">
        <f>"3"</f>
        <v>3</v>
      </c>
      <c r="E7855" s="2" t="str">
        <f>"机电工程学院"</f>
        <v>机电工程学院</v>
      </c>
    </row>
    <row r="7856" ht="13.5" hidden="1" spans="1:5">
      <c r="A7856" s="2" t="str">
        <f>"陈磊"</f>
        <v>陈磊</v>
      </c>
      <c r="B7856" s="2" t="str">
        <f>"B20230101415"</f>
        <v>B20230101415</v>
      </c>
      <c r="C7856" s="2" t="str">
        <f>"男"</f>
        <v>男</v>
      </c>
      <c r="D7856" s="2" t="str">
        <f>"3"</f>
        <v>3</v>
      </c>
      <c r="E7856" s="2" t="str">
        <f>"土木工程学院"</f>
        <v>土木工程学院</v>
      </c>
    </row>
    <row r="7857" ht="13.5" hidden="1" spans="1:5">
      <c r="A7857" s="2" t="str">
        <f>"罗嘉"</f>
        <v>罗嘉</v>
      </c>
      <c r="B7857" s="2" t="str">
        <f>"B20221003214"</f>
        <v>B20221003214</v>
      </c>
      <c r="C7857" s="2" t="str">
        <f>"女"</f>
        <v>女</v>
      </c>
      <c r="D7857" s="2" t="str">
        <f>"3"</f>
        <v>3</v>
      </c>
      <c r="E7857" s="2" t="str">
        <f>"艺术设计学院"</f>
        <v>艺术设计学院</v>
      </c>
    </row>
    <row r="7858" ht="13.5" hidden="1" spans="1:5">
      <c r="A7858" s="2" t="str">
        <f>"朱宏伟"</f>
        <v>朱宏伟</v>
      </c>
      <c r="B7858" s="2" t="str">
        <f>"B20230601320"</f>
        <v>B20230601320</v>
      </c>
      <c r="C7858" s="2" t="str">
        <f>"男"</f>
        <v>男</v>
      </c>
      <c r="D7858" s="2" t="str">
        <f>"3"</f>
        <v>3</v>
      </c>
      <c r="E7858" s="2" t="str">
        <f>"法学院"</f>
        <v>法学院</v>
      </c>
    </row>
    <row r="7859" ht="13.5" hidden="1" spans="1:5">
      <c r="A7859" s="2" t="str">
        <f>"何志恒"</f>
        <v>何志恒</v>
      </c>
      <c r="B7859" s="2" t="str">
        <f>"B20230601421"</f>
        <v>B20230601421</v>
      </c>
      <c r="C7859" s="2" t="str">
        <f>"男"</f>
        <v>男</v>
      </c>
      <c r="D7859" s="2" t="str">
        <f>"3"</f>
        <v>3</v>
      </c>
      <c r="E7859" s="2" t="str">
        <f>"法学院"</f>
        <v>法学院</v>
      </c>
    </row>
    <row r="7860" ht="13.5" hidden="1" spans="1:5">
      <c r="A7860" s="2" t="str">
        <f>"李昱瑾"</f>
        <v>李昱瑾</v>
      </c>
      <c r="B7860" s="2" t="str">
        <f>"B20231002219"</f>
        <v>B20231002219</v>
      </c>
      <c r="C7860" s="2" t="str">
        <f>"女"</f>
        <v>女</v>
      </c>
      <c r="D7860" s="2" t="str">
        <f>"3"</f>
        <v>3</v>
      </c>
      <c r="E7860" s="2" t="str">
        <f>"艺术设计学院"</f>
        <v>艺术设计学院</v>
      </c>
    </row>
    <row r="7861" ht="13.5" hidden="1" spans="1:5">
      <c r="A7861" s="2" t="str">
        <f>"龙妙心"</f>
        <v>龙妙心</v>
      </c>
      <c r="B7861" s="2" t="str">
        <f>"B20210704126"</f>
        <v>B20210704126</v>
      </c>
      <c r="C7861" s="2" t="str">
        <f>"女"</f>
        <v>女</v>
      </c>
      <c r="D7861" s="2" t="str">
        <f>"3"</f>
        <v>3</v>
      </c>
      <c r="E7861" s="2" t="str">
        <f>"马栏山新媒体学院"</f>
        <v>马栏山新媒体学院</v>
      </c>
    </row>
    <row r="7862" ht="13.5" hidden="1" spans="1:5">
      <c r="A7862" s="2" t="str">
        <f>"陈云帆"</f>
        <v>陈云帆</v>
      </c>
      <c r="B7862" s="2" t="str">
        <f>"B20220101624"</f>
        <v>B20220101624</v>
      </c>
      <c r="C7862" s="2" t="str">
        <f>"男"</f>
        <v>男</v>
      </c>
      <c r="D7862" s="2" t="str">
        <f>"3"</f>
        <v>3</v>
      </c>
      <c r="E7862" s="2" t="str">
        <f>"土木工程学院"</f>
        <v>土木工程学院</v>
      </c>
    </row>
    <row r="7863" ht="13.5" hidden="1" spans="1:5">
      <c r="A7863" s="2" t="str">
        <f>"周俊哲"</f>
        <v>周俊哲</v>
      </c>
      <c r="B7863" s="2" t="str">
        <f>"B20211001108"</f>
        <v>B20211001108</v>
      </c>
      <c r="C7863" s="2" t="str">
        <f>"男"</f>
        <v>男</v>
      </c>
      <c r="D7863" s="2" t="str">
        <f>"3"</f>
        <v>3</v>
      </c>
      <c r="E7863" s="2" t="str">
        <f>"艺术设计学院"</f>
        <v>艺术设计学院</v>
      </c>
    </row>
    <row r="7864" ht="13.5" hidden="1" spans="1:5">
      <c r="A7864" s="2" t="str">
        <f>"王世毅"</f>
        <v>王世毅</v>
      </c>
      <c r="B7864" s="2" t="str">
        <f>"B20220401328"</f>
        <v>B20220401328</v>
      </c>
      <c r="C7864" s="2" t="str">
        <f>"男"</f>
        <v>男</v>
      </c>
      <c r="D7864" s="2" t="str">
        <f>"3"</f>
        <v>3</v>
      </c>
      <c r="E7864" s="2" t="str">
        <f>"电子信息与电气工程学院"</f>
        <v>电子信息与电气工程学院</v>
      </c>
    </row>
    <row r="7865" ht="13.5" hidden="1" spans="1:5">
      <c r="A7865" s="2" t="str">
        <f>"陈磊"</f>
        <v>陈磊</v>
      </c>
      <c r="B7865" s="2" t="str">
        <f>"B20210403122"</f>
        <v>B20210403122</v>
      </c>
      <c r="C7865" s="2" t="str">
        <f>"男"</f>
        <v>男</v>
      </c>
      <c r="D7865" s="2" t="str">
        <f>"3"</f>
        <v>3</v>
      </c>
      <c r="E7865" s="2" t="str">
        <f>"电子信息与电气工程学院"</f>
        <v>电子信息与电气工程学院</v>
      </c>
    </row>
    <row r="7866" ht="13.5" hidden="1" spans="1:5">
      <c r="A7866" s="2" t="str">
        <f>"毛佳"</f>
        <v>毛佳</v>
      </c>
      <c r="B7866" s="2" t="str">
        <f>"B20230904133"</f>
        <v>B20230904133</v>
      </c>
      <c r="C7866" s="2" t="str">
        <f>"女"</f>
        <v>女</v>
      </c>
      <c r="D7866" s="2" t="str">
        <f>"3"</f>
        <v>3</v>
      </c>
      <c r="E7866" s="2" t="str">
        <f>"经济与管理学院"</f>
        <v>经济与管理学院</v>
      </c>
    </row>
    <row r="7867" ht="13.5" hidden="1" spans="1:5">
      <c r="A7867" s="2" t="str">
        <f>"杨昊"</f>
        <v>杨昊</v>
      </c>
      <c r="B7867" s="2" t="str">
        <f>"B20230102111"</f>
        <v>B20230102111</v>
      </c>
      <c r="C7867" s="2" t="str">
        <f t="shared" ref="C7867:C7870" si="1942">"男"</f>
        <v>男</v>
      </c>
      <c r="D7867" s="2" t="str">
        <f>"3"</f>
        <v>3</v>
      </c>
      <c r="E7867" s="2" t="str">
        <f>"土木工程学院"</f>
        <v>土木工程学院</v>
      </c>
    </row>
    <row r="7868" ht="13.5" hidden="1" spans="1:5">
      <c r="A7868" s="2" t="str">
        <f>"刘文杰"</f>
        <v>刘文杰</v>
      </c>
      <c r="B7868" s="2" t="str">
        <f>"B20220802123"</f>
        <v>B20220802123</v>
      </c>
      <c r="C7868" s="2" t="str">
        <f t="shared" si="1942"/>
        <v>男</v>
      </c>
      <c r="D7868" s="2" t="str">
        <f>"3"</f>
        <v>3</v>
      </c>
      <c r="E7868" s="2" t="str">
        <f>"外国语学院"</f>
        <v>外国语学院</v>
      </c>
    </row>
    <row r="7869" ht="13.5" hidden="1" spans="1:5">
      <c r="A7869" s="2" t="str">
        <f>"黄炫毓"</f>
        <v>黄炫毓</v>
      </c>
      <c r="B7869" s="2" t="str">
        <f>"B20230101229"</f>
        <v>B20230101229</v>
      </c>
      <c r="C7869" s="2" t="str">
        <f t="shared" si="1942"/>
        <v>男</v>
      </c>
      <c r="D7869" s="2" t="str">
        <f>"3"</f>
        <v>3</v>
      </c>
      <c r="E7869" s="2" t="str">
        <f>"土木工程学院"</f>
        <v>土木工程学院</v>
      </c>
    </row>
    <row r="7870" ht="13.5" hidden="1" spans="1:5">
      <c r="A7870" s="2" t="str">
        <f>"韩诚"</f>
        <v>韩诚</v>
      </c>
      <c r="B7870" s="2" t="str">
        <f>"B20230401413"</f>
        <v>B20230401413</v>
      </c>
      <c r="C7870" s="2" t="str">
        <f t="shared" si="1942"/>
        <v>男</v>
      </c>
      <c r="D7870" s="2" t="str">
        <f>"3"</f>
        <v>3</v>
      </c>
      <c r="E7870" s="2" t="str">
        <f>"电子信息与电气工程学院"</f>
        <v>电子信息与电气工程学院</v>
      </c>
    </row>
    <row r="7871" ht="13.5" hidden="1" spans="1:5">
      <c r="A7871" s="2" t="str">
        <f>"肖嘉昕"</f>
        <v>肖嘉昕</v>
      </c>
      <c r="B7871" s="2" t="str">
        <f>"B20220701429"</f>
        <v>B20220701429</v>
      </c>
      <c r="C7871" s="2" t="str">
        <f t="shared" ref="C7871:C7873" si="1943">"女"</f>
        <v>女</v>
      </c>
      <c r="D7871" s="2" t="str">
        <f>"3"</f>
        <v>3</v>
      </c>
      <c r="E7871" s="2" t="str">
        <f>"马栏山新媒体学院"</f>
        <v>马栏山新媒体学院</v>
      </c>
    </row>
    <row r="7872" ht="13.5" hidden="1" spans="1:5">
      <c r="A7872" s="2" t="str">
        <f>"黎鑫"</f>
        <v>黎鑫</v>
      </c>
      <c r="B7872" s="2" t="str">
        <f>"B20200203111"</f>
        <v>B20200203111</v>
      </c>
      <c r="C7872" s="2" t="str">
        <f t="shared" si="1943"/>
        <v>女</v>
      </c>
      <c r="D7872" s="2" t="str">
        <f>"3"</f>
        <v>3</v>
      </c>
      <c r="E7872" s="2" t="str">
        <f>"外国语学院"</f>
        <v>外国语学院</v>
      </c>
    </row>
    <row r="7873" ht="13.5" hidden="1" spans="1:5">
      <c r="A7873" s="2" t="str">
        <f>"欧阳嘉仪"</f>
        <v>欧阳嘉仪</v>
      </c>
      <c r="B7873" s="2" t="str">
        <f>"B20210401111"</f>
        <v>B20210401111</v>
      </c>
      <c r="C7873" s="2" t="str">
        <f t="shared" si="1943"/>
        <v>女</v>
      </c>
      <c r="D7873" s="2" t="str">
        <f>"3"</f>
        <v>3</v>
      </c>
      <c r="E7873" s="2" t="str">
        <f>"电子信息与电气工程学院"</f>
        <v>电子信息与电气工程学院</v>
      </c>
    </row>
    <row r="7874" ht="13.5" hidden="1" spans="1:5">
      <c r="A7874" s="2" t="str">
        <f>"颜飞宇"</f>
        <v>颜飞宇</v>
      </c>
      <c r="B7874" s="2" t="str">
        <f>"B20210201107"</f>
        <v>B20210201107</v>
      </c>
      <c r="C7874" s="2" t="str">
        <f t="shared" ref="C7874:C7880" si="1944">"男"</f>
        <v>男</v>
      </c>
      <c r="D7874" s="2" t="str">
        <f>"3"</f>
        <v>3</v>
      </c>
      <c r="E7874" s="2" t="str">
        <f>"机电工程学院"</f>
        <v>机电工程学院</v>
      </c>
    </row>
    <row r="7875" ht="13.5" hidden="1" spans="1:5">
      <c r="A7875" s="2" t="str">
        <f>"舒倩"</f>
        <v>舒倩</v>
      </c>
      <c r="B7875" s="2" t="str">
        <f>"B20200702219"</f>
        <v>B20200702219</v>
      </c>
      <c r="C7875" s="2" t="str">
        <f t="shared" ref="C7875:C7878" si="1945">"女"</f>
        <v>女</v>
      </c>
      <c r="D7875" s="2" t="str">
        <f>"3"</f>
        <v>3</v>
      </c>
      <c r="E7875" s="2" t="str">
        <f>"马栏山新媒体学院"</f>
        <v>马栏山新媒体学院</v>
      </c>
    </row>
    <row r="7876" ht="13.5" hidden="1" spans="1:5">
      <c r="A7876" s="2" t="str">
        <f>"李润杰"</f>
        <v>李润杰</v>
      </c>
      <c r="B7876" s="2" t="str">
        <f>"B20220201428"</f>
        <v>B20220201428</v>
      </c>
      <c r="C7876" s="2" t="str">
        <f t="shared" si="1944"/>
        <v>男</v>
      </c>
      <c r="D7876" s="2" t="str">
        <f>"3"</f>
        <v>3</v>
      </c>
      <c r="E7876" s="2" t="str">
        <f>"机电工程学院"</f>
        <v>机电工程学院</v>
      </c>
    </row>
    <row r="7877" ht="13.5" hidden="1" spans="1:5">
      <c r="A7877" s="2" t="str">
        <f>"陈莘妍"</f>
        <v>陈莘妍</v>
      </c>
      <c r="B7877" s="2" t="str">
        <f>"B20210906224"</f>
        <v>B20210906224</v>
      </c>
      <c r="C7877" s="2" t="str">
        <f t="shared" si="1945"/>
        <v>女</v>
      </c>
      <c r="D7877" s="2" t="str">
        <f>"3"</f>
        <v>3</v>
      </c>
      <c r="E7877" s="2" t="str">
        <f>"经济与管理学院"</f>
        <v>经济与管理学院</v>
      </c>
    </row>
    <row r="7878" ht="13.5" hidden="1" spans="1:5">
      <c r="A7878" s="2" t="str">
        <f>"王婷"</f>
        <v>王婷</v>
      </c>
      <c r="B7878" s="2" t="str">
        <f>"B20230801430"</f>
        <v>B20230801430</v>
      </c>
      <c r="C7878" s="2" t="str">
        <f t="shared" si="1945"/>
        <v>女</v>
      </c>
      <c r="D7878" s="2" t="str">
        <f>"3"</f>
        <v>3</v>
      </c>
      <c r="E7878" s="2" t="str">
        <f>"外国语学院"</f>
        <v>外国语学院</v>
      </c>
    </row>
    <row r="7879" ht="13.5" hidden="1" spans="1:5">
      <c r="A7879" s="2" t="str">
        <f>"单志涛"</f>
        <v>单志涛</v>
      </c>
      <c r="B7879" s="2" t="str">
        <f>"B20230402227"</f>
        <v>B20230402227</v>
      </c>
      <c r="C7879" s="2" t="str">
        <f t="shared" si="1944"/>
        <v>男</v>
      </c>
      <c r="D7879" s="2" t="str">
        <f>"3"</f>
        <v>3</v>
      </c>
      <c r="E7879" s="2" t="str">
        <f>"电子信息与电气工程学院"</f>
        <v>电子信息与电气工程学院</v>
      </c>
    </row>
    <row r="7880" ht="13.5" hidden="1" spans="1:5">
      <c r="A7880" s="2" t="str">
        <f>"李旭东"</f>
        <v>李旭东</v>
      </c>
      <c r="B7880" s="2" t="str">
        <f>"B20210203133"</f>
        <v>B20210203133</v>
      </c>
      <c r="C7880" s="2" t="str">
        <f t="shared" si="1944"/>
        <v>男</v>
      </c>
      <c r="D7880" s="2" t="str">
        <f>"3"</f>
        <v>3</v>
      </c>
      <c r="E7880" s="2" t="str">
        <f>"机电工程学院"</f>
        <v>机电工程学院</v>
      </c>
    </row>
    <row r="7881" ht="13.5" hidden="1" spans="1:5">
      <c r="A7881" s="2" t="str">
        <f>"韦燕梅"</f>
        <v>韦燕梅</v>
      </c>
      <c r="B7881" s="2" t="str">
        <f>"B20200905131"</f>
        <v>B20200905131</v>
      </c>
      <c r="C7881" s="2" t="str">
        <f>"女"</f>
        <v>女</v>
      </c>
      <c r="D7881" s="2" t="str">
        <f>"3"</f>
        <v>3</v>
      </c>
      <c r="E7881" s="2" t="str">
        <f>"经济与管理学院"</f>
        <v>经济与管理学院</v>
      </c>
    </row>
    <row r="7882" ht="13.5" hidden="1" spans="1:5">
      <c r="A7882" s="2" t="str">
        <f>"陈爽"</f>
        <v>陈爽</v>
      </c>
      <c r="B7882" s="2" t="str">
        <f>"B20210704421"</f>
        <v>B20210704421</v>
      </c>
      <c r="C7882" s="2" t="str">
        <f>"女"</f>
        <v>女</v>
      </c>
      <c r="D7882" s="2" t="str">
        <f>"3"</f>
        <v>3</v>
      </c>
      <c r="E7882" s="2" t="str">
        <f>"马栏山新媒体学院"</f>
        <v>马栏山新媒体学院</v>
      </c>
    </row>
    <row r="7883" ht="13.5" hidden="1" spans="1:5">
      <c r="A7883" s="2" t="str">
        <f>"刘恩祺"</f>
        <v>刘恩祺</v>
      </c>
      <c r="B7883" s="2" t="str">
        <f>"B20220504215"</f>
        <v>B20220504215</v>
      </c>
      <c r="C7883" s="2" t="str">
        <f t="shared" ref="C7883:C7888" si="1946">"女"</f>
        <v>女</v>
      </c>
      <c r="D7883" s="2" t="str">
        <f>"3"</f>
        <v>3</v>
      </c>
      <c r="E7883" s="2" t="str">
        <f>"生物与化学工程学院"</f>
        <v>生物与化学工程学院</v>
      </c>
    </row>
    <row r="7884" ht="13.5" hidden="1" spans="1:5">
      <c r="A7884" s="2" t="str">
        <f>"闫盈盈"</f>
        <v>闫盈盈</v>
      </c>
      <c r="B7884" s="2" t="str">
        <f>"B20231004209"</f>
        <v>B20231004209</v>
      </c>
      <c r="C7884" s="2" t="str">
        <f t="shared" si="1946"/>
        <v>女</v>
      </c>
      <c r="D7884" s="2" t="str">
        <f>"3"</f>
        <v>3</v>
      </c>
      <c r="E7884" s="2" t="str">
        <f>"艺术设计学院"</f>
        <v>艺术设计学院</v>
      </c>
    </row>
    <row r="7885" ht="13.5" hidden="1" spans="1:5">
      <c r="A7885" s="2" t="str">
        <f>"戴恩琪"</f>
        <v>戴恩琪</v>
      </c>
      <c r="B7885" s="2" t="str">
        <f>"B20230701114"</f>
        <v>B20230701114</v>
      </c>
      <c r="C7885" s="2" t="str">
        <f t="shared" si="1946"/>
        <v>女</v>
      </c>
      <c r="D7885" s="2" t="str">
        <f>"3"</f>
        <v>3</v>
      </c>
      <c r="E7885" s="2" t="str">
        <f>"马栏山新媒体学院"</f>
        <v>马栏山新媒体学院</v>
      </c>
    </row>
    <row r="7886" ht="13.5" hidden="1" spans="1:5">
      <c r="A7886" s="2" t="str">
        <f>"刘吉园"</f>
        <v>刘吉园</v>
      </c>
      <c r="B7886" s="2" t="str">
        <f>"B20200803217"</f>
        <v>B20200803217</v>
      </c>
      <c r="C7886" s="2" t="str">
        <f t="shared" si="1946"/>
        <v>女</v>
      </c>
      <c r="D7886" s="2" t="str">
        <f>"3"</f>
        <v>3</v>
      </c>
      <c r="E7886" s="2" t="str">
        <f>"外国语学院"</f>
        <v>外国语学院</v>
      </c>
    </row>
    <row r="7887" ht="13.5" hidden="1" spans="1:5">
      <c r="A7887" s="2" t="str">
        <f>"李优优"</f>
        <v>李优优</v>
      </c>
      <c r="B7887" s="2" t="str">
        <f>"B20220701410"</f>
        <v>B20220701410</v>
      </c>
      <c r="C7887" s="2" t="str">
        <f t="shared" si="1946"/>
        <v>女</v>
      </c>
      <c r="D7887" s="2" t="str">
        <f>"3"</f>
        <v>3</v>
      </c>
      <c r="E7887" s="2" t="str">
        <f>"马栏山新媒体学院"</f>
        <v>马栏山新媒体学院</v>
      </c>
    </row>
    <row r="7888" ht="13.5" hidden="1" spans="1:5">
      <c r="A7888" s="2" t="str">
        <f>"吴晗"</f>
        <v>吴晗</v>
      </c>
      <c r="B7888" s="2" t="str">
        <f>"B20210902317"</f>
        <v>B20210902317</v>
      </c>
      <c r="C7888" s="2" t="str">
        <f t="shared" si="1946"/>
        <v>女</v>
      </c>
      <c r="D7888" s="2" t="str">
        <f>"3"</f>
        <v>3</v>
      </c>
      <c r="E7888" s="2" t="str">
        <f>"经济与管理学院"</f>
        <v>经济与管理学院</v>
      </c>
    </row>
    <row r="7889" ht="13.5" hidden="1" spans="1:5">
      <c r="A7889" s="2" t="str">
        <f>"李斯捷"</f>
        <v>李斯捷</v>
      </c>
      <c r="B7889" s="2" t="str">
        <f>"B20230802208"</f>
        <v>B20230802208</v>
      </c>
      <c r="C7889" s="2" t="str">
        <f>"男"</f>
        <v>男</v>
      </c>
      <c r="D7889" s="2" t="str">
        <f>"3"</f>
        <v>3</v>
      </c>
      <c r="E7889" s="2" t="str">
        <f>"外国语学院"</f>
        <v>外国语学院</v>
      </c>
    </row>
    <row r="7890" ht="13.5" hidden="1" spans="1:5">
      <c r="A7890" s="2" t="str">
        <f>"徐雨欣"</f>
        <v>徐雨欣</v>
      </c>
      <c r="B7890" s="2" t="str">
        <f>"B20220502131"</f>
        <v>B20220502131</v>
      </c>
      <c r="C7890" s="2" t="str">
        <f>"女"</f>
        <v>女</v>
      </c>
      <c r="D7890" s="2" t="str">
        <f>"3"</f>
        <v>3</v>
      </c>
      <c r="E7890" s="2" t="str">
        <f>"生物与化学工程学院"</f>
        <v>生物与化学工程学院</v>
      </c>
    </row>
    <row r="7891" ht="13.5" hidden="1" spans="1:5">
      <c r="A7891" s="2" t="str">
        <f>"刘源梦"</f>
        <v>刘源梦</v>
      </c>
      <c r="B7891" s="2" t="str">
        <f>"B20220103217"</f>
        <v>B20220103217</v>
      </c>
      <c r="C7891" s="2" t="str">
        <f>"女"</f>
        <v>女</v>
      </c>
      <c r="D7891" s="2" t="str">
        <f>"3"</f>
        <v>3</v>
      </c>
      <c r="E7891" s="2" t="str">
        <f>"土木工程学院"</f>
        <v>土木工程学院</v>
      </c>
    </row>
    <row r="7892" ht="13.5" hidden="1" spans="1:5">
      <c r="A7892" s="2" t="str">
        <f>"张楚蒙"</f>
        <v>张楚蒙</v>
      </c>
      <c r="B7892" s="2" t="str">
        <f>"B20200504122"</f>
        <v>B20200504122</v>
      </c>
      <c r="C7892" s="2" t="str">
        <f>"男"</f>
        <v>男</v>
      </c>
      <c r="D7892" s="2" t="str">
        <f>"3"</f>
        <v>3</v>
      </c>
      <c r="E7892" s="2" t="str">
        <f>"生物与环境工程学院"</f>
        <v>生物与环境工程学院</v>
      </c>
    </row>
    <row r="7893" ht="13.5" hidden="1" spans="1:5">
      <c r="A7893" s="2" t="str">
        <f>"徐飞翔"</f>
        <v>徐飞翔</v>
      </c>
      <c r="B7893" s="2" t="str">
        <f>"B20220701302"</f>
        <v>B20220701302</v>
      </c>
      <c r="C7893" s="2" t="str">
        <f>"男"</f>
        <v>男</v>
      </c>
      <c r="D7893" s="2" t="str">
        <f>"3"</f>
        <v>3</v>
      </c>
      <c r="E7893" s="2" t="str">
        <f>"马栏山新媒体学院"</f>
        <v>马栏山新媒体学院</v>
      </c>
    </row>
    <row r="7894" ht="13.5" hidden="1" spans="1:5">
      <c r="A7894" s="2" t="str">
        <f>"周冲"</f>
        <v>周冲</v>
      </c>
      <c r="B7894" s="2" t="str">
        <f>"B20200101129"</f>
        <v>B20200101129</v>
      </c>
      <c r="C7894" s="2" t="str">
        <f>"男"</f>
        <v>男</v>
      </c>
      <c r="D7894" s="2" t="str">
        <f>"3"</f>
        <v>3</v>
      </c>
      <c r="E7894" s="2" t="str">
        <f>"土木工程学院"</f>
        <v>土木工程学院</v>
      </c>
    </row>
    <row r="7895" ht="13.5" hidden="1" spans="1:5">
      <c r="A7895" s="2" t="str">
        <f>"万兴业"</f>
        <v>万兴业</v>
      </c>
      <c r="B7895" s="2" t="str">
        <f>"B20220903112"</f>
        <v>B20220903112</v>
      </c>
      <c r="C7895" s="2" t="str">
        <f>"男"</f>
        <v>男</v>
      </c>
      <c r="D7895" s="2" t="str">
        <f>"3"</f>
        <v>3</v>
      </c>
      <c r="E7895" s="2" t="str">
        <f>"经济与管理学院"</f>
        <v>经济与管理学院</v>
      </c>
    </row>
    <row r="7896" ht="13.5" hidden="1" spans="1:5">
      <c r="A7896" s="2" t="str">
        <f>"王婕"</f>
        <v>王婕</v>
      </c>
      <c r="B7896" s="2" t="str">
        <f>"B20200801317"</f>
        <v>B20200801317</v>
      </c>
      <c r="C7896" s="2" t="str">
        <f>"女"</f>
        <v>女</v>
      </c>
      <c r="D7896" s="2" t="str">
        <f>"3"</f>
        <v>3</v>
      </c>
      <c r="E7896" s="2" t="str">
        <f>"外国语学院"</f>
        <v>外国语学院</v>
      </c>
    </row>
    <row r="7897" ht="13.5" hidden="1" spans="1:5">
      <c r="A7897" s="2" t="str">
        <f>"董林泽"</f>
        <v>董林泽</v>
      </c>
      <c r="B7897" s="2" t="str">
        <f>"B20230703122"</f>
        <v>B20230703122</v>
      </c>
      <c r="C7897" s="2" t="str">
        <f>"男"</f>
        <v>男</v>
      </c>
      <c r="D7897" s="2" t="str">
        <f>"3"</f>
        <v>3</v>
      </c>
      <c r="E7897" s="2" t="str">
        <f>"马栏山新媒体学院"</f>
        <v>马栏山新媒体学院</v>
      </c>
    </row>
    <row r="7898" ht="13.5" hidden="1" spans="1:5">
      <c r="A7898" s="2" t="str">
        <f>"黄宇轩"</f>
        <v>黄宇轩</v>
      </c>
      <c r="B7898" s="2" t="str">
        <f>"B20230202329"</f>
        <v>B20230202329</v>
      </c>
      <c r="C7898" s="2" t="str">
        <f>"男"</f>
        <v>男</v>
      </c>
      <c r="D7898" s="2" t="str">
        <f>"3"</f>
        <v>3</v>
      </c>
      <c r="E7898" s="2" t="str">
        <f>"机电工程学院"</f>
        <v>机电工程学院</v>
      </c>
    </row>
    <row r="7899" ht="13.5" hidden="1" spans="1:5">
      <c r="A7899" s="2" t="str">
        <f>"谢金香"</f>
        <v>谢金香</v>
      </c>
      <c r="B7899" s="2" t="str">
        <f>"B20220403132"</f>
        <v>B20220403132</v>
      </c>
      <c r="C7899" s="2" t="str">
        <f>"女"</f>
        <v>女</v>
      </c>
      <c r="D7899" s="2" t="str">
        <f t="shared" ref="D7899:D7905" si="1947">"3"</f>
        <v>3</v>
      </c>
      <c r="E7899" s="2" t="str">
        <f>"电子信息与电气工程学院"</f>
        <v>电子信息与电气工程学院</v>
      </c>
    </row>
    <row r="7900" ht="13.5" hidden="1" spans="1:5">
      <c r="A7900" s="2" t="str">
        <f>"甘云霞"</f>
        <v>甘云霞</v>
      </c>
      <c r="B7900" s="2" t="str">
        <f>"B20220901138"</f>
        <v>B20220901138</v>
      </c>
      <c r="C7900" s="2" t="str">
        <f>"女"</f>
        <v>女</v>
      </c>
      <c r="D7900" s="2" t="str">
        <f t="shared" si="1947"/>
        <v>3</v>
      </c>
      <c r="E7900" s="2" t="str">
        <f>"经济与管理学院"</f>
        <v>经济与管理学院</v>
      </c>
    </row>
    <row r="7901" ht="13.5" hidden="1" spans="1:5">
      <c r="A7901" s="2" t="str">
        <f>"黄俊荣"</f>
        <v>黄俊荣</v>
      </c>
      <c r="B7901" s="2" t="str">
        <f>"B20221301130"</f>
        <v>B20221301130</v>
      </c>
      <c r="C7901" s="2" t="str">
        <f>"男"</f>
        <v>男</v>
      </c>
      <c r="D7901" s="2" t="str">
        <f t="shared" si="1947"/>
        <v>3</v>
      </c>
      <c r="E7901" s="2" t="str">
        <f>"材料与环境工程学院"</f>
        <v>材料与环境工程学院</v>
      </c>
    </row>
    <row r="7902" ht="13.5" hidden="1" spans="1:5">
      <c r="A7902" s="2" t="str">
        <f>"彭程晨"</f>
        <v>彭程晨</v>
      </c>
      <c r="B7902" s="2" t="str">
        <f>"B20210703301"</f>
        <v>B20210703301</v>
      </c>
      <c r="C7902" s="2" t="str">
        <f t="shared" ref="C7902:C7905" si="1948">"女"</f>
        <v>女</v>
      </c>
      <c r="D7902" s="2" t="str">
        <f t="shared" si="1947"/>
        <v>3</v>
      </c>
      <c r="E7902" s="2" t="str">
        <f>"马栏山新媒体学院"</f>
        <v>马栏山新媒体学院</v>
      </c>
    </row>
    <row r="7903" ht="13.5" hidden="1" spans="1:5">
      <c r="A7903" s="2" t="str">
        <f>"范文萱"</f>
        <v>范文萱</v>
      </c>
      <c r="B7903" s="2" t="str">
        <f>"B20220902234"</f>
        <v>B20220902234</v>
      </c>
      <c r="C7903" s="2" t="str">
        <f t="shared" si="1948"/>
        <v>女</v>
      </c>
      <c r="D7903" s="2" t="str">
        <f t="shared" si="1947"/>
        <v>3</v>
      </c>
      <c r="E7903" s="2" t="str">
        <f>"经济与管理学院"</f>
        <v>经济与管理学院</v>
      </c>
    </row>
    <row r="7904" ht="13.5" hidden="1" spans="1:5">
      <c r="A7904" s="2" t="str">
        <f>"赵赞基"</f>
        <v>赵赞基</v>
      </c>
      <c r="B7904" s="2" t="str">
        <f>"B20230401124"</f>
        <v>B20230401124</v>
      </c>
      <c r="C7904" s="2" t="str">
        <f>"男"</f>
        <v>男</v>
      </c>
      <c r="D7904" s="2" t="str">
        <f t="shared" si="1947"/>
        <v>3</v>
      </c>
      <c r="E7904" s="2" t="str">
        <f>"电子信息与电气工程学院"</f>
        <v>电子信息与电气工程学院</v>
      </c>
    </row>
    <row r="7905" ht="13.5" hidden="1" spans="1:5">
      <c r="A7905" s="2" t="str">
        <f>"陈沅君"</f>
        <v>陈沅君</v>
      </c>
      <c r="B7905" s="2" t="str">
        <f>"B20231001417"</f>
        <v>B20231001417</v>
      </c>
      <c r="C7905" s="2" t="str">
        <f t="shared" si="1948"/>
        <v>女</v>
      </c>
      <c r="D7905" s="2" t="str">
        <f t="shared" si="1947"/>
        <v>3</v>
      </c>
      <c r="E7905" s="2" t="str">
        <f>"艺术设计学院"</f>
        <v>艺术设计学院</v>
      </c>
    </row>
    <row r="7906" ht="13.5" hidden="1" spans="1:5">
      <c r="A7906" s="2" t="str">
        <f>"许秋月"</f>
        <v>许秋月</v>
      </c>
      <c r="B7906" s="2" t="str">
        <f>"B20210502133"</f>
        <v>B20210502133</v>
      </c>
      <c r="C7906" s="2" t="str">
        <f>"女"</f>
        <v>女</v>
      </c>
      <c r="D7906" s="2" t="str">
        <f>"3"</f>
        <v>3</v>
      </c>
      <c r="E7906" s="2" t="str">
        <f>"生物与化学工程学院"</f>
        <v>生物与化学工程学院</v>
      </c>
    </row>
    <row r="7907" ht="13.5" hidden="1" spans="1:5">
      <c r="A7907" s="2" t="str">
        <f>"张雅琴"</f>
        <v>张雅琴</v>
      </c>
      <c r="B7907" s="2" t="str">
        <f>"B20220405106"</f>
        <v>B20220405106</v>
      </c>
      <c r="C7907" s="2" t="str">
        <f>"女"</f>
        <v>女</v>
      </c>
      <c r="D7907" s="2" t="str">
        <f>"3"</f>
        <v>3</v>
      </c>
      <c r="E7907" s="2" t="str">
        <f>"电子信息与电气工程学院"</f>
        <v>电子信息与电气工程学院</v>
      </c>
    </row>
    <row r="7908" ht="13.5" hidden="1" spans="1:5">
      <c r="A7908" s="2" t="str">
        <f>"胡梦婷"</f>
        <v>胡梦婷</v>
      </c>
      <c r="B7908" s="2" t="str">
        <f>"B20210101518"</f>
        <v>B20210101518</v>
      </c>
      <c r="C7908" s="2" t="str">
        <f>"女"</f>
        <v>女</v>
      </c>
      <c r="D7908" s="2" t="str">
        <f>"3"</f>
        <v>3</v>
      </c>
      <c r="E7908" s="2" t="str">
        <f>"土木工程学院"</f>
        <v>土木工程学院</v>
      </c>
    </row>
    <row r="7909" ht="13.5" hidden="1" spans="1:5">
      <c r="A7909" s="2" t="str">
        <f>"吴若彤"</f>
        <v>吴若彤</v>
      </c>
      <c r="B7909" s="2" t="str">
        <f>"B20231003109"</f>
        <v>B20231003109</v>
      </c>
      <c r="C7909" s="2" t="str">
        <f>"女"</f>
        <v>女</v>
      </c>
      <c r="D7909" s="2" t="str">
        <f>"3"</f>
        <v>3</v>
      </c>
      <c r="E7909" s="2" t="str">
        <f>"艺术设计学院"</f>
        <v>艺术设计学院</v>
      </c>
    </row>
    <row r="7910" ht="13.5" hidden="1" spans="1:5">
      <c r="A7910" s="2" t="str">
        <f>"梁懿榕"</f>
        <v>梁懿榕</v>
      </c>
      <c r="B7910" s="2" t="str">
        <f>"B20211004219"</f>
        <v>B20211004219</v>
      </c>
      <c r="C7910" s="2" t="str">
        <f>"女"</f>
        <v>女</v>
      </c>
      <c r="D7910" s="2" t="str">
        <f>"3"</f>
        <v>3</v>
      </c>
      <c r="E7910" s="2" t="str">
        <f>"艺术设计学院"</f>
        <v>艺术设计学院</v>
      </c>
    </row>
    <row r="7911" ht="13.5" hidden="1" spans="1:5">
      <c r="A7911" s="2" t="str">
        <f>"李木星"</f>
        <v>李木星</v>
      </c>
      <c r="B7911" s="2" t="str">
        <f>"B20210203111"</f>
        <v>B20210203111</v>
      </c>
      <c r="C7911" s="2" t="str">
        <f t="shared" ref="C7911:C7914" si="1949">"男"</f>
        <v>男</v>
      </c>
      <c r="D7911" s="2" t="str">
        <f>"3"</f>
        <v>3</v>
      </c>
      <c r="E7911" s="2" t="str">
        <f>"机电工程学院"</f>
        <v>机电工程学院</v>
      </c>
    </row>
    <row r="7912" ht="13.5" hidden="1" spans="1:5">
      <c r="A7912" s="2" t="str">
        <f>"曾洋"</f>
        <v>曾洋</v>
      </c>
      <c r="B7912" s="2" t="str">
        <f>"B20200401218"</f>
        <v>B20200401218</v>
      </c>
      <c r="C7912" s="2" t="str">
        <f>"女"</f>
        <v>女</v>
      </c>
      <c r="D7912" s="2" t="str">
        <f>"3"</f>
        <v>3</v>
      </c>
      <c r="E7912" s="2" t="str">
        <f>"电子信息与电气工程学院"</f>
        <v>电子信息与电气工程学院</v>
      </c>
    </row>
    <row r="7913" ht="13.5" hidden="1" spans="1:5">
      <c r="A7913" s="2" t="str">
        <f>"张京南"</f>
        <v>张京南</v>
      </c>
      <c r="B7913" s="2" t="str">
        <f>"B20221302332"</f>
        <v>B20221302332</v>
      </c>
      <c r="C7913" s="2" t="str">
        <f t="shared" si="1949"/>
        <v>男</v>
      </c>
      <c r="D7913" s="2" t="str">
        <f>"3"</f>
        <v>3</v>
      </c>
      <c r="E7913" s="2" t="str">
        <f>"材料与环境工程学院"</f>
        <v>材料与环境工程学院</v>
      </c>
    </row>
    <row r="7914" ht="13.5" hidden="1" spans="1:5">
      <c r="A7914" s="2" t="str">
        <f>"黄玉龙"</f>
        <v>黄玉龙</v>
      </c>
      <c r="B7914" s="2" t="str">
        <f>"B20230101420"</f>
        <v>B20230101420</v>
      </c>
      <c r="C7914" s="2" t="str">
        <f t="shared" si="1949"/>
        <v>男</v>
      </c>
      <c r="D7914" s="2" t="str">
        <f>"3"</f>
        <v>3</v>
      </c>
      <c r="E7914" s="2" t="str">
        <f>"土木工程学院"</f>
        <v>土木工程学院</v>
      </c>
    </row>
    <row r="7915" ht="13.5" hidden="1" spans="1:5">
      <c r="A7915" s="2" t="str">
        <f>"唐芳"</f>
        <v>唐芳</v>
      </c>
      <c r="B7915" s="2" t="str">
        <f>"B20210901340"</f>
        <v>B20210901340</v>
      </c>
      <c r="C7915" s="2" t="str">
        <f>"女"</f>
        <v>女</v>
      </c>
      <c r="D7915" s="2" t="str">
        <f>"3"</f>
        <v>3</v>
      </c>
      <c r="E7915" s="2" t="str">
        <f>"经济与管理学院"</f>
        <v>经济与管理学院</v>
      </c>
    </row>
    <row r="7916" ht="13.5" hidden="1" spans="1:5">
      <c r="A7916" s="2" t="str">
        <f>"杨宇峰"</f>
        <v>杨宇峰</v>
      </c>
      <c r="B7916" s="2" t="str">
        <f>"B20220101530"</f>
        <v>B20220101530</v>
      </c>
      <c r="C7916" s="2" t="str">
        <f>"男"</f>
        <v>男</v>
      </c>
      <c r="D7916" s="2" t="str">
        <f>"3"</f>
        <v>3</v>
      </c>
      <c r="E7916" s="2" t="str">
        <f>"土木工程学院"</f>
        <v>土木工程学院</v>
      </c>
    </row>
    <row r="7917" ht="13.5" hidden="1" spans="1:5">
      <c r="A7917" s="2" t="str">
        <f>"麦楚怡"</f>
        <v>麦楚怡</v>
      </c>
      <c r="B7917" s="2" t="str">
        <f>"B20200903105"</f>
        <v>B20200903105</v>
      </c>
      <c r="C7917" s="2" t="str">
        <f>"女"</f>
        <v>女</v>
      </c>
      <c r="D7917" s="2" t="str">
        <f>"3"</f>
        <v>3</v>
      </c>
      <c r="E7917" s="2" t="str">
        <f>"经济与管理学院"</f>
        <v>经济与管理学院</v>
      </c>
    </row>
    <row r="7918" ht="13.5" hidden="1" spans="1:5">
      <c r="A7918" s="2" t="str">
        <f>"邓殊"</f>
        <v>邓殊</v>
      </c>
      <c r="B7918" s="2" t="str">
        <f>"B20221001314"</f>
        <v>B20221001314</v>
      </c>
      <c r="C7918" s="2" t="str">
        <f>"女"</f>
        <v>女</v>
      </c>
      <c r="D7918" s="2" t="str">
        <f>"3"</f>
        <v>3</v>
      </c>
      <c r="E7918" s="2" t="str">
        <f>"艺术设计学院"</f>
        <v>艺术设计学院</v>
      </c>
    </row>
    <row r="7919" ht="13.5" hidden="1" spans="1:5">
      <c r="A7919" s="2" t="str">
        <f>"牛江枫"</f>
        <v>牛江枫</v>
      </c>
      <c r="B7919" s="2" t="str">
        <f>"B20220601530"</f>
        <v>B20220601530</v>
      </c>
      <c r="C7919" s="2" t="str">
        <f>"女"</f>
        <v>女</v>
      </c>
      <c r="D7919" s="2" t="str">
        <f>"3"</f>
        <v>3</v>
      </c>
      <c r="E7919" s="2" t="str">
        <f>"法学院"</f>
        <v>法学院</v>
      </c>
    </row>
    <row r="7920" ht="13.5" hidden="1" spans="1:5">
      <c r="A7920" s="2" t="str">
        <f>"程梓昕"</f>
        <v>程梓昕</v>
      </c>
      <c r="B7920" s="2" t="str">
        <f>"B20210202120"</f>
        <v>B20210202120</v>
      </c>
      <c r="C7920" s="2" t="str">
        <f>"男"</f>
        <v>男</v>
      </c>
      <c r="D7920" s="2" t="str">
        <f>"3"</f>
        <v>3</v>
      </c>
      <c r="E7920" s="2" t="str">
        <f>"机电工程学院"</f>
        <v>机电工程学院</v>
      </c>
    </row>
    <row r="7921" ht="13.5" hidden="1" spans="1:5">
      <c r="A7921" s="2" t="str">
        <f>"吴喆"</f>
        <v>吴喆</v>
      </c>
      <c r="B7921" s="2" t="str">
        <f>"B20230902135"</f>
        <v>B20230902135</v>
      </c>
      <c r="C7921" s="2" t="str">
        <f>"男"</f>
        <v>男</v>
      </c>
      <c r="D7921" s="2" t="str">
        <f>"3"</f>
        <v>3</v>
      </c>
      <c r="E7921" s="2" t="str">
        <f>"经济与管理学院"</f>
        <v>经济与管理学院</v>
      </c>
    </row>
    <row r="7922" ht="13.5" hidden="1" spans="1:5">
      <c r="A7922" s="2" t="str">
        <f>"鲁苗"</f>
        <v>鲁苗</v>
      </c>
      <c r="B7922" s="2" t="str">
        <f>"B20200501226"</f>
        <v>B20200501226</v>
      </c>
      <c r="C7922" s="2" t="str">
        <f>"女"</f>
        <v>女</v>
      </c>
      <c r="D7922" s="2" t="str">
        <f>"3"</f>
        <v>3</v>
      </c>
      <c r="E7922" s="2" t="str">
        <f>"生物与环境工程学院"</f>
        <v>生物与环境工程学院</v>
      </c>
    </row>
    <row r="7923" ht="13.5" hidden="1" spans="1:5">
      <c r="A7923" s="2" t="str">
        <f>"汪硕"</f>
        <v>汪硕</v>
      </c>
      <c r="B7923" s="2" t="str">
        <f>"B20210203103"</f>
        <v>B20210203103</v>
      </c>
      <c r="C7923" s="2" t="str">
        <f>"男"</f>
        <v>男</v>
      </c>
      <c r="D7923" s="2" t="str">
        <f>"3"</f>
        <v>3</v>
      </c>
      <c r="E7923" s="2" t="str">
        <f>"机电工程学院"</f>
        <v>机电工程学院</v>
      </c>
    </row>
    <row r="7924" ht="13.5" hidden="1" spans="1:5">
      <c r="A7924" s="2" t="str">
        <f>"潘儒林"</f>
        <v>潘儒林</v>
      </c>
      <c r="B7924" s="2" t="str">
        <f>"B20231004203"</f>
        <v>B20231004203</v>
      </c>
      <c r="C7924" s="2" t="str">
        <f>"男"</f>
        <v>男</v>
      </c>
      <c r="D7924" s="2" t="str">
        <f>"3"</f>
        <v>3</v>
      </c>
      <c r="E7924" s="2" t="str">
        <f>"艺术设计学院"</f>
        <v>艺术设计学院</v>
      </c>
    </row>
    <row r="7925" ht="13.5" hidden="1" spans="1:5">
      <c r="A7925" s="2" t="str">
        <f>"彭琪玲"</f>
        <v>彭琪玲</v>
      </c>
      <c r="B7925" s="2" t="str">
        <f>"B20210702220"</f>
        <v>B20210702220</v>
      </c>
      <c r="C7925" s="2" t="str">
        <f>"女"</f>
        <v>女</v>
      </c>
      <c r="D7925" s="2" t="str">
        <f>"3"</f>
        <v>3</v>
      </c>
      <c r="E7925" s="2" t="str">
        <f>"马栏山新媒体学院"</f>
        <v>马栏山新媒体学院</v>
      </c>
    </row>
    <row r="7926" ht="13.5" hidden="1" spans="1:5">
      <c r="A7926" s="2" t="str">
        <f>"尹钰"</f>
        <v>尹钰</v>
      </c>
      <c r="B7926" s="2" t="str">
        <f>"B20211101314"</f>
        <v>B20211101314</v>
      </c>
      <c r="C7926" s="2" t="str">
        <f>"男"</f>
        <v>男</v>
      </c>
      <c r="D7926" s="2" t="str">
        <f>"3"</f>
        <v>3</v>
      </c>
      <c r="E7926" s="2" t="str">
        <f>"音乐学院"</f>
        <v>音乐学院</v>
      </c>
    </row>
    <row r="7927" ht="13.5" hidden="1" spans="1:5">
      <c r="A7927" s="2" t="str">
        <f>"周密"</f>
        <v>周密</v>
      </c>
      <c r="B7927" s="2" t="str">
        <f>"B20230902301"</f>
        <v>B20230902301</v>
      </c>
      <c r="C7927" s="2" t="str">
        <f>"女"</f>
        <v>女</v>
      </c>
      <c r="D7927" s="2" t="str">
        <f>"3"</f>
        <v>3</v>
      </c>
      <c r="E7927" s="2" t="str">
        <f>"经济与管理学院"</f>
        <v>经济与管理学院</v>
      </c>
    </row>
    <row r="7928" ht="13.5" hidden="1" spans="1:5">
      <c r="A7928" s="2" t="str">
        <f>"肖遥"</f>
        <v>肖遥</v>
      </c>
      <c r="B7928" s="2" t="str">
        <f>"B20230902310"</f>
        <v>B20230902310</v>
      </c>
      <c r="C7928" s="2" t="str">
        <f>"男"</f>
        <v>男</v>
      </c>
      <c r="D7928" s="2" t="str">
        <f>"3"</f>
        <v>3</v>
      </c>
      <c r="E7928" s="2" t="str">
        <f>"经济与管理学院"</f>
        <v>经济与管理学院</v>
      </c>
    </row>
    <row r="7929" ht="13.5" hidden="1" spans="1:5">
      <c r="A7929" s="2" t="str">
        <f>"曾碧楠"</f>
        <v>曾碧楠</v>
      </c>
      <c r="B7929" s="2" t="str">
        <f>"B20231302401"</f>
        <v>B20231302401</v>
      </c>
      <c r="C7929" s="2" t="str">
        <f>"男"</f>
        <v>男</v>
      </c>
      <c r="D7929" s="2" t="str">
        <f>"3"</f>
        <v>3</v>
      </c>
      <c r="E7929" s="2" t="str">
        <f>"材料与环境工程学院"</f>
        <v>材料与环境工程学院</v>
      </c>
    </row>
    <row r="7930" ht="13.5" hidden="1" spans="1:5">
      <c r="A7930" s="2" t="str">
        <f>"张慧"</f>
        <v>张慧</v>
      </c>
      <c r="B7930" s="2" t="str">
        <f>"B20200701111"</f>
        <v>B20200701111</v>
      </c>
      <c r="C7930" s="2" t="str">
        <f>"女"</f>
        <v>女</v>
      </c>
      <c r="D7930" s="2" t="str">
        <f>"3"</f>
        <v>3</v>
      </c>
      <c r="E7930" s="2" t="str">
        <f>"马栏山新媒体学院"</f>
        <v>马栏山新媒体学院</v>
      </c>
    </row>
    <row r="7931" ht="13.5" hidden="1" spans="1:5">
      <c r="A7931" s="2" t="str">
        <f>"邹雯洁"</f>
        <v>邹雯洁</v>
      </c>
      <c r="B7931" s="2" t="str">
        <f>"B20200905209"</f>
        <v>B20200905209</v>
      </c>
      <c r="C7931" s="2" t="str">
        <f>"女"</f>
        <v>女</v>
      </c>
      <c r="D7931" s="2" t="str">
        <f>"3"</f>
        <v>3</v>
      </c>
      <c r="E7931" s="2" t="str">
        <f>"经济与管理学院"</f>
        <v>经济与管理学院</v>
      </c>
    </row>
    <row r="7932" ht="13.5" hidden="1" spans="1:5">
      <c r="A7932" s="2" t="str">
        <f>"谢泽华"</f>
        <v>谢泽华</v>
      </c>
      <c r="B7932" s="2" t="str">
        <f>"B20200801110"</f>
        <v>B20200801110</v>
      </c>
      <c r="C7932" s="2" t="str">
        <f>"男"</f>
        <v>男</v>
      </c>
      <c r="D7932" s="2" t="str">
        <f>"3"</f>
        <v>3</v>
      </c>
      <c r="E7932" s="2" t="str">
        <f>"外国语学院"</f>
        <v>外国语学院</v>
      </c>
    </row>
    <row r="7933" ht="13.5" hidden="1" spans="1:5">
      <c r="A7933" s="2" t="str">
        <f>"余心研"</f>
        <v>余心研</v>
      </c>
      <c r="B7933" s="2" t="str">
        <f>"B20220701415"</f>
        <v>B20220701415</v>
      </c>
      <c r="C7933" s="2" t="str">
        <f>"女"</f>
        <v>女</v>
      </c>
      <c r="D7933" s="2" t="str">
        <f>"3"</f>
        <v>3</v>
      </c>
      <c r="E7933" s="2" t="str">
        <f>"马栏山新媒体学院"</f>
        <v>马栏山新媒体学院</v>
      </c>
    </row>
    <row r="7934" ht="13.5" hidden="1" spans="1:5">
      <c r="A7934" s="2" t="str">
        <f>"刘琪"</f>
        <v>刘琪</v>
      </c>
      <c r="B7934" s="2" t="str">
        <f>"B20210905208"</f>
        <v>B20210905208</v>
      </c>
      <c r="C7934" s="2" t="str">
        <f>"女"</f>
        <v>女</v>
      </c>
      <c r="D7934" s="2" t="str">
        <f>"3"</f>
        <v>3</v>
      </c>
      <c r="E7934" s="2" t="str">
        <f>"经济与管理学院"</f>
        <v>经济与管理学院</v>
      </c>
    </row>
    <row r="7935" ht="13.5" hidden="1" spans="1:5">
      <c r="A7935" s="2" t="str">
        <f>"金益涛"</f>
        <v>金益涛</v>
      </c>
      <c r="B7935" s="2" t="str">
        <f>"B20230205101"</f>
        <v>B20230205101</v>
      </c>
      <c r="C7935" s="2" t="str">
        <f>"男"</f>
        <v>男</v>
      </c>
      <c r="D7935" s="2" t="str">
        <f>"3"</f>
        <v>3</v>
      </c>
      <c r="E7935" s="2" t="str">
        <f>"机电工程学院"</f>
        <v>机电工程学院</v>
      </c>
    </row>
    <row r="7936" ht="13.5" hidden="1" spans="1:5">
      <c r="A7936" s="2" t="str">
        <f>"宗昕"</f>
        <v>宗昕</v>
      </c>
      <c r="B7936" s="2" t="str">
        <f>"B20210401128"</f>
        <v>B20210401128</v>
      </c>
      <c r="C7936" s="2" t="str">
        <f>"女"</f>
        <v>女</v>
      </c>
      <c r="D7936" s="2" t="str">
        <f>"3"</f>
        <v>3</v>
      </c>
      <c r="E7936" s="2" t="str">
        <f>"电子信息与电气工程学院"</f>
        <v>电子信息与电气工程学院</v>
      </c>
    </row>
    <row r="7937" ht="13.5" hidden="1" spans="1:5">
      <c r="A7937" s="2" t="str">
        <f>"周旭兴"</f>
        <v>周旭兴</v>
      </c>
      <c r="B7937" s="2" t="str">
        <f>"B20231301207"</f>
        <v>B20231301207</v>
      </c>
      <c r="C7937" s="2" t="str">
        <f>"男"</f>
        <v>男</v>
      </c>
      <c r="D7937" s="2" t="str">
        <f>"3"</f>
        <v>3</v>
      </c>
      <c r="E7937" s="2" t="str">
        <f>"材料与环境工程学院"</f>
        <v>材料与环境工程学院</v>
      </c>
    </row>
    <row r="7938" ht="13.5" hidden="1" spans="1:5">
      <c r="A7938" s="2" t="str">
        <f>"申锦湘"</f>
        <v>申锦湘</v>
      </c>
      <c r="B7938" s="2" t="str">
        <f>"B20210202137"</f>
        <v>B20210202137</v>
      </c>
      <c r="C7938" s="2" t="str">
        <f>"男"</f>
        <v>男</v>
      </c>
      <c r="D7938" s="2" t="str">
        <f>"3"</f>
        <v>3</v>
      </c>
      <c r="E7938" s="2" t="str">
        <f>"机电工程学院"</f>
        <v>机电工程学院</v>
      </c>
    </row>
    <row r="7939" ht="13.5" hidden="1" spans="1:5">
      <c r="A7939" s="2" t="str">
        <f>"邹鹏飞"</f>
        <v>邹鹏飞</v>
      </c>
      <c r="B7939" s="2" t="str">
        <f>"B20220202212"</f>
        <v>B20220202212</v>
      </c>
      <c r="C7939" s="2" t="str">
        <f>"男"</f>
        <v>男</v>
      </c>
      <c r="D7939" s="2" t="str">
        <f>"3"</f>
        <v>3</v>
      </c>
      <c r="E7939" s="2" t="str">
        <f>"机电工程学院"</f>
        <v>机电工程学院</v>
      </c>
    </row>
    <row r="7940" ht="13.5" hidden="1" spans="1:5">
      <c r="A7940" s="2" t="str">
        <f>"谭馨怡"</f>
        <v>谭馨怡</v>
      </c>
      <c r="B7940" s="2" t="str">
        <f>"B20220905101"</f>
        <v>B20220905101</v>
      </c>
      <c r="C7940" s="2" t="str">
        <f>"女"</f>
        <v>女</v>
      </c>
      <c r="D7940" s="2" t="str">
        <f>"3"</f>
        <v>3</v>
      </c>
      <c r="E7940" s="2" t="str">
        <f>"经济与管理学院"</f>
        <v>经济与管理学院</v>
      </c>
    </row>
    <row r="7941" ht="13.5" hidden="1" spans="1:5">
      <c r="A7941" s="2" t="str">
        <f>"陈相文"</f>
        <v>陈相文</v>
      </c>
      <c r="B7941" s="2" t="str">
        <f>"B20220104124"</f>
        <v>B20220104124</v>
      </c>
      <c r="C7941" s="2" t="str">
        <f>"男"</f>
        <v>男</v>
      </c>
      <c r="D7941" s="2" t="str">
        <f>"3"</f>
        <v>3</v>
      </c>
      <c r="E7941" s="2" t="str">
        <f>"土木工程学院"</f>
        <v>土木工程学院</v>
      </c>
    </row>
    <row r="7942" ht="13.5" hidden="1" spans="1:5">
      <c r="A7942" s="2" t="str">
        <f>"汤淑贤"</f>
        <v>汤淑贤</v>
      </c>
      <c r="B7942" s="2" t="str">
        <f>"B20230906207"</f>
        <v>B20230906207</v>
      </c>
      <c r="C7942" s="2" t="str">
        <f>"女"</f>
        <v>女</v>
      </c>
      <c r="D7942" s="2" t="str">
        <f>"3"</f>
        <v>3</v>
      </c>
      <c r="E7942" s="2" t="str">
        <f>"经济与管理学院"</f>
        <v>经济与管理学院</v>
      </c>
    </row>
    <row r="7943" ht="13.5" hidden="1" spans="1:5">
      <c r="A7943" s="2" t="str">
        <f>"朱金欣"</f>
        <v>朱金欣</v>
      </c>
      <c r="B7943" s="2" t="str">
        <f>"B20210903105"</f>
        <v>B20210903105</v>
      </c>
      <c r="C7943" s="2" t="str">
        <f>"女"</f>
        <v>女</v>
      </c>
      <c r="D7943" s="2" t="str">
        <f>"3"</f>
        <v>3</v>
      </c>
      <c r="E7943" s="2" t="str">
        <f>"经济与管理学院"</f>
        <v>经济与管理学院</v>
      </c>
    </row>
    <row r="7944" ht="13.5" hidden="1" spans="1:5">
      <c r="A7944" s="2" t="str">
        <f>"杨焯宇"</f>
        <v>杨焯宇</v>
      </c>
      <c r="B7944" s="2" t="str">
        <f>"B20230401312"</f>
        <v>B20230401312</v>
      </c>
      <c r="C7944" s="2" t="str">
        <f>"男"</f>
        <v>男</v>
      </c>
      <c r="D7944" s="2" t="str">
        <f>"3"</f>
        <v>3</v>
      </c>
      <c r="E7944" s="2" t="str">
        <f>"电子信息与电气工程学院"</f>
        <v>电子信息与电气工程学院</v>
      </c>
    </row>
    <row r="7945" ht="13.5" hidden="1" spans="1:5">
      <c r="A7945" s="2" t="str">
        <f>"杨凌峰"</f>
        <v>杨凌峰</v>
      </c>
      <c r="B7945" s="2" t="str">
        <f>"B20220103104"</f>
        <v>B20220103104</v>
      </c>
      <c r="C7945" s="2" t="str">
        <f>"男"</f>
        <v>男</v>
      </c>
      <c r="D7945" s="2" t="str">
        <f>"3"</f>
        <v>3</v>
      </c>
      <c r="E7945" s="2" t="str">
        <f>"土木工程学院"</f>
        <v>土木工程学院</v>
      </c>
    </row>
    <row r="7946" ht="13.5" hidden="1" spans="1:5">
      <c r="A7946" s="2" t="str">
        <f>"孙雨彤"</f>
        <v>孙雨彤</v>
      </c>
      <c r="B7946" s="2" t="str">
        <f>"B20210701319"</f>
        <v>B20210701319</v>
      </c>
      <c r="C7946" s="2" t="str">
        <f>"女"</f>
        <v>女</v>
      </c>
      <c r="D7946" s="2" t="str">
        <f>"3"</f>
        <v>3</v>
      </c>
      <c r="E7946" s="2" t="str">
        <f>"马栏山新媒体学院"</f>
        <v>马栏山新媒体学院</v>
      </c>
    </row>
    <row r="7947" ht="13.5" hidden="1" spans="1:5">
      <c r="A7947" s="2" t="str">
        <f>"黄梦茹"</f>
        <v>黄梦茹</v>
      </c>
      <c r="B7947" s="2" t="str">
        <f>"B20231003219"</f>
        <v>B20231003219</v>
      </c>
      <c r="C7947" s="2" t="str">
        <f>"女"</f>
        <v>女</v>
      </c>
      <c r="D7947" s="2" t="str">
        <f>"3"</f>
        <v>3</v>
      </c>
      <c r="E7947" s="2" t="str">
        <f>"艺术设计学院"</f>
        <v>艺术设计学院</v>
      </c>
    </row>
    <row r="7948" ht="13.5" hidden="1" spans="1:5">
      <c r="A7948" s="2" t="str">
        <f>"杨梓馨"</f>
        <v>杨梓馨</v>
      </c>
      <c r="B7948" s="2" t="str">
        <f>"B20200503128"</f>
        <v>B20200503128</v>
      </c>
      <c r="C7948" s="2" t="str">
        <f>"女"</f>
        <v>女</v>
      </c>
      <c r="D7948" s="2" t="str">
        <f>"3"</f>
        <v>3</v>
      </c>
      <c r="E7948" s="2" t="str">
        <f>"生物与环境工程学院"</f>
        <v>生物与环境工程学院</v>
      </c>
    </row>
    <row r="7949" ht="13.5" hidden="1" spans="1:5">
      <c r="A7949" s="2" t="str">
        <f>"罗鑫"</f>
        <v>罗鑫</v>
      </c>
      <c r="B7949" s="2" t="str">
        <f>"B20210201433"</f>
        <v>B20210201433</v>
      </c>
      <c r="C7949" s="2" t="str">
        <f>"男"</f>
        <v>男</v>
      </c>
      <c r="D7949" s="2" t="str">
        <f t="shared" ref="D7949:D7954" si="1950">"3"</f>
        <v>3</v>
      </c>
      <c r="E7949" s="2" t="str">
        <f>"机电工程学院"</f>
        <v>机电工程学院</v>
      </c>
    </row>
    <row r="7950" ht="13.5" hidden="1" spans="1:5">
      <c r="A7950" s="2" t="str">
        <f>"胡鹏"</f>
        <v>胡鹏</v>
      </c>
      <c r="B7950" s="2" t="str">
        <f>"B20200202326"</f>
        <v>B20200202326</v>
      </c>
      <c r="C7950" s="2" t="str">
        <f>"男"</f>
        <v>男</v>
      </c>
      <c r="D7950" s="2" t="str">
        <f t="shared" si="1950"/>
        <v>3</v>
      </c>
      <c r="E7950" s="2" t="str">
        <f>"机电工程学院"</f>
        <v>机电工程学院</v>
      </c>
    </row>
    <row r="7951" ht="13.5" hidden="1" spans="1:5">
      <c r="A7951" s="2" t="str">
        <f>"陈葆涤"</f>
        <v>陈葆涤</v>
      </c>
      <c r="B7951" s="2" t="str">
        <f>"B20220501109"</f>
        <v>B20220501109</v>
      </c>
      <c r="C7951" s="2" t="str">
        <f>"女"</f>
        <v>女</v>
      </c>
      <c r="D7951" s="2" t="str">
        <f t="shared" si="1950"/>
        <v>3</v>
      </c>
      <c r="E7951" s="2" t="str">
        <f>"生物与化学工程学院"</f>
        <v>生物与化学工程学院</v>
      </c>
    </row>
    <row r="7952" ht="13.5" hidden="1" spans="1:5">
      <c r="A7952" s="2" t="str">
        <f>"杨青木"</f>
        <v>杨青木</v>
      </c>
      <c r="B7952" s="2" t="str">
        <f>"B20230101305"</f>
        <v>B20230101305</v>
      </c>
      <c r="C7952" s="2" t="str">
        <f>"男"</f>
        <v>男</v>
      </c>
      <c r="D7952" s="2" t="str">
        <f t="shared" si="1950"/>
        <v>3</v>
      </c>
      <c r="E7952" s="2" t="str">
        <f>"土木工程学院"</f>
        <v>土木工程学院</v>
      </c>
    </row>
    <row r="7953" ht="13.5" hidden="1" spans="1:5">
      <c r="A7953" s="2" t="str">
        <f>"高木蓉"</f>
        <v>高木蓉</v>
      </c>
      <c r="B7953" s="2" t="str">
        <f>"B20231003203"</f>
        <v>B20231003203</v>
      </c>
      <c r="C7953" s="2" t="str">
        <f>"女"</f>
        <v>女</v>
      </c>
      <c r="D7953" s="2" t="str">
        <f t="shared" si="1950"/>
        <v>3</v>
      </c>
      <c r="E7953" s="2" t="str">
        <f>"艺术设计学院"</f>
        <v>艺术设计学院</v>
      </c>
    </row>
    <row r="7954" ht="13.5" hidden="1" spans="1:5">
      <c r="A7954" s="2" t="str">
        <f>"欧杨"</f>
        <v>欧杨</v>
      </c>
      <c r="B7954" s="2" t="str">
        <f>"B20210601402"</f>
        <v>B20210601402</v>
      </c>
      <c r="C7954" s="2" t="str">
        <f>"男"</f>
        <v>男</v>
      </c>
      <c r="D7954" s="2" t="str">
        <f t="shared" si="1950"/>
        <v>3</v>
      </c>
      <c r="E7954" s="2" t="str">
        <f>"法学院"</f>
        <v>法学院</v>
      </c>
    </row>
    <row r="7955" ht="13.5" hidden="1" spans="1:5">
      <c r="A7955" s="2" t="str">
        <f>"雷凡"</f>
        <v>雷凡</v>
      </c>
      <c r="B7955" s="2" t="str">
        <f>"B20230702317"</f>
        <v>B20230702317</v>
      </c>
      <c r="C7955" s="2" t="str">
        <f>"女"</f>
        <v>女</v>
      </c>
      <c r="D7955" s="2" t="str">
        <f>"3"</f>
        <v>3</v>
      </c>
      <c r="E7955" s="2" t="str">
        <f>"马栏山新媒体学院"</f>
        <v>马栏山新媒体学院</v>
      </c>
    </row>
    <row r="7956" ht="13.5" hidden="1" spans="1:5">
      <c r="A7956" s="2" t="str">
        <f>"丁慧明"</f>
        <v>丁慧明</v>
      </c>
      <c r="B7956" s="2" t="str">
        <f>"B20210906112"</f>
        <v>B20210906112</v>
      </c>
      <c r="C7956" s="2" t="str">
        <f>"女"</f>
        <v>女</v>
      </c>
      <c r="D7956" s="2" t="str">
        <f>"3"</f>
        <v>3</v>
      </c>
      <c r="E7956" s="2" t="str">
        <f>"经济与管理学院"</f>
        <v>经济与管理学院</v>
      </c>
    </row>
    <row r="7957" ht="13.5" hidden="1" spans="1:5">
      <c r="A7957" s="2" t="str">
        <f>"刘其"</f>
        <v>刘其</v>
      </c>
      <c r="B7957" s="2" t="str">
        <f>"B20220101210"</f>
        <v>B20220101210</v>
      </c>
      <c r="C7957" s="2" t="str">
        <f>"男"</f>
        <v>男</v>
      </c>
      <c r="D7957" s="2" t="str">
        <f>"3"</f>
        <v>3</v>
      </c>
      <c r="E7957" s="2" t="str">
        <f>"土木工程学院"</f>
        <v>土木工程学院</v>
      </c>
    </row>
    <row r="7958" ht="13.5" hidden="1" spans="1:5">
      <c r="A7958" s="2" t="str">
        <f>"贺伟"</f>
        <v>贺伟</v>
      </c>
      <c r="B7958" s="2" t="str">
        <f>"B20210101308"</f>
        <v>B20210101308</v>
      </c>
      <c r="C7958" s="2" t="str">
        <f>"男"</f>
        <v>男</v>
      </c>
      <c r="D7958" s="2" t="str">
        <f>"3"</f>
        <v>3</v>
      </c>
      <c r="E7958" s="2" t="str">
        <f>"土木工程学院"</f>
        <v>土木工程学院</v>
      </c>
    </row>
    <row r="7959" ht="13.5" hidden="1" spans="1:5">
      <c r="A7959" s="2" t="str">
        <f>"王忠恒"</f>
        <v>王忠恒</v>
      </c>
      <c r="B7959" s="2" t="str">
        <f>"B20221002410"</f>
        <v>B20221002410</v>
      </c>
      <c r="C7959" s="2" t="str">
        <f>"男"</f>
        <v>男</v>
      </c>
      <c r="D7959" s="2" t="str">
        <f>"3"</f>
        <v>3</v>
      </c>
      <c r="E7959" s="2" t="str">
        <f>"艺术设计学院"</f>
        <v>艺术设计学院</v>
      </c>
    </row>
    <row r="7960" ht="13.5" hidden="1" spans="1:5">
      <c r="A7960" s="2" t="str">
        <f>"叶征悦"</f>
        <v>叶征悦</v>
      </c>
      <c r="B7960" s="2" t="str">
        <f>"B20220803203"</f>
        <v>B20220803203</v>
      </c>
      <c r="C7960" s="2" t="str">
        <f t="shared" ref="C7960:C7963" si="1951">"女"</f>
        <v>女</v>
      </c>
      <c r="D7960" s="2" t="str">
        <f>"3"</f>
        <v>3</v>
      </c>
      <c r="E7960" s="2" t="str">
        <f>"外国语学院"</f>
        <v>外国语学院</v>
      </c>
    </row>
    <row r="7961" ht="13.5" hidden="1" spans="1:5">
      <c r="A7961" s="2" t="str">
        <f>"刘国贤"</f>
        <v>刘国贤</v>
      </c>
      <c r="B7961" s="2" t="str">
        <f>"B20230501101"</f>
        <v>B20230501101</v>
      </c>
      <c r="C7961" s="2" t="str">
        <f>"男"</f>
        <v>男</v>
      </c>
      <c r="D7961" s="2" t="str">
        <f>"3"</f>
        <v>3</v>
      </c>
      <c r="E7961" s="2" t="str">
        <f>"生物与化学工程学院"</f>
        <v>生物与化学工程学院</v>
      </c>
    </row>
    <row r="7962" ht="13.5" hidden="1" spans="1:5">
      <c r="A7962" s="2" t="str">
        <f>"余玉婷"</f>
        <v>余玉婷</v>
      </c>
      <c r="B7962" s="2" t="str">
        <f>"B20221302126"</f>
        <v>B20221302126</v>
      </c>
      <c r="C7962" s="2" t="str">
        <f t="shared" si="1951"/>
        <v>女</v>
      </c>
      <c r="D7962" s="2" t="str">
        <f>"3"</f>
        <v>3</v>
      </c>
      <c r="E7962" s="2" t="str">
        <f>"材料与环境工程学院"</f>
        <v>材料与环境工程学院</v>
      </c>
    </row>
    <row r="7963" ht="13.5" hidden="1" spans="1:5">
      <c r="A7963" s="2" t="str">
        <f>"李嘉宁"</f>
        <v>李嘉宁</v>
      </c>
      <c r="B7963" s="2" t="str">
        <f>"B20211004207"</f>
        <v>B20211004207</v>
      </c>
      <c r="C7963" s="2" t="str">
        <f t="shared" si="1951"/>
        <v>女</v>
      </c>
      <c r="D7963" s="2" t="str">
        <f>"3"</f>
        <v>3</v>
      </c>
      <c r="E7963" s="2" t="str">
        <f>"艺术设计学院"</f>
        <v>艺术设计学院</v>
      </c>
    </row>
    <row r="7964" ht="13.5" hidden="1" spans="1:5">
      <c r="A7964" s="2" t="str">
        <f>"陈飞潼"</f>
        <v>陈飞潼</v>
      </c>
      <c r="B7964" s="2" t="str">
        <f>"B20230401214"</f>
        <v>B20230401214</v>
      </c>
      <c r="C7964" s="2" t="str">
        <f>"男"</f>
        <v>男</v>
      </c>
      <c r="D7964" s="2" t="str">
        <f>"3"</f>
        <v>3</v>
      </c>
      <c r="E7964" s="2" t="str">
        <f>"电子信息与电气工程学院"</f>
        <v>电子信息与电气工程学院</v>
      </c>
    </row>
    <row r="7965" ht="13.5" hidden="1" spans="1:5">
      <c r="A7965" s="2" t="str">
        <f>"昌梓俊"</f>
        <v>昌梓俊</v>
      </c>
      <c r="B7965" s="2" t="str">
        <f>"B20210202135"</f>
        <v>B20210202135</v>
      </c>
      <c r="C7965" s="2" t="str">
        <f>"男"</f>
        <v>男</v>
      </c>
      <c r="D7965" s="2" t="str">
        <f>"3"</f>
        <v>3</v>
      </c>
      <c r="E7965" s="2" t="str">
        <f>"机电工程学院"</f>
        <v>机电工程学院</v>
      </c>
    </row>
    <row r="7966" ht="13.5" hidden="1" spans="1:5">
      <c r="A7966" s="2" t="str">
        <f>"黄文芳"</f>
        <v>黄文芳</v>
      </c>
      <c r="B7966" s="2" t="str">
        <f>"B20231001107"</f>
        <v>B20231001107</v>
      </c>
      <c r="C7966" s="2" t="str">
        <f t="shared" ref="C7966:C7973" si="1952">"女"</f>
        <v>女</v>
      </c>
      <c r="D7966" s="2" t="str">
        <f>"3"</f>
        <v>3</v>
      </c>
      <c r="E7966" s="2" t="str">
        <f>"艺术设计学院"</f>
        <v>艺术设计学院</v>
      </c>
    </row>
    <row r="7967" ht="13.5" hidden="1" spans="1:5">
      <c r="A7967" s="2" t="str">
        <f>"程羽珊"</f>
        <v>程羽珊</v>
      </c>
      <c r="B7967" s="2" t="str">
        <f>"B20220601517"</f>
        <v>B20220601517</v>
      </c>
      <c r="C7967" s="2" t="str">
        <f t="shared" si="1952"/>
        <v>女</v>
      </c>
      <c r="D7967" s="2" t="str">
        <f>"3"</f>
        <v>3</v>
      </c>
      <c r="E7967" s="2" t="str">
        <f>"法学院"</f>
        <v>法学院</v>
      </c>
    </row>
    <row r="7968" ht="13.5" hidden="1" spans="1:5">
      <c r="A7968" s="2" t="str">
        <f>"阳吕俊"</f>
        <v>阳吕俊</v>
      </c>
      <c r="B7968" s="2" t="str">
        <f>"B20220204316"</f>
        <v>B20220204316</v>
      </c>
      <c r="C7968" s="2" t="str">
        <f>"男"</f>
        <v>男</v>
      </c>
      <c r="D7968" s="2" t="str">
        <f>"3"</f>
        <v>3</v>
      </c>
      <c r="E7968" s="2" t="str">
        <f>"机电工程学院"</f>
        <v>机电工程学院</v>
      </c>
    </row>
    <row r="7969" ht="13.5" hidden="1" spans="1:5">
      <c r="A7969" s="2" t="str">
        <f>"贺缘梦"</f>
        <v>贺缘梦</v>
      </c>
      <c r="B7969" s="2" t="str">
        <f>"B20220701124"</f>
        <v>B20220701124</v>
      </c>
      <c r="C7969" s="2" t="str">
        <f t="shared" si="1952"/>
        <v>女</v>
      </c>
      <c r="D7969" s="2" t="str">
        <f>"3"</f>
        <v>3</v>
      </c>
      <c r="E7969" s="2" t="str">
        <f>"马栏山新媒体学院"</f>
        <v>马栏山新媒体学院</v>
      </c>
    </row>
    <row r="7970" ht="13.5" hidden="1" spans="1:5">
      <c r="A7970" s="2" t="str">
        <f>"李炎燕"</f>
        <v>李炎燕</v>
      </c>
      <c r="B7970" s="2" t="str">
        <f>"B20220901109"</f>
        <v>B20220901109</v>
      </c>
      <c r="C7970" s="2" t="str">
        <f t="shared" si="1952"/>
        <v>女</v>
      </c>
      <c r="D7970" s="2" t="str">
        <f>"3"</f>
        <v>3</v>
      </c>
      <c r="E7970" s="2" t="str">
        <f>"经济与管理学院"</f>
        <v>经济与管理学院</v>
      </c>
    </row>
    <row r="7971" ht="13.5" hidden="1" spans="1:5">
      <c r="A7971" s="2" t="str">
        <f>"熊露"</f>
        <v>熊露</v>
      </c>
      <c r="B7971" s="2" t="str">
        <f>"B20210901330"</f>
        <v>B20210901330</v>
      </c>
      <c r="C7971" s="2" t="str">
        <f t="shared" si="1952"/>
        <v>女</v>
      </c>
      <c r="D7971" s="2" t="str">
        <f>"3"</f>
        <v>3</v>
      </c>
      <c r="E7971" s="2" t="str">
        <f>"经济与管理学院"</f>
        <v>经济与管理学院</v>
      </c>
    </row>
    <row r="7972" ht="13.5" hidden="1" spans="1:5">
      <c r="A7972" s="2" t="str">
        <f>"曹雨茜"</f>
        <v>曹雨茜</v>
      </c>
      <c r="B7972" s="2" t="str">
        <f>"B20231003202"</f>
        <v>B20231003202</v>
      </c>
      <c r="C7972" s="2" t="str">
        <f t="shared" si="1952"/>
        <v>女</v>
      </c>
      <c r="D7972" s="2" t="str">
        <f>"3"</f>
        <v>3</v>
      </c>
      <c r="E7972" s="2" t="str">
        <f>"艺术设计学院"</f>
        <v>艺术设计学院</v>
      </c>
    </row>
    <row r="7973" ht="13.5" hidden="1" spans="1:5">
      <c r="A7973" s="2" t="str">
        <f>"姚瑾瑜"</f>
        <v>姚瑾瑜</v>
      </c>
      <c r="B7973" s="2" t="str">
        <f>"B20220701106"</f>
        <v>B20220701106</v>
      </c>
      <c r="C7973" s="2" t="str">
        <f t="shared" si="1952"/>
        <v>女</v>
      </c>
      <c r="D7973" s="2" t="str">
        <f>"3"</f>
        <v>3</v>
      </c>
      <c r="E7973" s="2" t="str">
        <f>"马栏山新媒体学院"</f>
        <v>马栏山新媒体学院</v>
      </c>
    </row>
    <row r="7974" ht="13.5" hidden="1" spans="1:5">
      <c r="A7974" s="2" t="str">
        <f>"唐磊"</f>
        <v>唐磊</v>
      </c>
      <c r="B7974" s="2" t="str">
        <f>"B20230402204"</f>
        <v>B20230402204</v>
      </c>
      <c r="C7974" s="2" t="str">
        <f t="shared" ref="C7974:C7976" si="1953">"男"</f>
        <v>男</v>
      </c>
      <c r="D7974" s="2" t="str">
        <f>"3"</f>
        <v>3</v>
      </c>
      <c r="E7974" s="2" t="str">
        <f t="shared" ref="E7974:E7978" si="1954">"电子信息与电气工程学院"</f>
        <v>电子信息与电气工程学院</v>
      </c>
    </row>
    <row r="7975" ht="13.5" hidden="1" spans="1:5">
      <c r="A7975" s="2" t="str">
        <f>"邓磊"</f>
        <v>邓磊</v>
      </c>
      <c r="B7975" s="2" t="str">
        <f>"B20230104102"</f>
        <v>B20230104102</v>
      </c>
      <c r="C7975" s="2" t="str">
        <f t="shared" si="1953"/>
        <v>男</v>
      </c>
      <c r="D7975" s="2" t="str">
        <f>"3"</f>
        <v>3</v>
      </c>
      <c r="E7975" s="2" t="str">
        <f>"土木工程学院"</f>
        <v>土木工程学院</v>
      </c>
    </row>
    <row r="7976" ht="13.5" hidden="1" spans="1:5">
      <c r="A7976" s="2" t="str">
        <f>"贺盼"</f>
        <v>贺盼</v>
      </c>
      <c r="B7976" s="2" t="str">
        <f>"B20230403229"</f>
        <v>B20230403229</v>
      </c>
      <c r="C7976" s="2" t="str">
        <f t="shared" si="1953"/>
        <v>男</v>
      </c>
      <c r="D7976" s="2" t="str">
        <f>"3"</f>
        <v>3</v>
      </c>
      <c r="E7976" s="2" t="str">
        <f t="shared" si="1954"/>
        <v>电子信息与电气工程学院</v>
      </c>
    </row>
    <row r="7977" ht="13.5" hidden="1" spans="1:5">
      <c r="A7977" s="2" t="str">
        <f>"陈宇曦"</f>
        <v>陈宇曦</v>
      </c>
      <c r="B7977" s="2" t="str">
        <f>"B20230701203"</f>
        <v>B20230701203</v>
      </c>
      <c r="C7977" s="2" t="str">
        <f>"女"</f>
        <v>女</v>
      </c>
      <c r="D7977" s="2" t="str">
        <f>"3"</f>
        <v>3</v>
      </c>
      <c r="E7977" s="2" t="str">
        <f>"马栏山新媒体学院"</f>
        <v>马栏山新媒体学院</v>
      </c>
    </row>
    <row r="7978" ht="13.5" hidden="1" spans="1:5">
      <c r="A7978" s="2" t="str">
        <f>"宁坤"</f>
        <v>宁坤</v>
      </c>
      <c r="B7978" s="2" t="str">
        <f>"B20230403102"</f>
        <v>B20230403102</v>
      </c>
      <c r="C7978" s="2" t="str">
        <f>"男"</f>
        <v>男</v>
      </c>
      <c r="D7978" s="2" t="str">
        <f>"3"</f>
        <v>3</v>
      </c>
      <c r="E7978" s="2" t="str">
        <f t="shared" si="1954"/>
        <v>电子信息与电气工程学院</v>
      </c>
    </row>
    <row r="7979" ht="13.5" hidden="1" spans="1:5">
      <c r="A7979" s="2" t="str">
        <f>"文礼渊"</f>
        <v>文礼渊</v>
      </c>
      <c r="B7979" s="2" t="str">
        <f>"B20210201427"</f>
        <v>B20210201427</v>
      </c>
      <c r="C7979" s="2" t="str">
        <f>"男"</f>
        <v>男</v>
      </c>
      <c r="D7979" s="2" t="str">
        <f>"3"</f>
        <v>3</v>
      </c>
      <c r="E7979" s="2" t="str">
        <f>"机电工程学院"</f>
        <v>机电工程学院</v>
      </c>
    </row>
    <row r="7980" ht="13.5" hidden="1" spans="1:5">
      <c r="A7980" s="2" t="str">
        <f>"唐艺明"</f>
        <v>唐艺明</v>
      </c>
      <c r="B7980" s="2" t="str">
        <f>"B20210202225"</f>
        <v>B20210202225</v>
      </c>
      <c r="C7980" s="2" t="str">
        <f>"男"</f>
        <v>男</v>
      </c>
      <c r="D7980" s="2" t="str">
        <f>"3"</f>
        <v>3</v>
      </c>
      <c r="E7980" s="2" t="str">
        <f>"机电工程学院"</f>
        <v>机电工程学院</v>
      </c>
    </row>
    <row r="7981" ht="13.5" hidden="1" spans="1:5">
      <c r="A7981" s="2" t="str">
        <f>"熊涛"</f>
        <v>熊涛</v>
      </c>
      <c r="B7981" s="2" t="str">
        <f>"B20220101623"</f>
        <v>B20220101623</v>
      </c>
      <c r="C7981" s="2" t="str">
        <f>"男"</f>
        <v>男</v>
      </c>
      <c r="D7981" s="2" t="str">
        <f t="shared" ref="D7981:D8000" si="1955">"3"</f>
        <v>3</v>
      </c>
      <c r="E7981" s="2" t="str">
        <f>"土木工程学院"</f>
        <v>土木工程学院</v>
      </c>
    </row>
    <row r="7982" ht="13.5" hidden="1" spans="1:5">
      <c r="A7982" s="2" t="str">
        <f>"杨晶晶"</f>
        <v>杨晶晶</v>
      </c>
      <c r="B7982" s="2" t="str">
        <f>"B20220502228"</f>
        <v>B20220502228</v>
      </c>
      <c r="C7982" s="2" t="str">
        <f t="shared" ref="C7982:C7985" si="1956">"女"</f>
        <v>女</v>
      </c>
      <c r="D7982" s="2" t="str">
        <f t="shared" si="1955"/>
        <v>3</v>
      </c>
      <c r="E7982" s="2" t="str">
        <f>"生物与化学工程学院"</f>
        <v>生物与化学工程学院</v>
      </c>
    </row>
    <row r="7983" ht="13.5" hidden="1" spans="1:5">
      <c r="A7983" s="2" t="str">
        <f>"曲佳佳"</f>
        <v>曲佳佳</v>
      </c>
      <c r="B7983" s="2" t="str">
        <f>"B20210903238"</f>
        <v>B20210903238</v>
      </c>
      <c r="C7983" s="2" t="str">
        <f t="shared" si="1956"/>
        <v>女</v>
      </c>
      <c r="D7983" s="2" t="str">
        <f t="shared" si="1955"/>
        <v>3</v>
      </c>
      <c r="E7983" s="2" t="str">
        <f>"经济与管理学院"</f>
        <v>经济与管理学院</v>
      </c>
    </row>
    <row r="7984" ht="13.5" hidden="1" spans="1:5">
      <c r="A7984" s="2" t="str">
        <f>"廖尉然"</f>
        <v>廖尉然</v>
      </c>
      <c r="B7984" s="2" t="str">
        <f>"B20200905145"</f>
        <v>B20200905145</v>
      </c>
      <c r="C7984" s="2" t="str">
        <f t="shared" si="1956"/>
        <v>女</v>
      </c>
      <c r="D7984" s="2" t="str">
        <f t="shared" si="1955"/>
        <v>3</v>
      </c>
      <c r="E7984" s="2" t="str">
        <f>"经济与管理学院"</f>
        <v>经济与管理学院</v>
      </c>
    </row>
    <row r="7985" ht="13.5" hidden="1" spans="1:5">
      <c r="A7985" s="2" t="str">
        <f>"李心怡"</f>
        <v>李心怡</v>
      </c>
      <c r="B7985" s="2" t="str">
        <f>"B20230705106"</f>
        <v>B20230705106</v>
      </c>
      <c r="C7985" s="2" t="str">
        <f t="shared" si="1956"/>
        <v>女</v>
      </c>
      <c r="D7985" s="2" t="str">
        <f t="shared" si="1955"/>
        <v>3</v>
      </c>
      <c r="E7985" s="2" t="str">
        <f>"马栏山新媒体学院"</f>
        <v>马栏山新媒体学院</v>
      </c>
    </row>
    <row r="7986" ht="13.5" hidden="1" spans="1:5">
      <c r="A7986" s="2" t="str">
        <f>"王锐"</f>
        <v>王锐</v>
      </c>
      <c r="B7986" s="2" t="str">
        <f>"B20210503122"</f>
        <v>B20210503122</v>
      </c>
      <c r="C7986" s="2" t="str">
        <f t="shared" ref="C7986:C7989" si="1957">"男"</f>
        <v>男</v>
      </c>
      <c r="D7986" s="2" t="str">
        <f t="shared" si="1955"/>
        <v>3</v>
      </c>
      <c r="E7986" s="2" t="str">
        <f>"材料与环境工程学院"</f>
        <v>材料与环境工程学院</v>
      </c>
    </row>
    <row r="7987" ht="13.5" hidden="1" spans="1:5">
      <c r="A7987" s="2" t="str">
        <f>"曾定豪"</f>
        <v>曾定豪</v>
      </c>
      <c r="B7987" s="2" t="str">
        <f>"B20210403107"</f>
        <v>B20210403107</v>
      </c>
      <c r="C7987" s="2" t="str">
        <f t="shared" si="1957"/>
        <v>男</v>
      </c>
      <c r="D7987" s="2" t="str">
        <f t="shared" si="1955"/>
        <v>3</v>
      </c>
      <c r="E7987" s="2" t="str">
        <f t="shared" ref="E7987:E7991" si="1958">"电子信息与电气工程学院"</f>
        <v>电子信息与电气工程学院</v>
      </c>
    </row>
    <row r="7988" ht="13.5" hidden="1" spans="1:5">
      <c r="A7988" s="2" t="str">
        <f>"刘永祥"</f>
        <v>刘永祥</v>
      </c>
      <c r="B7988" s="2" t="str">
        <f>"B20230202124"</f>
        <v>B20230202124</v>
      </c>
      <c r="C7988" s="2" t="str">
        <f t="shared" si="1957"/>
        <v>男</v>
      </c>
      <c r="D7988" s="2" t="str">
        <f t="shared" si="1955"/>
        <v>3</v>
      </c>
      <c r="E7988" s="2" t="str">
        <f>"机电工程学院"</f>
        <v>机电工程学院</v>
      </c>
    </row>
    <row r="7989" ht="13.5" hidden="1" spans="1:5">
      <c r="A7989" s="2" t="str">
        <f>"江俊逸"</f>
        <v>江俊逸</v>
      </c>
      <c r="B7989" s="2" t="str">
        <f>"B20230802204"</f>
        <v>B20230802204</v>
      </c>
      <c r="C7989" s="2" t="str">
        <f t="shared" si="1957"/>
        <v>男</v>
      </c>
      <c r="D7989" s="2" t="str">
        <f t="shared" si="1955"/>
        <v>3</v>
      </c>
      <c r="E7989" s="2" t="str">
        <f>"外国语学院"</f>
        <v>外国语学院</v>
      </c>
    </row>
    <row r="7990" ht="13.5" hidden="1" spans="1:5">
      <c r="A7990" s="2" t="str">
        <f>"阳妍"</f>
        <v>阳妍</v>
      </c>
      <c r="B7990" s="2" t="str">
        <f>"B20210401125"</f>
        <v>B20210401125</v>
      </c>
      <c r="C7990" s="2" t="str">
        <f t="shared" ref="C7990:C7995" si="1959">"女"</f>
        <v>女</v>
      </c>
      <c r="D7990" s="2" t="str">
        <f t="shared" si="1955"/>
        <v>3</v>
      </c>
      <c r="E7990" s="2" t="str">
        <f t="shared" si="1958"/>
        <v>电子信息与电气工程学院</v>
      </c>
    </row>
    <row r="7991" ht="13.5" hidden="1" spans="1:5">
      <c r="A7991" s="2" t="str">
        <f>"朱威"</f>
        <v>朱威</v>
      </c>
      <c r="B7991" s="2" t="str">
        <f>"B20230402229"</f>
        <v>B20230402229</v>
      </c>
      <c r="C7991" s="2" t="str">
        <f t="shared" ref="C7991:C7996" si="1960">"男"</f>
        <v>男</v>
      </c>
      <c r="D7991" s="2" t="str">
        <f t="shared" si="1955"/>
        <v>3</v>
      </c>
      <c r="E7991" s="2" t="str">
        <f t="shared" si="1958"/>
        <v>电子信息与电气工程学院</v>
      </c>
    </row>
    <row r="7992" ht="13.5" hidden="1" spans="1:5">
      <c r="A7992" s="2" t="str">
        <f>"贾镇"</f>
        <v>贾镇</v>
      </c>
      <c r="B7992" s="2" t="str">
        <f>"B20230101236"</f>
        <v>B20230101236</v>
      </c>
      <c r="C7992" s="2" t="str">
        <f t="shared" si="1960"/>
        <v>男</v>
      </c>
      <c r="D7992" s="2" t="str">
        <f t="shared" si="1955"/>
        <v>3</v>
      </c>
      <c r="E7992" s="2" t="str">
        <f>"土木工程学院"</f>
        <v>土木工程学院</v>
      </c>
    </row>
    <row r="7993" ht="13.5" hidden="1" spans="1:5">
      <c r="A7993" s="2" t="str">
        <f>"袁睿"</f>
        <v>袁睿</v>
      </c>
      <c r="B7993" s="2" t="str">
        <f>"B20230906208"</f>
        <v>B20230906208</v>
      </c>
      <c r="C7993" s="2" t="str">
        <f t="shared" si="1959"/>
        <v>女</v>
      </c>
      <c r="D7993" s="2" t="str">
        <f t="shared" si="1955"/>
        <v>3</v>
      </c>
      <c r="E7993" s="2" t="str">
        <f>"经济与管理学院"</f>
        <v>经济与管理学院</v>
      </c>
    </row>
    <row r="7994" ht="13.5" hidden="1" spans="1:5">
      <c r="A7994" s="2" t="str">
        <f>"于文暄"</f>
        <v>于文暄</v>
      </c>
      <c r="B7994" s="2" t="str">
        <f>"B20231001420"</f>
        <v>B20231001420</v>
      </c>
      <c r="C7994" s="2" t="str">
        <f t="shared" si="1959"/>
        <v>女</v>
      </c>
      <c r="D7994" s="2" t="str">
        <f t="shared" si="1955"/>
        <v>3</v>
      </c>
      <c r="E7994" s="2" t="str">
        <f>"艺术设计学院"</f>
        <v>艺术设计学院</v>
      </c>
    </row>
    <row r="7995" ht="13.5" hidden="1" spans="1:5">
      <c r="A7995" s="2" t="str">
        <f>"练小倩"</f>
        <v>练小倩</v>
      </c>
      <c r="B7995" s="2" t="str">
        <f>"B20210103228"</f>
        <v>B20210103228</v>
      </c>
      <c r="C7995" s="2" t="str">
        <f t="shared" si="1959"/>
        <v>女</v>
      </c>
      <c r="D7995" s="2" t="str">
        <f t="shared" si="1955"/>
        <v>3</v>
      </c>
      <c r="E7995" s="2" t="str">
        <f>"土木工程学院"</f>
        <v>土木工程学院</v>
      </c>
    </row>
    <row r="7996" ht="13.5" hidden="1" spans="1:5">
      <c r="A7996" s="2" t="str">
        <f>"李佳豪"</f>
        <v>李佳豪</v>
      </c>
      <c r="B7996" s="2" t="str">
        <f>"B20220405132"</f>
        <v>B20220405132</v>
      </c>
      <c r="C7996" s="2" t="str">
        <f t="shared" si="1960"/>
        <v>男</v>
      </c>
      <c r="D7996" s="2" t="str">
        <f t="shared" si="1955"/>
        <v>3</v>
      </c>
      <c r="E7996" s="2" t="str">
        <f>"电子信息与电气工程学院"</f>
        <v>电子信息与电气工程学院</v>
      </c>
    </row>
    <row r="7997" ht="13.5" hidden="1" spans="1:5">
      <c r="A7997" s="2" t="str">
        <f>"李冰"</f>
        <v>李冰</v>
      </c>
      <c r="B7997" s="2" t="str">
        <f>"B20210801414"</f>
        <v>B20210801414</v>
      </c>
      <c r="C7997" s="2" t="str">
        <f t="shared" ref="C7997:C7999" si="1961">"女"</f>
        <v>女</v>
      </c>
      <c r="D7997" s="2" t="str">
        <f t="shared" si="1955"/>
        <v>3</v>
      </c>
      <c r="E7997" s="2" t="str">
        <f>"外国语学院"</f>
        <v>外国语学院</v>
      </c>
    </row>
    <row r="7998" ht="13.5" hidden="1" spans="1:5">
      <c r="A7998" s="2" t="str">
        <f>"谭婷丽"</f>
        <v>谭婷丽</v>
      </c>
      <c r="B7998" s="2" t="str">
        <f>"B20231301112"</f>
        <v>B20231301112</v>
      </c>
      <c r="C7998" s="2" t="str">
        <f t="shared" si="1961"/>
        <v>女</v>
      </c>
      <c r="D7998" s="2" t="str">
        <f t="shared" si="1955"/>
        <v>3</v>
      </c>
      <c r="E7998" s="2" t="str">
        <f>"材料与环境工程学院"</f>
        <v>材料与环境工程学院</v>
      </c>
    </row>
    <row r="7999" ht="13.5" hidden="1" spans="1:5">
      <c r="A7999" s="2" t="str">
        <f>"郭嘉仪"</f>
        <v>郭嘉仪</v>
      </c>
      <c r="B7999" s="2" t="str">
        <f>"B20230101428"</f>
        <v>B20230101428</v>
      </c>
      <c r="C7999" s="2" t="str">
        <f t="shared" si="1961"/>
        <v>女</v>
      </c>
      <c r="D7999" s="2" t="str">
        <f t="shared" si="1955"/>
        <v>3</v>
      </c>
      <c r="E7999" s="2" t="str">
        <f>"土木工程学院"</f>
        <v>土木工程学院</v>
      </c>
    </row>
    <row r="8000" ht="13.5" hidden="1" spans="1:5">
      <c r="A8000" s="2" t="str">
        <f>"吴嘉良"</f>
        <v>吴嘉良</v>
      </c>
      <c r="B8000" s="2" t="str">
        <f>"B20230601502"</f>
        <v>B20230601502</v>
      </c>
      <c r="C8000" s="2" t="str">
        <f>"男"</f>
        <v>男</v>
      </c>
      <c r="D8000" s="2" t="str">
        <f t="shared" si="1955"/>
        <v>3</v>
      </c>
      <c r="E8000" s="2" t="str">
        <f>"法学院"</f>
        <v>法学院</v>
      </c>
    </row>
    <row r="8001" ht="13.5" hidden="1" spans="1:5">
      <c r="A8001" s="2" t="str">
        <f>"文纪钧"</f>
        <v>文纪钧</v>
      </c>
      <c r="B8001" s="2" t="str">
        <f>"B20211004105"</f>
        <v>B20211004105</v>
      </c>
      <c r="C8001" s="2" t="str">
        <f>"男"</f>
        <v>男</v>
      </c>
      <c r="D8001" s="2" t="str">
        <f>"3"</f>
        <v>3</v>
      </c>
      <c r="E8001" s="2" t="str">
        <f>"艺术设计学院"</f>
        <v>艺术设计学院</v>
      </c>
    </row>
    <row r="8002" ht="13.5" hidden="1" spans="1:5">
      <c r="A8002" s="2" t="str">
        <f>"邓雅丽"</f>
        <v>邓雅丽</v>
      </c>
      <c r="B8002" s="2" t="str">
        <f>"B20220705120"</f>
        <v>B20220705120</v>
      </c>
      <c r="C8002" s="2" t="str">
        <f>"女"</f>
        <v>女</v>
      </c>
      <c r="D8002" s="2" t="str">
        <f>"3"</f>
        <v>3</v>
      </c>
      <c r="E8002" s="2" t="str">
        <f>"马栏山新媒体学院"</f>
        <v>马栏山新媒体学院</v>
      </c>
    </row>
    <row r="8003" ht="13.5" hidden="1" spans="1:5">
      <c r="A8003" s="2" t="str">
        <f>"胡超锦"</f>
        <v>胡超锦</v>
      </c>
      <c r="B8003" s="2" t="str">
        <f>"B20220601409"</f>
        <v>B20220601409</v>
      </c>
      <c r="C8003" s="2" t="str">
        <f>"女"</f>
        <v>女</v>
      </c>
      <c r="D8003" s="2" t="str">
        <f>"3"</f>
        <v>3</v>
      </c>
      <c r="E8003" s="2" t="str">
        <f>"法学院"</f>
        <v>法学院</v>
      </c>
    </row>
    <row r="8004" ht="13.5" hidden="1" spans="1:5">
      <c r="A8004" s="2" t="str">
        <f>"谢水帅"</f>
        <v>谢水帅</v>
      </c>
      <c r="B8004" s="2" t="str">
        <f>"B20230202412"</f>
        <v>B20230202412</v>
      </c>
      <c r="C8004" s="2" t="str">
        <f>"男"</f>
        <v>男</v>
      </c>
      <c r="D8004" s="2" t="str">
        <f>"3"</f>
        <v>3</v>
      </c>
      <c r="E8004" s="2" t="str">
        <f>"机电工程学院"</f>
        <v>机电工程学院</v>
      </c>
    </row>
    <row r="8005" ht="13.5" hidden="1" spans="1:5">
      <c r="A8005" s="2" t="str">
        <f>"刘腾"</f>
        <v>刘腾</v>
      </c>
      <c r="B8005" s="2" t="str">
        <f>"B20230905209"</f>
        <v>B20230905209</v>
      </c>
      <c r="C8005" s="2" t="str">
        <f>"男"</f>
        <v>男</v>
      </c>
      <c r="D8005" s="2" t="str">
        <f>"3"</f>
        <v>3</v>
      </c>
      <c r="E8005" s="2" t="str">
        <f>"经济与管理学院"</f>
        <v>经济与管理学院</v>
      </c>
    </row>
    <row r="8006" ht="13.5" hidden="1" spans="1:5">
      <c r="A8006" s="2" t="str">
        <f>"郭畅"</f>
        <v>郭畅</v>
      </c>
      <c r="B8006" s="2" t="str">
        <f>"B20220904304"</f>
        <v>B20220904304</v>
      </c>
      <c r="C8006" s="2" t="str">
        <f>"男"</f>
        <v>男</v>
      </c>
      <c r="D8006" s="2" t="str">
        <f>"3"</f>
        <v>3</v>
      </c>
      <c r="E8006" s="2" t="str">
        <f>"经济与管理学院"</f>
        <v>经济与管理学院</v>
      </c>
    </row>
    <row r="8007" ht="13.5" hidden="1" spans="1:5">
      <c r="A8007" s="2" t="str">
        <f>"张宇豪"</f>
        <v>张宇豪</v>
      </c>
      <c r="B8007" s="2" t="str">
        <f>"B20220102114"</f>
        <v>B20220102114</v>
      </c>
      <c r="C8007" s="2" t="str">
        <f>"男"</f>
        <v>男</v>
      </c>
      <c r="D8007" s="2" t="str">
        <f>"3"</f>
        <v>3</v>
      </c>
      <c r="E8007" s="2" t="str">
        <f>"土木工程学院"</f>
        <v>土木工程学院</v>
      </c>
    </row>
    <row r="8008" ht="13.5" hidden="1" spans="1:5">
      <c r="A8008" s="2" t="str">
        <f>"殷琳"</f>
        <v>殷琳</v>
      </c>
      <c r="B8008" s="2" t="str">
        <f>"B20220502208"</f>
        <v>B20220502208</v>
      </c>
      <c r="C8008" s="2" t="str">
        <f t="shared" ref="C8008:C8013" si="1962">"女"</f>
        <v>女</v>
      </c>
      <c r="D8008" s="2" t="str">
        <f>"3"</f>
        <v>3</v>
      </c>
      <c r="E8008" s="2" t="str">
        <f>"生物与化学工程学院"</f>
        <v>生物与化学工程学院</v>
      </c>
    </row>
    <row r="8009" ht="13.5" hidden="1" spans="1:5">
      <c r="A8009" s="2" t="str">
        <f>"王旭"</f>
        <v>王旭</v>
      </c>
      <c r="B8009" s="2" t="str">
        <f>"B20220702307"</f>
        <v>B20220702307</v>
      </c>
      <c r="C8009" s="2" t="str">
        <f t="shared" ref="C8009:C8012" si="1963">"男"</f>
        <v>男</v>
      </c>
      <c r="D8009" s="2" t="str">
        <f>"3"</f>
        <v>3</v>
      </c>
      <c r="E8009" s="2" t="str">
        <f>"马栏山新媒体学院"</f>
        <v>马栏山新媒体学院</v>
      </c>
    </row>
    <row r="8010" ht="13.5" hidden="1" spans="1:5">
      <c r="A8010" s="2" t="str">
        <f>"龚倩"</f>
        <v>龚倩</v>
      </c>
      <c r="B8010" s="2" t="str">
        <f>"B20230402114"</f>
        <v>B20230402114</v>
      </c>
      <c r="C8010" s="2" t="str">
        <f t="shared" si="1962"/>
        <v>女</v>
      </c>
      <c r="D8010" s="2" t="str">
        <f>"3"</f>
        <v>3</v>
      </c>
      <c r="E8010" s="2" t="str">
        <f>"电子信息与电气工程学院"</f>
        <v>电子信息与电气工程学院</v>
      </c>
    </row>
    <row r="8011" ht="13.5" hidden="1" spans="1:5">
      <c r="A8011" s="2" t="str">
        <f>"张延卓"</f>
        <v>张延卓</v>
      </c>
      <c r="B8011" s="2" t="str">
        <f>"B20230401424"</f>
        <v>B20230401424</v>
      </c>
      <c r="C8011" s="2" t="str">
        <f t="shared" si="1963"/>
        <v>男</v>
      </c>
      <c r="D8011" s="2" t="str">
        <f>"3"</f>
        <v>3</v>
      </c>
      <c r="E8011" s="2" t="str">
        <f>"电子信息与电气工程学院"</f>
        <v>电子信息与电气工程学院</v>
      </c>
    </row>
    <row r="8012" ht="13.5" hidden="1" spans="1:5">
      <c r="A8012" s="2" t="str">
        <f>"吴许松"</f>
        <v>吴许松</v>
      </c>
      <c r="B8012" s="2" t="str">
        <f>"B20210101106"</f>
        <v>B20210101106</v>
      </c>
      <c r="C8012" s="2" t="str">
        <f t="shared" si="1963"/>
        <v>男</v>
      </c>
      <c r="D8012" s="2" t="str">
        <f>"3"</f>
        <v>3</v>
      </c>
      <c r="E8012" s="2" t="str">
        <f>"土木工程学院"</f>
        <v>土木工程学院</v>
      </c>
    </row>
    <row r="8013" ht="13.5" hidden="1" spans="1:5">
      <c r="A8013" s="2" t="str">
        <f>"沈佳怡"</f>
        <v>沈佳怡</v>
      </c>
      <c r="B8013" s="2" t="str">
        <f>"B20201002404"</f>
        <v>B20201002404</v>
      </c>
      <c r="C8013" s="2" t="str">
        <f t="shared" si="1962"/>
        <v>女</v>
      </c>
      <c r="D8013" s="2" t="str">
        <f>"3"</f>
        <v>3</v>
      </c>
      <c r="E8013" s="2" t="str">
        <f>"艺术设计学院"</f>
        <v>艺术设计学院</v>
      </c>
    </row>
    <row r="8014" ht="13.5" hidden="1" spans="1:5">
      <c r="A8014" s="2" t="str">
        <f>"熊展轶"</f>
        <v>熊展轶</v>
      </c>
      <c r="B8014" s="2" t="str">
        <f>"B20221111201"</f>
        <v>B20221111201</v>
      </c>
      <c r="C8014" s="2" t="str">
        <f>"男"</f>
        <v>男</v>
      </c>
      <c r="D8014" s="2" t="str">
        <f>"3"</f>
        <v>3</v>
      </c>
      <c r="E8014" s="2" t="str">
        <f>"音乐学院"</f>
        <v>音乐学院</v>
      </c>
    </row>
    <row r="8015" ht="13.5" hidden="1" spans="1:5">
      <c r="A8015" s="2" t="str">
        <f>"曾国君"</f>
        <v>曾国君</v>
      </c>
      <c r="B8015" s="2" t="str">
        <f>"B20221302219"</f>
        <v>B20221302219</v>
      </c>
      <c r="C8015" s="2" t="str">
        <f>"男"</f>
        <v>男</v>
      </c>
      <c r="D8015" s="2" t="str">
        <f>"3"</f>
        <v>3</v>
      </c>
      <c r="E8015" s="2" t="str">
        <f>"材料与环境工程学院"</f>
        <v>材料与环境工程学院</v>
      </c>
    </row>
    <row r="8016" ht="13.5" hidden="1" spans="1:5">
      <c r="A8016" s="2" t="str">
        <f>"黎梦洋"</f>
        <v>黎梦洋</v>
      </c>
      <c r="B8016" s="2" t="str">
        <f>"B20220701301"</f>
        <v>B20220701301</v>
      </c>
      <c r="C8016" s="2" t="str">
        <f>"女"</f>
        <v>女</v>
      </c>
      <c r="D8016" s="2" t="str">
        <f>"3"</f>
        <v>3</v>
      </c>
      <c r="E8016" s="2" t="str">
        <f>"马栏山新媒体学院"</f>
        <v>马栏山新媒体学院</v>
      </c>
    </row>
    <row r="8017" ht="13.5" hidden="1" spans="1:5">
      <c r="A8017" s="2" t="str">
        <f>"梁承坤"</f>
        <v>梁承坤</v>
      </c>
      <c r="B8017" s="2" t="str">
        <f>"B20210104107"</f>
        <v>B20210104107</v>
      </c>
      <c r="C8017" s="2" t="str">
        <f>"男"</f>
        <v>男</v>
      </c>
      <c r="D8017" s="2" t="str">
        <f>"3"</f>
        <v>3</v>
      </c>
      <c r="E8017" s="2" t="str">
        <f>"土木工程学院"</f>
        <v>土木工程学院</v>
      </c>
    </row>
    <row r="8018" ht="13.5" hidden="1" spans="1:5">
      <c r="A8018" s="2" t="str">
        <f>"谢旭"</f>
        <v>谢旭</v>
      </c>
      <c r="B8018" s="2" t="str">
        <f>"B20210501113"</f>
        <v>B20210501113</v>
      </c>
      <c r="C8018" s="2" t="str">
        <f>"男"</f>
        <v>男</v>
      </c>
      <c r="D8018" s="2" t="str">
        <f>"3"</f>
        <v>3</v>
      </c>
      <c r="E8018" s="2" t="str">
        <f>"生物与化学工程学院"</f>
        <v>生物与化学工程学院</v>
      </c>
    </row>
    <row r="8019" ht="13.5" hidden="1" spans="1:5">
      <c r="A8019" s="2" t="str">
        <f>"黄艳丽"</f>
        <v>黄艳丽</v>
      </c>
      <c r="B8019" s="2" t="str">
        <f>"B20200801214"</f>
        <v>B20200801214</v>
      </c>
      <c r="C8019" s="2" t="str">
        <f>"女"</f>
        <v>女</v>
      </c>
      <c r="D8019" s="2" t="str">
        <f>"3"</f>
        <v>3</v>
      </c>
      <c r="E8019" s="2" t="str">
        <f>"外国语学院"</f>
        <v>外国语学院</v>
      </c>
    </row>
    <row r="8020" ht="13.5" hidden="1" spans="1:5">
      <c r="A8020" s="2" t="str">
        <f>"黄镫平"</f>
        <v>黄镫平</v>
      </c>
      <c r="B8020" s="2" t="str">
        <f>"B20210505232"</f>
        <v>B20210505232</v>
      </c>
      <c r="C8020" s="2" t="str">
        <f>"女"</f>
        <v>女</v>
      </c>
      <c r="D8020" s="2" t="str">
        <f>"3"</f>
        <v>3</v>
      </c>
      <c r="E8020" s="2" t="str">
        <f>"材料与环境工程学院"</f>
        <v>材料与环境工程学院</v>
      </c>
    </row>
    <row r="8021" ht="13.5" hidden="1" spans="1:5">
      <c r="A8021" s="2" t="str">
        <f>"廖子年"</f>
        <v>廖子年</v>
      </c>
      <c r="B8021" s="2" t="str">
        <f>"B20220701225"</f>
        <v>B20220701225</v>
      </c>
      <c r="C8021" s="2" t="str">
        <f>"女"</f>
        <v>女</v>
      </c>
      <c r="D8021" s="2" t="str">
        <f>"3"</f>
        <v>3</v>
      </c>
      <c r="E8021" s="2" t="str">
        <f t="shared" ref="E8021:E8023" si="1964">"马栏山新媒体学院"</f>
        <v>马栏山新媒体学院</v>
      </c>
    </row>
    <row r="8022" ht="13.5" hidden="1" spans="1:5">
      <c r="A8022" s="2" t="str">
        <f>"肖晶泽"</f>
        <v>肖晶泽</v>
      </c>
      <c r="B8022" s="2" t="str">
        <f>"B20230702120"</f>
        <v>B20230702120</v>
      </c>
      <c r="C8022" s="2" t="str">
        <f>"男"</f>
        <v>男</v>
      </c>
      <c r="D8022" s="2" t="str">
        <f>"3"</f>
        <v>3</v>
      </c>
      <c r="E8022" s="2" t="str">
        <f t="shared" si="1964"/>
        <v>马栏山新媒体学院</v>
      </c>
    </row>
    <row r="8023" ht="13.5" hidden="1" spans="1:5">
      <c r="A8023" s="2" t="str">
        <f>"黄依"</f>
        <v>黄依</v>
      </c>
      <c r="B8023" s="2" t="str">
        <f>"B20230702417"</f>
        <v>B20230702417</v>
      </c>
      <c r="C8023" s="2" t="str">
        <f t="shared" ref="C8023:C8028" si="1965">"女"</f>
        <v>女</v>
      </c>
      <c r="D8023" s="2" t="str">
        <f>"3"</f>
        <v>3</v>
      </c>
      <c r="E8023" s="2" t="str">
        <f t="shared" si="1964"/>
        <v>马栏山新媒体学院</v>
      </c>
    </row>
    <row r="8024" ht="13.5" hidden="1" spans="1:5">
      <c r="A8024" s="2" t="str">
        <f>"陆斯瑞"</f>
        <v>陆斯瑞</v>
      </c>
      <c r="B8024" s="2" t="str">
        <f>"B20230101308"</f>
        <v>B20230101308</v>
      </c>
      <c r="C8024" s="2" t="str">
        <f>"男"</f>
        <v>男</v>
      </c>
      <c r="D8024" s="2" t="str">
        <f>"3"</f>
        <v>3</v>
      </c>
      <c r="E8024" s="2" t="str">
        <f>"土木工程学院"</f>
        <v>土木工程学院</v>
      </c>
    </row>
    <row r="8025" ht="13.5" hidden="1" spans="1:5">
      <c r="A8025" s="2" t="str">
        <f>"黄丹"</f>
        <v>黄丹</v>
      </c>
      <c r="B8025" s="2" t="str">
        <f>"B20200906207"</f>
        <v>B20200906207</v>
      </c>
      <c r="C8025" s="2" t="str">
        <f t="shared" si="1965"/>
        <v>女</v>
      </c>
      <c r="D8025" s="2" t="str">
        <f>"3"</f>
        <v>3</v>
      </c>
      <c r="E8025" s="2" t="str">
        <f>"经济与管理学院"</f>
        <v>经济与管理学院</v>
      </c>
    </row>
    <row r="8026" ht="13.5" hidden="1" spans="1:5">
      <c r="A8026" s="2" t="str">
        <f>"陈欢欢"</f>
        <v>陈欢欢</v>
      </c>
      <c r="B8026" s="2" t="str">
        <f>"B20220702421"</f>
        <v>B20220702421</v>
      </c>
      <c r="C8026" s="2" t="str">
        <f t="shared" si="1965"/>
        <v>女</v>
      </c>
      <c r="D8026" s="2" t="str">
        <f>"3"</f>
        <v>3</v>
      </c>
      <c r="E8026" s="2" t="str">
        <f>"马栏山新媒体学院"</f>
        <v>马栏山新媒体学院</v>
      </c>
    </row>
    <row r="8027" ht="13.5" hidden="1" spans="1:5">
      <c r="A8027" s="2" t="str">
        <f>"张莹莹"</f>
        <v>张莹莹</v>
      </c>
      <c r="B8027" s="2" t="str">
        <f>"B20220601327"</f>
        <v>B20220601327</v>
      </c>
      <c r="C8027" s="2" t="str">
        <f t="shared" si="1965"/>
        <v>女</v>
      </c>
      <c r="D8027" s="2" t="str">
        <f>"3"</f>
        <v>3</v>
      </c>
      <c r="E8027" s="2" t="str">
        <f>"法学院"</f>
        <v>法学院</v>
      </c>
    </row>
    <row r="8028" ht="13.5" hidden="1" spans="1:5">
      <c r="A8028" s="2" t="str">
        <f>"葛安夏"</f>
        <v>葛安夏</v>
      </c>
      <c r="B8028" s="2" t="str">
        <f>"B20220903115"</f>
        <v>B20220903115</v>
      </c>
      <c r="C8028" s="2" t="str">
        <f t="shared" si="1965"/>
        <v>女</v>
      </c>
      <c r="D8028" s="2" t="str">
        <f>"3"</f>
        <v>3</v>
      </c>
      <c r="E8028" s="2" t="str">
        <f>"经济与管理学院"</f>
        <v>经济与管理学院</v>
      </c>
    </row>
    <row r="8029" ht="13.5" hidden="1" spans="1:5">
      <c r="A8029" s="2" t="str">
        <f>"欧阳伊韬"</f>
        <v>欧阳伊韬</v>
      </c>
      <c r="B8029" s="2" t="str">
        <f>"B20220103231"</f>
        <v>B20220103231</v>
      </c>
      <c r="C8029" s="2" t="str">
        <f>"男"</f>
        <v>男</v>
      </c>
      <c r="D8029" s="2" t="str">
        <f>"3"</f>
        <v>3</v>
      </c>
      <c r="E8029" s="2" t="str">
        <f>"土木工程学院"</f>
        <v>土木工程学院</v>
      </c>
    </row>
    <row r="8030" ht="13.5" hidden="1" spans="1:5">
      <c r="A8030" s="2" t="str">
        <f>"郭婧婧"</f>
        <v>郭婧婧</v>
      </c>
      <c r="B8030" s="2" t="str">
        <f>"B20210902413"</f>
        <v>B20210902413</v>
      </c>
      <c r="C8030" s="2" t="str">
        <f t="shared" ref="C8030:C8033" si="1966">"女"</f>
        <v>女</v>
      </c>
      <c r="D8030" s="2" t="str">
        <f>"3"</f>
        <v>3</v>
      </c>
      <c r="E8030" s="2" t="str">
        <f>"经济与管理学院"</f>
        <v>经济与管理学院</v>
      </c>
    </row>
    <row r="8031" ht="13.5" hidden="1" spans="1:5">
      <c r="A8031" s="2" t="str">
        <f>"陈春笑"</f>
        <v>陈春笑</v>
      </c>
      <c r="B8031" s="2" t="str">
        <f>"B20231302423"</f>
        <v>B20231302423</v>
      </c>
      <c r="C8031" s="2" t="str">
        <f t="shared" si="1966"/>
        <v>女</v>
      </c>
      <c r="D8031" s="2" t="str">
        <f>"3"</f>
        <v>3</v>
      </c>
      <c r="E8031" s="2" t="str">
        <f>"材料与环境工程学院"</f>
        <v>材料与环境工程学院</v>
      </c>
    </row>
    <row r="8032" ht="13.5" hidden="1" spans="1:5">
      <c r="A8032" s="2" t="str">
        <f>"屈烨"</f>
        <v>屈烨</v>
      </c>
      <c r="B8032" s="2" t="str">
        <f>"B20210204210"</f>
        <v>B20210204210</v>
      </c>
      <c r="C8032" s="2" t="str">
        <f>"男"</f>
        <v>男</v>
      </c>
      <c r="D8032" s="2" t="str">
        <f>"3"</f>
        <v>3</v>
      </c>
      <c r="E8032" s="2" t="str">
        <f>"机电工程学院"</f>
        <v>机电工程学院</v>
      </c>
    </row>
    <row r="8033" ht="13.5" hidden="1" spans="1:5">
      <c r="A8033" s="2" t="str">
        <f>"王淋莎"</f>
        <v>王淋莎</v>
      </c>
      <c r="B8033" s="2" t="str">
        <f>"B20220801416"</f>
        <v>B20220801416</v>
      </c>
      <c r="C8033" s="2" t="str">
        <f t="shared" si="1966"/>
        <v>女</v>
      </c>
      <c r="D8033" s="2" t="str">
        <f>"3"</f>
        <v>3</v>
      </c>
      <c r="E8033" s="2" t="str">
        <f>"外国语学院"</f>
        <v>外国语学院</v>
      </c>
    </row>
    <row r="8034" ht="13.5" hidden="1" spans="1:5">
      <c r="A8034" s="2" t="str">
        <f>"张诺"</f>
        <v>张诺</v>
      </c>
      <c r="B8034" s="2" t="str">
        <f>"B20230403231"</f>
        <v>B20230403231</v>
      </c>
      <c r="C8034" s="2" t="str">
        <f>"男"</f>
        <v>男</v>
      </c>
      <c r="D8034" s="2" t="str">
        <f>"3"</f>
        <v>3</v>
      </c>
      <c r="E8034" s="2" t="str">
        <f>"电子信息与电气工程学院"</f>
        <v>电子信息与电气工程学院</v>
      </c>
    </row>
    <row r="8035" ht="13.5" hidden="1" spans="1:5">
      <c r="A8035" s="2" t="str">
        <f>"王振兴"</f>
        <v>王振兴</v>
      </c>
      <c r="B8035" s="2" t="str">
        <f>"B20230201105"</f>
        <v>B20230201105</v>
      </c>
      <c r="C8035" s="2" t="str">
        <f>"男"</f>
        <v>男</v>
      </c>
      <c r="D8035" s="2" t="str">
        <f>"3"</f>
        <v>3</v>
      </c>
      <c r="E8035" s="2" t="str">
        <f>"机电工程学院"</f>
        <v>机电工程学院</v>
      </c>
    </row>
    <row r="8036" ht="13.5" hidden="1" spans="1:5">
      <c r="A8036" s="2" t="str">
        <f>"陈钰文"</f>
        <v>陈钰文</v>
      </c>
      <c r="B8036" s="2" t="str">
        <f>"B20210503106"</f>
        <v>B20210503106</v>
      </c>
      <c r="C8036" s="2" t="str">
        <f>"男"</f>
        <v>男</v>
      </c>
      <c r="D8036" s="2" t="str">
        <f>"3"</f>
        <v>3</v>
      </c>
      <c r="E8036" s="2" t="str">
        <f>"材料与环境工程学院"</f>
        <v>材料与环境工程学院</v>
      </c>
    </row>
    <row r="8037" ht="13.5" hidden="1" spans="1:5">
      <c r="A8037" s="2" t="str">
        <f>"刘烨"</f>
        <v>刘烨</v>
      </c>
      <c r="B8037" s="2" t="str">
        <f>"B20220504132"</f>
        <v>B20220504132</v>
      </c>
      <c r="C8037" s="2" t="str">
        <f>"女"</f>
        <v>女</v>
      </c>
      <c r="D8037" s="2" t="str">
        <f>"3"</f>
        <v>3</v>
      </c>
      <c r="E8037" s="2" t="str">
        <f>"生物与化学工程学院"</f>
        <v>生物与化学工程学院</v>
      </c>
    </row>
    <row r="8038" ht="13.5" hidden="1" spans="1:5">
      <c r="A8038" s="2" t="str">
        <f>"刘志成"</f>
        <v>刘志成</v>
      </c>
      <c r="B8038" s="2" t="str">
        <f>"B20200204111"</f>
        <v>B20200204111</v>
      </c>
      <c r="C8038" s="2" t="str">
        <f>"男"</f>
        <v>男</v>
      </c>
      <c r="D8038" s="2" t="str">
        <f>"3"</f>
        <v>3</v>
      </c>
      <c r="E8038" s="2" t="str">
        <f>"机电工程学院"</f>
        <v>机电工程学院</v>
      </c>
    </row>
    <row r="8039" ht="13.5" hidden="1" spans="1:5">
      <c r="A8039" s="2" t="str">
        <f>"刘天意"</f>
        <v>刘天意</v>
      </c>
      <c r="B8039" s="2" t="str">
        <f>"B20230101518"</f>
        <v>B20230101518</v>
      </c>
      <c r="C8039" s="2" t="str">
        <f>"男"</f>
        <v>男</v>
      </c>
      <c r="D8039" s="2" t="str">
        <f>"3"</f>
        <v>3</v>
      </c>
      <c r="E8039" s="2" t="str">
        <f>"土木工程学院"</f>
        <v>土木工程学院</v>
      </c>
    </row>
    <row r="8040" ht="13.5" hidden="1" spans="1:5">
      <c r="A8040" s="2" t="str">
        <f>"涂俊宏"</f>
        <v>涂俊宏</v>
      </c>
      <c r="B8040" s="2" t="str">
        <f>"B20210101516"</f>
        <v>B20210101516</v>
      </c>
      <c r="C8040" s="2" t="str">
        <f>"男"</f>
        <v>男</v>
      </c>
      <c r="D8040" s="2" t="str">
        <f>"3"</f>
        <v>3</v>
      </c>
      <c r="E8040" s="2" t="str">
        <f>"土木工程学院"</f>
        <v>土木工程学院</v>
      </c>
    </row>
    <row r="8041" ht="13.5" hidden="1" spans="1:5">
      <c r="A8041" s="2" t="str">
        <f>"王佳成"</f>
        <v>王佳成</v>
      </c>
      <c r="B8041" s="2" t="str">
        <f>"B20230903201"</f>
        <v>B20230903201</v>
      </c>
      <c r="C8041" s="2" t="str">
        <f>"男"</f>
        <v>男</v>
      </c>
      <c r="D8041" s="2" t="str">
        <f>"3"</f>
        <v>3</v>
      </c>
      <c r="E8041" s="2" t="str">
        <f>"经济与管理学院"</f>
        <v>经济与管理学院</v>
      </c>
    </row>
    <row r="8042" ht="13.5" hidden="1" spans="1:5">
      <c r="A8042" s="2" t="str">
        <f>"刘亚婷"</f>
        <v>刘亚婷</v>
      </c>
      <c r="B8042" s="2" t="str">
        <f>"B20231401213"</f>
        <v>B20231401213</v>
      </c>
      <c r="C8042" s="2" t="str">
        <f t="shared" ref="C8042:C8045" si="1967">"女"</f>
        <v>女</v>
      </c>
      <c r="D8042" s="2" t="str">
        <f>"3"</f>
        <v>3</v>
      </c>
      <c r="E8042" s="2" t="str">
        <f>"马克思主义学院"</f>
        <v>马克思主义学院</v>
      </c>
    </row>
    <row r="8043" ht="13.5" hidden="1" spans="1:5">
      <c r="A8043" s="2" t="str">
        <f>"何飞珠"</f>
        <v>何飞珠</v>
      </c>
      <c r="B8043" s="2" t="str">
        <f>"B20210503231"</f>
        <v>B20210503231</v>
      </c>
      <c r="C8043" s="2" t="str">
        <f t="shared" si="1967"/>
        <v>女</v>
      </c>
      <c r="D8043" s="2" t="str">
        <f>"3"</f>
        <v>3</v>
      </c>
      <c r="E8043" s="2" t="str">
        <f>"材料与环境工程学院"</f>
        <v>材料与环境工程学院</v>
      </c>
    </row>
    <row r="8044" ht="13.5" hidden="1" spans="1:5">
      <c r="A8044" s="2" t="str">
        <f>"范卓英"</f>
        <v>范卓英</v>
      </c>
      <c r="B8044" s="2" t="str">
        <f>"B20210701322"</f>
        <v>B20210701322</v>
      </c>
      <c r="C8044" s="2" t="str">
        <f t="shared" si="1967"/>
        <v>女</v>
      </c>
      <c r="D8044" s="2" t="str">
        <f>"3"</f>
        <v>3</v>
      </c>
      <c r="E8044" s="2" t="str">
        <f t="shared" ref="E8044:E8047" si="1968">"马栏山新媒体学院"</f>
        <v>马栏山新媒体学院</v>
      </c>
    </row>
    <row r="8045" ht="13.5" hidden="1" spans="1:5">
      <c r="A8045" s="2" t="str">
        <f>"何彦莹"</f>
        <v>何彦莹</v>
      </c>
      <c r="B8045" s="2" t="str">
        <f>"B20230704215"</f>
        <v>B20230704215</v>
      </c>
      <c r="C8045" s="2" t="str">
        <f t="shared" si="1967"/>
        <v>女</v>
      </c>
      <c r="D8045" s="2" t="str">
        <f>"3"</f>
        <v>3</v>
      </c>
      <c r="E8045" s="2" t="str">
        <f t="shared" si="1968"/>
        <v>马栏山新媒体学院</v>
      </c>
    </row>
    <row r="8046" ht="13.5" hidden="1" spans="1:5">
      <c r="A8046" s="2" t="str">
        <f>"邹文吉"</f>
        <v>邹文吉</v>
      </c>
      <c r="B8046" s="2" t="str">
        <f>"B20210501115"</f>
        <v>B20210501115</v>
      </c>
      <c r="C8046" s="2" t="str">
        <f t="shared" ref="C8046:C8049" si="1969">"男"</f>
        <v>男</v>
      </c>
      <c r="D8046" s="2" t="str">
        <f>"3"</f>
        <v>3</v>
      </c>
      <c r="E8046" s="2" t="str">
        <f>"生物与化学工程学院"</f>
        <v>生物与化学工程学院</v>
      </c>
    </row>
    <row r="8047" ht="13.5" hidden="1" spans="1:5">
      <c r="A8047" s="2" t="str">
        <f>"熊斯薇"</f>
        <v>熊斯薇</v>
      </c>
      <c r="B8047" s="2" t="str">
        <f>"B20210705105"</f>
        <v>B20210705105</v>
      </c>
      <c r="C8047" s="2" t="str">
        <f>"女"</f>
        <v>女</v>
      </c>
      <c r="D8047" s="2" t="str">
        <f>"3"</f>
        <v>3</v>
      </c>
      <c r="E8047" s="2" t="str">
        <f t="shared" si="1968"/>
        <v>马栏山新媒体学院</v>
      </c>
    </row>
    <row r="8048" ht="13.5" hidden="1" spans="1:5">
      <c r="A8048" s="2" t="str">
        <f>"袁凌志"</f>
        <v>袁凌志</v>
      </c>
      <c r="B8048" s="2" t="str">
        <f>"B20230402119"</f>
        <v>B20230402119</v>
      </c>
      <c r="C8048" s="2" t="str">
        <f t="shared" si="1969"/>
        <v>男</v>
      </c>
      <c r="D8048" s="2" t="str">
        <f>"3"</f>
        <v>3</v>
      </c>
      <c r="E8048" s="2" t="str">
        <f>"电子信息与电气工程学院"</f>
        <v>电子信息与电气工程学院</v>
      </c>
    </row>
    <row r="8049" ht="13.5" hidden="1" spans="1:5">
      <c r="A8049" s="2" t="str">
        <f>"杨帅"</f>
        <v>杨帅</v>
      </c>
      <c r="B8049" s="2" t="str">
        <f>"B20230402117"</f>
        <v>B20230402117</v>
      </c>
      <c r="C8049" s="2" t="str">
        <f t="shared" si="1969"/>
        <v>男</v>
      </c>
      <c r="D8049" s="2" t="str">
        <f>"3"</f>
        <v>3</v>
      </c>
      <c r="E8049" s="2" t="str">
        <f>"电子信息与电气工程学院"</f>
        <v>电子信息与电气工程学院</v>
      </c>
    </row>
    <row r="8050" ht="13.5" hidden="1" spans="1:5">
      <c r="A8050" s="2" t="str">
        <f>"李冰"</f>
        <v>李冰</v>
      </c>
      <c r="B8050" s="2" t="str">
        <f>"B20231002317"</f>
        <v>B20231002317</v>
      </c>
      <c r="C8050" s="2" t="str">
        <f>"女"</f>
        <v>女</v>
      </c>
      <c r="D8050" s="2" t="str">
        <f>"3"</f>
        <v>3</v>
      </c>
      <c r="E8050" s="2" t="str">
        <f>"艺术设计学院"</f>
        <v>艺术设计学院</v>
      </c>
    </row>
    <row r="8051" ht="13.5" hidden="1" spans="1:5">
      <c r="A8051" s="2" t="str">
        <f>"李珊"</f>
        <v>李珊</v>
      </c>
      <c r="B8051" s="2" t="str">
        <f>"B20210904124"</f>
        <v>B20210904124</v>
      </c>
      <c r="C8051" s="2" t="str">
        <f>"女"</f>
        <v>女</v>
      </c>
      <c r="D8051" s="2" t="str">
        <f>"3"</f>
        <v>3</v>
      </c>
      <c r="E8051" s="2" t="str">
        <f>"经济与管理学院"</f>
        <v>经济与管理学院</v>
      </c>
    </row>
    <row r="8052" ht="13.5" hidden="1" spans="1:5">
      <c r="A8052" s="2" t="str">
        <f>"李霖"</f>
        <v>李霖</v>
      </c>
      <c r="B8052" s="2" t="str">
        <f>"B20220704102"</f>
        <v>B20220704102</v>
      </c>
      <c r="C8052" s="2" t="str">
        <f>"女"</f>
        <v>女</v>
      </c>
      <c r="D8052" s="2" t="str">
        <f>"3"</f>
        <v>3</v>
      </c>
      <c r="E8052" s="2" t="str">
        <f>"马栏山新媒体学院"</f>
        <v>马栏山新媒体学院</v>
      </c>
    </row>
    <row r="8053" ht="13.5" hidden="1" spans="1:5">
      <c r="A8053" s="2" t="str">
        <f>"张松伟"</f>
        <v>张松伟</v>
      </c>
      <c r="B8053" s="2" t="str">
        <f>"B20210201132"</f>
        <v>B20210201132</v>
      </c>
      <c r="C8053" s="2" t="str">
        <f>"男"</f>
        <v>男</v>
      </c>
      <c r="D8053" s="2" t="str">
        <f>"3"</f>
        <v>3</v>
      </c>
      <c r="E8053" s="2" t="str">
        <f>"机电工程学院"</f>
        <v>机电工程学院</v>
      </c>
    </row>
    <row r="8054" ht="13.5" hidden="1" spans="1:5">
      <c r="A8054" s="2" t="str">
        <f>"吴琛"</f>
        <v>吴琛</v>
      </c>
      <c r="B8054" s="2" t="str">
        <f>"B20200801403"</f>
        <v>B20200801403</v>
      </c>
      <c r="C8054" s="2" t="str">
        <f>"男"</f>
        <v>男</v>
      </c>
      <c r="D8054" s="2" t="str">
        <f>"3"</f>
        <v>3</v>
      </c>
      <c r="E8054" s="2" t="str">
        <f>"外国语学院"</f>
        <v>外国语学院</v>
      </c>
    </row>
    <row r="8055" ht="13.5" hidden="1" spans="1:5">
      <c r="A8055" s="2" t="str">
        <f>"何翔"</f>
        <v>何翔</v>
      </c>
      <c r="B8055" s="2" t="str">
        <f>"B20230201116"</f>
        <v>B20230201116</v>
      </c>
      <c r="C8055" s="2" t="str">
        <f>"男"</f>
        <v>男</v>
      </c>
      <c r="D8055" s="2" t="str">
        <f t="shared" ref="D8055:D8061" si="1970">"3"</f>
        <v>3</v>
      </c>
      <c r="E8055" s="2" t="str">
        <f>"机电工程学院"</f>
        <v>机电工程学院</v>
      </c>
    </row>
    <row r="8056" ht="13.5" hidden="1" spans="1:5">
      <c r="A8056" s="2" t="str">
        <f>"肖富强"</f>
        <v>肖富强</v>
      </c>
      <c r="B8056" s="2" t="str">
        <f>"B20210101521"</f>
        <v>B20210101521</v>
      </c>
      <c r="C8056" s="2" t="str">
        <f>"男"</f>
        <v>男</v>
      </c>
      <c r="D8056" s="2" t="str">
        <f t="shared" si="1970"/>
        <v>3</v>
      </c>
      <c r="E8056" s="2" t="str">
        <f>"土木工程学院"</f>
        <v>土木工程学院</v>
      </c>
    </row>
    <row r="8057" ht="13.5" hidden="1" spans="1:5">
      <c r="A8057" s="2" t="str">
        <f>"吴婷"</f>
        <v>吴婷</v>
      </c>
      <c r="B8057" s="2" t="str">
        <f>"B20210504112"</f>
        <v>B20210504112</v>
      </c>
      <c r="C8057" s="2" t="str">
        <f t="shared" ref="C8057:C8059" si="1971">"女"</f>
        <v>女</v>
      </c>
      <c r="D8057" s="2" t="str">
        <f t="shared" si="1970"/>
        <v>3</v>
      </c>
      <c r="E8057" s="2" t="str">
        <f>"生物与化学工程学院"</f>
        <v>生物与化学工程学院</v>
      </c>
    </row>
    <row r="8058" ht="13.5" hidden="1" spans="1:5">
      <c r="A8058" s="2" t="str">
        <f>"蓝乐乐"</f>
        <v>蓝乐乐</v>
      </c>
      <c r="B8058" s="2" t="str">
        <f>"B20220803229"</f>
        <v>B20220803229</v>
      </c>
      <c r="C8058" s="2" t="str">
        <f t="shared" si="1971"/>
        <v>女</v>
      </c>
      <c r="D8058" s="2" t="str">
        <f t="shared" si="1970"/>
        <v>3</v>
      </c>
      <c r="E8058" s="2" t="str">
        <f>"外国语学院"</f>
        <v>外国语学院</v>
      </c>
    </row>
    <row r="8059" ht="13.5" hidden="1" spans="1:5">
      <c r="A8059" s="2" t="str">
        <f>"黄思琪"</f>
        <v>黄思琪</v>
      </c>
      <c r="B8059" s="2" t="str">
        <f>"B20230906134"</f>
        <v>B20230906134</v>
      </c>
      <c r="C8059" s="2" t="str">
        <f t="shared" si="1971"/>
        <v>女</v>
      </c>
      <c r="D8059" s="2" t="str">
        <f t="shared" si="1970"/>
        <v>3</v>
      </c>
      <c r="E8059" s="2" t="str">
        <f>"经济与管理学院"</f>
        <v>经济与管理学院</v>
      </c>
    </row>
    <row r="8060" ht="13.5" hidden="1" spans="1:5">
      <c r="A8060" s="2" t="str">
        <f>"李豪"</f>
        <v>李豪</v>
      </c>
      <c r="B8060" s="2" t="str">
        <f>"B20220405129"</f>
        <v>B20220405129</v>
      </c>
      <c r="C8060" s="2" t="str">
        <f>"男"</f>
        <v>男</v>
      </c>
      <c r="D8060" s="2" t="str">
        <f t="shared" si="1970"/>
        <v>3</v>
      </c>
      <c r="E8060" s="2" t="str">
        <f>"电子信息与电气工程学院"</f>
        <v>电子信息与电气工程学院</v>
      </c>
    </row>
    <row r="8061" ht="13.5" hidden="1" spans="1:5">
      <c r="A8061" s="2" t="str">
        <f>"王宇"</f>
        <v>王宇</v>
      </c>
      <c r="B8061" s="2" t="str">
        <f>"B20230401218"</f>
        <v>B20230401218</v>
      </c>
      <c r="C8061" s="2" t="str">
        <f>"男"</f>
        <v>男</v>
      </c>
      <c r="D8061" s="2" t="str">
        <f t="shared" si="1970"/>
        <v>3</v>
      </c>
      <c r="E8061" s="2" t="str">
        <f>"电子信息与电气工程学院"</f>
        <v>电子信息与电气工程学院</v>
      </c>
    </row>
    <row r="8062" ht="13.5" hidden="1" spans="1:5">
      <c r="A8062" s="2" t="str">
        <f>"戴凯丰"</f>
        <v>戴凯丰</v>
      </c>
      <c r="B8062" s="2" t="str">
        <f>"B20230204214"</f>
        <v>B20230204214</v>
      </c>
      <c r="C8062" s="2" t="str">
        <f>"男"</f>
        <v>男</v>
      </c>
      <c r="D8062" s="2" t="str">
        <f>"3"</f>
        <v>3</v>
      </c>
      <c r="E8062" s="2" t="str">
        <f>"机电工程学院"</f>
        <v>机电工程学院</v>
      </c>
    </row>
    <row r="8063" ht="13.5" hidden="1" spans="1:5">
      <c r="A8063" s="2" t="str">
        <f>"李冰"</f>
        <v>李冰</v>
      </c>
      <c r="B8063" s="2" t="str">
        <f>"B20220601325"</f>
        <v>B20220601325</v>
      </c>
      <c r="C8063" s="2" t="str">
        <f t="shared" ref="C8063:C8072" si="1972">"女"</f>
        <v>女</v>
      </c>
      <c r="D8063" s="2" t="str">
        <f>"3"</f>
        <v>3</v>
      </c>
      <c r="E8063" s="2" t="str">
        <f>"法学院"</f>
        <v>法学院</v>
      </c>
    </row>
    <row r="8064" ht="13.5" hidden="1" spans="1:5">
      <c r="A8064" s="2" t="str">
        <f>"陈熙霖"</f>
        <v>陈熙霖</v>
      </c>
      <c r="B8064" s="2" t="str">
        <f>"B20230902127"</f>
        <v>B20230902127</v>
      </c>
      <c r="C8064" s="2" t="str">
        <f t="shared" si="1972"/>
        <v>女</v>
      </c>
      <c r="D8064" s="2" t="str">
        <f>"3"</f>
        <v>3</v>
      </c>
      <c r="E8064" s="2" t="str">
        <f>"经济与管理学院"</f>
        <v>经济与管理学院</v>
      </c>
    </row>
    <row r="8065" ht="13.5" hidden="1" spans="1:5">
      <c r="A8065" s="2" t="str">
        <f>"闵依菲"</f>
        <v>闵依菲</v>
      </c>
      <c r="B8065" s="2" t="str">
        <f>"B20210801216"</f>
        <v>B20210801216</v>
      </c>
      <c r="C8065" s="2" t="str">
        <f t="shared" si="1972"/>
        <v>女</v>
      </c>
      <c r="D8065" s="2" t="str">
        <f>"3"</f>
        <v>3</v>
      </c>
      <c r="E8065" s="2" t="str">
        <f>"外国语学院"</f>
        <v>外国语学院</v>
      </c>
    </row>
    <row r="8066" ht="13.5" hidden="1" spans="1:5">
      <c r="A8066" s="2" t="str">
        <f>"周思睿"</f>
        <v>周思睿</v>
      </c>
      <c r="B8066" s="2" t="str">
        <f>"B20231401223"</f>
        <v>B20231401223</v>
      </c>
      <c r="C8066" s="2" t="str">
        <f t="shared" si="1972"/>
        <v>女</v>
      </c>
      <c r="D8066" s="2" t="str">
        <f>"3"</f>
        <v>3</v>
      </c>
      <c r="E8066" s="2" t="str">
        <f>"马克思主义学院"</f>
        <v>马克思主义学院</v>
      </c>
    </row>
    <row r="8067" ht="13.5" hidden="1" spans="1:5">
      <c r="A8067" s="2" t="str">
        <f>"颜佳丽"</f>
        <v>颜佳丽</v>
      </c>
      <c r="B8067" s="2" t="str">
        <f>"B20220601520"</f>
        <v>B20220601520</v>
      </c>
      <c r="C8067" s="2" t="str">
        <f t="shared" si="1972"/>
        <v>女</v>
      </c>
      <c r="D8067" s="2" t="str">
        <f>"3"</f>
        <v>3</v>
      </c>
      <c r="E8067" s="2" t="str">
        <f>"法学院"</f>
        <v>法学院</v>
      </c>
    </row>
    <row r="8068" ht="13.5" hidden="1" spans="1:5">
      <c r="A8068" s="2" t="str">
        <f>"周金平"</f>
        <v>周金平</v>
      </c>
      <c r="B8068" s="2" t="str">
        <f>"B20200101519"</f>
        <v>B20200101519</v>
      </c>
      <c r="C8068" s="2" t="str">
        <f t="shared" si="1972"/>
        <v>女</v>
      </c>
      <c r="D8068" s="2" t="str">
        <f>"3"</f>
        <v>3</v>
      </c>
      <c r="E8068" s="2" t="str">
        <f>"土木工程学院"</f>
        <v>土木工程学院</v>
      </c>
    </row>
    <row r="8069" ht="13.5" hidden="1" spans="1:5">
      <c r="A8069" s="2" t="str">
        <f>"唐莹洁"</f>
        <v>唐莹洁</v>
      </c>
      <c r="B8069" s="2" t="str">
        <f>"B20210801512"</f>
        <v>B20210801512</v>
      </c>
      <c r="C8069" s="2" t="str">
        <f t="shared" si="1972"/>
        <v>女</v>
      </c>
      <c r="D8069" s="2" t="str">
        <f>"3"</f>
        <v>3</v>
      </c>
      <c r="E8069" s="2" t="str">
        <f>"外国语学院"</f>
        <v>外国语学院</v>
      </c>
    </row>
    <row r="8070" ht="13.5" hidden="1" spans="1:5">
      <c r="A8070" s="2" t="str">
        <f>"肖歆玉"</f>
        <v>肖歆玉</v>
      </c>
      <c r="B8070" s="2" t="str">
        <f>"B20220101226"</f>
        <v>B20220101226</v>
      </c>
      <c r="C8070" s="2" t="str">
        <f t="shared" si="1972"/>
        <v>女</v>
      </c>
      <c r="D8070" s="2" t="str">
        <f>"3"</f>
        <v>3</v>
      </c>
      <c r="E8070" s="2" t="str">
        <f>"土木工程学院"</f>
        <v>土木工程学院</v>
      </c>
    </row>
    <row r="8071" ht="13.5" hidden="1" spans="1:5">
      <c r="A8071" s="2" t="str">
        <f>"刘慧群"</f>
        <v>刘慧群</v>
      </c>
      <c r="B8071" s="2" t="str">
        <f>"B20200503133"</f>
        <v>B20200503133</v>
      </c>
      <c r="C8071" s="2" t="str">
        <f t="shared" si="1972"/>
        <v>女</v>
      </c>
      <c r="D8071" s="2" t="str">
        <f>"3"</f>
        <v>3</v>
      </c>
      <c r="E8071" s="2" t="str">
        <f>"生物与环境工程学院"</f>
        <v>生物与环境工程学院</v>
      </c>
    </row>
    <row r="8072" ht="13.5" hidden="1" spans="1:5">
      <c r="A8072" s="2" t="str">
        <f>"曾维英"</f>
        <v>曾维英</v>
      </c>
      <c r="B8072" s="2" t="str">
        <f>"B20231004204"</f>
        <v>B20231004204</v>
      </c>
      <c r="C8072" s="2" t="str">
        <f t="shared" si="1972"/>
        <v>女</v>
      </c>
      <c r="D8072" s="2" t="str">
        <f>"3"</f>
        <v>3</v>
      </c>
      <c r="E8072" s="2" t="str">
        <f>"艺术设计学院"</f>
        <v>艺术设计学院</v>
      </c>
    </row>
    <row r="8073" ht="13.5" hidden="1" spans="1:5">
      <c r="A8073" s="2" t="str">
        <f>"刘港涛"</f>
        <v>刘港涛</v>
      </c>
      <c r="B8073" s="2" t="str">
        <f>"B20210403206"</f>
        <v>B20210403206</v>
      </c>
      <c r="C8073" s="2" t="str">
        <f t="shared" ref="C8073:C8075" si="1973">"男"</f>
        <v>男</v>
      </c>
      <c r="D8073" s="2" t="str">
        <f>"3"</f>
        <v>3</v>
      </c>
      <c r="E8073" s="2" t="str">
        <f>"电子信息与电气工程学院"</f>
        <v>电子信息与电气工程学院</v>
      </c>
    </row>
    <row r="8074" ht="13.5" hidden="1" spans="1:5">
      <c r="A8074" s="2" t="str">
        <f>"王康"</f>
        <v>王康</v>
      </c>
      <c r="B8074" s="2" t="str">
        <f>"B20220402121"</f>
        <v>B20220402121</v>
      </c>
      <c r="C8074" s="2" t="str">
        <f t="shared" si="1973"/>
        <v>男</v>
      </c>
      <c r="D8074" s="2" t="str">
        <f>"3"</f>
        <v>3</v>
      </c>
      <c r="E8074" s="2" t="str">
        <f>"电子信息与电气工程学院"</f>
        <v>电子信息与电气工程学院</v>
      </c>
    </row>
    <row r="8075" ht="13.5" hidden="1" spans="1:5">
      <c r="A8075" s="2" t="str">
        <f>"李俊杰"</f>
        <v>李俊杰</v>
      </c>
      <c r="B8075" s="2" t="str">
        <f>"B20200101525"</f>
        <v>B20200101525</v>
      </c>
      <c r="C8075" s="2" t="str">
        <f t="shared" si="1973"/>
        <v>男</v>
      </c>
      <c r="D8075" s="2" t="str">
        <f>"3"</f>
        <v>3</v>
      </c>
      <c r="E8075" s="2" t="str">
        <f>"土木工程学院"</f>
        <v>土木工程学院</v>
      </c>
    </row>
    <row r="8076" ht="13.5" hidden="1" spans="1:5">
      <c r="A8076" s="2" t="str">
        <f>"罗优"</f>
        <v>罗优</v>
      </c>
      <c r="B8076" s="2" t="str">
        <f>"B20230902105"</f>
        <v>B20230902105</v>
      </c>
      <c r="C8076" s="2" t="str">
        <f t="shared" ref="C8076:C8080" si="1974">"女"</f>
        <v>女</v>
      </c>
      <c r="D8076" s="2" t="str">
        <f>"3"</f>
        <v>3</v>
      </c>
      <c r="E8076" s="2" t="str">
        <f>"经济与管理学院"</f>
        <v>经济与管理学院</v>
      </c>
    </row>
    <row r="8077" ht="13.5" hidden="1" spans="1:5">
      <c r="A8077" s="2" t="str">
        <f>"单思凤"</f>
        <v>单思凤</v>
      </c>
      <c r="B8077" s="2" t="str">
        <f>"B20220802111"</f>
        <v>B20220802111</v>
      </c>
      <c r="C8077" s="2" t="str">
        <f t="shared" si="1974"/>
        <v>女</v>
      </c>
      <c r="D8077" s="2" t="str">
        <f>"3"</f>
        <v>3</v>
      </c>
      <c r="E8077" s="2" t="str">
        <f>"外国语学院"</f>
        <v>外国语学院</v>
      </c>
    </row>
    <row r="8078" ht="13.5" hidden="1" spans="1:5">
      <c r="A8078" s="2" t="str">
        <f>"赵旭睿"</f>
        <v>赵旭睿</v>
      </c>
      <c r="B8078" s="2" t="str">
        <f>"B20230202120"</f>
        <v>B20230202120</v>
      </c>
      <c r="C8078" s="2" t="str">
        <f>"男"</f>
        <v>男</v>
      </c>
      <c r="D8078" s="2" t="str">
        <f>"3"</f>
        <v>3</v>
      </c>
      <c r="E8078" s="2" t="str">
        <f>"机电工程学院"</f>
        <v>机电工程学院</v>
      </c>
    </row>
    <row r="8079" ht="13.5" hidden="1" spans="1:5">
      <c r="A8079" s="2" t="str">
        <f>"王敏"</f>
        <v>王敏</v>
      </c>
      <c r="B8079" s="2" t="str">
        <f>"B20200501105"</f>
        <v>B20200501105</v>
      </c>
      <c r="C8079" s="2" t="str">
        <f t="shared" si="1974"/>
        <v>女</v>
      </c>
      <c r="D8079" s="2" t="str">
        <f>"3"</f>
        <v>3</v>
      </c>
      <c r="E8079" s="2" t="str">
        <f>"生物与环境工程学院"</f>
        <v>生物与环境工程学院</v>
      </c>
    </row>
    <row r="8080" ht="13.5" hidden="1" spans="1:5">
      <c r="A8080" s="2" t="str">
        <f>"马锡萌"</f>
        <v>马锡萌</v>
      </c>
      <c r="B8080" s="2" t="str">
        <f>"B20230104104"</f>
        <v>B20230104104</v>
      </c>
      <c r="C8080" s="2" t="str">
        <f t="shared" si="1974"/>
        <v>女</v>
      </c>
      <c r="D8080" s="2" t="str">
        <f>"3"</f>
        <v>3</v>
      </c>
      <c r="E8080" s="2" t="str">
        <f>"土木工程学院"</f>
        <v>土木工程学院</v>
      </c>
    </row>
    <row r="8081" ht="13.5" hidden="1" spans="1:5">
      <c r="A8081" s="2" t="str">
        <f>"阳杰"</f>
        <v>阳杰</v>
      </c>
      <c r="B8081" s="2" t="str">
        <f>"B20230401128"</f>
        <v>B20230401128</v>
      </c>
      <c r="C8081" s="2" t="str">
        <f>"男"</f>
        <v>男</v>
      </c>
      <c r="D8081" s="2" t="str">
        <f>"3"</f>
        <v>3</v>
      </c>
      <c r="E8081" s="2" t="str">
        <f>"电子信息与电气工程学院"</f>
        <v>电子信息与电气工程学院</v>
      </c>
    </row>
    <row r="8082" ht="13.5" hidden="1" spans="1:5">
      <c r="A8082" s="2" t="str">
        <f>"蒋娟娟"</f>
        <v>蒋娟娟</v>
      </c>
      <c r="B8082" s="2" t="str">
        <f>"B20210901314"</f>
        <v>B20210901314</v>
      </c>
      <c r="C8082" s="2" t="str">
        <f t="shared" ref="C8082:C8088" si="1975">"女"</f>
        <v>女</v>
      </c>
      <c r="D8082" s="2" t="str">
        <f>"3"</f>
        <v>3</v>
      </c>
      <c r="E8082" s="2" t="str">
        <f>"经济与管理学院"</f>
        <v>经济与管理学院</v>
      </c>
    </row>
    <row r="8083" ht="13.5" hidden="1" spans="1:5">
      <c r="A8083" s="2" t="str">
        <f>"何顺"</f>
        <v>何顺</v>
      </c>
      <c r="B8083" s="2" t="str">
        <f>"B20200202415"</f>
        <v>B20200202415</v>
      </c>
      <c r="C8083" s="2" t="str">
        <f>"男"</f>
        <v>男</v>
      </c>
      <c r="D8083" s="2" t="str">
        <f>"3"</f>
        <v>3</v>
      </c>
      <c r="E8083" s="2" t="str">
        <f>"机电工程学院"</f>
        <v>机电工程学院</v>
      </c>
    </row>
    <row r="8084" ht="13.5" hidden="1" spans="1:5">
      <c r="A8084" s="2" t="str">
        <f>"阳玲"</f>
        <v>阳玲</v>
      </c>
      <c r="B8084" s="2" t="str">
        <f>"B20210802110"</f>
        <v>B20210802110</v>
      </c>
      <c r="C8084" s="2" t="str">
        <f t="shared" si="1975"/>
        <v>女</v>
      </c>
      <c r="D8084" s="2" t="str">
        <f>"3"</f>
        <v>3</v>
      </c>
      <c r="E8084" s="2" t="str">
        <f>"外国语学院"</f>
        <v>外国语学院</v>
      </c>
    </row>
    <row r="8085" ht="13.5" hidden="1" spans="1:5">
      <c r="A8085" s="2" t="str">
        <f>"刘凯"</f>
        <v>刘凯</v>
      </c>
      <c r="B8085" s="2" t="str">
        <f>"B20230401430"</f>
        <v>B20230401430</v>
      </c>
      <c r="C8085" s="2" t="str">
        <f t="shared" ref="C8085:C8090" si="1976">"男"</f>
        <v>男</v>
      </c>
      <c r="D8085" s="2" t="str">
        <f>"3"</f>
        <v>3</v>
      </c>
      <c r="E8085" s="2" t="str">
        <f>"电子信息与电气工程学院"</f>
        <v>电子信息与电气工程学院</v>
      </c>
    </row>
    <row r="8086" ht="13.5" hidden="1" spans="1:5">
      <c r="A8086" s="2" t="str">
        <f>"沈梦芸"</f>
        <v>沈梦芸</v>
      </c>
      <c r="B8086" s="2" t="str">
        <f>"B20200902127"</f>
        <v>B20200902127</v>
      </c>
      <c r="C8086" s="2" t="str">
        <f t="shared" si="1975"/>
        <v>女</v>
      </c>
      <c r="D8086" s="2" t="str">
        <f>"3"</f>
        <v>3</v>
      </c>
      <c r="E8086" s="2" t="str">
        <f>"经济与管理学院"</f>
        <v>经济与管理学院</v>
      </c>
    </row>
    <row r="8087" ht="13.5" hidden="1" spans="1:5">
      <c r="A8087" s="2" t="str">
        <f>"谭好"</f>
        <v>谭好</v>
      </c>
      <c r="B8087" s="2" t="str">
        <f>"B20231401217"</f>
        <v>B20231401217</v>
      </c>
      <c r="C8087" s="2" t="str">
        <f t="shared" si="1975"/>
        <v>女</v>
      </c>
      <c r="D8087" s="2" t="str">
        <f>"3"</f>
        <v>3</v>
      </c>
      <c r="E8087" s="2" t="str">
        <f>"马克思主义学院"</f>
        <v>马克思主义学院</v>
      </c>
    </row>
    <row r="8088" ht="13.5" hidden="1" spans="1:5">
      <c r="A8088" s="2" t="str">
        <f>"李雯"</f>
        <v>李雯</v>
      </c>
      <c r="B8088" s="2" t="str">
        <f>"B20230901223"</f>
        <v>B20230901223</v>
      </c>
      <c r="C8088" s="2" t="str">
        <f t="shared" si="1975"/>
        <v>女</v>
      </c>
      <c r="D8088" s="2" t="str">
        <f>"3"</f>
        <v>3</v>
      </c>
      <c r="E8088" s="2" t="str">
        <f>"经济与管理学院"</f>
        <v>经济与管理学院</v>
      </c>
    </row>
    <row r="8089" ht="13.5" hidden="1" spans="1:5">
      <c r="A8089" s="2" t="str">
        <f>"王绘淇"</f>
        <v>王绘淇</v>
      </c>
      <c r="B8089" s="2" t="str">
        <f>"B20220501105"</f>
        <v>B20220501105</v>
      </c>
      <c r="C8089" s="2" t="str">
        <f t="shared" si="1976"/>
        <v>男</v>
      </c>
      <c r="D8089" s="2" t="str">
        <f>"3"</f>
        <v>3</v>
      </c>
      <c r="E8089" s="2" t="str">
        <f>"生物与化学工程学院"</f>
        <v>生物与化学工程学院</v>
      </c>
    </row>
    <row r="8090" ht="13.5" hidden="1" spans="1:5">
      <c r="A8090" s="2" t="str">
        <f>"王文斌"</f>
        <v>王文斌</v>
      </c>
      <c r="B8090" s="2" t="str">
        <f>"B20220101108"</f>
        <v>B20220101108</v>
      </c>
      <c r="C8090" s="2" t="str">
        <f t="shared" si="1976"/>
        <v>男</v>
      </c>
      <c r="D8090" s="2" t="str">
        <f>"3"</f>
        <v>3</v>
      </c>
      <c r="E8090" s="2" t="str">
        <f>"土木工程学院"</f>
        <v>土木工程学院</v>
      </c>
    </row>
    <row r="8091" ht="13.5" hidden="1" spans="1:5">
      <c r="A8091" s="2" t="str">
        <f>"颜如梅"</f>
        <v>颜如梅</v>
      </c>
      <c r="B8091" s="2" t="str">
        <f>"B20220601213"</f>
        <v>B20220601213</v>
      </c>
      <c r="C8091" s="2" t="str">
        <f t="shared" ref="C8091:C8094" si="1977">"女"</f>
        <v>女</v>
      </c>
      <c r="D8091" s="2" t="str">
        <f>"3"</f>
        <v>3</v>
      </c>
      <c r="E8091" s="2" t="str">
        <f>"法学院"</f>
        <v>法学院</v>
      </c>
    </row>
    <row r="8092" ht="13.5" hidden="1" spans="1:5">
      <c r="A8092" s="2" t="str">
        <f>"夏锦明"</f>
        <v>夏锦明</v>
      </c>
      <c r="B8092" s="2" t="str">
        <f>"B20230101617"</f>
        <v>B20230101617</v>
      </c>
      <c r="C8092" s="2" t="str">
        <f>"男"</f>
        <v>男</v>
      </c>
      <c r="D8092" s="2" t="str">
        <f>"3"</f>
        <v>3</v>
      </c>
      <c r="E8092" s="2" t="str">
        <f>"土木工程学院"</f>
        <v>土木工程学院</v>
      </c>
    </row>
    <row r="8093" ht="13.5" hidden="1" spans="1:5">
      <c r="A8093" s="2" t="str">
        <f>"刘雨琼"</f>
        <v>刘雨琼</v>
      </c>
      <c r="B8093" s="2" t="str">
        <f>"B20230701319"</f>
        <v>B20230701319</v>
      </c>
      <c r="C8093" s="2" t="str">
        <f t="shared" si="1977"/>
        <v>女</v>
      </c>
      <c r="D8093" s="2" t="str">
        <f>"3"</f>
        <v>3</v>
      </c>
      <c r="E8093" s="2" t="str">
        <f>"马栏山新媒体学院"</f>
        <v>马栏山新媒体学院</v>
      </c>
    </row>
    <row r="8094" ht="13.5" hidden="1" spans="1:5">
      <c r="A8094" s="2" t="str">
        <f>"陈思怡"</f>
        <v>陈思怡</v>
      </c>
      <c r="B8094" s="2" t="str">
        <f>"B20200903126"</f>
        <v>B20200903126</v>
      </c>
      <c r="C8094" s="2" t="str">
        <f t="shared" si="1977"/>
        <v>女</v>
      </c>
      <c r="D8094" s="2" t="str">
        <f>"3"</f>
        <v>3</v>
      </c>
      <c r="E8094" s="2" t="str">
        <f>"经济与管理学院"</f>
        <v>经济与管理学院</v>
      </c>
    </row>
    <row r="8095" ht="13.5" hidden="1" spans="1:5">
      <c r="A8095" s="2" t="str">
        <f>"王子豪"</f>
        <v>王子豪</v>
      </c>
      <c r="B8095" s="2" t="str">
        <f>"B20210504221"</f>
        <v>B20210504221</v>
      </c>
      <c r="C8095" s="2" t="str">
        <f>"男"</f>
        <v>男</v>
      </c>
      <c r="D8095" s="2" t="str">
        <f>"3"</f>
        <v>3</v>
      </c>
      <c r="E8095" s="2" t="str">
        <f>"生物与化学工程学院"</f>
        <v>生物与化学工程学院</v>
      </c>
    </row>
    <row r="8096" ht="13.5" hidden="1" spans="1:5">
      <c r="A8096" s="2" t="str">
        <f>"钟玉松"</f>
        <v>钟玉松</v>
      </c>
      <c r="B8096" s="2" t="str">
        <f>"B20220202416"</f>
        <v>B20220202416</v>
      </c>
      <c r="C8096" s="2" t="str">
        <f>"男"</f>
        <v>男</v>
      </c>
      <c r="D8096" s="2" t="str">
        <f>"3"</f>
        <v>3</v>
      </c>
      <c r="E8096" s="2" t="str">
        <f>"机电工程学院"</f>
        <v>机电工程学院</v>
      </c>
    </row>
    <row r="8097" ht="13.5" hidden="1" spans="1:5">
      <c r="A8097" s="2" t="str">
        <f>"邱彦智"</f>
        <v>邱彦智</v>
      </c>
      <c r="B8097" s="2" t="str">
        <f>"B20230704405"</f>
        <v>B20230704405</v>
      </c>
      <c r="C8097" s="2" t="str">
        <f>"男"</f>
        <v>男</v>
      </c>
      <c r="D8097" s="2" t="str">
        <f>"3"</f>
        <v>3</v>
      </c>
      <c r="E8097" s="2" t="str">
        <f>"马栏山新媒体学院"</f>
        <v>马栏山新媒体学院</v>
      </c>
    </row>
    <row r="8098" ht="13.5" hidden="1" spans="1:5">
      <c r="A8098" s="2" t="str">
        <f>"丁奇山"</f>
        <v>丁奇山</v>
      </c>
      <c r="B8098" s="2" t="str">
        <f>"B20230902209"</f>
        <v>B20230902209</v>
      </c>
      <c r="C8098" s="2" t="str">
        <f>"男"</f>
        <v>男</v>
      </c>
      <c r="D8098" s="2" t="str">
        <f>"3"</f>
        <v>3</v>
      </c>
      <c r="E8098" s="2" t="str">
        <f>"经济与管理学院"</f>
        <v>经济与管理学院</v>
      </c>
    </row>
    <row r="8099" ht="13.5" hidden="1" spans="1:5">
      <c r="A8099" s="2" t="str">
        <f>"谢凤飞"</f>
        <v>谢凤飞</v>
      </c>
      <c r="B8099" s="2" t="str">
        <f>"B20210101220"</f>
        <v>B20210101220</v>
      </c>
      <c r="C8099" s="2" t="str">
        <f t="shared" ref="C8099:C8102" si="1978">"女"</f>
        <v>女</v>
      </c>
      <c r="D8099" s="2" t="str">
        <f>"3"</f>
        <v>3</v>
      </c>
      <c r="E8099" s="2" t="str">
        <f t="shared" ref="E8099:E8103" si="1979">"土木工程学院"</f>
        <v>土木工程学院</v>
      </c>
    </row>
    <row r="8100" ht="13.5" hidden="1" spans="1:5">
      <c r="A8100" s="2" t="str">
        <f>"刘芊芊"</f>
        <v>刘芊芊</v>
      </c>
      <c r="B8100" s="2" t="str">
        <f>"B20201001110"</f>
        <v>B20201001110</v>
      </c>
      <c r="C8100" s="2" t="str">
        <f t="shared" si="1978"/>
        <v>女</v>
      </c>
      <c r="D8100" s="2" t="str">
        <f>"3"</f>
        <v>3</v>
      </c>
      <c r="E8100" s="2" t="str">
        <f>"艺术设计学院"</f>
        <v>艺术设计学院</v>
      </c>
    </row>
    <row r="8101" ht="13.5" hidden="1" spans="1:5">
      <c r="A8101" s="2" t="str">
        <f>"朱天时"</f>
        <v>朱天时</v>
      </c>
      <c r="B8101" s="2" t="str">
        <f>"B20200601221"</f>
        <v>B20200601221</v>
      </c>
      <c r="C8101" s="2" t="str">
        <f>"男"</f>
        <v>男</v>
      </c>
      <c r="D8101" s="2" t="str">
        <f>"3"</f>
        <v>3</v>
      </c>
      <c r="E8101" s="2" t="str">
        <f>"法学院"</f>
        <v>法学院</v>
      </c>
    </row>
    <row r="8102" ht="13.5" hidden="1" spans="1:5">
      <c r="A8102" s="2" t="str">
        <f>"黄梦蕾"</f>
        <v>黄梦蕾</v>
      </c>
      <c r="B8102" s="2" t="str">
        <f>"B20220101117"</f>
        <v>B20220101117</v>
      </c>
      <c r="C8102" s="2" t="str">
        <f t="shared" si="1978"/>
        <v>女</v>
      </c>
      <c r="D8102" s="2" t="str">
        <f>"3"</f>
        <v>3</v>
      </c>
      <c r="E8102" s="2" t="str">
        <f t="shared" si="1979"/>
        <v>土木工程学院</v>
      </c>
    </row>
    <row r="8103" ht="13.5" hidden="1" spans="1:5">
      <c r="A8103" s="2" t="str">
        <f>"李蓝枫"</f>
        <v>李蓝枫</v>
      </c>
      <c r="B8103" s="2" t="str">
        <f>"B20220101115"</f>
        <v>B20220101115</v>
      </c>
      <c r="C8103" s="2" t="str">
        <f>"男"</f>
        <v>男</v>
      </c>
      <c r="D8103" s="2" t="str">
        <f>"3"</f>
        <v>3</v>
      </c>
      <c r="E8103" s="2" t="str">
        <f t="shared" si="1979"/>
        <v>土木工程学院</v>
      </c>
    </row>
    <row r="8104" ht="13.5" hidden="1" spans="1:5">
      <c r="A8104" s="2" t="str">
        <f>"魏振宇"</f>
        <v>魏振宇</v>
      </c>
      <c r="B8104" s="2" t="str">
        <f>"B20230601430"</f>
        <v>B20230601430</v>
      </c>
      <c r="C8104" s="2" t="str">
        <f>"男"</f>
        <v>男</v>
      </c>
      <c r="D8104" s="2" t="str">
        <f>"3"</f>
        <v>3</v>
      </c>
      <c r="E8104" s="2" t="str">
        <f>"法学院"</f>
        <v>法学院</v>
      </c>
    </row>
    <row r="8105" ht="13.5" hidden="1" spans="1:5">
      <c r="A8105" s="2" t="str">
        <f>"郭粲"</f>
        <v>郭粲</v>
      </c>
      <c r="B8105" s="2" t="str">
        <f>"B20210903203"</f>
        <v>B20210903203</v>
      </c>
      <c r="C8105" s="2" t="str">
        <f>"男"</f>
        <v>男</v>
      </c>
      <c r="D8105" s="2" t="str">
        <f>"3"</f>
        <v>3</v>
      </c>
      <c r="E8105" s="2" t="str">
        <f>"经济与管理学院"</f>
        <v>经济与管理学院</v>
      </c>
    </row>
    <row r="8106" ht="13.5" hidden="1" spans="1:5">
      <c r="A8106" s="2" t="str">
        <f>"石健魁"</f>
        <v>石健魁</v>
      </c>
      <c r="B8106" s="2" t="str">
        <f>"B20230403119"</f>
        <v>B20230403119</v>
      </c>
      <c r="C8106" s="2" t="str">
        <f>"男"</f>
        <v>男</v>
      </c>
      <c r="D8106" s="2" t="str">
        <f>"3"</f>
        <v>3</v>
      </c>
      <c r="E8106" s="2" t="str">
        <f>"电子信息与电气工程学院"</f>
        <v>电子信息与电气工程学院</v>
      </c>
    </row>
    <row r="8107" ht="13.5" hidden="1" spans="1:5">
      <c r="A8107" s="2" t="str">
        <f>"李沛璇"</f>
        <v>李沛璇</v>
      </c>
      <c r="B8107" s="2" t="str">
        <f>"B20221004107"</f>
        <v>B20221004107</v>
      </c>
      <c r="C8107" s="2" t="str">
        <f>"女"</f>
        <v>女</v>
      </c>
      <c r="D8107" s="2" t="str">
        <f>"3"</f>
        <v>3</v>
      </c>
      <c r="E8107" s="2" t="str">
        <f>"艺术设计学院"</f>
        <v>艺术设计学院</v>
      </c>
    </row>
    <row r="8108" ht="13.5" hidden="1" spans="1:5">
      <c r="A8108" s="2" t="str">
        <f>"邹盛涛"</f>
        <v>邹盛涛</v>
      </c>
      <c r="B8108" s="2" t="str">
        <f>"B20230101323"</f>
        <v>B20230101323</v>
      </c>
      <c r="C8108" s="2" t="str">
        <f>"男"</f>
        <v>男</v>
      </c>
      <c r="D8108" s="2" t="str">
        <f>"3"</f>
        <v>3</v>
      </c>
      <c r="E8108" s="2" t="str">
        <f>"土木工程学院"</f>
        <v>土木工程学院</v>
      </c>
    </row>
    <row r="8109" ht="13.5" hidden="1" spans="1:5">
      <c r="A8109" s="2" t="str">
        <f>"莫世轩"</f>
        <v>莫世轩</v>
      </c>
      <c r="B8109" s="2" t="str">
        <f>"B20230903225"</f>
        <v>B20230903225</v>
      </c>
      <c r="C8109" s="2" t="str">
        <f>"男"</f>
        <v>男</v>
      </c>
      <c r="D8109" s="2" t="str">
        <f>"3"</f>
        <v>3</v>
      </c>
      <c r="E8109" s="2" t="str">
        <f>"经济与管理学院"</f>
        <v>经济与管理学院</v>
      </c>
    </row>
    <row r="8110" ht="13.5" hidden="1" spans="1:5">
      <c r="A8110" s="2" t="str">
        <f>"周赛"</f>
        <v>周赛</v>
      </c>
      <c r="B8110" s="2" t="str">
        <f>"B20210901239"</f>
        <v>B20210901239</v>
      </c>
      <c r="C8110" s="2" t="str">
        <f>"女"</f>
        <v>女</v>
      </c>
      <c r="D8110" s="2" t="str">
        <f t="shared" ref="D8110:D8119" si="1980">"3"</f>
        <v>3</v>
      </c>
      <c r="E8110" s="2" t="str">
        <f>"经济与管理学院"</f>
        <v>经济与管理学院</v>
      </c>
    </row>
    <row r="8111" ht="13.5" hidden="1" spans="1:5">
      <c r="A8111" s="2" t="str">
        <f>"罗杏"</f>
        <v>罗杏</v>
      </c>
      <c r="B8111" s="2" t="str">
        <f>"B20210901221"</f>
        <v>B20210901221</v>
      </c>
      <c r="C8111" s="2" t="str">
        <f>"女"</f>
        <v>女</v>
      </c>
      <c r="D8111" s="2" t="str">
        <f t="shared" si="1980"/>
        <v>3</v>
      </c>
      <c r="E8111" s="2" t="str">
        <f>"经济与管理学院"</f>
        <v>经济与管理学院</v>
      </c>
    </row>
    <row r="8112" ht="13.5" hidden="1" spans="1:5">
      <c r="A8112" s="2" t="str">
        <f>"李佳"</f>
        <v>李佳</v>
      </c>
      <c r="B8112" s="2" t="str">
        <f>"B20220204405"</f>
        <v>B20220204405</v>
      </c>
      <c r="C8112" s="2" t="str">
        <f t="shared" ref="C8112:C8118" si="1981">"男"</f>
        <v>男</v>
      </c>
      <c r="D8112" s="2" t="str">
        <f t="shared" si="1980"/>
        <v>3</v>
      </c>
      <c r="E8112" s="2" t="str">
        <f>"机电工程学院"</f>
        <v>机电工程学院</v>
      </c>
    </row>
    <row r="8113" ht="13.5" hidden="1" spans="1:5">
      <c r="A8113" s="2" t="str">
        <f>"李翔"</f>
        <v>李翔</v>
      </c>
      <c r="B8113" s="2" t="str">
        <f>"B20220802104"</f>
        <v>B20220802104</v>
      </c>
      <c r="C8113" s="2" t="str">
        <f t="shared" si="1981"/>
        <v>男</v>
      </c>
      <c r="D8113" s="2" t="str">
        <f t="shared" si="1980"/>
        <v>3</v>
      </c>
      <c r="E8113" s="2" t="str">
        <f>"外国语学院"</f>
        <v>外国语学院</v>
      </c>
    </row>
    <row r="8114" ht="13.5" hidden="1" spans="1:5">
      <c r="A8114" s="2" t="str">
        <f>"张欣"</f>
        <v>张欣</v>
      </c>
      <c r="B8114" s="2" t="str">
        <f>"B20210703123"</f>
        <v>B20210703123</v>
      </c>
      <c r="C8114" s="2" t="str">
        <f t="shared" ref="C8114:C8119" si="1982">"女"</f>
        <v>女</v>
      </c>
      <c r="D8114" s="2" t="str">
        <f t="shared" si="1980"/>
        <v>3</v>
      </c>
      <c r="E8114" s="2" t="str">
        <f>"马栏山新媒体学院"</f>
        <v>马栏山新媒体学院</v>
      </c>
    </row>
    <row r="8115" ht="13.5" hidden="1" spans="1:5">
      <c r="A8115" s="2" t="str">
        <f>"许婧颖"</f>
        <v>许婧颖</v>
      </c>
      <c r="B8115" s="2" t="str">
        <f>"B20230601102"</f>
        <v>B20230601102</v>
      </c>
      <c r="C8115" s="2" t="str">
        <f t="shared" si="1982"/>
        <v>女</v>
      </c>
      <c r="D8115" s="2" t="str">
        <f t="shared" si="1980"/>
        <v>3</v>
      </c>
      <c r="E8115" s="2" t="str">
        <f>"法学院"</f>
        <v>法学院</v>
      </c>
    </row>
    <row r="8116" ht="13.5" hidden="1" spans="1:5">
      <c r="A8116" s="2" t="str">
        <f>"卢浩宇"</f>
        <v>卢浩宇</v>
      </c>
      <c r="B8116" s="2" t="str">
        <f>"B20230402221"</f>
        <v>B20230402221</v>
      </c>
      <c r="C8116" s="2" t="str">
        <f t="shared" si="1981"/>
        <v>男</v>
      </c>
      <c r="D8116" s="2" t="str">
        <f t="shared" si="1980"/>
        <v>3</v>
      </c>
      <c r="E8116" s="2" t="str">
        <f>"电子信息与电气工程学院"</f>
        <v>电子信息与电气工程学院</v>
      </c>
    </row>
    <row r="8117" ht="13.5" hidden="1" spans="1:5">
      <c r="A8117" s="2" t="str">
        <f>"朱晓轩"</f>
        <v>朱晓轩</v>
      </c>
      <c r="B8117" s="2" t="str">
        <f>"B20220702217"</f>
        <v>B20220702217</v>
      </c>
      <c r="C8117" s="2" t="str">
        <f t="shared" si="1981"/>
        <v>男</v>
      </c>
      <c r="D8117" s="2" t="str">
        <f t="shared" si="1980"/>
        <v>3</v>
      </c>
      <c r="E8117" s="2" t="str">
        <f>"马栏山新媒体学院"</f>
        <v>马栏山新媒体学院</v>
      </c>
    </row>
    <row r="8118" ht="13.5" hidden="1" spans="1:5">
      <c r="A8118" s="2" t="str">
        <f>"李不同"</f>
        <v>李不同</v>
      </c>
      <c r="B8118" s="2" t="str">
        <f>"B20210802215"</f>
        <v>B20210802215</v>
      </c>
      <c r="C8118" s="2" t="str">
        <f t="shared" si="1981"/>
        <v>男</v>
      </c>
      <c r="D8118" s="2" t="str">
        <f t="shared" si="1980"/>
        <v>3</v>
      </c>
      <c r="E8118" s="2" t="str">
        <f>"外国语学院"</f>
        <v>外国语学院</v>
      </c>
    </row>
    <row r="8119" ht="13.5" hidden="1" spans="1:5">
      <c r="A8119" s="2" t="str">
        <f>"郭雅群"</f>
        <v>郭雅群</v>
      </c>
      <c r="B8119" s="2" t="str">
        <f>"B20210801218"</f>
        <v>B20210801218</v>
      </c>
      <c r="C8119" s="2" t="str">
        <f t="shared" si="1982"/>
        <v>女</v>
      </c>
      <c r="D8119" s="2" t="str">
        <f t="shared" si="1980"/>
        <v>3</v>
      </c>
      <c r="E8119" s="2" t="str">
        <f>"外国语学院"</f>
        <v>外国语学院</v>
      </c>
    </row>
    <row r="8120" ht="13.5" hidden="1" spans="1:5">
      <c r="A8120" s="2" t="str">
        <f>"王啟行"</f>
        <v>王啟行</v>
      </c>
      <c r="B8120" s="2" t="str">
        <f>"B20220101408"</f>
        <v>B20220101408</v>
      </c>
      <c r="C8120" s="2" t="str">
        <f t="shared" ref="C8120:C8122" si="1983">"男"</f>
        <v>男</v>
      </c>
      <c r="D8120" s="2" t="str">
        <f>"3"</f>
        <v>3</v>
      </c>
      <c r="E8120" s="2" t="str">
        <f>"土木工程学院"</f>
        <v>土木工程学院</v>
      </c>
    </row>
    <row r="8121" ht="13.5" hidden="1" spans="1:5">
      <c r="A8121" s="2" t="str">
        <f>"龚俊武"</f>
        <v>龚俊武</v>
      </c>
      <c r="B8121" s="2" t="str">
        <f>"B20220204117"</f>
        <v>B20220204117</v>
      </c>
      <c r="C8121" s="2" t="str">
        <f t="shared" si="1983"/>
        <v>男</v>
      </c>
      <c r="D8121" s="2" t="str">
        <f>"3"</f>
        <v>3</v>
      </c>
      <c r="E8121" s="2" t="str">
        <f>"机电工程学院"</f>
        <v>机电工程学院</v>
      </c>
    </row>
    <row r="8122" ht="13.5" hidden="1" spans="1:5">
      <c r="A8122" s="2" t="str">
        <f>"刘飞羽"</f>
        <v>刘飞羽</v>
      </c>
      <c r="B8122" s="2" t="str">
        <f>"B20210404106"</f>
        <v>B20210404106</v>
      </c>
      <c r="C8122" s="2" t="str">
        <f t="shared" si="1983"/>
        <v>男</v>
      </c>
      <c r="D8122" s="2" t="str">
        <f>"3"</f>
        <v>3</v>
      </c>
      <c r="E8122" s="2" t="str">
        <f>"电子信息与电气工程学院"</f>
        <v>电子信息与电气工程学院</v>
      </c>
    </row>
    <row r="8123" ht="13.5" hidden="1" spans="1:5">
      <c r="A8123" s="2" t="str">
        <f>"朱慧玲"</f>
        <v>朱慧玲</v>
      </c>
      <c r="B8123" s="2" t="str">
        <f>"B20210901316"</f>
        <v>B20210901316</v>
      </c>
      <c r="C8123" s="2" t="str">
        <f t="shared" ref="C8123:C8127" si="1984">"女"</f>
        <v>女</v>
      </c>
      <c r="D8123" s="2" t="str">
        <f>"3"</f>
        <v>3</v>
      </c>
      <c r="E8123" s="2" t="str">
        <f>"经济与管理学院"</f>
        <v>经济与管理学院</v>
      </c>
    </row>
    <row r="8124" ht="13.5" hidden="1" spans="1:5">
      <c r="A8124" s="2" t="str">
        <f>"谢湘阳"</f>
        <v>谢湘阳</v>
      </c>
      <c r="B8124" s="2" t="str">
        <f>"B20221002415"</f>
        <v>B20221002415</v>
      </c>
      <c r="C8124" s="2" t="str">
        <f t="shared" si="1984"/>
        <v>女</v>
      </c>
      <c r="D8124" s="2" t="str">
        <f>"3"</f>
        <v>3</v>
      </c>
      <c r="E8124" s="2" t="str">
        <f>"艺术设计学院"</f>
        <v>艺术设计学院</v>
      </c>
    </row>
    <row r="8125" ht="13.5" hidden="1" spans="1:5">
      <c r="A8125" s="2" t="str">
        <f>"邬楷"</f>
        <v>邬楷</v>
      </c>
      <c r="B8125" s="2" t="str">
        <f>"B20200201431"</f>
        <v>B20200201431</v>
      </c>
      <c r="C8125" s="2" t="str">
        <f>"男"</f>
        <v>男</v>
      </c>
      <c r="D8125" s="2" t="str">
        <f>"3"</f>
        <v>3</v>
      </c>
      <c r="E8125" s="2" t="str">
        <f>"机电工程学院"</f>
        <v>机电工程学院</v>
      </c>
    </row>
    <row r="8126" ht="13.5" hidden="1" spans="1:5">
      <c r="A8126" s="2" t="str">
        <f>"琚雅婷"</f>
        <v>琚雅婷</v>
      </c>
      <c r="B8126" s="2" t="str">
        <f>"B20230703110"</f>
        <v>B20230703110</v>
      </c>
      <c r="C8126" s="2" t="str">
        <f t="shared" si="1984"/>
        <v>女</v>
      </c>
      <c r="D8126" s="2" t="str">
        <f>"3"</f>
        <v>3</v>
      </c>
      <c r="E8126" s="2" t="str">
        <f>"马栏山新媒体学院"</f>
        <v>马栏山新媒体学院</v>
      </c>
    </row>
    <row r="8127" ht="13.5" hidden="1" spans="1:5">
      <c r="A8127" s="2" t="str">
        <f>"陈璐璐"</f>
        <v>陈璐璐</v>
      </c>
      <c r="B8127" s="2" t="str">
        <f>"B20210901139"</f>
        <v>B20210901139</v>
      </c>
      <c r="C8127" s="2" t="str">
        <f t="shared" si="1984"/>
        <v>女</v>
      </c>
      <c r="D8127" s="2" t="str">
        <f>"3"</f>
        <v>3</v>
      </c>
      <c r="E8127" s="2" t="str">
        <f>"经济与管理学院"</f>
        <v>经济与管理学院</v>
      </c>
    </row>
    <row r="8128" ht="13.5" hidden="1" spans="1:5">
      <c r="A8128" s="2" t="str">
        <f>"吴子轩"</f>
        <v>吴子轩</v>
      </c>
      <c r="B8128" s="2" t="str">
        <f>"B20230703303"</f>
        <v>B20230703303</v>
      </c>
      <c r="C8128" s="2" t="str">
        <f>"男"</f>
        <v>男</v>
      </c>
      <c r="D8128" s="2" t="str">
        <f>"3"</f>
        <v>3</v>
      </c>
      <c r="E8128" s="2" t="str">
        <f>"马栏山新媒体学院"</f>
        <v>马栏山新媒体学院</v>
      </c>
    </row>
    <row r="8129" ht="13.5" hidden="1" spans="1:5">
      <c r="A8129" s="2" t="str">
        <f>"韦佳芳"</f>
        <v>韦佳芳</v>
      </c>
      <c r="B8129" s="2" t="str">
        <f>"B20230905231"</f>
        <v>B20230905231</v>
      </c>
      <c r="C8129" s="2" t="str">
        <f>"女"</f>
        <v>女</v>
      </c>
      <c r="D8129" s="2" t="str">
        <f>"3"</f>
        <v>3</v>
      </c>
      <c r="E8129" s="2" t="str">
        <f>"经济与管理学院"</f>
        <v>经济与管理学院</v>
      </c>
    </row>
    <row r="8130" ht="13.5" hidden="1" spans="1:5">
      <c r="A8130" s="2" t="str">
        <f>"唐璐"</f>
        <v>唐璐</v>
      </c>
      <c r="B8130" s="2" t="str">
        <f>"B20220802114"</f>
        <v>B20220802114</v>
      </c>
      <c r="C8130" s="2" t="str">
        <f>"女"</f>
        <v>女</v>
      </c>
      <c r="D8130" s="2" t="str">
        <f>"3"</f>
        <v>3</v>
      </c>
      <c r="E8130" s="2" t="str">
        <f>"外国语学院"</f>
        <v>外国语学院</v>
      </c>
    </row>
    <row r="8131" ht="13.5" hidden="1" spans="1:5">
      <c r="A8131" s="2" t="str">
        <f>"黄青萍"</f>
        <v>黄青萍</v>
      </c>
      <c r="B8131" s="2" t="str">
        <f>"B20230104106"</f>
        <v>B20230104106</v>
      </c>
      <c r="C8131" s="2" t="str">
        <f>"女"</f>
        <v>女</v>
      </c>
      <c r="D8131" s="2" t="str">
        <f>"3"</f>
        <v>3</v>
      </c>
      <c r="E8131" s="2" t="str">
        <f>"土木工程学院"</f>
        <v>土木工程学院</v>
      </c>
    </row>
    <row r="8132" ht="13.5" hidden="1" spans="1:5">
      <c r="A8132" s="2" t="str">
        <f>"熊刘瑞"</f>
        <v>熊刘瑞</v>
      </c>
      <c r="B8132" s="2" t="str">
        <f>"B20220201130"</f>
        <v>B20220201130</v>
      </c>
      <c r="C8132" s="2" t="str">
        <f>"男"</f>
        <v>男</v>
      </c>
      <c r="D8132" s="2" t="str">
        <f>"3"</f>
        <v>3</v>
      </c>
      <c r="E8132" s="2" t="str">
        <f>"机电工程学院"</f>
        <v>机电工程学院</v>
      </c>
    </row>
    <row r="8133" ht="13.5" hidden="1" spans="1:5">
      <c r="A8133" s="2" t="str">
        <f>"聂鑫"</f>
        <v>聂鑫</v>
      </c>
      <c r="B8133" s="2" t="str">
        <f>"B20210906128"</f>
        <v>B20210906128</v>
      </c>
      <c r="C8133" s="2" t="str">
        <f>"女"</f>
        <v>女</v>
      </c>
      <c r="D8133" s="2" t="str">
        <f>"3"</f>
        <v>3</v>
      </c>
      <c r="E8133" s="2" t="str">
        <f>"经济与管理学院"</f>
        <v>经济与管理学院</v>
      </c>
    </row>
    <row r="8134" ht="13.5" hidden="1" spans="1:5">
      <c r="A8134" s="2" t="str">
        <f>"王俊荣"</f>
        <v>王俊荣</v>
      </c>
      <c r="B8134" s="2" t="str">
        <f>"B20231001314"</f>
        <v>B20231001314</v>
      </c>
      <c r="C8134" s="2" t="str">
        <f>"男"</f>
        <v>男</v>
      </c>
      <c r="D8134" s="2" t="str">
        <f>"3"</f>
        <v>3</v>
      </c>
      <c r="E8134" s="2" t="str">
        <f>"艺术设计学院"</f>
        <v>艺术设计学院</v>
      </c>
    </row>
    <row r="8135" ht="13.5" hidden="1" spans="1:5">
      <c r="A8135" s="2" t="str">
        <f>"庞童予"</f>
        <v>庞童予</v>
      </c>
      <c r="B8135" s="2" t="str">
        <f>"B20210101631"</f>
        <v>B20210101631</v>
      </c>
      <c r="C8135" s="2" t="str">
        <f>"女"</f>
        <v>女</v>
      </c>
      <c r="D8135" s="2" t="str">
        <f>"3"</f>
        <v>3</v>
      </c>
      <c r="E8135" s="2" t="str">
        <f>"土木工程学院"</f>
        <v>土木工程学院</v>
      </c>
    </row>
    <row r="8136" ht="13.5" hidden="1" spans="1:5">
      <c r="A8136" s="2" t="str">
        <f>"黎湘宇"</f>
        <v>黎湘宇</v>
      </c>
      <c r="B8136" s="2" t="str">
        <f>"B20230202121"</f>
        <v>B20230202121</v>
      </c>
      <c r="C8136" s="2" t="str">
        <f>"男"</f>
        <v>男</v>
      </c>
      <c r="D8136" s="2" t="str">
        <f>"3"</f>
        <v>3</v>
      </c>
      <c r="E8136" s="2" t="str">
        <f>"机电工程学院"</f>
        <v>机电工程学院</v>
      </c>
    </row>
    <row r="8137" ht="13.5" hidden="1" spans="1:5">
      <c r="A8137" s="2" t="str">
        <f>"刘小文"</f>
        <v>刘小文</v>
      </c>
      <c r="B8137" s="2" t="str">
        <f>"B20220501205"</f>
        <v>B20220501205</v>
      </c>
      <c r="C8137" s="2" t="str">
        <f>"男"</f>
        <v>男</v>
      </c>
      <c r="D8137" s="2" t="str">
        <f>"3"</f>
        <v>3</v>
      </c>
      <c r="E8137" s="2" t="str">
        <f>"生物与化学工程学院"</f>
        <v>生物与化学工程学院</v>
      </c>
    </row>
    <row r="8138" ht="13.5" hidden="1" spans="1:5">
      <c r="A8138" s="2" t="str">
        <f>"刘美婧"</f>
        <v>刘美婧</v>
      </c>
      <c r="B8138" s="2" t="str">
        <f>"B20200504114"</f>
        <v>B20200504114</v>
      </c>
      <c r="C8138" s="2" t="str">
        <f>"女"</f>
        <v>女</v>
      </c>
      <c r="D8138" s="2" t="str">
        <f>"3"</f>
        <v>3</v>
      </c>
      <c r="E8138" s="2" t="str">
        <f>"生物与环境工程学院"</f>
        <v>生物与环境工程学院</v>
      </c>
    </row>
    <row r="8139" ht="13.5" hidden="1" spans="1:5">
      <c r="A8139" s="2" t="str">
        <f>"蒋昆辰"</f>
        <v>蒋昆辰</v>
      </c>
      <c r="B8139" s="2" t="str">
        <f>"B20220101224"</f>
        <v>B20220101224</v>
      </c>
      <c r="C8139" s="2" t="str">
        <f>"男"</f>
        <v>男</v>
      </c>
      <c r="D8139" s="2" t="str">
        <f>"3"</f>
        <v>3</v>
      </c>
      <c r="E8139" s="2" t="str">
        <f>"土木工程学院"</f>
        <v>土木工程学院</v>
      </c>
    </row>
    <row r="8140" ht="13.5" hidden="1" spans="1:5">
      <c r="A8140" s="2" t="str">
        <f>"吴嘉乐"</f>
        <v>吴嘉乐</v>
      </c>
      <c r="B8140" s="2" t="str">
        <f>"B20230101217"</f>
        <v>B20230101217</v>
      </c>
      <c r="C8140" s="2" t="str">
        <f>"男"</f>
        <v>男</v>
      </c>
      <c r="D8140" s="2" t="str">
        <f t="shared" ref="D8140:D8159" si="1985">"3"</f>
        <v>3</v>
      </c>
      <c r="E8140" s="2" t="str">
        <f>"土木工程学院"</f>
        <v>土木工程学院</v>
      </c>
    </row>
    <row r="8141" ht="13.5" hidden="1" spans="1:5">
      <c r="A8141" s="2" t="str">
        <f>"刘雅欣"</f>
        <v>刘雅欣</v>
      </c>
      <c r="B8141" s="2" t="str">
        <f>"B20210703307"</f>
        <v>B20210703307</v>
      </c>
      <c r="C8141" s="2" t="str">
        <f>"女"</f>
        <v>女</v>
      </c>
      <c r="D8141" s="2" t="str">
        <f t="shared" si="1985"/>
        <v>3</v>
      </c>
      <c r="E8141" s="2" t="str">
        <f>"马栏山新媒体学院"</f>
        <v>马栏山新媒体学院</v>
      </c>
    </row>
    <row r="8142" ht="13.5" hidden="1" spans="1:5">
      <c r="A8142" s="2" t="str">
        <f>"曹珺"</f>
        <v>曹珺</v>
      </c>
      <c r="B8142" s="2" t="str">
        <f>"B20200703108"</f>
        <v>B20200703108</v>
      </c>
      <c r="C8142" s="2" t="str">
        <f>"女"</f>
        <v>女</v>
      </c>
      <c r="D8142" s="2" t="str">
        <f t="shared" si="1985"/>
        <v>3</v>
      </c>
      <c r="E8142" s="2" t="str">
        <f>"马栏山新媒体学院"</f>
        <v>马栏山新媒体学院</v>
      </c>
    </row>
    <row r="8143" ht="13.5" hidden="1" spans="1:5">
      <c r="A8143" s="2" t="str">
        <f>"杨萃"</f>
        <v>杨萃</v>
      </c>
      <c r="B8143" s="2" t="str">
        <f>"B20210903119"</f>
        <v>B20210903119</v>
      </c>
      <c r="C8143" s="2" t="str">
        <f>"女"</f>
        <v>女</v>
      </c>
      <c r="D8143" s="2" t="str">
        <f t="shared" si="1985"/>
        <v>3</v>
      </c>
      <c r="E8143" s="2" t="str">
        <f>"经济与管理学院"</f>
        <v>经济与管理学院</v>
      </c>
    </row>
    <row r="8144" ht="13.5" hidden="1" spans="1:5">
      <c r="A8144" s="2" t="str">
        <f>"何霖"</f>
        <v>何霖</v>
      </c>
      <c r="B8144" s="2" t="str">
        <f>"B20200401427"</f>
        <v>B20200401427</v>
      </c>
      <c r="C8144" s="2" t="str">
        <f t="shared" ref="C8144:C8148" si="1986">"男"</f>
        <v>男</v>
      </c>
      <c r="D8144" s="2" t="str">
        <f t="shared" si="1985"/>
        <v>3</v>
      </c>
      <c r="E8144" s="2" t="str">
        <f>"电子信息与电气工程学院"</f>
        <v>电子信息与电气工程学院</v>
      </c>
    </row>
    <row r="8145" ht="13.5" hidden="1" spans="1:5">
      <c r="A8145" s="2" t="str">
        <f>"王冠瑜"</f>
        <v>王冠瑜</v>
      </c>
      <c r="B8145" s="2" t="str">
        <f>"B20201003202"</f>
        <v>B20201003202</v>
      </c>
      <c r="C8145" s="2" t="str">
        <f t="shared" ref="C8145:C8149" si="1987">"女"</f>
        <v>女</v>
      </c>
      <c r="D8145" s="2" t="str">
        <f t="shared" si="1985"/>
        <v>3</v>
      </c>
      <c r="E8145" s="2" t="str">
        <f>"艺术设计学院"</f>
        <v>艺术设计学院</v>
      </c>
    </row>
    <row r="8146" ht="13.5" hidden="1" spans="1:5">
      <c r="A8146" s="2" t="str">
        <f>"徐圳辉"</f>
        <v>徐圳辉</v>
      </c>
      <c r="B8146" s="2" t="str">
        <f>"B20230102222"</f>
        <v>B20230102222</v>
      </c>
      <c r="C8146" s="2" t="str">
        <f t="shared" si="1986"/>
        <v>男</v>
      </c>
      <c r="D8146" s="2" t="str">
        <f t="shared" si="1985"/>
        <v>3</v>
      </c>
      <c r="E8146" s="2" t="str">
        <f>"土木工程学院"</f>
        <v>土木工程学院</v>
      </c>
    </row>
    <row r="8147" ht="13.5" hidden="1" spans="1:5">
      <c r="A8147" s="2" t="str">
        <f>"贺筱萱"</f>
        <v>贺筱萱</v>
      </c>
      <c r="B8147" s="2" t="str">
        <f>"B20200503216"</f>
        <v>B20200503216</v>
      </c>
      <c r="C8147" s="2" t="str">
        <f t="shared" si="1987"/>
        <v>女</v>
      </c>
      <c r="D8147" s="2" t="str">
        <f t="shared" si="1985"/>
        <v>3</v>
      </c>
      <c r="E8147" s="2" t="str">
        <f>"生物与环境工程学院"</f>
        <v>生物与环境工程学院</v>
      </c>
    </row>
    <row r="8148" ht="13.5" hidden="1" spans="1:5">
      <c r="A8148" s="2" t="str">
        <f>"李建"</f>
        <v>李建</v>
      </c>
      <c r="B8148" s="2" t="str">
        <f>"B20230403123"</f>
        <v>B20230403123</v>
      </c>
      <c r="C8148" s="2" t="str">
        <f t="shared" si="1986"/>
        <v>男</v>
      </c>
      <c r="D8148" s="2" t="str">
        <f t="shared" si="1985"/>
        <v>3</v>
      </c>
      <c r="E8148" s="2" t="str">
        <f>"电子信息与电气工程学院"</f>
        <v>电子信息与电气工程学院</v>
      </c>
    </row>
    <row r="8149" ht="13.5" hidden="1" spans="1:5">
      <c r="A8149" s="2" t="str">
        <f>"黄莉容"</f>
        <v>黄莉容</v>
      </c>
      <c r="B8149" s="2" t="str">
        <f>"B20200501136"</f>
        <v>B20200501136</v>
      </c>
      <c r="C8149" s="2" t="str">
        <f t="shared" si="1987"/>
        <v>女</v>
      </c>
      <c r="D8149" s="2" t="str">
        <f t="shared" si="1985"/>
        <v>3</v>
      </c>
      <c r="E8149" s="2" t="str">
        <f>"生物与环境工程学院"</f>
        <v>生物与环境工程学院</v>
      </c>
    </row>
    <row r="8150" ht="13.5" hidden="1" spans="1:5">
      <c r="A8150" s="2" t="str">
        <f>"张磊"</f>
        <v>张磊</v>
      </c>
      <c r="B8150" s="2" t="str">
        <f>"B20210201218"</f>
        <v>B20210201218</v>
      </c>
      <c r="C8150" s="2" t="str">
        <f t="shared" ref="C8150:C8155" si="1988">"男"</f>
        <v>男</v>
      </c>
      <c r="D8150" s="2" t="str">
        <f t="shared" si="1985"/>
        <v>3</v>
      </c>
      <c r="E8150" s="2" t="str">
        <f>"机电工程学院"</f>
        <v>机电工程学院</v>
      </c>
    </row>
    <row r="8151" ht="13.5" hidden="1" spans="1:5">
      <c r="A8151" s="2" t="str">
        <f>"杨世媛"</f>
        <v>杨世媛</v>
      </c>
      <c r="B8151" s="2" t="str">
        <f>"B20200801421"</f>
        <v>B20200801421</v>
      </c>
      <c r="C8151" s="2" t="str">
        <f t="shared" ref="C8151:C8154" si="1989">"女"</f>
        <v>女</v>
      </c>
      <c r="D8151" s="2" t="str">
        <f t="shared" si="1985"/>
        <v>3</v>
      </c>
      <c r="E8151" s="2" t="str">
        <f>"外国语学院"</f>
        <v>外国语学院</v>
      </c>
    </row>
    <row r="8152" ht="13.5" hidden="1" spans="1:5">
      <c r="A8152" s="2" t="str">
        <f>"冯心若"</f>
        <v>冯心若</v>
      </c>
      <c r="B8152" s="2" t="str">
        <f>"B20230904124"</f>
        <v>B20230904124</v>
      </c>
      <c r="C8152" s="2" t="str">
        <f t="shared" si="1989"/>
        <v>女</v>
      </c>
      <c r="D8152" s="2" t="str">
        <f t="shared" si="1985"/>
        <v>3</v>
      </c>
      <c r="E8152" s="2" t="str">
        <f>"经济与管理学院"</f>
        <v>经济与管理学院</v>
      </c>
    </row>
    <row r="8153" ht="13.5" hidden="1" spans="1:5">
      <c r="A8153" s="2" t="str">
        <f>"李澳"</f>
        <v>李澳</v>
      </c>
      <c r="B8153" s="2" t="str">
        <f>"B20220101106"</f>
        <v>B20220101106</v>
      </c>
      <c r="C8153" s="2" t="str">
        <f t="shared" si="1988"/>
        <v>男</v>
      </c>
      <c r="D8153" s="2" t="str">
        <f t="shared" si="1985"/>
        <v>3</v>
      </c>
      <c r="E8153" s="2" t="str">
        <f>"土木工程学院"</f>
        <v>土木工程学院</v>
      </c>
    </row>
    <row r="8154" ht="13.5" hidden="1" spans="1:5">
      <c r="A8154" s="2" t="str">
        <f>"闫夏宁"</f>
        <v>闫夏宁</v>
      </c>
      <c r="B8154" s="2" t="str">
        <f>"B20210504233"</f>
        <v>B20210504233</v>
      </c>
      <c r="C8154" s="2" t="str">
        <f t="shared" si="1989"/>
        <v>女</v>
      </c>
      <c r="D8154" s="2" t="str">
        <f t="shared" si="1985"/>
        <v>3</v>
      </c>
      <c r="E8154" s="2" t="str">
        <f>"生物与化学工程学院"</f>
        <v>生物与化学工程学院</v>
      </c>
    </row>
    <row r="8155" ht="13.5" hidden="1" spans="1:5">
      <c r="A8155" s="2" t="str">
        <f>"彭佳兴"</f>
        <v>彭佳兴</v>
      </c>
      <c r="B8155" s="2" t="str">
        <f>"B20231001206"</f>
        <v>B20231001206</v>
      </c>
      <c r="C8155" s="2" t="str">
        <f t="shared" si="1988"/>
        <v>男</v>
      </c>
      <c r="D8155" s="2" t="str">
        <f t="shared" si="1985"/>
        <v>3</v>
      </c>
      <c r="E8155" s="2" t="str">
        <f>"艺术设计学院"</f>
        <v>艺术设计学院</v>
      </c>
    </row>
    <row r="8156" ht="13.5" hidden="1" spans="1:5">
      <c r="A8156" s="2" t="str">
        <f>"杨思齐"</f>
        <v>杨思齐</v>
      </c>
      <c r="B8156" s="2" t="str">
        <f>"B20230102115"</f>
        <v>B20230102115</v>
      </c>
      <c r="C8156" s="2" t="str">
        <f>"女"</f>
        <v>女</v>
      </c>
      <c r="D8156" s="2" t="str">
        <f t="shared" si="1985"/>
        <v>3</v>
      </c>
      <c r="E8156" s="2" t="str">
        <f>"土木工程学院"</f>
        <v>土木工程学院</v>
      </c>
    </row>
    <row r="8157" ht="13.5" hidden="1" spans="1:5">
      <c r="A8157" s="2" t="str">
        <f>"曹利杰"</f>
        <v>曹利杰</v>
      </c>
      <c r="B8157" s="2" t="str">
        <f>"B20220201328"</f>
        <v>B20220201328</v>
      </c>
      <c r="C8157" s="2" t="str">
        <f>"男"</f>
        <v>男</v>
      </c>
      <c r="D8157" s="2" t="str">
        <f t="shared" si="1985"/>
        <v>3</v>
      </c>
      <c r="E8157" s="2" t="str">
        <f>"机电工程学院"</f>
        <v>机电工程学院</v>
      </c>
    </row>
    <row r="8158" ht="13.5" hidden="1" spans="1:5">
      <c r="A8158" s="2" t="str">
        <f>"刘荣峰"</f>
        <v>刘荣峰</v>
      </c>
      <c r="B8158" s="2" t="str">
        <f>"B20210403111"</f>
        <v>B20210403111</v>
      </c>
      <c r="C8158" s="2" t="str">
        <f>"男"</f>
        <v>男</v>
      </c>
      <c r="D8158" s="2" t="str">
        <f t="shared" si="1985"/>
        <v>3</v>
      </c>
      <c r="E8158" s="2" t="str">
        <f>"电子信息与电气工程学院"</f>
        <v>电子信息与电气工程学院</v>
      </c>
    </row>
    <row r="8159" ht="13.5" hidden="1" spans="1:5">
      <c r="A8159" s="2" t="str">
        <f>"易宇豪"</f>
        <v>易宇豪</v>
      </c>
      <c r="B8159" s="2" t="str">
        <f>"B20220101438"</f>
        <v>B20220101438</v>
      </c>
      <c r="C8159" s="2" t="str">
        <f>"男"</f>
        <v>男</v>
      </c>
      <c r="D8159" s="2" t="str">
        <f t="shared" si="1985"/>
        <v>3</v>
      </c>
      <c r="E8159" s="2" t="str">
        <f>"土木工程学院"</f>
        <v>土木工程学院</v>
      </c>
    </row>
    <row r="8160" ht="13.5" hidden="1" spans="1:5">
      <c r="A8160" s="2" t="str">
        <f>"余卓函"</f>
        <v>余卓函</v>
      </c>
      <c r="B8160" s="2" t="str">
        <f>"B20230601428"</f>
        <v>B20230601428</v>
      </c>
      <c r="C8160" s="2" t="str">
        <f>"女"</f>
        <v>女</v>
      </c>
      <c r="D8160" s="2" t="str">
        <f>"3"</f>
        <v>3</v>
      </c>
      <c r="E8160" s="2" t="str">
        <f>"法学院"</f>
        <v>法学院</v>
      </c>
    </row>
    <row r="8161" ht="13.5" hidden="1" spans="1:5">
      <c r="A8161" s="2" t="str">
        <f>"王羚毓"</f>
        <v>王羚毓</v>
      </c>
      <c r="B8161" s="2" t="str">
        <f>"B20200503219"</f>
        <v>B20200503219</v>
      </c>
      <c r="C8161" s="2" t="str">
        <f>"女"</f>
        <v>女</v>
      </c>
      <c r="D8161" s="2" t="str">
        <f>"3"</f>
        <v>3</v>
      </c>
      <c r="E8161" s="2" t="str">
        <f>"生物与环境工程学院"</f>
        <v>生物与环境工程学院</v>
      </c>
    </row>
    <row r="8162" ht="13.5" hidden="1" spans="1:5">
      <c r="A8162" s="2" t="str">
        <f>"秦盟涵"</f>
        <v>秦盟涵</v>
      </c>
      <c r="B8162" s="2" t="str">
        <f>"B20220704122"</f>
        <v>B20220704122</v>
      </c>
      <c r="C8162" s="2" t="str">
        <f>"女"</f>
        <v>女</v>
      </c>
      <c r="D8162" s="2" t="str">
        <f>"3"</f>
        <v>3</v>
      </c>
      <c r="E8162" s="2" t="str">
        <f>"马栏山新媒体学院"</f>
        <v>马栏山新媒体学院</v>
      </c>
    </row>
    <row r="8163" ht="13.5" hidden="1" spans="1:5">
      <c r="A8163" s="2" t="str">
        <f>"高杨洋"</f>
        <v>高杨洋</v>
      </c>
      <c r="B8163" s="2" t="str">
        <f>"B20210803114"</f>
        <v>B20210803114</v>
      </c>
      <c r="C8163" s="2" t="str">
        <f>"女"</f>
        <v>女</v>
      </c>
      <c r="D8163" s="2" t="str">
        <f>"3"</f>
        <v>3</v>
      </c>
      <c r="E8163" s="2" t="str">
        <f>"外国语学院"</f>
        <v>外国语学院</v>
      </c>
    </row>
    <row r="8164" ht="13.5" hidden="1" spans="1:5">
      <c r="A8164" s="2" t="str">
        <f>"张诗怡"</f>
        <v>张诗怡</v>
      </c>
      <c r="B8164" s="2" t="str">
        <f>"B20210904239"</f>
        <v>B20210904239</v>
      </c>
      <c r="C8164" s="2" t="str">
        <f>"女"</f>
        <v>女</v>
      </c>
      <c r="D8164" s="2" t="str">
        <f>"3"</f>
        <v>3</v>
      </c>
      <c r="E8164" s="2" t="str">
        <f>"经济与管理学院"</f>
        <v>经济与管理学院</v>
      </c>
    </row>
    <row r="8165" ht="13.5" hidden="1" spans="1:5">
      <c r="A8165" s="2" t="str">
        <f>"关心"</f>
        <v>关心</v>
      </c>
      <c r="B8165" s="2" t="str">
        <f>"B20230402130"</f>
        <v>B20230402130</v>
      </c>
      <c r="C8165" s="2" t="str">
        <f t="shared" ref="C8165:C8167" si="1990">"男"</f>
        <v>男</v>
      </c>
      <c r="D8165" s="2" t="str">
        <f>"3"</f>
        <v>3</v>
      </c>
      <c r="E8165" s="2" t="str">
        <f>"电子信息与电气工程学院"</f>
        <v>电子信息与电气工程学院</v>
      </c>
    </row>
    <row r="8166" ht="13.5" hidden="1" spans="1:5">
      <c r="A8166" s="2" t="str">
        <f>"龙乾"</f>
        <v>龙乾</v>
      </c>
      <c r="B8166" s="2" t="str">
        <f>"B20230101404"</f>
        <v>B20230101404</v>
      </c>
      <c r="C8166" s="2" t="str">
        <f t="shared" si="1990"/>
        <v>男</v>
      </c>
      <c r="D8166" s="2" t="str">
        <f>"3"</f>
        <v>3</v>
      </c>
      <c r="E8166" s="2" t="str">
        <f>"土木工程学院"</f>
        <v>土木工程学院</v>
      </c>
    </row>
    <row r="8167" ht="13.5" hidden="1" spans="1:5">
      <c r="A8167" s="2" t="str">
        <f>"陈宇鹏"</f>
        <v>陈宇鹏</v>
      </c>
      <c r="B8167" s="2" t="str">
        <f>"B20210403202"</f>
        <v>B20210403202</v>
      </c>
      <c r="C8167" s="2" t="str">
        <f t="shared" si="1990"/>
        <v>男</v>
      </c>
      <c r="D8167" s="2" t="str">
        <f>"3"</f>
        <v>3</v>
      </c>
      <c r="E8167" s="2" t="str">
        <f>"电子信息与电气工程学院"</f>
        <v>电子信息与电气工程学院</v>
      </c>
    </row>
    <row r="8168" ht="13.5" hidden="1" spans="1:5">
      <c r="A8168" s="2" t="str">
        <f>"汤莹"</f>
        <v>汤莹</v>
      </c>
      <c r="B8168" s="2" t="str">
        <f>"B20230601408"</f>
        <v>B20230601408</v>
      </c>
      <c r="C8168" s="2" t="str">
        <f>"女"</f>
        <v>女</v>
      </c>
      <c r="D8168" s="2" t="str">
        <f>"3"</f>
        <v>3</v>
      </c>
      <c r="E8168" s="2" t="str">
        <f>"法学院"</f>
        <v>法学院</v>
      </c>
    </row>
    <row r="8169" ht="13.5" hidden="1" spans="1:5">
      <c r="A8169" s="2" t="str">
        <f>"张忆彤"</f>
        <v>张忆彤</v>
      </c>
      <c r="B8169" s="2" t="str">
        <f>"B20231002120"</f>
        <v>B20231002120</v>
      </c>
      <c r="C8169" s="2" t="str">
        <f>"女"</f>
        <v>女</v>
      </c>
      <c r="D8169" s="2" t="str">
        <f>"3"</f>
        <v>3</v>
      </c>
      <c r="E8169" s="2" t="str">
        <f>"艺术设计学院"</f>
        <v>艺术设计学院</v>
      </c>
    </row>
    <row r="8170" ht="13.5" hidden="1" spans="1:5">
      <c r="A8170" s="2" t="str">
        <f>"张小龙"</f>
        <v>张小龙</v>
      </c>
      <c r="B8170" s="2" t="str">
        <f>"B20231002101"</f>
        <v>B20231002101</v>
      </c>
      <c r="C8170" s="2" t="str">
        <f>"男"</f>
        <v>男</v>
      </c>
      <c r="D8170" s="2" t="str">
        <f>"3"</f>
        <v>3</v>
      </c>
      <c r="E8170" s="2" t="str">
        <f>"艺术设计学院"</f>
        <v>艺术设计学院</v>
      </c>
    </row>
    <row r="8171" ht="13.5" hidden="1" spans="1:5">
      <c r="A8171" s="2" t="str">
        <f>"吴泽民"</f>
        <v>吴泽民</v>
      </c>
      <c r="B8171" s="2" t="str">
        <f>"B20210101221"</f>
        <v>B20210101221</v>
      </c>
      <c r="C8171" s="2" t="str">
        <f>"男"</f>
        <v>男</v>
      </c>
      <c r="D8171" s="2" t="str">
        <f>"3"</f>
        <v>3</v>
      </c>
      <c r="E8171" s="2" t="str">
        <f>"土木工程学院"</f>
        <v>土木工程学院</v>
      </c>
    </row>
    <row r="8172" ht="13.5" hidden="1" spans="1:5">
      <c r="A8172" s="2" t="str">
        <f>"张晃"</f>
        <v>张晃</v>
      </c>
      <c r="B8172" s="2" t="str">
        <f>"B20200101310"</f>
        <v>B20200101310</v>
      </c>
      <c r="C8172" s="2" t="str">
        <f>"男"</f>
        <v>男</v>
      </c>
      <c r="D8172" s="2" t="str">
        <f>"3"</f>
        <v>3</v>
      </c>
      <c r="E8172" s="2" t="str">
        <f>"土木工程学院"</f>
        <v>土木工程学院</v>
      </c>
    </row>
    <row r="8173" ht="13.5" hidden="1" spans="1:5">
      <c r="A8173" s="2" t="str">
        <f>"宋鸿宇"</f>
        <v>宋鸿宇</v>
      </c>
      <c r="B8173" s="2" t="str">
        <f>"B20210101614"</f>
        <v>B20210101614</v>
      </c>
      <c r="C8173" s="2" t="str">
        <f>"男"</f>
        <v>男</v>
      </c>
      <c r="D8173" s="2" t="str">
        <f>"3"</f>
        <v>3</v>
      </c>
      <c r="E8173" s="2" t="str">
        <f>"土木工程学院"</f>
        <v>土木工程学院</v>
      </c>
    </row>
    <row r="8174" ht="13.5" hidden="1" spans="1:5">
      <c r="A8174" s="2" t="str">
        <f>"谷金盛"</f>
        <v>谷金盛</v>
      </c>
      <c r="B8174" s="2" t="str">
        <f>"B20230101206"</f>
        <v>B20230101206</v>
      </c>
      <c r="C8174" s="2" t="str">
        <f>"男"</f>
        <v>男</v>
      </c>
      <c r="D8174" s="2" t="str">
        <f>"3"</f>
        <v>3</v>
      </c>
      <c r="E8174" s="2" t="str">
        <f>"土木工程学院"</f>
        <v>土木工程学院</v>
      </c>
    </row>
    <row r="8175" ht="13.5" hidden="1" spans="1:5">
      <c r="A8175" s="2" t="str">
        <f>"梁夏珍"</f>
        <v>梁夏珍</v>
      </c>
      <c r="B8175" s="2" t="str">
        <f>"B20200505223"</f>
        <v>B20200505223</v>
      </c>
      <c r="C8175" s="2" t="str">
        <f>"女"</f>
        <v>女</v>
      </c>
      <c r="D8175" s="2" t="str">
        <f>"3"</f>
        <v>3</v>
      </c>
      <c r="E8175" s="2" t="str">
        <f>"生物与环境工程学院"</f>
        <v>生物与环境工程学院</v>
      </c>
    </row>
    <row r="8176" ht="13.5" hidden="1" spans="1:5">
      <c r="A8176" s="2" t="str">
        <f>"李炜博"</f>
        <v>李炜博</v>
      </c>
      <c r="B8176" s="2" t="str">
        <f>"B20220703214"</f>
        <v>B20220703214</v>
      </c>
      <c r="C8176" s="2" t="str">
        <f>"男"</f>
        <v>男</v>
      </c>
      <c r="D8176" s="2" t="str">
        <f>"3"</f>
        <v>3</v>
      </c>
      <c r="E8176" s="2" t="str">
        <f>"马栏山新媒体学院"</f>
        <v>马栏山新媒体学院</v>
      </c>
    </row>
    <row r="8177" ht="13.5" hidden="1" spans="1:5">
      <c r="A8177" s="2" t="str">
        <f>"何梓欣"</f>
        <v>何梓欣</v>
      </c>
      <c r="B8177" s="2" t="str">
        <f>"B20211002116"</f>
        <v>B20211002116</v>
      </c>
      <c r="C8177" s="2" t="str">
        <f>"女"</f>
        <v>女</v>
      </c>
      <c r="D8177" s="2" t="str">
        <f>"3"</f>
        <v>3</v>
      </c>
      <c r="E8177" s="2" t="str">
        <f>"艺术设计学院"</f>
        <v>艺术设计学院</v>
      </c>
    </row>
    <row r="8178" ht="13.5" hidden="1" spans="1:5">
      <c r="A8178" s="2" t="str">
        <f>"陈欣怡"</f>
        <v>陈欣怡</v>
      </c>
      <c r="B8178" s="2" t="str">
        <f>"B20210904203"</f>
        <v>B20210904203</v>
      </c>
      <c r="C8178" s="2" t="str">
        <f>"女"</f>
        <v>女</v>
      </c>
      <c r="D8178" s="2" t="str">
        <f>"3"</f>
        <v>3</v>
      </c>
      <c r="E8178" s="2" t="str">
        <f>"经济与管理学院"</f>
        <v>经济与管理学院</v>
      </c>
    </row>
    <row r="8179" ht="13.5" hidden="1" spans="1:5">
      <c r="A8179" s="2" t="str">
        <f>"周叙桦"</f>
        <v>周叙桦</v>
      </c>
      <c r="B8179" s="2" t="str">
        <f>"B20210101519"</f>
        <v>B20210101519</v>
      </c>
      <c r="C8179" s="2" t="str">
        <f>"男"</f>
        <v>男</v>
      </c>
      <c r="D8179" s="2" t="str">
        <f>"3"</f>
        <v>3</v>
      </c>
      <c r="E8179" s="2" t="str">
        <f>"土木工程学院"</f>
        <v>土木工程学院</v>
      </c>
    </row>
    <row r="8180" ht="13.5" hidden="1" spans="1:5">
      <c r="A8180" s="2" t="str">
        <f>"袁亚瑄"</f>
        <v>袁亚瑄</v>
      </c>
      <c r="B8180" s="2" t="str">
        <f>"B20230703113"</f>
        <v>B20230703113</v>
      </c>
      <c r="C8180" s="2" t="str">
        <f>"女"</f>
        <v>女</v>
      </c>
      <c r="D8180" s="2" t="str">
        <f>"3"</f>
        <v>3</v>
      </c>
      <c r="E8180" s="2" t="str">
        <f>"马栏山新媒体学院"</f>
        <v>马栏山新媒体学院</v>
      </c>
    </row>
    <row r="8181" ht="13.5" hidden="1" spans="1:5">
      <c r="A8181" s="2" t="str">
        <f>"万菲琳"</f>
        <v>万菲琳</v>
      </c>
      <c r="B8181" s="2" t="str">
        <f>"B20220701422"</f>
        <v>B20220701422</v>
      </c>
      <c r="C8181" s="2" t="str">
        <f>"女"</f>
        <v>女</v>
      </c>
      <c r="D8181" s="2" t="str">
        <f>"3"</f>
        <v>3</v>
      </c>
      <c r="E8181" s="2" t="str">
        <f>"马栏山新媒体学院"</f>
        <v>马栏山新媒体学院</v>
      </c>
    </row>
    <row r="8182" ht="13.5" hidden="1" spans="1:5">
      <c r="A8182" s="2" t="str">
        <f>"陈芷莹"</f>
        <v>陈芷莹</v>
      </c>
      <c r="B8182" s="2" t="str">
        <f>"B20220601120"</f>
        <v>B20220601120</v>
      </c>
      <c r="C8182" s="2" t="str">
        <f>"女"</f>
        <v>女</v>
      </c>
      <c r="D8182" s="2" t="str">
        <f>"3"</f>
        <v>3</v>
      </c>
      <c r="E8182" s="2" t="str">
        <f>"法学院"</f>
        <v>法学院</v>
      </c>
    </row>
    <row r="8183" ht="13.5" hidden="1" spans="1:5">
      <c r="A8183" s="2" t="str">
        <f>"焦志祥"</f>
        <v>焦志祥</v>
      </c>
      <c r="B8183" s="2" t="str">
        <f>"B20220204213"</f>
        <v>B20220204213</v>
      </c>
      <c r="C8183" s="2" t="str">
        <f t="shared" ref="C8183:C8187" si="1991">"男"</f>
        <v>男</v>
      </c>
      <c r="D8183" s="2" t="str">
        <f>"3"</f>
        <v>3</v>
      </c>
      <c r="E8183" s="2" t="str">
        <f>"机电工程学院"</f>
        <v>机电工程学院</v>
      </c>
    </row>
    <row r="8184" ht="13.5" hidden="1" spans="1:5">
      <c r="A8184" s="2" t="str">
        <f>"谢金桓"</f>
        <v>谢金桓</v>
      </c>
      <c r="B8184" s="2" t="str">
        <f>"B20220204208"</f>
        <v>B20220204208</v>
      </c>
      <c r="C8184" s="2" t="str">
        <f t="shared" si="1991"/>
        <v>男</v>
      </c>
      <c r="D8184" s="2" t="str">
        <f>"3"</f>
        <v>3</v>
      </c>
      <c r="E8184" s="2" t="str">
        <f>"机电工程学院"</f>
        <v>机电工程学院</v>
      </c>
    </row>
    <row r="8185" ht="13.5" hidden="1" spans="1:5">
      <c r="A8185" s="2" t="str">
        <f>"王诗妍"</f>
        <v>王诗妍</v>
      </c>
      <c r="B8185" s="2" t="str">
        <f>"B20230803127"</f>
        <v>B20230803127</v>
      </c>
      <c r="C8185" s="2" t="str">
        <f t="shared" ref="C8185:C8192" si="1992">"女"</f>
        <v>女</v>
      </c>
      <c r="D8185" s="2" t="str">
        <f>"3"</f>
        <v>3</v>
      </c>
      <c r="E8185" s="2" t="str">
        <f>"外国语学院"</f>
        <v>外国语学院</v>
      </c>
    </row>
    <row r="8186" ht="13.5" hidden="1" spans="1:5">
      <c r="A8186" s="2" t="str">
        <f>"彭婷淳"</f>
        <v>彭婷淳</v>
      </c>
      <c r="B8186" s="2" t="str">
        <f>"B20230901311"</f>
        <v>B20230901311</v>
      </c>
      <c r="C8186" s="2" t="str">
        <f t="shared" si="1992"/>
        <v>女</v>
      </c>
      <c r="D8186" s="2" t="str">
        <f>"3"</f>
        <v>3</v>
      </c>
      <c r="E8186" s="2" t="str">
        <f t="shared" ref="E8186:E8189" si="1993">"经济与管理学院"</f>
        <v>经济与管理学院</v>
      </c>
    </row>
    <row r="8187" ht="13.5" hidden="1" spans="1:5">
      <c r="A8187" s="2" t="str">
        <f>"张宇轩"</f>
        <v>张宇轩</v>
      </c>
      <c r="B8187" s="2" t="str">
        <f>"B20230903126"</f>
        <v>B20230903126</v>
      </c>
      <c r="C8187" s="2" t="str">
        <f t="shared" si="1991"/>
        <v>男</v>
      </c>
      <c r="D8187" s="2" t="str">
        <f>"3"</f>
        <v>3</v>
      </c>
      <c r="E8187" s="2" t="str">
        <f t="shared" si="1993"/>
        <v>经济与管理学院</v>
      </c>
    </row>
    <row r="8188" ht="13.5" hidden="1" spans="1:5">
      <c r="A8188" s="2" t="str">
        <f>"陈洪艳"</f>
        <v>陈洪艳</v>
      </c>
      <c r="B8188" s="2" t="str">
        <f>"B20231401219"</f>
        <v>B20231401219</v>
      </c>
      <c r="C8188" s="2" t="str">
        <f t="shared" si="1992"/>
        <v>女</v>
      </c>
      <c r="D8188" s="2" t="str">
        <f>"3"</f>
        <v>3</v>
      </c>
      <c r="E8188" s="2" t="str">
        <f>"马克思主义学院"</f>
        <v>马克思主义学院</v>
      </c>
    </row>
    <row r="8189" ht="13.5" hidden="1" spans="1:5">
      <c r="A8189" s="2" t="str">
        <f>"邓怡姈"</f>
        <v>邓怡姈</v>
      </c>
      <c r="B8189" s="2" t="str">
        <f>"B20220903121"</f>
        <v>B20220903121</v>
      </c>
      <c r="C8189" s="2" t="str">
        <f t="shared" si="1992"/>
        <v>女</v>
      </c>
      <c r="D8189" s="2" t="str">
        <f>"3"</f>
        <v>3</v>
      </c>
      <c r="E8189" s="2" t="str">
        <f t="shared" si="1993"/>
        <v>经济与管理学院</v>
      </c>
    </row>
    <row r="8190" ht="13.5" hidden="1" spans="1:5">
      <c r="A8190" s="2" t="str">
        <f>"蚁秋珣"</f>
        <v>蚁秋珣</v>
      </c>
      <c r="B8190" s="2" t="str">
        <f>"B20210701124"</f>
        <v>B20210701124</v>
      </c>
      <c r="C8190" s="2" t="str">
        <f t="shared" si="1992"/>
        <v>女</v>
      </c>
      <c r="D8190" s="2" t="str">
        <f>"3"</f>
        <v>3</v>
      </c>
      <c r="E8190" s="2" t="str">
        <f t="shared" ref="E8190:E8195" si="1994">"马栏山新媒体学院"</f>
        <v>马栏山新媒体学院</v>
      </c>
    </row>
    <row r="8191" ht="13.5" hidden="1" spans="1:5">
      <c r="A8191" s="2" t="str">
        <f>"罗心怡"</f>
        <v>罗心怡</v>
      </c>
      <c r="B8191" s="2" t="str">
        <f>"B20230702220"</f>
        <v>B20230702220</v>
      </c>
      <c r="C8191" s="2" t="str">
        <f t="shared" si="1992"/>
        <v>女</v>
      </c>
      <c r="D8191" s="2" t="str">
        <f>"3"</f>
        <v>3</v>
      </c>
      <c r="E8191" s="2" t="str">
        <f t="shared" si="1994"/>
        <v>马栏山新媒体学院</v>
      </c>
    </row>
    <row r="8192" ht="13.5" hidden="1" spans="1:5">
      <c r="A8192" s="2" t="str">
        <f>"闫碧君"</f>
        <v>闫碧君</v>
      </c>
      <c r="B8192" s="2" t="str">
        <f>"B20200801604"</f>
        <v>B20200801604</v>
      </c>
      <c r="C8192" s="2" t="str">
        <f t="shared" si="1992"/>
        <v>女</v>
      </c>
      <c r="D8192" s="2" t="str">
        <f>"3"</f>
        <v>3</v>
      </c>
      <c r="E8192" s="2" t="str">
        <f>"外国语学院"</f>
        <v>外国语学院</v>
      </c>
    </row>
    <row r="8193" ht="13.5" hidden="1" spans="1:5">
      <c r="A8193" s="2" t="str">
        <f>"唐志勇"</f>
        <v>唐志勇</v>
      </c>
      <c r="B8193" s="2" t="str">
        <f>"B20210905216"</f>
        <v>B20210905216</v>
      </c>
      <c r="C8193" s="2" t="str">
        <f t="shared" ref="C8193:C8196" si="1995">"男"</f>
        <v>男</v>
      </c>
      <c r="D8193" s="2" t="str">
        <f>"3"</f>
        <v>3</v>
      </c>
      <c r="E8193" s="2" t="str">
        <f>"经济与管理学院"</f>
        <v>经济与管理学院</v>
      </c>
    </row>
    <row r="8194" ht="13.5" hidden="1" spans="1:5">
      <c r="A8194" s="2" t="str">
        <f>"丁昌昊"</f>
        <v>丁昌昊</v>
      </c>
      <c r="B8194" s="2" t="str">
        <f>"B20220401413"</f>
        <v>B20220401413</v>
      </c>
      <c r="C8194" s="2" t="str">
        <f t="shared" si="1995"/>
        <v>男</v>
      </c>
      <c r="D8194" s="2" t="str">
        <f>"3"</f>
        <v>3</v>
      </c>
      <c r="E8194" s="2" t="str">
        <f>"电子信息与电气工程学院"</f>
        <v>电子信息与电气工程学院</v>
      </c>
    </row>
    <row r="8195" ht="13.5" hidden="1" spans="1:5">
      <c r="A8195" s="2" t="str">
        <f>"曾铭堃"</f>
        <v>曾铭堃</v>
      </c>
      <c r="B8195" s="2" t="str">
        <f>"B20220704421"</f>
        <v>B20220704421</v>
      </c>
      <c r="C8195" s="2" t="str">
        <f>"女"</f>
        <v>女</v>
      </c>
      <c r="D8195" s="2" t="str">
        <f>"3"</f>
        <v>3</v>
      </c>
      <c r="E8195" s="2" t="str">
        <f t="shared" si="1994"/>
        <v>马栏山新媒体学院</v>
      </c>
    </row>
    <row r="8196" ht="13.5" hidden="1" spans="1:5">
      <c r="A8196" s="2" t="str">
        <f>"邓益杰"</f>
        <v>邓益杰</v>
      </c>
      <c r="B8196" s="2" t="str">
        <f>"B20200101109"</f>
        <v>B20200101109</v>
      </c>
      <c r="C8196" s="2" t="str">
        <f t="shared" si="1995"/>
        <v>男</v>
      </c>
      <c r="D8196" s="2" t="str">
        <f>"3"</f>
        <v>3</v>
      </c>
      <c r="E8196" s="2" t="str">
        <f>"土木工程学院"</f>
        <v>土木工程学院</v>
      </c>
    </row>
    <row r="8197" ht="13.5" hidden="1" spans="1:5">
      <c r="A8197" s="2" t="str">
        <f>"匡宣霖"</f>
        <v>匡宣霖</v>
      </c>
      <c r="B8197" s="2" t="str">
        <f>"B20230401304"</f>
        <v>B20230401304</v>
      </c>
      <c r="C8197" s="2" t="str">
        <f>"男"</f>
        <v>男</v>
      </c>
      <c r="D8197" s="2" t="str">
        <f>"3"</f>
        <v>3</v>
      </c>
      <c r="E8197" s="2" t="str">
        <f>"电子信息与电气工程学院"</f>
        <v>电子信息与电气工程学院</v>
      </c>
    </row>
    <row r="8198" ht="13.5" hidden="1" spans="1:5">
      <c r="A8198" s="2" t="str">
        <f>"刘宇婷"</f>
        <v>刘宇婷</v>
      </c>
      <c r="B8198" s="2" t="str">
        <f>"B20210704319"</f>
        <v>B20210704319</v>
      </c>
      <c r="C8198" s="2" t="str">
        <f>"女"</f>
        <v>女</v>
      </c>
      <c r="D8198" s="2" t="str">
        <f>"3"</f>
        <v>3</v>
      </c>
      <c r="E8198" s="2" t="str">
        <f>"马栏山新媒体学院"</f>
        <v>马栏山新媒体学院</v>
      </c>
    </row>
    <row r="8199" ht="13.5" hidden="1" spans="1:5">
      <c r="A8199" s="2" t="str">
        <f>"殷基哲"</f>
        <v>殷基哲</v>
      </c>
      <c r="B8199" s="2" t="str">
        <f>"B20231301135"</f>
        <v>B20231301135</v>
      </c>
      <c r="C8199" s="2" t="str">
        <f>"男"</f>
        <v>男</v>
      </c>
      <c r="D8199" s="2" t="str">
        <f>"3"</f>
        <v>3</v>
      </c>
      <c r="E8199" s="2" t="str">
        <f>"材料与环境工程学院"</f>
        <v>材料与环境工程学院</v>
      </c>
    </row>
    <row r="8200" ht="13.5" hidden="1" spans="1:5">
      <c r="A8200" s="2" t="str">
        <f>"戴子怡"</f>
        <v>戴子怡</v>
      </c>
      <c r="B8200" s="2" t="str">
        <f>"B20220801515"</f>
        <v>B20220801515</v>
      </c>
      <c r="C8200" s="2" t="str">
        <f t="shared" ref="C8200:C8203" si="1996">"女"</f>
        <v>女</v>
      </c>
      <c r="D8200" s="2" t="str">
        <f>"3"</f>
        <v>3</v>
      </c>
      <c r="E8200" s="2" t="str">
        <f>"外国语学院"</f>
        <v>外国语学院</v>
      </c>
    </row>
    <row r="8201" ht="13.5" hidden="1" spans="1:5">
      <c r="A8201" s="2" t="str">
        <f>"唐雅婕"</f>
        <v>唐雅婕</v>
      </c>
      <c r="B8201" s="2" t="str">
        <f>"B20230703202"</f>
        <v>B20230703202</v>
      </c>
      <c r="C8201" s="2" t="str">
        <f t="shared" si="1996"/>
        <v>女</v>
      </c>
      <c r="D8201" s="2" t="str">
        <f>"3"</f>
        <v>3</v>
      </c>
      <c r="E8201" s="2" t="str">
        <f>"马栏山新媒体学院"</f>
        <v>马栏山新媒体学院</v>
      </c>
    </row>
    <row r="8202" ht="13.5" hidden="1" spans="1:5">
      <c r="A8202" s="2" t="str">
        <f>"杨聪"</f>
        <v>杨聪</v>
      </c>
      <c r="B8202" s="2" t="str">
        <f>"B20210101522"</f>
        <v>B20210101522</v>
      </c>
      <c r="C8202" s="2" t="str">
        <f t="shared" ref="C8202:C8205" si="1997">"男"</f>
        <v>男</v>
      </c>
      <c r="D8202" s="2" t="str">
        <f>"3"</f>
        <v>3</v>
      </c>
      <c r="E8202" s="2" t="str">
        <f>"土木工程学院"</f>
        <v>土木工程学院</v>
      </c>
    </row>
    <row r="8203" ht="13.5" hidden="1" spans="1:5">
      <c r="A8203" s="2" t="str">
        <f>"覃芸祯"</f>
        <v>覃芸祯</v>
      </c>
      <c r="B8203" s="2" t="str">
        <f>"B20210901226"</f>
        <v>B20210901226</v>
      </c>
      <c r="C8203" s="2" t="str">
        <f t="shared" si="1996"/>
        <v>女</v>
      </c>
      <c r="D8203" s="2" t="str">
        <f>"3"</f>
        <v>3</v>
      </c>
      <c r="E8203" s="2" t="str">
        <f>"经济与管理学院"</f>
        <v>经济与管理学院</v>
      </c>
    </row>
    <row r="8204" ht="13.5" hidden="1" spans="1:5">
      <c r="A8204" s="2" t="str">
        <f>"张龙顺"</f>
        <v>张龙顺</v>
      </c>
      <c r="B8204" s="2" t="str">
        <f>"B20220402102"</f>
        <v>B20220402102</v>
      </c>
      <c r="C8204" s="2" t="str">
        <f t="shared" si="1997"/>
        <v>男</v>
      </c>
      <c r="D8204" s="2" t="str">
        <f>"3"</f>
        <v>3</v>
      </c>
      <c r="E8204" s="2" t="str">
        <f t="shared" ref="E8204:E8208" si="1998">"电子信息与电气工程学院"</f>
        <v>电子信息与电气工程学院</v>
      </c>
    </row>
    <row r="8205" ht="13.5" hidden="1" spans="1:5">
      <c r="A8205" s="2" t="str">
        <f>"全伟"</f>
        <v>全伟</v>
      </c>
      <c r="B8205" s="2" t="str">
        <f>"B20230202431"</f>
        <v>B20230202431</v>
      </c>
      <c r="C8205" s="2" t="str">
        <f t="shared" si="1997"/>
        <v>男</v>
      </c>
      <c r="D8205" s="2" t="str">
        <f>"3"</f>
        <v>3</v>
      </c>
      <c r="E8205" s="2" t="str">
        <f>"机电工程学院"</f>
        <v>机电工程学院</v>
      </c>
    </row>
    <row r="8206" ht="13.5" hidden="1" spans="1:5">
      <c r="A8206" s="2" t="str">
        <f>"艾晓然"</f>
        <v>艾晓然</v>
      </c>
      <c r="B8206" s="2" t="str">
        <f>"B20220702325"</f>
        <v>B20220702325</v>
      </c>
      <c r="C8206" s="2" t="str">
        <f>"女"</f>
        <v>女</v>
      </c>
      <c r="D8206" s="2" t="str">
        <f>"3"</f>
        <v>3</v>
      </c>
      <c r="E8206" s="2" t="str">
        <f>"马栏山新媒体学院"</f>
        <v>马栏山新媒体学院</v>
      </c>
    </row>
    <row r="8207" ht="13.5" hidden="1" spans="1:5">
      <c r="A8207" s="2" t="str">
        <f>"廖俊伟"</f>
        <v>廖俊伟</v>
      </c>
      <c r="B8207" s="2" t="str">
        <f>"B20230401315"</f>
        <v>B20230401315</v>
      </c>
      <c r="C8207" s="2" t="str">
        <f>"男"</f>
        <v>男</v>
      </c>
      <c r="D8207" s="2" t="str">
        <f>"3"</f>
        <v>3</v>
      </c>
      <c r="E8207" s="2" t="str">
        <f t="shared" si="1998"/>
        <v>电子信息与电气工程学院</v>
      </c>
    </row>
    <row r="8208" ht="13.5" hidden="1" spans="1:5">
      <c r="A8208" s="2" t="str">
        <f>"吴婕"</f>
        <v>吴婕</v>
      </c>
      <c r="B8208" s="2" t="str">
        <f>"B20230401205"</f>
        <v>B20230401205</v>
      </c>
      <c r="C8208" s="2" t="str">
        <f>"女"</f>
        <v>女</v>
      </c>
      <c r="D8208" s="2" t="str">
        <f>"3"</f>
        <v>3</v>
      </c>
      <c r="E8208" s="2" t="str">
        <f t="shared" si="1998"/>
        <v>电子信息与电气工程学院</v>
      </c>
    </row>
    <row r="8209" ht="13.5" hidden="1" spans="1:5">
      <c r="A8209" s="2" t="str">
        <f>"李舟顺"</f>
        <v>李舟顺</v>
      </c>
      <c r="B8209" s="2" t="str">
        <f>"B20230402314"</f>
        <v>B20230402314</v>
      </c>
      <c r="C8209" s="2" t="str">
        <f>"男"</f>
        <v>男</v>
      </c>
      <c r="D8209" s="2" t="str">
        <f>"3"</f>
        <v>3</v>
      </c>
      <c r="E8209" s="2" t="str">
        <f>"电子信息与电气工程学院"</f>
        <v>电子信息与电气工程学院</v>
      </c>
    </row>
    <row r="8210" ht="13.5" hidden="1" spans="1:5">
      <c r="A8210" s="2" t="str">
        <f>"刘仁超"</f>
        <v>刘仁超</v>
      </c>
      <c r="B8210" s="2" t="str">
        <f>"B20220801323"</f>
        <v>B20220801323</v>
      </c>
      <c r="C8210" s="2" t="str">
        <f>"男"</f>
        <v>男</v>
      </c>
      <c r="D8210" s="2" t="str">
        <f>"3"</f>
        <v>3</v>
      </c>
      <c r="E8210" s="2" t="str">
        <f>"外国语学院"</f>
        <v>外国语学院</v>
      </c>
    </row>
    <row r="8211" ht="13.5" hidden="1" spans="1:5">
      <c r="A8211" s="2" t="str">
        <f>"陆烨"</f>
        <v>陆烨</v>
      </c>
      <c r="B8211" s="2" t="str">
        <f>"B20230201425"</f>
        <v>B20230201425</v>
      </c>
      <c r="C8211" s="2" t="str">
        <f>"男"</f>
        <v>男</v>
      </c>
      <c r="D8211" s="2" t="str">
        <f>"3"</f>
        <v>3</v>
      </c>
      <c r="E8211" s="2" t="str">
        <f>"机电工程学院"</f>
        <v>机电工程学院</v>
      </c>
    </row>
    <row r="8212" ht="13.5" hidden="1" spans="1:5">
      <c r="A8212" s="2" t="str">
        <f>"陈锐"</f>
        <v>陈锐</v>
      </c>
      <c r="B8212" s="2" t="str">
        <f>"B20210101630"</f>
        <v>B20210101630</v>
      </c>
      <c r="C8212" s="2" t="str">
        <f>"男"</f>
        <v>男</v>
      </c>
      <c r="D8212" s="2" t="str">
        <f>"3"</f>
        <v>3</v>
      </c>
      <c r="E8212" s="2" t="str">
        <f>"土木工程学院"</f>
        <v>土木工程学院</v>
      </c>
    </row>
    <row r="8213" ht="13.5" hidden="1" spans="1:5">
      <c r="A8213" s="2" t="str">
        <f>"付梓睿"</f>
        <v>付梓睿</v>
      </c>
      <c r="B8213" s="2" t="str">
        <f>"B20230401127"</f>
        <v>B20230401127</v>
      </c>
      <c r="C8213" s="2" t="str">
        <f>"男"</f>
        <v>男</v>
      </c>
      <c r="D8213" s="2" t="str">
        <f>"3"</f>
        <v>3</v>
      </c>
      <c r="E8213" s="2" t="str">
        <f>"电子信息与电气工程学院"</f>
        <v>电子信息与电气工程学院</v>
      </c>
    </row>
    <row r="8214" ht="13.5" hidden="1" spans="1:5">
      <c r="A8214" s="2" t="str">
        <f>"李睿熙"</f>
        <v>李睿熙</v>
      </c>
      <c r="B8214" s="2" t="str">
        <f>"B20231111218"</f>
        <v>B20231111218</v>
      </c>
      <c r="C8214" s="2" t="str">
        <f>"女"</f>
        <v>女</v>
      </c>
      <c r="D8214" s="2" t="str">
        <f>"3"</f>
        <v>3</v>
      </c>
      <c r="E8214" s="2" t="str">
        <f>"音乐学院"</f>
        <v>音乐学院</v>
      </c>
    </row>
    <row r="8215" ht="13.5" hidden="1" spans="1:5">
      <c r="A8215" s="2" t="str">
        <f>"周望佳"</f>
        <v>周望佳</v>
      </c>
      <c r="B8215" s="2" t="str">
        <f>"B20230903101"</f>
        <v>B20230903101</v>
      </c>
      <c r="C8215" s="2" t="str">
        <f>"女"</f>
        <v>女</v>
      </c>
      <c r="D8215" s="2" t="str">
        <f>"3"</f>
        <v>3</v>
      </c>
      <c r="E8215" s="2" t="str">
        <f>"经济与管理学院"</f>
        <v>经济与管理学院</v>
      </c>
    </row>
    <row r="8216" ht="13.5" hidden="1" spans="1:5">
      <c r="A8216" s="2" t="str">
        <f>"陈文博"</f>
        <v>陈文博</v>
      </c>
      <c r="B8216" s="2" t="str">
        <f>"B20231302115"</f>
        <v>B20231302115</v>
      </c>
      <c r="C8216" s="2" t="str">
        <f>"男"</f>
        <v>男</v>
      </c>
      <c r="D8216" s="2" t="str">
        <f>"3"</f>
        <v>3</v>
      </c>
      <c r="E8216" s="2" t="str">
        <f>"材料与环境工程学院"</f>
        <v>材料与环境工程学院</v>
      </c>
    </row>
    <row r="8217" ht="13.5" hidden="1" spans="1:5">
      <c r="A8217" s="2" t="str">
        <f>"宋璟熙"</f>
        <v>宋璟熙</v>
      </c>
      <c r="B8217" s="2" t="str">
        <f>"B20220504422"</f>
        <v>B20220504422</v>
      </c>
      <c r="C8217" s="2" t="str">
        <f>"男"</f>
        <v>男</v>
      </c>
      <c r="D8217" s="2" t="str">
        <f>"3"</f>
        <v>3</v>
      </c>
      <c r="E8217" s="2" t="str">
        <f>"生物与化学工程学院"</f>
        <v>生物与化学工程学院</v>
      </c>
    </row>
    <row r="8218" ht="13.5" hidden="1" spans="1:5">
      <c r="A8218" s="2" t="str">
        <f>"尹星尧"</f>
        <v>尹星尧</v>
      </c>
      <c r="B8218" s="2" t="str">
        <f>"B20210905134"</f>
        <v>B20210905134</v>
      </c>
      <c r="C8218" s="2" t="str">
        <f>"女"</f>
        <v>女</v>
      </c>
      <c r="D8218" s="2" t="str">
        <f>"3"</f>
        <v>3</v>
      </c>
      <c r="E8218" s="2" t="str">
        <f>"经济与管理学院"</f>
        <v>经济与管理学院</v>
      </c>
    </row>
    <row r="8219" ht="13.5" hidden="1" spans="1:5">
      <c r="A8219" s="2" t="str">
        <f>"刘姣"</f>
        <v>刘姣</v>
      </c>
      <c r="B8219" s="2" t="str">
        <f>"B20220901129"</f>
        <v>B20220901129</v>
      </c>
      <c r="C8219" s="2" t="str">
        <f>"女"</f>
        <v>女</v>
      </c>
      <c r="D8219" s="2" t="str">
        <f>"3"</f>
        <v>3</v>
      </c>
      <c r="E8219" s="2" t="str">
        <f>"经济与管理学院"</f>
        <v>经济与管理学院</v>
      </c>
    </row>
    <row r="8220" ht="13.5" hidden="1" spans="1:5">
      <c r="A8220" s="2" t="str">
        <f>"李甜"</f>
        <v>李甜</v>
      </c>
      <c r="B8220" s="2" t="str">
        <f>"B20231401203"</f>
        <v>B20231401203</v>
      </c>
      <c r="C8220" s="2" t="str">
        <f>"女"</f>
        <v>女</v>
      </c>
      <c r="D8220" s="2" t="str">
        <f>"3"</f>
        <v>3</v>
      </c>
      <c r="E8220" s="2" t="str">
        <f>"马克思主义学院"</f>
        <v>马克思主义学院</v>
      </c>
    </row>
    <row r="8221" ht="13.5" hidden="1" spans="1:5">
      <c r="A8221" s="2" t="str">
        <f>"陈梦君"</f>
        <v>陈梦君</v>
      </c>
      <c r="B8221" s="2" t="str">
        <f>"B20200803209"</f>
        <v>B20200803209</v>
      </c>
      <c r="C8221" s="2" t="str">
        <f>"女"</f>
        <v>女</v>
      </c>
      <c r="D8221" s="2" t="str">
        <f>"3"</f>
        <v>3</v>
      </c>
      <c r="E8221" s="2" t="str">
        <f>"外国语学院"</f>
        <v>外国语学院</v>
      </c>
    </row>
    <row r="8222" ht="13.5" hidden="1" spans="1:5">
      <c r="A8222" s="2" t="str">
        <f>"赵敏"</f>
        <v>赵敏</v>
      </c>
      <c r="B8222" s="2" t="str">
        <f>"B20220903220"</f>
        <v>B20220903220</v>
      </c>
      <c r="C8222" s="2" t="str">
        <f>"女"</f>
        <v>女</v>
      </c>
      <c r="D8222" s="2" t="str">
        <f>"3"</f>
        <v>3</v>
      </c>
      <c r="E8222" s="2" t="str">
        <f>"经济与管理学院"</f>
        <v>经济与管理学院</v>
      </c>
    </row>
    <row r="8223" ht="13.5" hidden="1" spans="1:5">
      <c r="A8223" s="2" t="str">
        <f>"周子晴"</f>
        <v>周子晴</v>
      </c>
      <c r="B8223" s="2" t="str">
        <f>"B20230902230"</f>
        <v>B20230902230</v>
      </c>
      <c r="C8223" s="2" t="str">
        <f>"女"</f>
        <v>女</v>
      </c>
      <c r="D8223" s="2" t="str">
        <f>"3"</f>
        <v>3</v>
      </c>
      <c r="E8223" s="2" t="str">
        <f>"经济与管理学院"</f>
        <v>经济与管理学院</v>
      </c>
    </row>
    <row r="8224" ht="13.5" hidden="1" spans="1:5">
      <c r="A8224" s="2" t="str">
        <f>"王苗苗"</f>
        <v>王苗苗</v>
      </c>
      <c r="B8224" s="2" t="str">
        <f>"B20210902423"</f>
        <v>B20210902423</v>
      </c>
      <c r="C8224" s="2" t="str">
        <f t="shared" ref="C8224:C8226" si="1999">"女"</f>
        <v>女</v>
      </c>
      <c r="D8224" s="2" t="str">
        <f>"3"</f>
        <v>3</v>
      </c>
      <c r="E8224" s="2" t="str">
        <f t="shared" ref="E8224:E8228" si="2000">"经济与管理学院"</f>
        <v>经济与管理学院</v>
      </c>
    </row>
    <row r="8225" ht="13.5" hidden="1" spans="1:5">
      <c r="A8225" s="2" t="str">
        <f>"赵思彤"</f>
        <v>赵思彤</v>
      </c>
      <c r="B8225" s="2" t="str">
        <f>"B20220701131"</f>
        <v>B20220701131</v>
      </c>
      <c r="C8225" s="2" t="str">
        <f t="shared" si="1999"/>
        <v>女</v>
      </c>
      <c r="D8225" s="2" t="str">
        <f>"3"</f>
        <v>3</v>
      </c>
      <c r="E8225" s="2" t="str">
        <f>"马栏山新媒体学院"</f>
        <v>马栏山新媒体学院</v>
      </c>
    </row>
    <row r="8226" ht="13.5" hidden="1" spans="1:5">
      <c r="A8226" s="2" t="str">
        <f>"刘湘"</f>
        <v>刘湘</v>
      </c>
      <c r="B8226" s="2" t="str">
        <f>"B20200905102"</f>
        <v>B20200905102</v>
      </c>
      <c r="C8226" s="2" t="str">
        <f t="shared" si="1999"/>
        <v>女</v>
      </c>
      <c r="D8226" s="2" t="str">
        <f>"3"</f>
        <v>3</v>
      </c>
      <c r="E8226" s="2" t="str">
        <f t="shared" si="2000"/>
        <v>经济与管理学院</v>
      </c>
    </row>
    <row r="8227" ht="13.5" hidden="1" spans="1:5">
      <c r="A8227" s="2" t="str">
        <f>"万海涛"</f>
        <v>万海涛</v>
      </c>
      <c r="B8227" s="2" t="str">
        <f>"B20231001415"</f>
        <v>B20231001415</v>
      </c>
      <c r="C8227" s="2" t="str">
        <f>"男"</f>
        <v>男</v>
      </c>
      <c r="D8227" s="2" t="str">
        <f>"3"</f>
        <v>3</v>
      </c>
      <c r="E8227" s="2" t="str">
        <f>"艺术设计学院"</f>
        <v>艺术设计学院</v>
      </c>
    </row>
    <row r="8228" ht="13.5" hidden="1" spans="1:5">
      <c r="A8228" s="2" t="str">
        <f>"石倩"</f>
        <v>石倩</v>
      </c>
      <c r="B8228" s="2" t="str">
        <f>"B20220902116"</f>
        <v>B20220902116</v>
      </c>
      <c r="C8228" s="2" t="str">
        <f>"女"</f>
        <v>女</v>
      </c>
      <c r="D8228" s="2" t="str">
        <f>"3"</f>
        <v>3</v>
      </c>
      <c r="E8228" s="2" t="str">
        <f t="shared" si="2000"/>
        <v>经济与管理学院</v>
      </c>
    </row>
    <row r="8229" ht="13.5" hidden="1" spans="1:5">
      <c r="A8229" s="2" t="str">
        <f>"龚慧文"</f>
        <v>龚慧文</v>
      </c>
      <c r="B8229" s="2" t="str">
        <f>"B20230205305"</f>
        <v>B20230205305</v>
      </c>
      <c r="C8229" s="2" t="str">
        <f>"男"</f>
        <v>男</v>
      </c>
      <c r="D8229" s="2" t="str">
        <f>"3"</f>
        <v>3</v>
      </c>
      <c r="E8229" s="2" t="str">
        <f>"机电工程学院"</f>
        <v>机电工程学院</v>
      </c>
    </row>
    <row r="8230" ht="13.5" hidden="1" spans="1:5">
      <c r="A8230" s="2" t="str">
        <f>"林云山"</f>
        <v>林云山</v>
      </c>
      <c r="B8230" s="2" t="str">
        <f>"B20210201429"</f>
        <v>B20210201429</v>
      </c>
      <c r="C8230" s="2" t="str">
        <f>"男"</f>
        <v>男</v>
      </c>
      <c r="D8230" s="2" t="str">
        <f>"3"</f>
        <v>3</v>
      </c>
      <c r="E8230" s="2" t="str">
        <f>"机电工程学院"</f>
        <v>机电工程学院</v>
      </c>
    </row>
    <row r="8231" ht="13.5" hidden="1" spans="1:5">
      <c r="A8231" s="2" t="str">
        <f>"闫明"</f>
        <v>闫明</v>
      </c>
      <c r="B8231" s="2" t="str">
        <f>"B20231001303"</f>
        <v>B20231001303</v>
      </c>
      <c r="C8231" s="2" t="str">
        <f>"男"</f>
        <v>男</v>
      </c>
      <c r="D8231" s="2" t="str">
        <f>"3"</f>
        <v>3</v>
      </c>
      <c r="E8231" s="2" t="str">
        <f>"艺术设计学院"</f>
        <v>艺术设计学院</v>
      </c>
    </row>
    <row r="8232" ht="13.5" hidden="1" spans="1:5">
      <c r="A8232" s="2" t="str">
        <f>"张艺洲"</f>
        <v>张艺洲</v>
      </c>
      <c r="B8232" s="2" t="str">
        <f>"B20230704211"</f>
        <v>B20230704211</v>
      </c>
      <c r="C8232" s="2" t="str">
        <f t="shared" ref="C8232:C8236" si="2001">"女"</f>
        <v>女</v>
      </c>
      <c r="D8232" s="2" t="str">
        <f>"3"</f>
        <v>3</v>
      </c>
      <c r="E8232" s="2" t="str">
        <f>"马栏山新媒体学院"</f>
        <v>马栏山新媒体学院</v>
      </c>
    </row>
    <row r="8233" ht="13.5" hidden="1" spans="1:5">
      <c r="A8233" s="2" t="str">
        <f>"刘益"</f>
        <v>刘益</v>
      </c>
      <c r="B8233" s="2" t="str">
        <f>"B20210505226"</f>
        <v>B20210505226</v>
      </c>
      <c r="C8233" s="2" t="str">
        <f>"男"</f>
        <v>男</v>
      </c>
      <c r="D8233" s="2" t="str">
        <f>"3"</f>
        <v>3</v>
      </c>
      <c r="E8233" s="2" t="str">
        <f>"材料与环境工程学院"</f>
        <v>材料与环境工程学院</v>
      </c>
    </row>
    <row r="8234" ht="13.5" hidden="1" spans="1:5">
      <c r="A8234" s="2" t="str">
        <f>"王顺旗"</f>
        <v>王顺旗</v>
      </c>
      <c r="B8234" s="2" t="str">
        <f>"B20220903224"</f>
        <v>B20220903224</v>
      </c>
      <c r="C8234" s="2" t="str">
        <f t="shared" si="2001"/>
        <v>女</v>
      </c>
      <c r="D8234" s="2" t="str">
        <f>"3"</f>
        <v>3</v>
      </c>
      <c r="E8234" s="2" t="str">
        <f>"经济与管理学院"</f>
        <v>经济与管理学院</v>
      </c>
    </row>
    <row r="8235" ht="13.5" hidden="1" spans="1:5">
      <c r="A8235" s="2" t="str">
        <f>"姜舟"</f>
        <v>姜舟</v>
      </c>
      <c r="B8235" s="2" t="str">
        <f>"B20231111202"</f>
        <v>B20231111202</v>
      </c>
      <c r="C8235" s="2" t="str">
        <f t="shared" si="2001"/>
        <v>女</v>
      </c>
      <c r="D8235" s="2" t="str">
        <f>"3"</f>
        <v>3</v>
      </c>
      <c r="E8235" s="2" t="str">
        <f>"音乐学院"</f>
        <v>音乐学院</v>
      </c>
    </row>
    <row r="8236" ht="13.5" hidden="1" spans="1:5">
      <c r="A8236" s="2" t="str">
        <f>"周诣馨"</f>
        <v>周诣馨</v>
      </c>
      <c r="B8236" s="2" t="str">
        <f>"B20230803219"</f>
        <v>B20230803219</v>
      </c>
      <c r="C8236" s="2" t="str">
        <f t="shared" si="2001"/>
        <v>女</v>
      </c>
      <c r="D8236" s="2" t="str">
        <f>"3"</f>
        <v>3</v>
      </c>
      <c r="E8236" s="2" t="str">
        <f>"外国语学院"</f>
        <v>外国语学院</v>
      </c>
    </row>
    <row r="8237" ht="13.5" hidden="1" spans="1:5">
      <c r="A8237" s="2" t="str">
        <f>"杨爽"</f>
        <v>杨爽</v>
      </c>
      <c r="B8237" s="2" t="str">
        <f>"B20210402310"</f>
        <v>B20210402310</v>
      </c>
      <c r="C8237" s="2" t="str">
        <f>"男"</f>
        <v>男</v>
      </c>
      <c r="D8237" s="2" t="str">
        <f>"3"</f>
        <v>3</v>
      </c>
      <c r="E8237" s="2" t="str">
        <f>"电子信息与电气工程学院"</f>
        <v>电子信息与电气工程学院</v>
      </c>
    </row>
    <row r="8238" ht="13.5" hidden="1" spans="1:5">
      <c r="A8238" s="2" t="str">
        <f>"黄婕"</f>
        <v>黄婕</v>
      </c>
      <c r="B8238" s="2" t="str">
        <f>"B20220902208"</f>
        <v>B20220902208</v>
      </c>
      <c r="C8238" s="2" t="str">
        <f>"女"</f>
        <v>女</v>
      </c>
      <c r="D8238" s="2" t="str">
        <f>"3"</f>
        <v>3</v>
      </c>
      <c r="E8238" s="2" t="str">
        <f>"经济与管理学院"</f>
        <v>经济与管理学院</v>
      </c>
    </row>
    <row r="8239" ht="13.5" hidden="1" spans="1:5">
      <c r="A8239" s="2" t="str">
        <f>"郝天鸽"</f>
        <v>郝天鸽</v>
      </c>
      <c r="B8239" s="2" t="str">
        <f>"B20230401432"</f>
        <v>B20230401432</v>
      </c>
      <c r="C8239" s="2" t="str">
        <f>"女"</f>
        <v>女</v>
      </c>
      <c r="D8239" s="2" t="str">
        <f>"3"</f>
        <v>3</v>
      </c>
      <c r="E8239" s="2" t="str">
        <f>"电子信息与电气工程学院"</f>
        <v>电子信息与电气工程学院</v>
      </c>
    </row>
    <row r="8240" ht="13.5" hidden="1" spans="1:5">
      <c r="A8240" s="2" t="str">
        <f>"谢凡"</f>
        <v>谢凡</v>
      </c>
      <c r="B8240" s="2" t="str">
        <f>"B20220403302"</f>
        <v>B20220403302</v>
      </c>
      <c r="C8240" s="2" t="str">
        <f>"男"</f>
        <v>男</v>
      </c>
      <c r="D8240" s="2" t="str">
        <f>"3"</f>
        <v>3</v>
      </c>
      <c r="E8240" s="2" t="str">
        <f>"电子信息与电气工程学院"</f>
        <v>电子信息与电气工程学院</v>
      </c>
    </row>
    <row r="8241" ht="13.5" hidden="1" spans="1:5">
      <c r="A8241" s="2" t="str">
        <f>"文昊天"</f>
        <v>文昊天</v>
      </c>
      <c r="B8241" s="2" t="str">
        <f>"B20230701219"</f>
        <v>B20230701219</v>
      </c>
      <c r="C8241" s="2" t="str">
        <f>"男"</f>
        <v>男</v>
      </c>
      <c r="D8241" s="2" t="str">
        <f>"3"</f>
        <v>3</v>
      </c>
      <c r="E8241" s="2" t="str">
        <f>"马栏山新媒体学院"</f>
        <v>马栏山新媒体学院</v>
      </c>
    </row>
    <row r="8242" ht="13.5" hidden="1" spans="1:5">
      <c r="A8242" s="2" t="str">
        <f>"董睿"</f>
        <v>董睿</v>
      </c>
      <c r="B8242" s="2" t="str">
        <f>"B20230204222"</f>
        <v>B20230204222</v>
      </c>
      <c r="C8242" s="2" t="str">
        <f>"男"</f>
        <v>男</v>
      </c>
      <c r="D8242" s="2" t="str">
        <f>"3"</f>
        <v>3</v>
      </c>
      <c r="E8242" s="2" t="str">
        <f>"机电工程学院"</f>
        <v>机电工程学院</v>
      </c>
    </row>
    <row r="8243" ht="13.5" hidden="1" spans="1:5">
      <c r="A8243" s="2" t="str">
        <f>"王辰"</f>
        <v>王辰</v>
      </c>
      <c r="B8243" s="2" t="str">
        <f>"B20210701101"</f>
        <v>B20210701101</v>
      </c>
      <c r="C8243" s="2" t="str">
        <f>"女"</f>
        <v>女</v>
      </c>
      <c r="D8243" s="2" t="str">
        <f>"3"</f>
        <v>3</v>
      </c>
      <c r="E8243" s="2" t="str">
        <f>"马栏山新媒体学院"</f>
        <v>马栏山新媒体学院</v>
      </c>
    </row>
    <row r="8244" ht="13.5" hidden="1" spans="1:5">
      <c r="A8244" s="2" t="str">
        <f>"杨晖芳"</f>
        <v>杨晖芳</v>
      </c>
      <c r="B8244" s="2" t="str">
        <f>"B20230101434"</f>
        <v>B20230101434</v>
      </c>
      <c r="C8244" s="2" t="str">
        <f>"男"</f>
        <v>男</v>
      </c>
      <c r="D8244" s="2" t="str">
        <f>"3"</f>
        <v>3</v>
      </c>
      <c r="E8244" s="2" t="str">
        <f>"土木工程学院"</f>
        <v>土木工程学院</v>
      </c>
    </row>
    <row r="8245" ht="13.5" hidden="1" spans="1:5">
      <c r="A8245" s="2" t="str">
        <f>"付湘红"</f>
        <v>付湘红</v>
      </c>
      <c r="B8245" s="2" t="str">
        <f>"B20210802106"</f>
        <v>B20210802106</v>
      </c>
      <c r="C8245" s="2" t="str">
        <f>"男"</f>
        <v>男</v>
      </c>
      <c r="D8245" s="2" t="str">
        <f>"3"</f>
        <v>3</v>
      </c>
      <c r="E8245" s="2" t="str">
        <f>"外国语学院"</f>
        <v>外国语学院</v>
      </c>
    </row>
    <row r="8246" ht="13.5" hidden="1" spans="1:5">
      <c r="A8246" s="2" t="str">
        <f>"邓倩怡"</f>
        <v>邓倩怡</v>
      </c>
      <c r="B8246" s="2" t="str">
        <f>"B20230705114"</f>
        <v>B20230705114</v>
      </c>
      <c r="C8246" s="2" t="str">
        <f>"女"</f>
        <v>女</v>
      </c>
      <c r="D8246" s="2" t="str">
        <f>"3"</f>
        <v>3</v>
      </c>
      <c r="E8246" s="2" t="str">
        <f>"马栏山新媒体学院"</f>
        <v>马栏山新媒体学院</v>
      </c>
    </row>
    <row r="8247" ht="13.5" hidden="1" spans="1:5">
      <c r="A8247" s="2" t="str">
        <f>"李平"</f>
        <v>李平</v>
      </c>
      <c r="B8247" s="2" t="str">
        <f>"B20220101104"</f>
        <v>B20220101104</v>
      </c>
      <c r="C8247" s="2" t="str">
        <f>"男"</f>
        <v>男</v>
      </c>
      <c r="D8247" s="2" t="str">
        <f>"3"</f>
        <v>3</v>
      </c>
      <c r="E8247" s="2" t="str">
        <f>"土木工程学院"</f>
        <v>土木工程学院</v>
      </c>
    </row>
    <row r="8248" ht="13.5" hidden="1" spans="1:5">
      <c r="A8248" s="2" t="str">
        <f>"吴海艳"</f>
        <v>吴海艳</v>
      </c>
      <c r="B8248" s="2" t="str">
        <f>"B20210801211"</f>
        <v>B20210801211</v>
      </c>
      <c r="C8248" s="2" t="str">
        <f>"女"</f>
        <v>女</v>
      </c>
      <c r="D8248" s="2" t="str">
        <f>"3"</f>
        <v>3</v>
      </c>
      <c r="E8248" s="2" t="str">
        <f>"外国语学院"</f>
        <v>外国语学院</v>
      </c>
    </row>
    <row r="8249" ht="13.5" hidden="1" spans="1:5">
      <c r="A8249" s="2" t="str">
        <f>"刘佳乐"</f>
        <v>刘佳乐</v>
      </c>
      <c r="B8249" s="2" t="str">
        <f>"B20210201418"</f>
        <v>B20210201418</v>
      </c>
      <c r="C8249" s="2" t="str">
        <f>"男"</f>
        <v>男</v>
      </c>
      <c r="D8249" s="2" t="str">
        <f>"3"</f>
        <v>3</v>
      </c>
      <c r="E8249" s="2" t="str">
        <f>"机电工程学院"</f>
        <v>机电工程学院</v>
      </c>
    </row>
    <row r="8250" ht="13.5" hidden="1" spans="1:5">
      <c r="A8250" s="2" t="str">
        <f>"李雷华"</f>
        <v>李雷华</v>
      </c>
      <c r="B8250" s="2" t="str">
        <f>"B20210704219"</f>
        <v>B20210704219</v>
      </c>
      <c r="C8250" s="2" t="str">
        <f>"女"</f>
        <v>女</v>
      </c>
      <c r="D8250" s="2" t="str">
        <f>"3"</f>
        <v>3</v>
      </c>
      <c r="E8250" s="2" t="str">
        <f>"马栏山新媒体学院"</f>
        <v>马栏山新媒体学院</v>
      </c>
    </row>
    <row r="8251" ht="13.5" hidden="1" spans="1:5">
      <c r="A8251" s="2" t="str">
        <f>"王好"</f>
        <v>王好</v>
      </c>
      <c r="B8251" s="2" t="str">
        <f>"B20220101618"</f>
        <v>B20220101618</v>
      </c>
      <c r="C8251" s="2" t="str">
        <f t="shared" ref="C8251:C8256" si="2002">"男"</f>
        <v>男</v>
      </c>
      <c r="D8251" s="2" t="str">
        <f>"3"</f>
        <v>3</v>
      </c>
      <c r="E8251" s="2" t="str">
        <f>"土木工程学院"</f>
        <v>土木工程学院</v>
      </c>
    </row>
    <row r="8252" ht="13.5" hidden="1" spans="1:5">
      <c r="A8252" s="2" t="str">
        <f>"何敏涛"</f>
        <v>何敏涛</v>
      </c>
      <c r="B8252" s="2" t="str">
        <f>"B20220601410"</f>
        <v>B20220601410</v>
      </c>
      <c r="C8252" s="2" t="str">
        <f>"女"</f>
        <v>女</v>
      </c>
      <c r="D8252" s="2" t="str">
        <f>"3"</f>
        <v>3</v>
      </c>
      <c r="E8252" s="2" t="str">
        <f>"法学院"</f>
        <v>法学院</v>
      </c>
    </row>
    <row r="8253" ht="13.5" hidden="1" spans="1:5">
      <c r="A8253" s="2" t="str">
        <f>"赵宇力"</f>
        <v>赵宇力</v>
      </c>
      <c r="B8253" s="2" t="str">
        <f>"B20230501110"</f>
        <v>B20230501110</v>
      </c>
      <c r="C8253" s="2" t="str">
        <f t="shared" si="2002"/>
        <v>男</v>
      </c>
      <c r="D8253" s="2" t="str">
        <f>"3"</f>
        <v>3</v>
      </c>
      <c r="E8253" s="2" t="str">
        <f>"生物与化学工程学院"</f>
        <v>生物与化学工程学院</v>
      </c>
    </row>
    <row r="8254" ht="13.5" hidden="1" spans="1:5">
      <c r="A8254" s="2" t="str">
        <f>"彭灿波"</f>
        <v>彭灿波</v>
      </c>
      <c r="B8254" s="2" t="str">
        <f>"B20230403124"</f>
        <v>B20230403124</v>
      </c>
      <c r="C8254" s="2" t="str">
        <f t="shared" si="2002"/>
        <v>男</v>
      </c>
      <c r="D8254" s="2" t="str">
        <f>"3"</f>
        <v>3</v>
      </c>
      <c r="E8254" s="2" t="str">
        <f>"电子信息与电气工程学院"</f>
        <v>电子信息与电气工程学院</v>
      </c>
    </row>
    <row r="8255" ht="13.5" hidden="1" spans="1:5">
      <c r="A8255" s="2" t="str">
        <f>"徐天佑"</f>
        <v>徐天佑</v>
      </c>
      <c r="B8255" s="2" t="str">
        <f>"B20210103217"</f>
        <v>B20210103217</v>
      </c>
      <c r="C8255" s="2" t="str">
        <f t="shared" si="2002"/>
        <v>男</v>
      </c>
      <c r="D8255" s="2" t="str">
        <f>"3"</f>
        <v>3</v>
      </c>
      <c r="E8255" s="2" t="str">
        <f>"土木工程学院"</f>
        <v>土木工程学院</v>
      </c>
    </row>
    <row r="8256" ht="13.5" hidden="1" spans="1:5">
      <c r="A8256" s="2" t="str">
        <f>"王东辉"</f>
        <v>王东辉</v>
      </c>
      <c r="B8256" s="2" t="str">
        <f>"B20230703107"</f>
        <v>B20230703107</v>
      </c>
      <c r="C8256" s="2" t="str">
        <f t="shared" si="2002"/>
        <v>男</v>
      </c>
      <c r="D8256" s="2" t="str">
        <f>"3"</f>
        <v>3</v>
      </c>
      <c r="E8256" s="2" t="str">
        <f>"马栏山新媒体学院"</f>
        <v>马栏山新媒体学院</v>
      </c>
    </row>
    <row r="8257" ht="13.5" hidden="1" spans="1:5">
      <c r="A8257" s="2" t="str">
        <f>"代思颖"</f>
        <v>代思颖</v>
      </c>
      <c r="B8257" s="2" t="str">
        <f>"B20201002225"</f>
        <v>B20201002225</v>
      </c>
      <c r="C8257" s="2" t="str">
        <f>"女"</f>
        <v>女</v>
      </c>
      <c r="D8257" s="2" t="str">
        <f>"3"</f>
        <v>3</v>
      </c>
      <c r="E8257" s="2" t="str">
        <f>"艺术设计学院"</f>
        <v>艺术设计学院</v>
      </c>
    </row>
    <row r="8258" ht="13.5" hidden="1" spans="1:5">
      <c r="A8258" s="2" t="str">
        <f>"谯晓萱"</f>
        <v>谯晓萱</v>
      </c>
      <c r="B8258" s="2" t="str">
        <f>"B20230904228"</f>
        <v>B20230904228</v>
      </c>
      <c r="C8258" s="2" t="str">
        <f>"女"</f>
        <v>女</v>
      </c>
      <c r="D8258" s="2" t="str">
        <f>"3"</f>
        <v>3</v>
      </c>
      <c r="E8258" s="2" t="str">
        <f>"经济与管理学院"</f>
        <v>经济与管理学院</v>
      </c>
    </row>
    <row r="8259" ht="13.5" hidden="1" spans="1:5">
      <c r="A8259" s="2" t="str">
        <f>"阳胡云"</f>
        <v>阳胡云</v>
      </c>
      <c r="B8259" s="2" t="str">
        <f>"B20210901146"</f>
        <v>B20210901146</v>
      </c>
      <c r="C8259" s="2" t="str">
        <f>"女"</f>
        <v>女</v>
      </c>
      <c r="D8259" s="2" t="str">
        <f>"3"</f>
        <v>3</v>
      </c>
      <c r="E8259" s="2" t="str">
        <f>"经济与管理学院"</f>
        <v>经济与管理学院</v>
      </c>
    </row>
    <row r="8260" ht="13.5" hidden="1" spans="1:5">
      <c r="A8260" s="2" t="str">
        <f>"谭雄发"</f>
        <v>谭雄发</v>
      </c>
      <c r="B8260" s="2" t="str">
        <f>"B20230401402"</f>
        <v>B20230401402</v>
      </c>
      <c r="C8260" s="2" t="str">
        <f t="shared" ref="C8259:C8264" si="2003">"男"</f>
        <v>男</v>
      </c>
      <c r="D8260" s="2" t="str">
        <f>"3"</f>
        <v>3</v>
      </c>
      <c r="E8260" s="2" t="str">
        <f>"电子信息与电气工程学院"</f>
        <v>电子信息与电气工程学院</v>
      </c>
    </row>
    <row r="8261" ht="13.5" hidden="1" spans="1:5">
      <c r="A8261" s="2" t="str">
        <f>"徐绘西"</f>
        <v>徐绘西</v>
      </c>
      <c r="B8261" s="2" t="str">
        <f>"B20211002404"</f>
        <v>B20211002404</v>
      </c>
      <c r="C8261" s="2" t="str">
        <f>"女"</f>
        <v>女</v>
      </c>
      <c r="D8261" s="2" t="str">
        <f>"3"</f>
        <v>3</v>
      </c>
      <c r="E8261" s="2" t="str">
        <f>"艺术设计学院"</f>
        <v>艺术设计学院</v>
      </c>
    </row>
    <row r="8262" ht="13.5" hidden="1" spans="1:5">
      <c r="A8262" s="2" t="str">
        <f>"高跃琨"</f>
        <v>高跃琨</v>
      </c>
      <c r="B8262" s="2" t="str">
        <f>"B20230404208"</f>
        <v>B20230404208</v>
      </c>
      <c r="C8262" s="2" t="str">
        <f t="shared" si="2003"/>
        <v>男</v>
      </c>
      <c r="D8262" s="2" t="str">
        <f>"3"</f>
        <v>3</v>
      </c>
      <c r="E8262" s="2" t="str">
        <f>"电子信息与电气工程学院"</f>
        <v>电子信息与电气工程学院</v>
      </c>
    </row>
    <row r="8263" ht="13.5" hidden="1" spans="1:5">
      <c r="A8263" s="2" t="str">
        <f>"刘罗斌"</f>
        <v>刘罗斌</v>
      </c>
      <c r="B8263" s="2" t="str">
        <f>"B20220601404"</f>
        <v>B20220601404</v>
      </c>
      <c r="C8263" s="2" t="str">
        <f t="shared" si="2003"/>
        <v>男</v>
      </c>
      <c r="D8263" s="2" t="str">
        <f>"3"</f>
        <v>3</v>
      </c>
      <c r="E8263" s="2" t="str">
        <f>"法学院"</f>
        <v>法学院</v>
      </c>
    </row>
    <row r="8264" ht="13.5" hidden="1" spans="1:5">
      <c r="A8264" s="2" t="str">
        <f>"陈宇翔"</f>
        <v>陈宇翔</v>
      </c>
      <c r="B8264" s="2" t="str">
        <f>"B20230205217"</f>
        <v>B20230205217</v>
      </c>
      <c r="C8264" s="2" t="str">
        <f t="shared" si="2003"/>
        <v>男</v>
      </c>
      <c r="D8264" s="2" t="str">
        <f>"3"</f>
        <v>3</v>
      </c>
      <c r="E8264" s="2" t="str">
        <f>"机电工程学院"</f>
        <v>机电工程学院</v>
      </c>
    </row>
    <row r="8265" ht="13.5" hidden="1" spans="1:5">
      <c r="A8265" s="2" t="str">
        <f>"蒋杰圻"</f>
        <v>蒋杰圻</v>
      </c>
      <c r="B8265" s="2" t="str">
        <f>"B20220703304"</f>
        <v>B20220703304</v>
      </c>
      <c r="C8265" s="2" t="str">
        <f>"男"</f>
        <v>男</v>
      </c>
      <c r="D8265" s="2" t="str">
        <f>"3"</f>
        <v>3</v>
      </c>
      <c r="E8265" s="2" t="str">
        <f>"马栏山新媒体学院"</f>
        <v>马栏山新媒体学院</v>
      </c>
    </row>
    <row r="8266" ht="13.5" hidden="1" spans="1:5">
      <c r="A8266" s="2" t="str">
        <f>"张晓露"</f>
        <v>张晓露</v>
      </c>
      <c r="B8266" s="2" t="str">
        <f>"B20210504208"</f>
        <v>B20210504208</v>
      </c>
      <c r="C8266" s="2" t="str">
        <f t="shared" ref="C8266:C8268" si="2004">"女"</f>
        <v>女</v>
      </c>
      <c r="D8266" s="2" t="str">
        <f>"3"</f>
        <v>3</v>
      </c>
      <c r="E8266" s="2" t="str">
        <f>"生物与化学工程学院"</f>
        <v>生物与化学工程学院</v>
      </c>
    </row>
    <row r="8267" ht="13.5" hidden="1" spans="1:5">
      <c r="A8267" s="2" t="str">
        <f>"赵云霞"</f>
        <v>赵云霞</v>
      </c>
      <c r="B8267" s="2" t="str">
        <f>"B20201101231"</f>
        <v>B20201101231</v>
      </c>
      <c r="C8267" s="2" t="str">
        <f t="shared" si="2004"/>
        <v>女</v>
      </c>
      <c r="D8267" s="2" t="str">
        <f>"3"</f>
        <v>3</v>
      </c>
      <c r="E8267" s="2" t="str">
        <f>"音乐学院"</f>
        <v>音乐学院</v>
      </c>
    </row>
    <row r="8268" ht="13.5" hidden="1" spans="1:5">
      <c r="A8268" s="2" t="str">
        <f>"黄丽霖"</f>
        <v>黄丽霖</v>
      </c>
      <c r="B8268" s="2" t="str">
        <f>"B20201004123"</f>
        <v>B20201004123</v>
      </c>
      <c r="C8268" s="2" t="str">
        <f t="shared" si="2004"/>
        <v>女</v>
      </c>
      <c r="D8268" s="2" t="str">
        <f>"3"</f>
        <v>3</v>
      </c>
      <c r="E8268" s="2" t="str">
        <f>"艺术设计学院"</f>
        <v>艺术设计学院</v>
      </c>
    </row>
    <row r="8269" ht="13.5" hidden="1" spans="1:5">
      <c r="A8269" s="2" t="str">
        <f>"汤海东"</f>
        <v>汤海东</v>
      </c>
      <c r="B8269" s="2" t="str">
        <f>"B20220103108"</f>
        <v>B20220103108</v>
      </c>
      <c r="C8269" s="2" t="str">
        <f>"男"</f>
        <v>男</v>
      </c>
      <c r="D8269" s="2" t="str">
        <f>"3"</f>
        <v>3</v>
      </c>
      <c r="E8269" s="2" t="str">
        <f>"土木工程学院"</f>
        <v>土木工程学院</v>
      </c>
    </row>
    <row r="8270" ht="13.5" hidden="1" spans="1:5">
      <c r="A8270" s="2" t="str">
        <f>"曾嘉馨"</f>
        <v>曾嘉馨</v>
      </c>
      <c r="B8270" s="2" t="str">
        <f>"B20220502125"</f>
        <v>B20220502125</v>
      </c>
      <c r="C8270" s="2" t="str">
        <f>"女"</f>
        <v>女</v>
      </c>
      <c r="D8270" s="2" t="str">
        <f>"3"</f>
        <v>3</v>
      </c>
      <c r="E8270" s="2" t="str">
        <f>"生物与化学工程学院"</f>
        <v>生物与化学工程学院</v>
      </c>
    </row>
    <row r="8271" ht="13.5" hidden="1" spans="1:5">
      <c r="A8271" s="2" t="str">
        <f>"卢志勋"</f>
        <v>卢志勋</v>
      </c>
      <c r="B8271" s="2" t="str">
        <f>"B20230601116"</f>
        <v>B20230601116</v>
      </c>
      <c r="C8271" s="2" t="str">
        <f>"男"</f>
        <v>男</v>
      </c>
      <c r="D8271" s="2" t="str">
        <f>"3"</f>
        <v>3</v>
      </c>
      <c r="E8271" s="2" t="str">
        <f>"法学院"</f>
        <v>法学院</v>
      </c>
    </row>
    <row r="8272" ht="13.5" hidden="1" spans="1:5">
      <c r="A8272" s="2" t="str">
        <f>"李语帆"</f>
        <v>李语帆</v>
      </c>
      <c r="B8272" s="2" t="str">
        <f>"B20220601208"</f>
        <v>B20220601208</v>
      </c>
      <c r="C8272" s="2" t="str">
        <f>"女"</f>
        <v>女</v>
      </c>
      <c r="D8272" s="2" t="str">
        <f>"3"</f>
        <v>3</v>
      </c>
      <c r="E8272" s="2" t="str">
        <f>"法学院"</f>
        <v>法学院</v>
      </c>
    </row>
    <row r="8273" ht="13.5" hidden="1" spans="1:5">
      <c r="A8273" s="2" t="str">
        <f>"傅豪"</f>
        <v>傅豪</v>
      </c>
      <c r="B8273" s="2" t="str">
        <f>"B20200204236"</f>
        <v>B20200204236</v>
      </c>
      <c r="C8273" s="2" t="str">
        <f>"男"</f>
        <v>男</v>
      </c>
      <c r="D8273" s="2" t="str">
        <f>"3"</f>
        <v>3</v>
      </c>
      <c r="E8273" s="2" t="str">
        <f>"机电工程学院"</f>
        <v>机电工程学院</v>
      </c>
    </row>
    <row r="8274" ht="13.5" hidden="1" spans="1:5">
      <c r="A8274" s="2" t="str">
        <f>"杨涵"</f>
        <v>杨涵</v>
      </c>
      <c r="B8274" s="2" t="str">
        <f>"B20220402106"</f>
        <v>B20220402106</v>
      </c>
      <c r="C8274" s="2" t="str">
        <f>"男"</f>
        <v>男</v>
      </c>
      <c r="D8274" s="2" t="str">
        <f>"3"</f>
        <v>3</v>
      </c>
      <c r="E8274" s="2" t="str">
        <f>"电子信息与电气工程学院"</f>
        <v>电子信息与电气工程学院</v>
      </c>
    </row>
    <row r="8275" ht="13.5" hidden="1" spans="1:5">
      <c r="A8275" s="2" t="str">
        <f>"彭凯"</f>
        <v>彭凯</v>
      </c>
      <c r="B8275" s="2" t="str">
        <f>"B20230104225"</f>
        <v>B20230104225</v>
      </c>
      <c r="C8275" s="2" t="str">
        <f>"男"</f>
        <v>男</v>
      </c>
      <c r="D8275" s="2" t="str">
        <f>"3"</f>
        <v>3</v>
      </c>
      <c r="E8275" s="2" t="str">
        <f>"土木工程学院"</f>
        <v>土木工程学院</v>
      </c>
    </row>
    <row r="8276" ht="13.5" hidden="1" spans="1:5">
      <c r="A8276" s="2" t="str">
        <f>"叶宇涵"</f>
        <v>叶宇涵</v>
      </c>
      <c r="B8276" s="2" t="str">
        <f>"B20231004201"</f>
        <v>B20231004201</v>
      </c>
      <c r="C8276" s="2" t="str">
        <f>"男"</f>
        <v>男</v>
      </c>
      <c r="D8276" s="2" t="str">
        <f>"3"</f>
        <v>3</v>
      </c>
      <c r="E8276" s="2" t="str">
        <f>"艺术设计学院"</f>
        <v>艺术设计学院</v>
      </c>
    </row>
    <row r="8277" ht="13.5" hidden="1" spans="1:5">
      <c r="A8277" s="2" t="str">
        <f>"胡远行"</f>
        <v>胡远行</v>
      </c>
      <c r="B8277" s="2" t="str">
        <f>"B20210101422"</f>
        <v>B20210101422</v>
      </c>
      <c r="C8277" s="2" t="str">
        <f>"男"</f>
        <v>男</v>
      </c>
      <c r="D8277" s="2" t="str">
        <f>"3"</f>
        <v>3</v>
      </c>
      <c r="E8277" s="2" t="str">
        <f>"土木工程学院"</f>
        <v>土木工程学院</v>
      </c>
    </row>
    <row r="8278" ht="13.5" hidden="1" spans="1:5">
      <c r="A8278" s="2" t="str">
        <f>"张宇璇"</f>
        <v>张宇璇</v>
      </c>
      <c r="B8278" s="2" t="str">
        <f>"B20220402219"</f>
        <v>B20220402219</v>
      </c>
      <c r="C8278" s="2" t="str">
        <f>"男"</f>
        <v>男</v>
      </c>
      <c r="D8278" s="2" t="str">
        <f>"3"</f>
        <v>3</v>
      </c>
      <c r="E8278" s="2" t="str">
        <f>"电子信息与电气工程学院"</f>
        <v>电子信息与电气工程学院</v>
      </c>
    </row>
    <row r="8279" ht="13.5" hidden="1" spans="1:5">
      <c r="A8279" s="2" t="str">
        <f>"李芷林"</f>
        <v>李芷林</v>
      </c>
      <c r="B8279" s="2" t="str">
        <f>"B20210904226"</f>
        <v>B20210904226</v>
      </c>
      <c r="C8279" s="2" t="str">
        <f>"女"</f>
        <v>女</v>
      </c>
      <c r="D8279" s="2" t="str">
        <f>"3"</f>
        <v>3</v>
      </c>
      <c r="E8279" s="2" t="str">
        <f>"经济与管理学院"</f>
        <v>经济与管理学院</v>
      </c>
    </row>
    <row r="8280" ht="13.5" hidden="1" spans="1:5">
      <c r="A8280" s="2" t="str">
        <f>"蒋吉达"</f>
        <v>蒋吉达</v>
      </c>
      <c r="B8280" s="2" t="str">
        <f>"B20220202214"</f>
        <v>B20220202214</v>
      </c>
      <c r="C8280" s="2" t="str">
        <f t="shared" ref="C8280:C8285" si="2005">"男"</f>
        <v>男</v>
      </c>
      <c r="D8280" s="2" t="str">
        <f>"3"</f>
        <v>3</v>
      </c>
      <c r="E8280" s="2" t="str">
        <f>"机电工程学院"</f>
        <v>机电工程学院</v>
      </c>
    </row>
    <row r="8281" ht="13.5" hidden="1" spans="1:5">
      <c r="A8281" s="2" t="str">
        <f>"陈柄润"</f>
        <v>陈柄润</v>
      </c>
      <c r="B8281" s="2" t="str">
        <f>"B20230401414"</f>
        <v>B20230401414</v>
      </c>
      <c r="C8281" s="2" t="str">
        <f t="shared" si="2005"/>
        <v>男</v>
      </c>
      <c r="D8281" s="2" t="str">
        <f>"3"</f>
        <v>3</v>
      </c>
      <c r="E8281" s="2" t="str">
        <f>"电子信息与电气工程学院"</f>
        <v>电子信息与电气工程学院</v>
      </c>
    </row>
    <row r="8282" ht="13.5" hidden="1" spans="1:5">
      <c r="A8282" s="2" t="str">
        <f>"张芷毓"</f>
        <v>张芷毓</v>
      </c>
      <c r="B8282" s="2" t="str">
        <f>"B20210902219"</f>
        <v>B20210902219</v>
      </c>
      <c r="C8282" s="2" t="str">
        <f>"女"</f>
        <v>女</v>
      </c>
      <c r="D8282" s="2" t="str">
        <f>"3"</f>
        <v>3</v>
      </c>
      <c r="E8282" s="2" t="str">
        <f>"经济与管理学院"</f>
        <v>经济与管理学院</v>
      </c>
    </row>
    <row r="8283" ht="13.5" hidden="1" spans="1:5">
      <c r="A8283" s="2" t="str">
        <f>"蒋奇言"</f>
        <v>蒋奇言</v>
      </c>
      <c r="B8283" s="2" t="str">
        <f>"B20210701310"</f>
        <v>B20210701310</v>
      </c>
      <c r="C8283" s="2" t="str">
        <f t="shared" si="2005"/>
        <v>男</v>
      </c>
      <c r="D8283" s="2" t="str">
        <f>"3"</f>
        <v>3</v>
      </c>
      <c r="E8283" s="2" t="str">
        <f>"马栏山新媒体学院"</f>
        <v>马栏山新媒体学院</v>
      </c>
    </row>
    <row r="8284" ht="13.5" hidden="1" spans="1:5">
      <c r="A8284" s="2" t="str">
        <f>"谭哲轩"</f>
        <v>谭哲轩</v>
      </c>
      <c r="B8284" s="2" t="str">
        <f>"B20231003116"</f>
        <v>B20231003116</v>
      </c>
      <c r="C8284" s="2" t="str">
        <f t="shared" si="2005"/>
        <v>男</v>
      </c>
      <c r="D8284" s="2" t="str">
        <f>"3"</f>
        <v>3</v>
      </c>
      <c r="E8284" s="2" t="str">
        <f>"艺术设计学院"</f>
        <v>艺术设计学院</v>
      </c>
    </row>
    <row r="8285" ht="13.5" hidden="1" spans="1:5">
      <c r="A8285" s="2" t="str">
        <f>"欧锦佳"</f>
        <v>欧锦佳</v>
      </c>
      <c r="B8285" s="2" t="str">
        <f>"B20230601316"</f>
        <v>B20230601316</v>
      </c>
      <c r="C8285" s="2" t="str">
        <f t="shared" si="2005"/>
        <v>男</v>
      </c>
      <c r="D8285" s="2" t="str">
        <f>"3"</f>
        <v>3</v>
      </c>
      <c r="E8285" s="2" t="str">
        <f>"法学院"</f>
        <v>法学院</v>
      </c>
    </row>
    <row r="8286" ht="13.5" hidden="1" spans="1:5">
      <c r="A8286" s="2" t="str">
        <f>"吴胜荣"</f>
        <v>吴胜荣</v>
      </c>
      <c r="B8286" s="2" t="str">
        <f>"B20220501113"</f>
        <v>B20220501113</v>
      </c>
      <c r="C8286" s="2" t="str">
        <f>"男"</f>
        <v>男</v>
      </c>
      <c r="D8286" s="2" t="str">
        <f>"3"</f>
        <v>3</v>
      </c>
      <c r="E8286" s="2" t="str">
        <f>"生物与化学工程学院"</f>
        <v>生物与化学工程学院</v>
      </c>
    </row>
    <row r="8287" ht="13.5" hidden="1" spans="1:5">
      <c r="A8287" s="2" t="str">
        <f>"黄高博"</f>
        <v>黄高博</v>
      </c>
      <c r="B8287" s="2" t="str">
        <f>"B20220402225"</f>
        <v>B20220402225</v>
      </c>
      <c r="C8287" s="2" t="str">
        <f>"男"</f>
        <v>男</v>
      </c>
      <c r="D8287" s="2" t="str">
        <f>"3"</f>
        <v>3</v>
      </c>
      <c r="E8287" s="2" t="str">
        <f>"电子信息与电气工程学院"</f>
        <v>电子信息与电气工程学院</v>
      </c>
    </row>
    <row r="8288" ht="13.5" hidden="1" spans="1:5">
      <c r="A8288" s="2" t="str">
        <f>"王俊仡"</f>
        <v>王俊仡</v>
      </c>
      <c r="B8288" s="2" t="str">
        <f>"B20221002411"</f>
        <v>B20221002411</v>
      </c>
      <c r="C8288" s="2" t="str">
        <f>"男"</f>
        <v>男</v>
      </c>
      <c r="D8288" s="2" t="str">
        <f>"3"</f>
        <v>3</v>
      </c>
      <c r="E8288" s="2" t="str">
        <f>"艺术设计学院"</f>
        <v>艺术设计学院</v>
      </c>
    </row>
    <row r="8289" ht="13.5" hidden="1" spans="1:5">
      <c r="A8289" s="2" t="str">
        <f>"邓惠东"</f>
        <v>邓惠东</v>
      </c>
      <c r="B8289" s="2" t="str">
        <f>"B20210202221"</f>
        <v>B20210202221</v>
      </c>
      <c r="C8289" s="2" t="str">
        <f>"男"</f>
        <v>男</v>
      </c>
      <c r="D8289" s="2" t="str">
        <f>"3"</f>
        <v>3</v>
      </c>
      <c r="E8289" s="2" t="str">
        <f>"机电工程学院"</f>
        <v>机电工程学院</v>
      </c>
    </row>
    <row r="8290" ht="13.5" hidden="1" spans="1:5">
      <c r="A8290" s="2" t="str">
        <f>"李晨瑶"</f>
        <v>李晨瑶</v>
      </c>
      <c r="B8290" s="2" t="str">
        <f>"B20221002416"</f>
        <v>B20221002416</v>
      </c>
      <c r="C8290" s="2" t="str">
        <f>"女"</f>
        <v>女</v>
      </c>
      <c r="D8290" s="2" t="str">
        <f>"3"</f>
        <v>3</v>
      </c>
      <c r="E8290" s="2" t="str">
        <f>"艺术设计学院"</f>
        <v>艺术设计学院</v>
      </c>
    </row>
    <row r="8291" ht="13.5" hidden="1" spans="1:5">
      <c r="A8291" s="2" t="str">
        <f>"胡如锦"</f>
        <v>胡如锦</v>
      </c>
      <c r="B8291" s="2" t="str">
        <f>"B20220903116"</f>
        <v>B20220903116</v>
      </c>
      <c r="C8291" s="2" t="str">
        <f>"女"</f>
        <v>女</v>
      </c>
      <c r="D8291" s="2" t="str">
        <f>"3"</f>
        <v>3</v>
      </c>
      <c r="E8291" s="2" t="str">
        <f>"经济与管理学院"</f>
        <v>经济与管理学院</v>
      </c>
    </row>
    <row r="8292" ht="13.5" hidden="1" spans="1:5">
      <c r="A8292" s="2" t="str">
        <f>"章昕仪"</f>
        <v>章昕仪</v>
      </c>
      <c r="B8292" s="2" t="str">
        <f>"B20220906212"</f>
        <v>B20220906212</v>
      </c>
      <c r="C8292" s="2" t="str">
        <f>"女"</f>
        <v>女</v>
      </c>
      <c r="D8292" s="2" t="str">
        <f>"3"</f>
        <v>3</v>
      </c>
      <c r="E8292" s="2" t="str">
        <f>"经济与管理学院"</f>
        <v>经济与管理学院</v>
      </c>
    </row>
    <row r="8293" ht="13.5" hidden="1" spans="1:5">
      <c r="A8293" s="2" t="str">
        <f>"刘佳慧"</f>
        <v>刘佳慧</v>
      </c>
      <c r="B8293" s="2" t="str">
        <f>"B20210601422"</f>
        <v>B20210601422</v>
      </c>
      <c r="C8293" s="2" t="str">
        <f t="shared" ref="C8293:C8297" si="2006">"女"</f>
        <v>女</v>
      </c>
      <c r="D8293" s="2" t="str">
        <f>"3"</f>
        <v>3</v>
      </c>
      <c r="E8293" s="2" t="str">
        <f>"法学院"</f>
        <v>法学院</v>
      </c>
    </row>
    <row r="8294" ht="13.5" hidden="1" spans="1:5">
      <c r="A8294" s="2" t="str">
        <f>"孙笑"</f>
        <v>孙笑</v>
      </c>
      <c r="B8294" s="2" t="str">
        <f>"B20220104224"</f>
        <v>B20220104224</v>
      </c>
      <c r="C8294" s="2" t="str">
        <f t="shared" si="2006"/>
        <v>女</v>
      </c>
      <c r="D8294" s="2" t="str">
        <f>"3"</f>
        <v>3</v>
      </c>
      <c r="E8294" s="2" t="str">
        <f>"土木工程学院"</f>
        <v>土木工程学院</v>
      </c>
    </row>
    <row r="8295" ht="13.5" hidden="1" spans="1:5">
      <c r="A8295" s="2" t="str">
        <f>"金一言"</f>
        <v>金一言</v>
      </c>
      <c r="B8295" s="2" t="str">
        <f>"B20210401203"</f>
        <v>B20210401203</v>
      </c>
      <c r="C8295" s="2" t="str">
        <f>"男"</f>
        <v>男</v>
      </c>
      <c r="D8295" s="2" t="str">
        <f>"3"</f>
        <v>3</v>
      </c>
      <c r="E8295" s="2" t="str">
        <f>"电子信息与电气工程学院"</f>
        <v>电子信息与电气工程学院</v>
      </c>
    </row>
    <row r="8296" ht="13.5" hidden="1" spans="1:5">
      <c r="A8296" s="2" t="str">
        <f>"刘铮"</f>
        <v>刘铮</v>
      </c>
      <c r="B8296" s="2" t="str">
        <f>"B20221301133"</f>
        <v>B20221301133</v>
      </c>
      <c r="C8296" s="2" t="str">
        <f>"男"</f>
        <v>男</v>
      </c>
      <c r="D8296" s="2" t="str">
        <f>"3"</f>
        <v>3</v>
      </c>
      <c r="E8296" s="2" t="str">
        <f>"材料与环境工程学院"</f>
        <v>材料与环境工程学院</v>
      </c>
    </row>
    <row r="8297" ht="13.5" hidden="1" spans="1:5">
      <c r="A8297" s="2" t="str">
        <f>"胡婷婷"</f>
        <v>胡婷婷</v>
      </c>
      <c r="B8297" s="2" t="str">
        <f>"B20220802116"</f>
        <v>B20220802116</v>
      </c>
      <c r="C8297" s="2" t="str">
        <f t="shared" si="2006"/>
        <v>女</v>
      </c>
      <c r="D8297" s="2" t="str">
        <f>"3"</f>
        <v>3</v>
      </c>
      <c r="E8297" s="2" t="str">
        <f>"外国语学院"</f>
        <v>外国语学院</v>
      </c>
    </row>
    <row r="8298" ht="13.5" hidden="1" spans="1:5">
      <c r="A8298" s="2" t="str">
        <f>"喻晨帆"</f>
        <v>喻晨帆</v>
      </c>
      <c r="B8298" s="2" t="str">
        <f>"B20230101506"</f>
        <v>B20230101506</v>
      </c>
      <c r="C8298" s="2" t="str">
        <f>"男"</f>
        <v>男</v>
      </c>
      <c r="D8298" s="2" t="str">
        <f>"3"</f>
        <v>3</v>
      </c>
      <c r="E8298" s="2" t="str">
        <f>"土木工程学院"</f>
        <v>土木工程学院</v>
      </c>
    </row>
    <row r="8299" ht="13.5" hidden="1" spans="1:5">
      <c r="A8299" s="2" t="str">
        <f>"张程"</f>
        <v>张程</v>
      </c>
      <c r="B8299" s="2" t="str">
        <f>"B20230904220"</f>
        <v>B20230904220</v>
      </c>
      <c r="C8299" s="2" t="str">
        <f>"男"</f>
        <v>男</v>
      </c>
      <c r="D8299" s="2" t="str">
        <f t="shared" ref="D8299:D8319" si="2007">"3"</f>
        <v>3</v>
      </c>
      <c r="E8299" s="2" t="str">
        <f>"经济与管理学院"</f>
        <v>经济与管理学院</v>
      </c>
    </row>
    <row r="8300" ht="13.5" hidden="1" spans="1:5">
      <c r="A8300" s="2" t="str">
        <f>"袁奥成"</f>
        <v>袁奥成</v>
      </c>
      <c r="B8300" s="2" t="str">
        <f>"B20200401322"</f>
        <v>B20200401322</v>
      </c>
      <c r="C8300" s="2" t="str">
        <f>"男"</f>
        <v>男</v>
      </c>
      <c r="D8300" s="2" t="str">
        <f t="shared" si="2007"/>
        <v>3</v>
      </c>
      <c r="E8300" s="2" t="str">
        <f>"电子信息与电气工程学院"</f>
        <v>电子信息与电气工程学院</v>
      </c>
    </row>
    <row r="8301" ht="13.5" hidden="1" spans="1:5">
      <c r="A8301" s="2" t="str">
        <f>"周逸轩"</f>
        <v>周逸轩</v>
      </c>
      <c r="B8301" s="2" t="str">
        <f>"B20230401220"</f>
        <v>B20230401220</v>
      </c>
      <c r="C8301" s="2" t="str">
        <f>"男"</f>
        <v>男</v>
      </c>
      <c r="D8301" s="2" t="str">
        <f t="shared" si="2007"/>
        <v>3</v>
      </c>
      <c r="E8301" s="2" t="str">
        <f>"电子信息与电气工程学院"</f>
        <v>电子信息与电气工程学院</v>
      </c>
    </row>
    <row r="8302" ht="13.5" hidden="1" spans="1:5">
      <c r="A8302" s="2" t="str">
        <f>"周菲菲"</f>
        <v>周菲菲</v>
      </c>
      <c r="B8302" s="2" t="str">
        <f>"B20200901141"</f>
        <v>B20200901141</v>
      </c>
      <c r="C8302" s="2" t="str">
        <f>"女"</f>
        <v>女</v>
      </c>
      <c r="D8302" s="2" t="str">
        <f t="shared" si="2007"/>
        <v>3</v>
      </c>
      <c r="E8302" s="2" t="str">
        <f>"经济与管理学院"</f>
        <v>经济与管理学院</v>
      </c>
    </row>
    <row r="8303" ht="13.5" hidden="1" spans="1:5">
      <c r="A8303" s="2" t="str">
        <f>"邱越"</f>
        <v>邱越</v>
      </c>
      <c r="B8303" s="2" t="str">
        <f>"B20210201231"</f>
        <v>B20210201231</v>
      </c>
      <c r="C8303" s="2" t="str">
        <f t="shared" ref="C8303:C8305" si="2008">"男"</f>
        <v>男</v>
      </c>
      <c r="D8303" s="2" t="str">
        <f t="shared" si="2007"/>
        <v>3</v>
      </c>
      <c r="E8303" s="2" t="str">
        <f t="shared" ref="E8303:E8305" si="2009">"机电工程学院"</f>
        <v>机电工程学院</v>
      </c>
    </row>
    <row r="8304" ht="13.5" hidden="1" spans="1:5">
      <c r="A8304" s="2" t="str">
        <f>"黄展鹏"</f>
        <v>黄展鹏</v>
      </c>
      <c r="B8304" s="2" t="str">
        <f>"B20220202227"</f>
        <v>B20220202227</v>
      </c>
      <c r="C8304" s="2" t="str">
        <f t="shared" si="2008"/>
        <v>男</v>
      </c>
      <c r="D8304" s="2" t="str">
        <f t="shared" si="2007"/>
        <v>3</v>
      </c>
      <c r="E8304" s="2" t="str">
        <f t="shared" si="2009"/>
        <v>机电工程学院</v>
      </c>
    </row>
    <row r="8305" ht="13.5" hidden="1" spans="1:5">
      <c r="A8305" s="2" t="str">
        <f>"张文豪"</f>
        <v>张文豪</v>
      </c>
      <c r="B8305" s="2" t="str">
        <f>"B20210202405"</f>
        <v>B20210202405</v>
      </c>
      <c r="C8305" s="2" t="str">
        <f t="shared" si="2008"/>
        <v>男</v>
      </c>
      <c r="D8305" s="2" t="str">
        <f t="shared" si="2007"/>
        <v>3</v>
      </c>
      <c r="E8305" s="2" t="str">
        <f t="shared" si="2009"/>
        <v>机电工程学院</v>
      </c>
    </row>
    <row r="8306" ht="13.5" hidden="1" spans="1:5">
      <c r="A8306" s="2" t="str">
        <f>"张毓晗"</f>
        <v>张毓晗</v>
      </c>
      <c r="B8306" s="2" t="str">
        <f>"B20210502202"</f>
        <v>B20210502202</v>
      </c>
      <c r="C8306" s="2" t="str">
        <f t="shared" ref="C8306:C8313" si="2010">"女"</f>
        <v>女</v>
      </c>
      <c r="D8306" s="2" t="str">
        <f t="shared" si="2007"/>
        <v>3</v>
      </c>
      <c r="E8306" s="2" t="str">
        <f>"生物与化学工程学院"</f>
        <v>生物与化学工程学院</v>
      </c>
    </row>
    <row r="8307" ht="13.5" hidden="1" spans="1:5">
      <c r="A8307" s="2" t="str">
        <f>"杨溢"</f>
        <v>杨溢</v>
      </c>
      <c r="B8307" s="2" t="str">
        <f>"B20231101301"</f>
        <v>B20231101301</v>
      </c>
      <c r="C8307" s="2" t="str">
        <f t="shared" ref="C8307:C8310" si="2011">"男"</f>
        <v>男</v>
      </c>
      <c r="D8307" s="2" t="str">
        <f t="shared" si="2007"/>
        <v>3</v>
      </c>
      <c r="E8307" s="2" t="str">
        <f>"音乐学院"</f>
        <v>音乐学院</v>
      </c>
    </row>
    <row r="8308" ht="13.5" hidden="1" spans="1:5">
      <c r="A8308" s="2" t="str">
        <f>"涂姣姣"</f>
        <v>涂姣姣</v>
      </c>
      <c r="B8308" s="2" t="str">
        <f>"B20210906108"</f>
        <v>B20210906108</v>
      </c>
      <c r="C8308" s="2" t="str">
        <f t="shared" si="2010"/>
        <v>女</v>
      </c>
      <c r="D8308" s="2" t="str">
        <f t="shared" si="2007"/>
        <v>3</v>
      </c>
      <c r="E8308" s="2" t="str">
        <f t="shared" ref="E8308:E8313" si="2012">"经济与管理学院"</f>
        <v>经济与管理学院</v>
      </c>
    </row>
    <row r="8309" ht="13.5" hidden="1" spans="1:5">
      <c r="A8309" s="2" t="str">
        <f>"蔡琦"</f>
        <v>蔡琦</v>
      </c>
      <c r="B8309" s="2" t="str">
        <f>"B20210202305"</f>
        <v>B20210202305</v>
      </c>
      <c r="C8309" s="2" t="str">
        <f t="shared" si="2011"/>
        <v>男</v>
      </c>
      <c r="D8309" s="2" t="str">
        <f t="shared" si="2007"/>
        <v>3</v>
      </c>
      <c r="E8309" s="2" t="str">
        <f>"机电工程学院"</f>
        <v>机电工程学院</v>
      </c>
    </row>
    <row r="8310" ht="13.5" hidden="1" spans="1:5">
      <c r="A8310" s="2" t="str">
        <f>"姚舟"</f>
        <v>姚舟</v>
      </c>
      <c r="B8310" s="2" t="str">
        <f>"B20210502114"</f>
        <v>B20210502114</v>
      </c>
      <c r="C8310" s="2" t="str">
        <f t="shared" si="2011"/>
        <v>男</v>
      </c>
      <c r="D8310" s="2" t="str">
        <f t="shared" si="2007"/>
        <v>3</v>
      </c>
      <c r="E8310" s="2" t="str">
        <f>"生物与化学工程学院"</f>
        <v>生物与化学工程学院</v>
      </c>
    </row>
    <row r="8311" ht="13.5" hidden="1" spans="1:5">
      <c r="A8311" s="2" t="str">
        <f>"孟函琳"</f>
        <v>孟函琳</v>
      </c>
      <c r="B8311" s="2" t="str">
        <f>"B20210704110"</f>
        <v>B20210704110</v>
      </c>
      <c r="C8311" s="2" t="str">
        <f t="shared" si="2010"/>
        <v>女</v>
      </c>
      <c r="D8311" s="2" t="str">
        <f t="shared" si="2007"/>
        <v>3</v>
      </c>
      <c r="E8311" s="2" t="str">
        <f>"马栏山新媒体学院"</f>
        <v>马栏山新媒体学院</v>
      </c>
    </row>
    <row r="8312" ht="13.5" hidden="1" spans="1:5">
      <c r="A8312" s="2" t="str">
        <f>"曹艺琼"</f>
        <v>曹艺琼</v>
      </c>
      <c r="B8312" s="2" t="str">
        <f>"B20220902321"</f>
        <v>B20220902321</v>
      </c>
      <c r="C8312" s="2" t="str">
        <f t="shared" si="2010"/>
        <v>女</v>
      </c>
      <c r="D8312" s="2" t="str">
        <f t="shared" si="2007"/>
        <v>3</v>
      </c>
      <c r="E8312" s="2" t="str">
        <f t="shared" si="2012"/>
        <v>经济与管理学院</v>
      </c>
    </row>
    <row r="8313" ht="13.5" hidden="1" spans="1:5">
      <c r="A8313" s="2" t="str">
        <f>"王银"</f>
        <v>王银</v>
      </c>
      <c r="B8313" s="2" t="str">
        <f>"B20220901136"</f>
        <v>B20220901136</v>
      </c>
      <c r="C8313" s="2" t="str">
        <f t="shared" si="2010"/>
        <v>女</v>
      </c>
      <c r="D8313" s="2" t="str">
        <f t="shared" si="2007"/>
        <v>3</v>
      </c>
      <c r="E8313" s="2" t="str">
        <f t="shared" si="2012"/>
        <v>经济与管理学院</v>
      </c>
    </row>
    <row r="8314" ht="13.5" hidden="1" spans="1:5">
      <c r="A8314" s="2" t="str">
        <f>"王风起"</f>
        <v>王风起</v>
      </c>
      <c r="B8314" s="2" t="str">
        <f>"B20231003221"</f>
        <v>B20231003221</v>
      </c>
      <c r="C8314" s="2" t="str">
        <f t="shared" ref="C8314:C8319" si="2013">"男"</f>
        <v>男</v>
      </c>
      <c r="D8314" s="2" t="str">
        <f t="shared" si="2007"/>
        <v>3</v>
      </c>
      <c r="E8314" s="2" t="str">
        <f>"艺术设计学院"</f>
        <v>艺术设计学院</v>
      </c>
    </row>
    <row r="8315" ht="13.5" hidden="1" spans="1:5">
      <c r="A8315" s="2" t="str">
        <f>"梁嘉慧"</f>
        <v>梁嘉慧</v>
      </c>
      <c r="B8315" s="2" t="str">
        <f>"B20220201203"</f>
        <v>B20220201203</v>
      </c>
      <c r="C8315" s="2" t="str">
        <f t="shared" si="2013"/>
        <v>男</v>
      </c>
      <c r="D8315" s="2" t="str">
        <f t="shared" si="2007"/>
        <v>3</v>
      </c>
      <c r="E8315" s="2" t="str">
        <f>"机电工程学院"</f>
        <v>机电工程学院</v>
      </c>
    </row>
    <row r="8316" ht="13.5" hidden="1" spans="1:5">
      <c r="A8316" s="2" t="str">
        <f>"周迅"</f>
        <v>周迅</v>
      </c>
      <c r="B8316" s="2" t="str">
        <f>"B20200501122"</f>
        <v>B20200501122</v>
      </c>
      <c r="C8316" s="2" t="str">
        <f t="shared" ref="C8316:C8318" si="2014">"女"</f>
        <v>女</v>
      </c>
      <c r="D8316" s="2" t="str">
        <f t="shared" si="2007"/>
        <v>3</v>
      </c>
      <c r="E8316" s="2" t="str">
        <f>"生物与环境工程学院"</f>
        <v>生物与环境工程学院</v>
      </c>
    </row>
    <row r="8317" ht="13.5" hidden="1" spans="1:5">
      <c r="A8317" s="2" t="str">
        <f>"元子怡"</f>
        <v>元子怡</v>
      </c>
      <c r="B8317" s="2" t="str">
        <f>"B20230104115"</f>
        <v>B20230104115</v>
      </c>
      <c r="C8317" s="2" t="str">
        <f t="shared" si="2014"/>
        <v>女</v>
      </c>
      <c r="D8317" s="2" t="str">
        <f t="shared" si="2007"/>
        <v>3</v>
      </c>
      <c r="E8317" s="2" t="str">
        <f>"土木工程学院"</f>
        <v>土木工程学院</v>
      </c>
    </row>
    <row r="8318" ht="13.5" hidden="1" spans="1:5">
      <c r="A8318" s="2" t="str">
        <f>"王媛媛"</f>
        <v>王媛媛</v>
      </c>
      <c r="B8318" s="2" t="str">
        <f>"B20210201133"</f>
        <v>B20210201133</v>
      </c>
      <c r="C8318" s="2" t="str">
        <f t="shared" si="2014"/>
        <v>女</v>
      </c>
      <c r="D8318" s="2" t="str">
        <f t="shared" si="2007"/>
        <v>3</v>
      </c>
      <c r="E8318" s="2" t="str">
        <f>"机电工程学院"</f>
        <v>机电工程学院</v>
      </c>
    </row>
    <row r="8319" ht="13.5" hidden="1" spans="1:5">
      <c r="A8319" s="2" t="str">
        <f>"黄佳豪"</f>
        <v>黄佳豪</v>
      </c>
      <c r="B8319" s="2" t="str">
        <f>"B20210801618"</f>
        <v>B20210801618</v>
      </c>
      <c r="C8319" s="2" t="str">
        <f t="shared" si="2013"/>
        <v>男</v>
      </c>
      <c r="D8319" s="2" t="str">
        <f t="shared" si="2007"/>
        <v>3</v>
      </c>
      <c r="E8319" s="2" t="str">
        <f>"外国语学院"</f>
        <v>外国语学院</v>
      </c>
    </row>
    <row r="8320" ht="13.5" hidden="1" spans="1:5">
      <c r="A8320" s="2" t="str">
        <f>"刘燕"</f>
        <v>刘燕</v>
      </c>
      <c r="B8320" s="2" t="str">
        <f>"B20200701240"</f>
        <v>B20200701240</v>
      </c>
      <c r="C8320" s="2" t="str">
        <f>"女"</f>
        <v>女</v>
      </c>
      <c r="D8320" s="2" t="str">
        <f>"3"</f>
        <v>3</v>
      </c>
      <c r="E8320" s="2" t="str">
        <f>"马栏山新媒体学院"</f>
        <v>马栏山新媒体学院</v>
      </c>
    </row>
    <row r="8321" ht="13.5" hidden="1" spans="1:5">
      <c r="A8321" s="2" t="str">
        <f>"胡佳怡"</f>
        <v>胡佳怡</v>
      </c>
      <c r="B8321" s="2" t="str">
        <f>"B20220702228"</f>
        <v>B20220702228</v>
      </c>
      <c r="C8321" s="2" t="str">
        <f>"女"</f>
        <v>女</v>
      </c>
      <c r="D8321" s="2" t="str">
        <f>"3"</f>
        <v>3</v>
      </c>
      <c r="E8321" s="2" t="str">
        <f>"马栏山新媒体学院"</f>
        <v>马栏山新媒体学院</v>
      </c>
    </row>
    <row r="8322" ht="13.5" hidden="1" spans="1:5">
      <c r="A8322" s="2" t="str">
        <f>"程甜甜"</f>
        <v>程甜甜</v>
      </c>
      <c r="B8322" s="2" t="str">
        <f>"B20211002212"</f>
        <v>B20211002212</v>
      </c>
      <c r="C8322" s="2" t="str">
        <f>"女"</f>
        <v>女</v>
      </c>
      <c r="D8322" s="2" t="str">
        <f>"3"</f>
        <v>3</v>
      </c>
      <c r="E8322" s="2" t="str">
        <f>"艺术设计学院"</f>
        <v>艺术设计学院</v>
      </c>
    </row>
    <row r="8323" ht="13.5" hidden="1" spans="1:5">
      <c r="A8323" s="2" t="str">
        <f>"童梦佳"</f>
        <v>童梦佳</v>
      </c>
      <c r="B8323" s="2" t="str">
        <f>"B20220702220"</f>
        <v>B20220702220</v>
      </c>
      <c r="C8323" s="2" t="str">
        <f>"女"</f>
        <v>女</v>
      </c>
      <c r="D8323" s="2" t="str">
        <f>"3"</f>
        <v>3</v>
      </c>
      <c r="E8323" s="2" t="str">
        <f>"马栏山新媒体学院"</f>
        <v>马栏山新媒体学院</v>
      </c>
    </row>
    <row r="8324" ht="13.5" hidden="1" spans="1:5">
      <c r="A8324" s="2" t="str">
        <f>"林曦"</f>
        <v>林曦</v>
      </c>
      <c r="B8324" s="2" t="str">
        <f>"B20230504326"</f>
        <v>B20230504326</v>
      </c>
      <c r="C8324" s="2" t="str">
        <f>"男"</f>
        <v>男</v>
      </c>
      <c r="D8324" s="2" t="str">
        <f>"3"</f>
        <v>3</v>
      </c>
      <c r="E8324" s="2" t="str">
        <f t="shared" ref="E8324:E8329" si="2015">"生物与化学工程学院"</f>
        <v>生物与化学工程学院</v>
      </c>
    </row>
    <row r="8325" ht="13.5" hidden="1" spans="1:5">
      <c r="A8325" s="2" t="str">
        <f>"蒋娅林"</f>
        <v>蒋娅林</v>
      </c>
      <c r="B8325" s="2" t="str">
        <f>"B20220402305"</f>
        <v>B20220402305</v>
      </c>
      <c r="C8325" s="2" t="str">
        <f>"男"</f>
        <v>男</v>
      </c>
      <c r="D8325" s="2" t="str">
        <f>"3"</f>
        <v>3</v>
      </c>
      <c r="E8325" s="2" t="str">
        <f>"电子信息与电气工程学院"</f>
        <v>电子信息与电气工程学院</v>
      </c>
    </row>
    <row r="8326" ht="13.5" hidden="1" spans="1:5">
      <c r="A8326" s="2" t="str">
        <f>"周琪"</f>
        <v>周琪</v>
      </c>
      <c r="B8326" s="2" t="str">
        <f>"B20230703103"</f>
        <v>B20230703103</v>
      </c>
      <c r="C8326" s="2" t="str">
        <f>"女"</f>
        <v>女</v>
      </c>
      <c r="D8326" s="2" t="str">
        <f>"3"</f>
        <v>3</v>
      </c>
      <c r="E8326" s="2" t="str">
        <f>"马栏山新媒体学院"</f>
        <v>马栏山新媒体学院</v>
      </c>
    </row>
    <row r="8327" ht="13.5" hidden="1" spans="1:5">
      <c r="A8327" s="2" t="str">
        <f>"潘磊"</f>
        <v>潘磊</v>
      </c>
      <c r="B8327" s="2" t="str">
        <f>"B20210504235"</f>
        <v>B20210504235</v>
      </c>
      <c r="C8327" s="2" t="str">
        <f>"男"</f>
        <v>男</v>
      </c>
      <c r="D8327" s="2" t="str">
        <f>"3"</f>
        <v>3</v>
      </c>
      <c r="E8327" s="2" t="str">
        <f t="shared" si="2015"/>
        <v>生物与化学工程学院</v>
      </c>
    </row>
    <row r="8328" ht="13.5" hidden="1" spans="1:5">
      <c r="A8328" s="2" t="str">
        <f>"张志成"</f>
        <v>张志成</v>
      </c>
      <c r="B8328" s="2" t="str">
        <f>"B20220204223"</f>
        <v>B20220204223</v>
      </c>
      <c r="C8328" s="2" t="str">
        <f>"男"</f>
        <v>男</v>
      </c>
      <c r="D8328" s="2" t="str">
        <f>"3"</f>
        <v>3</v>
      </c>
      <c r="E8328" s="2" t="str">
        <f>"机电工程学院"</f>
        <v>机电工程学院</v>
      </c>
    </row>
    <row r="8329" ht="13.5" hidden="1" spans="1:5">
      <c r="A8329" s="2" t="str">
        <f>"滕明东"</f>
        <v>滕明东</v>
      </c>
      <c r="B8329" s="2" t="str">
        <f>"B20220502101"</f>
        <v>B20220502101</v>
      </c>
      <c r="C8329" s="2" t="str">
        <f>"男"</f>
        <v>男</v>
      </c>
      <c r="D8329" s="2" t="str">
        <f>"3"</f>
        <v>3</v>
      </c>
      <c r="E8329" s="2" t="str">
        <f t="shared" si="2015"/>
        <v>生物与化学工程学院</v>
      </c>
    </row>
    <row r="8330" ht="13.5" hidden="1" spans="1:5">
      <c r="A8330" s="2" t="str">
        <f>"侯杨茹"</f>
        <v>侯杨茹</v>
      </c>
      <c r="B8330" s="2" t="str">
        <f>"B20220901306"</f>
        <v>B20220901306</v>
      </c>
      <c r="C8330" s="2" t="str">
        <f>"女"</f>
        <v>女</v>
      </c>
      <c r="D8330" s="2" t="str">
        <f>"3"</f>
        <v>3</v>
      </c>
      <c r="E8330" s="2" t="str">
        <f>"经济与管理学院"</f>
        <v>经济与管理学院</v>
      </c>
    </row>
    <row r="8331" ht="13.5" hidden="1" spans="1:5">
      <c r="A8331" s="2" t="str">
        <f>"颜滢"</f>
        <v>颜滢</v>
      </c>
      <c r="B8331" s="2" t="str">
        <f>"B20200701105"</f>
        <v>B20200701105</v>
      </c>
      <c r="C8331" s="2" t="str">
        <f>"女"</f>
        <v>女</v>
      </c>
      <c r="D8331" s="2" t="str">
        <f>"3"</f>
        <v>3</v>
      </c>
      <c r="E8331" s="2" t="str">
        <f>"马栏山新媒体学院"</f>
        <v>马栏山新媒体学院</v>
      </c>
    </row>
    <row r="8332" ht="13.5" hidden="1" spans="1:5">
      <c r="A8332" s="2" t="str">
        <f>"晏蒙"</f>
        <v>晏蒙</v>
      </c>
      <c r="B8332" s="2" t="str">
        <f>"B20200801117"</f>
        <v>B20200801117</v>
      </c>
      <c r="C8332" s="2" t="str">
        <f>"女"</f>
        <v>女</v>
      </c>
      <c r="D8332" s="2" t="str">
        <f>"3"</f>
        <v>3</v>
      </c>
      <c r="E8332" s="2" t="str">
        <f>"外国语学院"</f>
        <v>外国语学院</v>
      </c>
    </row>
    <row r="8333" ht="13.5" hidden="1" spans="1:5">
      <c r="A8333" s="2" t="str">
        <f>"毕译丹"</f>
        <v>毕译丹</v>
      </c>
      <c r="B8333" s="2" t="str">
        <f>"B20210502125"</f>
        <v>B20210502125</v>
      </c>
      <c r="C8333" s="2" t="str">
        <f>"女"</f>
        <v>女</v>
      </c>
      <c r="D8333" s="2" t="str">
        <f>"3"</f>
        <v>3</v>
      </c>
      <c r="E8333" s="2" t="str">
        <f>"生物与化学工程学院"</f>
        <v>生物与化学工程学院</v>
      </c>
    </row>
    <row r="8334" ht="13.5" hidden="1" spans="1:5">
      <c r="A8334" s="2" t="str">
        <f>"邓丽萍"</f>
        <v>邓丽萍</v>
      </c>
      <c r="B8334" s="2" t="str">
        <f>"B20230801112"</f>
        <v>B20230801112</v>
      </c>
      <c r="C8334" s="2" t="str">
        <f>"女"</f>
        <v>女</v>
      </c>
      <c r="D8334" s="2" t="str">
        <f>"3"</f>
        <v>3</v>
      </c>
      <c r="E8334" s="2" t="str">
        <f>"外国语学院"</f>
        <v>外国语学院</v>
      </c>
    </row>
    <row r="8335" ht="13.5" hidden="1" spans="1:5">
      <c r="A8335" s="2" t="str">
        <f>"潘天奕"</f>
        <v>潘天奕</v>
      </c>
      <c r="B8335" s="2" t="str">
        <f>"B20220704107"</f>
        <v>B20220704107</v>
      </c>
      <c r="C8335" s="2" t="str">
        <f>"女"</f>
        <v>女</v>
      </c>
      <c r="D8335" s="2" t="str">
        <f>"3"</f>
        <v>3</v>
      </c>
      <c r="E8335" s="2" t="str">
        <f>"马栏山新媒体学院"</f>
        <v>马栏山新媒体学院</v>
      </c>
    </row>
    <row r="8336" ht="13.5" hidden="1" spans="1:5">
      <c r="A8336" s="2" t="str">
        <f>"芦佳原"</f>
        <v>芦佳原</v>
      </c>
      <c r="B8336" s="2" t="str">
        <f>"B20210405118"</f>
        <v>B20210405118</v>
      </c>
      <c r="C8336" s="2" t="str">
        <f>"男"</f>
        <v>男</v>
      </c>
      <c r="D8336" s="2" t="str">
        <f>"3"</f>
        <v>3</v>
      </c>
      <c r="E8336" s="2" t="str">
        <f>"电子信息与电气工程学院"</f>
        <v>电子信息与电气工程学院</v>
      </c>
    </row>
    <row r="8337" ht="13.5" hidden="1" spans="1:5">
      <c r="A8337" s="2" t="str">
        <f>"刘志伟"</f>
        <v>刘志伟</v>
      </c>
      <c r="B8337" s="2" t="str">
        <f>"B20210201219"</f>
        <v>B20210201219</v>
      </c>
      <c r="C8337" s="2" t="str">
        <f>"男"</f>
        <v>男</v>
      </c>
      <c r="D8337" s="2" t="str">
        <f>"3"</f>
        <v>3</v>
      </c>
      <c r="E8337" s="2" t="str">
        <f>"机电工程学院"</f>
        <v>机电工程学院</v>
      </c>
    </row>
    <row r="8338" ht="13.5" hidden="1" spans="1:5">
      <c r="A8338" s="2" t="str">
        <f>"周明"</f>
        <v>周明</v>
      </c>
      <c r="B8338" s="2" t="str">
        <f>"B20220201204"</f>
        <v>B20220201204</v>
      </c>
      <c r="C8338" s="2" t="str">
        <f>"男"</f>
        <v>男</v>
      </c>
      <c r="D8338" s="2" t="str">
        <f>"3"</f>
        <v>3</v>
      </c>
      <c r="E8338" s="2" t="str">
        <f>"机电工程学院"</f>
        <v>机电工程学院</v>
      </c>
    </row>
    <row r="8339" ht="13.5" hidden="1" spans="1:5">
      <c r="A8339" s="2" t="str">
        <f>"韩霞"</f>
        <v>韩霞</v>
      </c>
      <c r="B8339" s="2" t="str">
        <f>"B20230901318"</f>
        <v>B20230901318</v>
      </c>
      <c r="C8339" s="2" t="str">
        <f t="shared" ref="C8339:C8343" si="2016">"女"</f>
        <v>女</v>
      </c>
      <c r="D8339" s="2" t="str">
        <f>"3"</f>
        <v>3</v>
      </c>
      <c r="E8339" s="2" t="str">
        <f>"经济与管理学院"</f>
        <v>经济与管理学院</v>
      </c>
    </row>
    <row r="8340" ht="13.5" hidden="1" spans="1:5">
      <c r="A8340" s="2" t="str">
        <f>"谢戈裕"</f>
        <v>谢戈裕</v>
      </c>
      <c r="B8340" s="2" t="str">
        <f>"B20230701431"</f>
        <v>B20230701431</v>
      </c>
      <c r="C8340" s="2" t="str">
        <f t="shared" si="2016"/>
        <v>女</v>
      </c>
      <c r="D8340" s="2" t="str">
        <f>"3"</f>
        <v>3</v>
      </c>
      <c r="E8340" s="2" t="str">
        <f>"马栏山新媒体学院"</f>
        <v>马栏山新媒体学院</v>
      </c>
    </row>
    <row r="8341" ht="13.5" hidden="1" spans="1:5">
      <c r="A8341" s="2" t="str">
        <f>"吴雨淅"</f>
        <v>吴雨淅</v>
      </c>
      <c r="B8341" s="2" t="str">
        <f>"B20231111102"</f>
        <v>B20231111102</v>
      </c>
      <c r="C8341" s="2" t="str">
        <f t="shared" si="2016"/>
        <v>女</v>
      </c>
      <c r="D8341" s="2" t="str">
        <f>"3"</f>
        <v>3</v>
      </c>
      <c r="E8341" s="2" t="str">
        <f>"音乐学院"</f>
        <v>音乐学院</v>
      </c>
    </row>
    <row r="8342" ht="13.5" hidden="1" spans="1:5">
      <c r="A8342" s="2" t="str">
        <f>"杨兆宇"</f>
        <v>杨兆宇</v>
      </c>
      <c r="B8342" s="2" t="str">
        <f>"B20231001210"</f>
        <v>B20231001210</v>
      </c>
      <c r="C8342" s="2" t="str">
        <f t="shared" si="2016"/>
        <v>女</v>
      </c>
      <c r="D8342" s="2" t="str">
        <f>"3"</f>
        <v>3</v>
      </c>
      <c r="E8342" s="2" t="str">
        <f>"艺术设计学院"</f>
        <v>艺术设计学院</v>
      </c>
    </row>
    <row r="8343" ht="13.5" hidden="1" spans="1:5">
      <c r="A8343" s="2" t="str">
        <f>"刘淑洋"</f>
        <v>刘淑洋</v>
      </c>
      <c r="B8343" s="2" t="str">
        <f>"B20211111115"</f>
        <v>B20211111115</v>
      </c>
      <c r="C8343" s="2" t="str">
        <f t="shared" si="2016"/>
        <v>女</v>
      </c>
      <c r="D8343" s="2" t="str">
        <f>"3"</f>
        <v>3</v>
      </c>
      <c r="E8343" s="2" t="str">
        <f>"音乐学院"</f>
        <v>音乐学院</v>
      </c>
    </row>
    <row r="8344" ht="13.5" hidden="1" spans="1:5">
      <c r="A8344" s="2" t="str">
        <f>"张鹏鹏"</f>
        <v>张鹏鹏</v>
      </c>
      <c r="B8344" s="2" t="str">
        <f>"B20220405135"</f>
        <v>B20220405135</v>
      </c>
      <c r="C8344" s="2" t="str">
        <f>"男"</f>
        <v>男</v>
      </c>
      <c r="D8344" s="2" t="str">
        <f>"3"</f>
        <v>3</v>
      </c>
      <c r="E8344" s="2" t="str">
        <f>"电子信息与电气工程学院"</f>
        <v>电子信息与电气工程学院</v>
      </c>
    </row>
    <row r="8345" ht="13.5" hidden="1" spans="1:5">
      <c r="A8345" s="2" t="str">
        <f>"王俊豪"</f>
        <v>王俊豪</v>
      </c>
      <c r="B8345" s="2" t="str">
        <f>"B20231004116"</f>
        <v>B20231004116</v>
      </c>
      <c r="C8345" s="2" t="str">
        <f>"男"</f>
        <v>男</v>
      </c>
      <c r="D8345" s="2" t="str">
        <f>"3"</f>
        <v>3</v>
      </c>
      <c r="E8345" s="2" t="str">
        <f>"艺术设计学院"</f>
        <v>艺术设计学院</v>
      </c>
    </row>
    <row r="8346" ht="13.5" hidden="1" spans="1:5">
      <c r="A8346" s="2" t="str">
        <f>"刘名威"</f>
        <v>刘名威</v>
      </c>
      <c r="B8346" s="2" t="str">
        <f>"B20220204114"</f>
        <v>B20220204114</v>
      </c>
      <c r="C8346" s="2" t="str">
        <f>"男"</f>
        <v>男</v>
      </c>
      <c r="D8346" s="2" t="str">
        <f>"3"</f>
        <v>3</v>
      </c>
      <c r="E8346" s="2" t="str">
        <f>"机电工程学院"</f>
        <v>机电工程学院</v>
      </c>
    </row>
    <row r="8347" ht="13.5" hidden="1" spans="1:5">
      <c r="A8347" s="2" t="str">
        <f>"徐惠怡"</f>
        <v>徐惠怡</v>
      </c>
      <c r="B8347" s="2" t="str">
        <f>"B20210901228"</f>
        <v>B20210901228</v>
      </c>
      <c r="C8347" s="2" t="str">
        <f>"女"</f>
        <v>女</v>
      </c>
      <c r="D8347" s="2" t="str">
        <f>"3"</f>
        <v>3</v>
      </c>
      <c r="E8347" s="2" t="str">
        <f>"经济与管理学院"</f>
        <v>经济与管理学院</v>
      </c>
    </row>
    <row r="8348" ht="13.5" hidden="1" spans="1:5">
      <c r="A8348" s="2" t="str">
        <f>"饶丽芳"</f>
        <v>饶丽芳</v>
      </c>
      <c r="B8348" s="2" t="str">
        <f>"B20230906133"</f>
        <v>B20230906133</v>
      </c>
      <c r="C8348" s="2" t="str">
        <f>"女"</f>
        <v>女</v>
      </c>
      <c r="D8348" s="2" t="str">
        <f>"3"</f>
        <v>3</v>
      </c>
      <c r="E8348" s="2" t="str">
        <f>"经济与管理学院"</f>
        <v>经济与管理学院</v>
      </c>
    </row>
    <row r="8349" ht="13.5" hidden="1" spans="1:5">
      <c r="A8349" s="2" t="str">
        <f>"戴雅琼"</f>
        <v>戴雅琼</v>
      </c>
      <c r="B8349" s="2" t="str">
        <f>"B20220803225"</f>
        <v>B20220803225</v>
      </c>
      <c r="C8349" s="2" t="str">
        <f>"女"</f>
        <v>女</v>
      </c>
      <c r="D8349" s="2" t="str">
        <f>"3"</f>
        <v>3</v>
      </c>
      <c r="E8349" s="2" t="str">
        <f>"外国语学院"</f>
        <v>外国语学院</v>
      </c>
    </row>
    <row r="8350" ht="13.5" hidden="1" spans="1:5">
      <c r="A8350" s="2" t="str">
        <f>"廖玉立"</f>
        <v>廖玉立</v>
      </c>
      <c r="B8350" s="2" t="str">
        <f>"B20230402123"</f>
        <v>B20230402123</v>
      </c>
      <c r="C8350" s="2" t="str">
        <f t="shared" ref="C8350:C8352" si="2017">"男"</f>
        <v>男</v>
      </c>
      <c r="D8350" s="2" t="str">
        <f>"3"</f>
        <v>3</v>
      </c>
      <c r="E8350" s="2" t="str">
        <f>"电子信息与电气工程学院"</f>
        <v>电子信息与电气工程学院</v>
      </c>
    </row>
    <row r="8351" ht="13.5" hidden="1" spans="1:5">
      <c r="A8351" s="2" t="str">
        <f>"杨中红"</f>
        <v>杨中红</v>
      </c>
      <c r="B8351" s="2" t="str">
        <f>"B20210701305"</f>
        <v>B20210701305</v>
      </c>
      <c r="C8351" s="2" t="str">
        <f t="shared" si="2017"/>
        <v>男</v>
      </c>
      <c r="D8351" s="2" t="str">
        <f>"3"</f>
        <v>3</v>
      </c>
      <c r="E8351" s="2" t="str">
        <f>"马栏山新媒体学院"</f>
        <v>马栏山新媒体学院</v>
      </c>
    </row>
    <row r="8352" ht="13.5" hidden="1" spans="1:5">
      <c r="A8352" s="2" t="str">
        <f>"郭炳良"</f>
        <v>郭炳良</v>
      </c>
      <c r="B8352" s="2" t="str">
        <f>"B20220101122"</f>
        <v>B20220101122</v>
      </c>
      <c r="C8352" s="2" t="str">
        <f t="shared" si="2017"/>
        <v>男</v>
      </c>
      <c r="D8352" s="2" t="str">
        <f>"3"</f>
        <v>3</v>
      </c>
      <c r="E8352" s="2" t="str">
        <f>"土木工程学院"</f>
        <v>土木工程学院</v>
      </c>
    </row>
    <row r="8353" ht="13.5" hidden="1" spans="1:5">
      <c r="A8353" s="2" t="str">
        <f>"李美莹"</f>
        <v>李美莹</v>
      </c>
      <c r="B8353" s="2" t="str">
        <f>"B20230102228"</f>
        <v>B20230102228</v>
      </c>
      <c r="C8353" s="2" t="str">
        <f>"女"</f>
        <v>女</v>
      </c>
      <c r="D8353" s="2" t="str">
        <f>"3"</f>
        <v>3</v>
      </c>
      <c r="E8353" s="2" t="str">
        <f>"土木工程学院"</f>
        <v>土木工程学院</v>
      </c>
    </row>
    <row r="8354" ht="13.5" hidden="1" spans="1:5">
      <c r="A8354" s="2" t="str">
        <f>"杨威"</f>
        <v>杨威</v>
      </c>
      <c r="B8354" s="2" t="str">
        <f>"B20210701313"</f>
        <v>B20210701313</v>
      </c>
      <c r="C8354" s="2" t="str">
        <f>"男"</f>
        <v>男</v>
      </c>
      <c r="D8354" s="2" t="str">
        <f>"3"</f>
        <v>3</v>
      </c>
      <c r="E8354" s="2" t="str">
        <f>"马栏山新媒体学院"</f>
        <v>马栏山新媒体学院</v>
      </c>
    </row>
    <row r="8355" ht="13.5" hidden="1" spans="1:5">
      <c r="A8355" s="2" t="str">
        <f>"彭翼"</f>
        <v>彭翼</v>
      </c>
      <c r="B8355" s="2" t="str">
        <f>"B20201004209"</f>
        <v>B20201004209</v>
      </c>
      <c r="C8355" s="2" t="str">
        <f>"男"</f>
        <v>男</v>
      </c>
      <c r="D8355" s="2" t="str">
        <f t="shared" ref="D8355:D8381" si="2018">"3"</f>
        <v>3</v>
      </c>
      <c r="E8355" s="2" t="str">
        <f>"艺术设计学院"</f>
        <v>艺术设计学院</v>
      </c>
    </row>
    <row r="8356" ht="13.5" hidden="1" spans="1:5">
      <c r="A8356" s="2" t="str">
        <f>"陈天豪"</f>
        <v>陈天豪</v>
      </c>
      <c r="B8356" s="2" t="str">
        <f>"B20210104216"</f>
        <v>B20210104216</v>
      </c>
      <c r="C8356" s="2" t="str">
        <f>"男"</f>
        <v>男</v>
      </c>
      <c r="D8356" s="2" t="str">
        <f t="shared" si="2018"/>
        <v>3</v>
      </c>
      <c r="E8356" s="2" t="str">
        <f>"土木工程学院"</f>
        <v>土木工程学院</v>
      </c>
    </row>
    <row r="8357" ht="13.5" hidden="1" spans="1:5">
      <c r="A8357" s="2" t="str">
        <f>"陈洁"</f>
        <v>陈洁</v>
      </c>
      <c r="B8357" s="2" t="str">
        <f>"B20210704415"</f>
        <v>B20210704415</v>
      </c>
      <c r="C8357" s="2" t="str">
        <f t="shared" ref="C8357:C8360" si="2019">"女"</f>
        <v>女</v>
      </c>
      <c r="D8357" s="2" t="str">
        <f t="shared" si="2018"/>
        <v>3</v>
      </c>
      <c r="E8357" s="2" t="str">
        <f>"马栏山新媒体学院"</f>
        <v>马栏山新媒体学院</v>
      </c>
    </row>
    <row r="8358" ht="13.5" hidden="1" spans="1:5">
      <c r="A8358" s="2" t="str">
        <f>"杨玉婷"</f>
        <v>杨玉婷</v>
      </c>
      <c r="B8358" s="2" t="str">
        <f>"B20211111110"</f>
        <v>B20211111110</v>
      </c>
      <c r="C8358" s="2" t="str">
        <f t="shared" si="2019"/>
        <v>女</v>
      </c>
      <c r="D8358" s="2" t="str">
        <f t="shared" si="2018"/>
        <v>3</v>
      </c>
      <c r="E8358" s="2" t="str">
        <f>"音乐学院"</f>
        <v>音乐学院</v>
      </c>
    </row>
    <row r="8359" ht="13.5" hidden="1" spans="1:5">
      <c r="A8359" s="2" t="str">
        <f>"徐嘉忆"</f>
        <v>徐嘉忆</v>
      </c>
      <c r="B8359" s="2" t="str">
        <f>"B20230705127"</f>
        <v>B20230705127</v>
      </c>
      <c r="C8359" s="2" t="str">
        <f t="shared" si="2019"/>
        <v>女</v>
      </c>
      <c r="D8359" s="2" t="str">
        <f t="shared" si="2018"/>
        <v>3</v>
      </c>
      <c r="E8359" s="2" t="str">
        <f>"马栏山新媒体学院"</f>
        <v>马栏山新媒体学院</v>
      </c>
    </row>
    <row r="8360" ht="13.5" hidden="1" spans="1:5">
      <c r="A8360" s="2" t="str">
        <f>"孟洋洋"</f>
        <v>孟洋洋</v>
      </c>
      <c r="B8360" s="2" t="str">
        <f>"B20221302325"</f>
        <v>B20221302325</v>
      </c>
      <c r="C8360" s="2" t="str">
        <f t="shared" si="2019"/>
        <v>女</v>
      </c>
      <c r="D8360" s="2" t="str">
        <f t="shared" si="2018"/>
        <v>3</v>
      </c>
      <c r="E8360" s="2" t="str">
        <f>"材料与环境工程学院"</f>
        <v>材料与环境工程学院</v>
      </c>
    </row>
    <row r="8361" ht="13.5" hidden="1" spans="1:5">
      <c r="A8361" s="2" t="str">
        <f>"杨贺"</f>
        <v>杨贺</v>
      </c>
      <c r="B8361" s="2" t="str">
        <f>"B20230903136"</f>
        <v>B20230903136</v>
      </c>
      <c r="C8361" s="2" t="str">
        <f t="shared" ref="C8361:C8364" si="2020">"男"</f>
        <v>男</v>
      </c>
      <c r="D8361" s="2" t="str">
        <f t="shared" si="2018"/>
        <v>3</v>
      </c>
      <c r="E8361" s="2" t="str">
        <f>"经济与管理学院"</f>
        <v>经济与管理学院</v>
      </c>
    </row>
    <row r="8362" ht="13.5" hidden="1" spans="1:5">
      <c r="A8362" s="2" t="str">
        <f>"谢若梅"</f>
        <v>谢若梅</v>
      </c>
      <c r="B8362" s="2" t="str">
        <f>"B20220601117"</f>
        <v>B20220601117</v>
      </c>
      <c r="C8362" s="2" t="str">
        <f t="shared" ref="C8362:C8368" si="2021">"女"</f>
        <v>女</v>
      </c>
      <c r="D8362" s="2" t="str">
        <f t="shared" si="2018"/>
        <v>3</v>
      </c>
      <c r="E8362" s="2" t="str">
        <f>"法学院"</f>
        <v>法学院</v>
      </c>
    </row>
    <row r="8363" ht="13.5" hidden="1" spans="1:5">
      <c r="A8363" s="2" t="str">
        <f>"张耀文"</f>
        <v>张耀文</v>
      </c>
      <c r="B8363" s="2" t="str">
        <f>"B20210802117"</f>
        <v>B20210802117</v>
      </c>
      <c r="C8363" s="2" t="str">
        <f t="shared" si="2020"/>
        <v>男</v>
      </c>
      <c r="D8363" s="2" t="str">
        <f t="shared" si="2018"/>
        <v>3</v>
      </c>
      <c r="E8363" s="2" t="str">
        <f>"外国语学院"</f>
        <v>外国语学院</v>
      </c>
    </row>
    <row r="8364" ht="13.5" hidden="1" spans="1:5">
      <c r="A8364" s="2" t="str">
        <f>"陈航"</f>
        <v>陈航</v>
      </c>
      <c r="B8364" s="2" t="str">
        <f>"B20220101621"</f>
        <v>B20220101621</v>
      </c>
      <c r="C8364" s="2" t="str">
        <f t="shared" si="2020"/>
        <v>男</v>
      </c>
      <c r="D8364" s="2" t="str">
        <f t="shared" si="2018"/>
        <v>3</v>
      </c>
      <c r="E8364" s="2" t="str">
        <f>"土木工程学院"</f>
        <v>土木工程学院</v>
      </c>
    </row>
    <row r="8365" ht="13.5" hidden="1" spans="1:5">
      <c r="A8365" s="2" t="str">
        <f>"林雪玲"</f>
        <v>林雪玲</v>
      </c>
      <c r="B8365" s="2" t="str">
        <f>"B20200802307"</f>
        <v>B20200802307</v>
      </c>
      <c r="C8365" s="2" t="str">
        <f t="shared" si="2021"/>
        <v>女</v>
      </c>
      <c r="D8365" s="2" t="str">
        <f t="shared" si="2018"/>
        <v>3</v>
      </c>
      <c r="E8365" s="2" t="str">
        <f>"外国语学院"</f>
        <v>外国语学院</v>
      </c>
    </row>
    <row r="8366" ht="13.5" hidden="1" spans="1:5">
      <c r="A8366" s="2" t="str">
        <f>"黄敏"</f>
        <v>黄敏</v>
      </c>
      <c r="B8366" s="2" t="str">
        <f>"B20210503123"</f>
        <v>B20210503123</v>
      </c>
      <c r="C8366" s="2" t="str">
        <f>"男"</f>
        <v>男</v>
      </c>
      <c r="D8366" s="2" t="str">
        <f t="shared" si="2018"/>
        <v>3</v>
      </c>
      <c r="E8366" s="2" t="str">
        <f>"材料与环境工程学院"</f>
        <v>材料与环境工程学院</v>
      </c>
    </row>
    <row r="8367" ht="13.5" hidden="1" spans="1:5">
      <c r="A8367" s="2" t="str">
        <f>"刘盼慧"</f>
        <v>刘盼慧</v>
      </c>
      <c r="B8367" s="2" t="str">
        <f>"B20230903203"</f>
        <v>B20230903203</v>
      </c>
      <c r="C8367" s="2" t="str">
        <f t="shared" si="2021"/>
        <v>女</v>
      </c>
      <c r="D8367" s="2" t="str">
        <f t="shared" si="2018"/>
        <v>3</v>
      </c>
      <c r="E8367" s="2" t="str">
        <f>"经济与管理学院"</f>
        <v>经济与管理学院</v>
      </c>
    </row>
    <row r="8368" ht="13.5" hidden="1" spans="1:5">
      <c r="A8368" s="2" t="str">
        <f>"王然"</f>
        <v>王然</v>
      </c>
      <c r="B8368" s="2" t="str">
        <f>"B20230504433"</f>
        <v>B20230504433</v>
      </c>
      <c r="C8368" s="2" t="str">
        <f t="shared" si="2021"/>
        <v>女</v>
      </c>
      <c r="D8368" s="2" t="str">
        <f t="shared" si="2018"/>
        <v>3</v>
      </c>
      <c r="E8368" s="2" t="str">
        <f>"生物与化学工程学院"</f>
        <v>生物与化学工程学院</v>
      </c>
    </row>
    <row r="8369" ht="13.5" hidden="1" spans="1:5">
      <c r="A8369" s="2" t="str">
        <f>"蒋海宁"</f>
        <v>蒋海宁</v>
      </c>
      <c r="B8369" s="2" t="str">
        <f>"B20230103223"</f>
        <v>B20230103223</v>
      </c>
      <c r="C8369" s="2" t="str">
        <f t="shared" ref="C8369:C8375" si="2022">"男"</f>
        <v>男</v>
      </c>
      <c r="D8369" s="2" t="str">
        <f t="shared" si="2018"/>
        <v>3</v>
      </c>
      <c r="E8369" s="2" t="str">
        <f>"土木工程学院"</f>
        <v>土木工程学院</v>
      </c>
    </row>
    <row r="8370" ht="13.5" hidden="1" spans="1:5">
      <c r="A8370" s="2" t="str">
        <f>"廖玲听"</f>
        <v>廖玲听</v>
      </c>
      <c r="B8370" s="2" t="str">
        <f>"B20211101207"</f>
        <v>B20211101207</v>
      </c>
      <c r="C8370" s="2" t="str">
        <f>"女"</f>
        <v>女</v>
      </c>
      <c r="D8370" s="2" t="str">
        <f t="shared" si="2018"/>
        <v>3</v>
      </c>
      <c r="E8370" s="2" t="str">
        <f>"音乐学院"</f>
        <v>音乐学院</v>
      </c>
    </row>
    <row r="8371" ht="13.5" hidden="1" spans="1:5">
      <c r="A8371" s="2" t="str">
        <f>"谢慧"</f>
        <v>谢慧</v>
      </c>
      <c r="B8371" s="2" t="str">
        <f>"B20210905239"</f>
        <v>B20210905239</v>
      </c>
      <c r="C8371" s="2" t="str">
        <f>"女"</f>
        <v>女</v>
      </c>
      <c r="D8371" s="2" t="str">
        <f t="shared" si="2018"/>
        <v>3</v>
      </c>
      <c r="E8371" s="2" t="str">
        <f>"经济与管理学院"</f>
        <v>经济与管理学院</v>
      </c>
    </row>
    <row r="8372" ht="13.5" hidden="1" spans="1:5">
      <c r="A8372" s="2" t="str">
        <f>"邓子杰"</f>
        <v>邓子杰</v>
      </c>
      <c r="B8372" s="2" t="str">
        <f>"B20221302110"</f>
        <v>B20221302110</v>
      </c>
      <c r="C8372" s="2" t="str">
        <f t="shared" si="2022"/>
        <v>男</v>
      </c>
      <c r="D8372" s="2" t="str">
        <f t="shared" si="2018"/>
        <v>3</v>
      </c>
      <c r="E8372" s="2" t="str">
        <f>"材料与环境工程学院"</f>
        <v>材料与环境工程学院</v>
      </c>
    </row>
    <row r="8373" ht="13.5" hidden="1" spans="1:5">
      <c r="A8373" s="2" t="str">
        <f>"丁轲"</f>
        <v>丁轲</v>
      </c>
      <c r="B8373" s="2" t="str">
        <f>"B20220202330"</f>
        <v>B20220202330</v>
      </c>
      <c r="C8373" s="2" t="str">
        <f t="shared" si="2022"/>
        <v>男</v>
      </c>
      <c r="D8373" s="2" t="str">
        <f t="shared" si="2018"/>
        <v>3</v>
      </c>
      <c r="E8373" s="2" t="str">
        <f>"机电工程学院"</f>
        <v>机电工程学院</v>
      </c>
    </row>
    <row r="8374" ht="13.5" hidden="1" spans="1:5">
      <c r="A8374" s="2" t="str">
        <f>"刘洲"</f>
        <v>刘洲</v>
      </c>
      <c r="B8374" s="2" t="str">
        <f>"B20230903119"</f>
        <v>B20230903119</v>
      </c>
      <c r="C8374" s="2" t="str">
        <f t="shared" si="2022"/>
        <v>男</v>
      </c>
      <c r="D8374" s="2" t="str">
        <f t="shared" si="2018"/>
        <v>3</v>
      </c>
      <c r="E8374" s="2" t="str">
        <f>"经济与管理学院"</f>
        <v>经济与管理学院</v>
      </c>
    </row>
    <row r="8375" ht="13.5" hidden="1" spans="1:5">
      <c r="A8375" s="2" t="str">
        <f>"吕旭东"</f>
        <v>吕旭东</v>
      </c>
      <c r="B8375" s="2" t="str">
        <f>"B20221111218"</f>
        <v>B20221111218</v>
      </c>
      <c r="C8375" s="2" t="str">
        <f t="shared" si="2022"/>
        <v>男</v>
      </c>
      <c r="D8375" s="2" t="str">
        <f t="shared" si="2018"/>
        <v>3</v>
      </c>
      <c r="E8375" s="2" t="str">
        <f>"音乐学院"</f>
        <v>音乐学院</v>
      </c>
    </row>
    <row r="8376" ht="13.5" hidden="1" spans="1:5">
      <c r="A8376" s="2" t="str">
        <f>"丁阳陵"</f>
        <v>丁阳陵</v>
      </c>
      <c r="B8376" s="2" t="str">
        <f>"B20220703308"</f>
        <v>B20220703308</v>
      </c>
      <c r="C8376" s="2" t="str">
        <f t="shared" ref="C8376:C8379" si="2023">"女"</f>
        <v>女</v>
      </c>
      <c r="D8376" s="2" t="str">
        <f t="shared" si="2018"/>
        <v>3</v>
      </c>
      <c r="E8376" s="2" t="str">
        <f>"马栏山新媒体学院"</f>
        <v>马栏山新媒体学院</v>
      </c>
    </row>
    <row r="8377" ht="13.5" hidden="1" spans="1:5">
      <c r="A8377" s="2" t="str">
        <f>"陈敏婧"</f>
        <v>陈敏婧</v>
      </c>
      <c r="B8377" s="2" t="str">
        <f>"B20210505233"</f>
        <v>B20210505233</v>
      </c>
      <c r="C8377" s="2" t="str">
        <f t="shared" si="2023"/>
        <v>女</v>
      </c>
      <c r="D8377" s="2" t="str">
        <f t="shared" si="2018"/>
        <v>3</v>
      </c>
      <c r="E8377" s="2" t="str">
        <f>"材料与环境工程学院"</f>
        <v>材料与环境工程学院</v>
      </c>
    </row>
    <row r="8378" ht="13.5" hidden="1" spans="1:5">
      <c r="A8378" s="2" t="str">
        <f>"李冉"</f>
        <v>李冉</v>
      </c>
      <c r="B8378" s="2" t="str">
        <f>"B20221001115"</f>
        <v>B20221001115</v>
      </c>
      <c r="C8378" s="2" t="str">
        <f t="shared" si="2023"/>
        <v>女</v>
      </c>
      <c r="D8378" s="2" t="str">
        <f t="shared" si="2018"/>
        <v>3</v>
      </c>
      <c r="E8378" s="2" t="str">
        <f>"艺术设计学院"</f>
        <v>艺术设计学院</v>
      </c>
    </row>
    <row r="8379" ht="13.5" hidden="1" spans="1:5">
      <c r="A8379" s="2" t="str">
        <f>"叶小茜"</f>
        <v>叶小茜</v>
      </c>
      <c r="B8379" s="2" t="str">
        <f>"B20231401208"</f>
        <v>B20231401208</v>
      </c>
      <c r="C8379" s="2" t="str">
        <f t="shared" si="2023"/>
        <v>女</v>
      </c>
      <c r="D8379" s="2" t="str">
        <f t="shared" si="2018"/>
        <v>3</v>
      </c>
      <c r="E8379" s="2" t="str">
        <f>"马克思主义学院"</f>
        <v>马克思主义学院</v>
      </c>
    </row>
    <row r="8380" ht="13.5" hidden="1" spans="1:5">
      <c r="A8380" s="2" t="str">
        <f>"何奇睿"</f>
        <v>何奇睿</v>
      </c>
      <c r="B8380" s="2" t="str">
        <f>"B20221001110"</f>
        <v>B20221001110</v>
      </c>
      <c r="C8380" s="2" t="str">
        <f>"男"</f>
        <v>男</v>
      </c>
      <c r="D8380" s="2" t="str">
        <f t="shared" si="2018"/>
        <v>3</v>
      </c>
      <c r="E8380" s="2" t="str">
        <f>"艺术设计学院"</f>
        <v>艺术设计学院</v>
      </c>
    </row>
    <row r="8381" ht="13.5" hidden="1" spans="1:5">
      <c r="A8381" s="2" t="str">
        <f>"周璐"</f>
        <v>周璐</v>
      </c>
      <c r="B8381" s="2" t="str">
        <f>"B20210704208"</f>
        <v>B20210704208</v>
      </c>
      <c r="C8381" s="2" t="str">
        <f>"女"</f>
        <v>女</v>
      </c>
      <c r="D8381" s="2" t="str">
        <f t="shared" si="2018"/>
        <v>3</v>
      </c>
      <c r="E8381" s="2" t="str">
        <f>"马栏山新媒体学院"</f>
        <v>马栏山新媒体学院</v>
      </c>
    </row>
    <row r="8382" ht="13.5" hidden="1" spans="1:5">
      <c r="A8382" s="2" t="str">
        <f>"盛琴琴"</f>
        <v>盛琴琴</v>
      </c>
      <c r="B8382" s="2" t="str">
        <f>"B20210701207"</f>
        <v>B20210701207</v>
      </c>
      <c r="C8382" s="2" t="str">
        <f>"女"</f>
        <v>女</v>
      </c>
      <c r="D8382" s="2" t="str">
        <f>"3"</f>
        <v>3</v>
      </c>
      <c r="E8382" s="2" t="str">
        <f>"马栏山新媒体学院"</f>
        <v>马栏山新媒体学院</v>
      </c>
    </row>
    <row r="8383" ht="13.5" hidden="1" spans="1:5">
      <c r="A8383" s="2" t="str">
        <f>"谢傲"</f>
        <v>谢傲</v>
      </c>
      <c r="B8383" s="2" t="str">
        <f>"B20221111213"</f>
        <v>B20221111213</v>
      </c>
      <c r="C8383" s="2" t="str">
        <f>"女"</f>
        <v>女</v>
      </c>
      <c r="D8383" s="2" t="str">
        <f>"3"</f>
        <v>3</v>
      </c>
      <c r="E8383" s="2" t="str">
        <f>"音乐学院"</f>
        <v>音乐学院</v>
      </c>
    </row>
    <row r="8384" ht="13.5" hidden="1" spans="1:5">
      <c r="A8384" s="2" t="str">
        <f>"李浩"</f>
        <v>李浩</v>
      </c>
      <c r="B8384" s="2" t="str">
        <f>"B20220504310"</f>
        <v>B20220504310</v>
      </c>
      <c r="C8384" s="2" t="str">
        <f>"男"</f>
        <v>男</v>
      </c>
      <c r="D8384" s="2" t="str">
        <f>"3"</f>
        <v>3</v>
      </c>
      <c r="E8384" s="2" t="str">
        <f>"生物与化学工程学院"</f>
        <v>生物与化学工程学院</v>
      </c>
    </row>
    <row r="8385" ht="13.5" hidden="1" spans="1:5">
      <c r="A8385" s="2" t="str">
        <f>"李璇"</f>
        <v>李璇</v>
      </c>
      <c r="B8385" s="2" t="str">
        <f>"B20210102123"</f>
        <v>B20210102123</v>
      </c>
      <c r="C8385" s="2" t="str">
        <f>"女"</f>
        <v>女</v>
      </c>
      <c r="D8385" s="2" t="str">
        <f>"3"</f>
        <v>3</v>
      </c>
      <c r="E8385" s="2" t="str">
        <f>"土木工程学院"</f>
        <v>土木工程学院</v>
      </c>
    </row>
    <row r="8386" ht="13.5" hidden="1" spans="1:5">
      <c r="A8386" s="2" t="str">
        <f>"段锦涛"</f>
        <v>段锦涛</v>
      </c>
      <c r="B8386" s="2" t="str">
        <f>"B20220401112"</f>
        <v>B20220401112</v>
      </c>
      <c r="C8386" s="2" t="str">
        <f>"男"</f>
        <v>男</v>
      </c>
      <c r="D8386" s="2" t="str">
        <f>"3"</f>
        <v>3</v>
      </c>
      <c r="E8386" s="2" t="str">
        <f>"电子信息与电气工程学院"</f>
        <v>电子信息与电气工程学院</v>
      </c>
    </row>
    <row r="8387" ht="13.5" hidden="1" spans="1:5">
      <c r="A8387" s="2" t="str">
        <f>"胡凡梅"</f>
        <v>胡凡梅</v>
      </c>
      <c r="B8387" s="2" t="str">
        <f>"B20220803125"</f>
        <v>B20220803125</v>
      </c>
      <c r="C8387" s="2" t="str">
        <f>"女"</f>
        <v>女</v>
      </c>
      <c r="D8387" s="2" t="str">
        <f>"3"</f>
        <v>3</v>
      </c>
      <c r="E8387" s="2" t="str">
        <f>"外国语学院"</f>
        <v>外国语学院</v>
      </c>
    </row>
    <row r="8388" ht="13.5" hidden="1" spans="1:5">
      <c r="A8388" s="2" t="str">
        <f>"王星宇"</f>
        <v>王星宇</v>
      </c>
      <c r="B8388" s="2" t="str">
        <f>"B20230404203"</f>
        <v>B20230404203</v>
      </c>
      <c r="C8388" s="2" t="str">
        <f t="shared" ref="C8388:C8393" si="2024">"男"</f>
        <v>男</v>
      </c>
      <c r="D8388" s="2" t="str">
        <f>"3"</f>
        <v>3</v>
      </c>
      <c r="E8388" s="2" t="str">
        <f>"电子信息与电气工程学院"</f>
        <v>电子信息与电气工程学院</v>
      </c>
    </row>
    <row r="8389" ht="13.5" hidden="1" spans="1:5">
      <c r="A8389" s="2" t="str">
        <f>"陈腾龙"</f>
        <v>陈腾龙</v>
      </c>
      <c r="B8389" s="2" t="str">
        <f>"B20230401314"</f>
        <v>B20230401314</v>
      </c>
      <c r="C8389" s="2" t="str">
        <f t="shared" si="2024"/>
        <v>男</v>
      </c>
      <c r="D8389" s="2" t="str">
        <f>"3"</f>
        <v>3</v>
      </c>
      <c r="E8389" s="2" t="str">
        <f>"电子信息与电气工程学院"</f>
        <v>电子信息与电气工程学院</v>
      </c>
    </row>
    <row r="8390" ht="13.5" hidden="1" spans="1:5">
      <c r="A8390" s="2" t="str">
        <f>"刘博文"</f>
        <v>刘博文</v>
      </c>
      <c r="B8390" s="2" t="str">
        <f>"B20231004118"</f>
        <v>B20231004118</v>
      </c>
      <c r="C8390" s="2" t="str">
        <f t="shared" si="2024"/>
        <v>男</v>
      </c>
      <c r="D8390" s="2" t="str">
        <f>"3"</f>
        <v>3</v>
      </c>
      <c r="E8390" s="2" t="str">
        <f>"艺术设计学院"</f>
        <v>艺术设计学院</v>
      </c>
    </row>
    <row r="8391" ht="13.5" hidden="1" spans="1:5">
      <c r="A8391" s="2" t="str">
        <f>"仲子路"</f>
        <v>仲子路</v>
      </c>
      <c r="B8391" s="2" t="str">
        <f>"B20220704218"</f>
        <v>B20220704218</v>
      </c>
      <c r="C8391" s="2" t="str">
        <f t="shared" si="2024"/>
        <v>男</v>
      </c>
      <c r="D8391" s="2" t="str">
        <f>"3"</f>
        <v>3</v>
      </c>
      <c r="E8391" s="2" t="str">
        <f>"马栏山新媒体学院"</f>
        <v>马栏山新媒体学院</v>
      </c>
    </row>
    <row r="8392" ht="13.5" hidden="1" spans="1:5">
      <c r="A8392" s="2" t="str">
        <f>"李泽"</f>
        <v>李泽</v>
      </c>
      <c r="B8392" s="2" t="str">
        <f>"B20230103225"</f>
        <v>B20230103225</v>
      </c>
      <c r="C8392" s="2" t="str">
        <f t="shared" si="2024"/>
        <v>男</v>
      </c>
      <c r="D8392" s="2" t="str">
        <f>"3"</f>
        <v>3</v>
      </c>
      <c r="E8392" s="2" t="str">
        <f>"土木工程学院"</f>
        <v>土木工程学院</v>
      </c>
    </row>
    <row r="8393" ht="13.5" hidden="1" spans="1:5">
      <c r="A8393" s="2" t="str">
        <f>"程曦"</f>
        <v>程曦</v>
      </c>
      <c r="B8393" s="2" t="str">
        <f>"B20200401122"</f>
        <v>B20200401122</v>
      </c>
      <c r="C8393" s="2" t="str">
        <f t="shared" si="2024"/>
        <v>男</v>
      </c>
      <c r="D8393" s="2" t="str">
        <f>"3"</f>
        <v>3</v>
      </c>
      <c r="E8393" s="2" t="str">
        <f>"电子信息与电气工程学院"</f>
        <v>电子信息与电气工程学院</v>
      </c>
    </row>
    <row r="8394" ht="13.5" hidden="1" spans="1:5">
      <c r="A8394" s="2" t="str">
        <f>"肖波"</f>
        <v>肖波</v>
      </c>
      <c r="B8394" s="2" t="str">
        <f>"B20220701109"</f>
        <v>B20220701109</v>
      </c>
      <c r="C8394" s="2" t="str">
        <f>"女"</f>
        <v>女</v>
      </c>
      <c r="D8394" s="2" t="str">
        <f>"3"</f>
        <v>3</v>
      </c>
      <c r="E8394" s="2" t="str">
        <f>"马栏山新媒体学院"</f>
        <v>马栏山新媒体学院</v>
      </c>
    </row>
    <row r="8395" ht="13.5" hidden="1" spans="1:5">
      <c r="A8395" s="2" t="str">
        <f>"曾志洪"</f>
        <v>曾志洪</v>
      </c>
      <c r="B8395" s="2" t="str">
        <f>"B20210101321"</f>
        <v>B20210101321</v>
      </c>
      <c r="C8395" s="2" t="str">
        <f>"男"</f>
        <v>男</v>
      </c>
      <c r="D8395" s="2" t="str">
        <f>"3"</f>
        <v>3</v>
      </c>
      <c r="E8395" s="2" t="str">
        <f>"土木工程学院"</f>
        <v>土木工程学院</v>
      </c>
    </row>
    <row r="8396" ht="13.5" hidden="1" spans="1:5">
      <c r="A8396" s="2" t="str">
        <f>"林豪"</f>
        <v>林豪</v>
      </c>
      <c r="B8396" s="2" t="str">
        <f>"B20210701201"</f>
        <v>B20210701201</v>
      </c>
      <c r="C8396" s="2" t="str">
        <f>"男"</f>
        <v>男</v>
      </c>
      <c r="D8396" s="2" t="str">
        <f>"3"</f>
        <v>3</v>
      </c>
      <c r="E8396" s="2" t="str">
        <f>"马栏山新媒体学院"</f>
        <v>马栏山新媒体学院</v>
      </c>
    </row>
    <row r="8397" ht="13.5" hidden="1" spans="1:5">
      <c r="A8397" s="2" t="str">
        <f>"武璇"</f>
        <v>武璇</v>
      </c>
      <c r="B8397" s="2" t="str">
        <f>"B20221111228"</f>
        <v>B20221111228</v>
      </c>
      <c r="C8397" s="2" t="str">
        <f>"女"</f>
        <v>女</v>
      </c>
      <c r="D8397" s="2" t="str">
        <f>"3"</f>
        <v>3</v>
      </c>
      <c r="E8397" s="2" t="str">
        <f>"音乐学院"</f>
        <v>音乐学院</v>
      </c>
    </row>
    <row r="8398" ht="13.5" hidden="1" spans="1:5">
      <c r="A8398" s="2" t="str">
        <f>"丁梓荷"</f>
        <v>丁梓荷</v>
      </c>
      <c r="B8398" s="2" t="str">
        <f>"B20220704126"</f>
        <v>B20220704126</v>
      </c>
      <c r="C8398" s="2" t="str">
        <f>"女"</f>
        <v>女</v>
      </c>
      <c r="D8398" s="2" t="str">
        <f>"3"</f>
        <v>3</v>
      </c>
      <c r="E8398" s="2" t="str">
        <f>"马栏山新媒体学院"</f>
        <v>马栏山新媒体学院</v>
      </c>
    </row>
    <row r="8399" ht="13.5" hidden="1" spans="1:5">
      <c r="A8399" s="2" t="str">
        <f>"湛瑞杰"</f>
        <v>湛瑞杰</v>
      </c>
      <c r="B8399" s="2" t="str">
        <f>"B20210502222"</f>
        <v>B20210502222</v>
      </c>
      <c r="C8399" s="2" t="str">
        <f>"男"</f>
        <v>男</v>
      </c>
      <c r="D8399" s="2" t="str">
        <f>"3"</f>
        <v>3</v>
      </c>
      <c r="E8399" s="2" t="str">
        <f>"生物与化学工程学院"</f>
        <v>生物与化学工程学院</v>
      </c>
    </row>
    <row r="8400" ht="13.5" hidden="1" spans="1:5">
      <c r="A8400" s="2" t="str">
        <f>"刘炳菖"</f>
        <v>刘炳菖</v>
      </c>
      <c r="B8400" s="2" t="str">
        <f>"B20231001418"</f>
        <v>B20231001418</v>
      </c>
      <c r="C8400" s="2" t="str">
        <f>"男"</f>
        <v>男</v>
      </c>
      <c r="D8400" s="2" t="str">
        <f>"3"</f>
        <v>3</v>
      </c>
      <c r="E8400" s="2" t="str">
        <f>"艺术设计学院"</f>
        <v>艺术设计学院</v>
      </c>
    </row>
    <row r="8401" ht="13.5" hidden="1" spans="1:5">
      <c r="A8401" s="2" t="str">
        <f>"言思琪"</f>
        <v>言思琪</v>
      </c>
      <c r="B8401" s="2" t="str">
        <f>"B20231111205"</f>
        <v>B20231111205</v>
      </c>
      <c r="C8401" s="2" t="str">
        <f>"女"</f>
        <v>女</v>
      </c>
      <c r="D8401" s="2" t="str">
        <f>"3"</f>
        <v>3</v>
      </c>
      <c r="E8401" s="2" t="str">
        <f>"音乐学院"</f>
        <v>音乐学院</v>
      </c>
    </row>
    <row r="8402" ht="13.5" hidden="1" spans="1:5">
      <c r="A8402" s="2" t="str">
        <f>"马岑岳"</f>
        <v>马岑岳</v>
      </c>
      <c r="B8402" s="2" t="str">
        <f>"B20230101435"</f>
        <v>B20230101435</v>
      </c>
      <c r="C8402" s="2" t="str">
        <f>"男"</f>
        <v>男</v>
      </c>
      <c r="D8402" s="2" t="str">
        <f>"3"</f>
        <v>3</v>
      </c>
      <c r="E8402" s="2" t="str">
        <f>"土木工程学院"</f>
        <v>土木工程学院</v>
      </c>
    </row>
    <row r="8403" ht="13.5" hidden="1" spans="1:5">
      <c r="A8403" s="2" t="str">
        <f>"谷亚菲"</f>
        <v>谷亚菲</v>
      </c>
      <c r="B8403" s="2" t="str">
        <f>"B20230802222"</f>
        <v>B20230802222</v>
      </c>
      <c r="C8403" s="2" t="str">
        <f>"女"</f>
        <v>女</v>
      </c>
      <c r="D8403" s="2" t="str">
        <f>"3"</f>
        <v>3</v>
      </c>
      <c r="E8403" s="2" t="str">
        <f>"外国语学院"</f>
        <v>外国语学院</v>
      </c>
    </row>
    <row r="8404" ht="13.5" hidden="1" spans="1:5">
      <c r="A8404" s="2" t="str">
        <f>"陈善赫"</f>
        <v>陈善赫</v>
      </c>
      <c r="B8404" s="2" t="str">
        <f>"B20220405109"</f>
        <v>B20220405109</v>
      </c>
      <c r="C8404" s="2" t="str">
        <f>"男"</f>
        <v>男</v>
      </c>
      <c r="D8404" s="2" t="str">
        <f>"3"</f>
        <v>3</v>
      </c>
      <c r="E8404" s="2" t="str">
        <f>"电子信息与电气工程学院"</f>
        <v>电子信息与电气工程学院</v>
      </c>
    </row>
    <row r="8405" ht="13.5" hidden="1" spans="1:5">
      <c r="A8405" s="2" t="str">
        <f>"张晟"</f>
        <v>张晟</v>
      </c>
      <c r="B8405" s="2" t="str">
        <f>"B20230201122"</f>
        <v>B20230201122</v>
      </c>
      <c r="C8405" s="2" t="str">
        <f>"男"</f>
        <v>男</v>
      </c>
      <c r="D8405" s="2" t="str">
        <f>"3"</f>
        <v>3</v>
      </c>
      <c r="E8405" s="2" t="str">
        <f>"机电工程学院"</f>
        <v>机电工程学院</v>
      </c>
    </row>
    <row r="8406" ht="13.5" hidden="1" spans="1:5">
      <c r="A8406" s="2" t="str">
        <f>"尹俊森"</f>
        <v>尹俊森</v>
      </c>
      <c r="B8406" s="2" t="str">
        <f>"B20200401418"</f>
        <v>B20200401418</v>
      </c>
      <c r="C8406" s="2" t="str">
        <f>"男"</f>
        <v>男</v>
      </c>
      <c r="D8406" s="2" t="str">
        <f>"3"</f>
        <v>3</v>
      </c>
      <c r="E8406" s="2" t="str">
        <f>"电子信息与电气工程学院"</f>
        <v>电子信息与电气工程学院</v>
      </c>
    </row>
    <row r="8407" ht="13.5" hidden="1" spans="1:5">
      <c r="A8407" s="2" t="str">
        <f>"胡欣怡"</f>
        <v>胡欣怡</v>
      </c>
      <c r="B8407" s="2" t="str">
        <f>"B20220704412"</f>
        <v>B20220704412</v>
      </c>
      <c r="C8407" s="2" t="str">
        <f>"女"</f>
        <v>女</v>
      </c>
      <c r="D8407" s="2" t="str">
        <f>"3"</f>
        <v>3</v>
      </c>
      <c r="E8407" s="2" t="str">
        <f>"马栏山新媒体学院"</f>
        <v>马栏山新媒体学院</v>
      </c>
    </row>
    <row r="8408" ht="13.5" hidden="1" spans="1:5">
      <c r="A8408" s="2" t="str">
        <f>"王秀英"</f>
        <v>王秀英</v>
      </c>
      <c r="B8408" s="2" t="str">
        <f>"B20220104208"</f>
        <v>B20220104208</v>
      </c>
      <c r="C8408" s="2" t="str">
        <f>"女"</f>
        <v>女</v>
      </c>
      <c r="D8408" s="2" t="str">
        <f>"3"</f>
        <v>3</v>
      </c>
      <c r="E8408" s="2" t="str">
        <f t="shared" ref="E8408:E8412" si="2025">"土木工程学院"</f>
        <v>土木工程学院</v>
      </c>
    </row>
    <row r="8409" ht="13.5" hidden="1" spans="1:5">
      <c r="A8409" s="2" t="str">
        <f>"陈超"</f>
        <v>陈超</v>
      </c>
      <c r="B8409" s="2" t="str">
        <f>"B20220102102"</f>
        <v>B20220102102</v>
      </c>
      <c r="C8409" s="2" t="str">
        <f t="shared" ref="C8409:C8417" si="2026">"男"</f>
        <v>男</v>
      </c>
      <c r="D8409" s="2" t="str">
        <f>"3"</f>
        <v>3</v>
      </c>
      <c r="E8409" s="2" t="str">
        <f t="shared" si="2025"/>
        <v>土木工程学院</v>
      </c>
    </row>
    <row r="8410" ht="13.5" hidden="1" spans="1:5">
      <c r="A8410" s="2" t="str">
        <f>"彭珍"</f>
        <v>彭珍</v>
      </c>
      <c r="B8410" s="2" t="str">
        <f>"B20231302406"</f>
        <v>B20231302406</v>
      </c>
      <c r="C8410" s="2" t="str">
        <f t="shared" ref="C8410:C8413" si="2027">"女"</f>
        <v>女</v>
      </c>
      <c r="D8410" s="2" t="str">
        <f>"3"</f>
        <v>3</v>
      </c>
      <c r="E8410" s="2" t="str">
        <f>"材料与环境工程学院"</f>
        <v>材料与环境工程学院</v>
      </c>
    </row>
    <row r="8411" ht="13.5" hidden="1" spans="1:5">
      <c r="A8411" s="2" t="str">
        <f>"杨赛翔"</f>
        <v>杨赛翔</v>
      </c>
      <c r="B8411" s="2" t="str">
        <f>"B20220601305"</f>
        <v>B20220601305</v>
      </c>
      <c r="C8411" s="2" t="str">
        <f t="shared" si="2027"/>
        <v>女</v>
      </c>
      <c r="D8411" s="2" t="str">
        <f>"3"</f>
        <v>3</v>
      </c>
      <c r="E8411" s="2" t="str">
        <f>"法学院"</f>
        <v>法学院</v>
      </c>
    </row>
    <row r="8412" ht="13.5" hidden="1" spans="1:5">
      <c r="A8412" s="2" t="str">
        <f>"陈汝佳"</f>
        <v>陈汝佳</v>
      </c>
      <c r="B8412" s="2" t="str">
        <f>"B20220101121"</f>
        <v>B20220101121</v>
      </c>
      <c r="C8412" s="2" t="str">
        <f t="shared" si="2026"/>
        <v>男</v>
      </c>
      <c r="D8412" s="2" t="str">
        <f>"3"</f>
        <v>3</v>
      </c>
      <c r="E8412" s="2" t="str">
        <f t="shared" si="2025"/>
        <v>土木工程学院</v>
      </c>
    </row>
    <row r="8413" ht="13.5" hidden="1" spans="1:5">
      <c r="A8413" s="2" t="str">
        <f>"陈佳佳"</f>
        <v>陈佳佳</v>
      </c>
      <c r="B8413" s="2" t="str">
        <f>"B20200801503"</f>
        <v>B20200801503</v>
      </c>
      <c r="C8413" s="2" t="str">
        <f t="shared" si="2027"/>
        <v>女</v>
      </c>
      <c r="D8413" s="2" t="str">
        <f>"3"</f>
        <v>3</v>
      </c>
      <c r="E8413" s="2" t="str">
        <f>"外国语学院"</f>
        <v>外国语学院</v>
      </c>
    </row>
    <row r="8414" ht="13.5" hidden="1" spans="1:5">
      <c r="A8414" s="2" t="str">
        <f>"刘俊杰"</f>
        <v>刘俊杰</v>
      </c>
      <c r="B8414" s="2" t="str">
        <f>"B20220504412"</f>
        <v>B20220504412</v>
      </c>
      <c r="C8414" s="2" t="str">
        <f t="shared" si="2026"/>
        <v>男</v>
      </c>
      <c r="D8414" s="2" t="str">
        <f>"3"</f>
        <v>3</v>
      </c>
      <c r="E8414" s="2" t="str">
        <f>"生物与化学工程学院"</f>
        <v>生物与化学工程学院</v>
      </c>
    </row>
    <row r="8415" ht="13.5" hidden="1" spans="1:5">
      <c r="A8415" s="2" t="str">
        <f>"郑淏"</f>
        <v>郑淏</v>
      </c>
      <c r="B8415" s="2" t="str">
        <f>"B20231301136"</f>
        <v>B20231301136</v>
      </c>
      <c r="C8415" s="2" t="str">
        <f t="shared" si="2026"/>
        <v>男</v>
      </c>
      <c r="D8415" s="2" t="str">
        <f>"3"</f>
        <v>3</v>
      </c>
      <c r="E8415" s="2" t="str">
        <f>"材料与环境工程学院"</f>
        <v>材料与环境工程学院</v>
      </c>
    </row>
    <row r="8416" ht="13.5" hidden="1" spans="1:5">
      <c r="A8416" s="2" t="str">
        <f>"芦屹瑞"</f>
        <v>芦屹瑞</v>
      </c>
      <c r="B8416" s="2" t="str">
        <f>"B20230504331"</f>
        <v>B20230504331</v>
      </c>
      <c r="C8416" s="2" t="str">
        <f t="shared" si="2026"/>
        <v>男</v>
      </c>
      <c r="D8416" s="2" t="str">
        <f>"3"</f>
        <v>3</v>
      </c>
      <c r="E8416" s="2" t="str">
        <f>"生物与化学工程学院"</f>
        <v>生物与化学工程学院</v>
      </c>
    </row>
    <row r="8417" ht="13.5" hidden="1" spans="1:5">
      <c r="A8417" s="2" t="str">
        <f>"李冠华"</f>
        <v>李冠华</v>
      </c>
      <c r="B8417" s="2" t="str">
        <f>"B20230703124"</f>
        <v>B20230703124</v>
      </c>
      <c r="C8417" s="2" t="str">
        <f t="shared" si="2026"/>
        <v>男</v>
      </c>
      <c r="D8417" s="2" t="str">
        <f>"3"</f>
        <v>3</v>
      </c>
      <c r="E8417" s="2" t="str">
        <f>"马栏山新媒体学院"</f>
        <v>马栏山新媒体学院</v>
      </c>
    </row>
    <row r="8418" ht="13.5" hidden="1" spans="1:5">
      <c r="A8418" s="2" t="str">
        <f>"吴紫璇"</f>
        <v>吴紫璇</v>
      </c>
      <c r="B8418" s="2" t="str">
        <f>"B20220901301"</f>
        <v>B20220901301</v>
      </c>
      <c r="C8418" s="2" t="str">
        <f>"女"</f>
        <v>女</v>
      </c>
      <c r="D8418" s="2" t="str">
        <f>"3"</f>
        <v>3</v>
      </c>
      <c r="E8418" s="2" t="str">
        <f>"经济与管理学院"</f>
        <v>经济与管理学院</v>
      </c>
    </row>
    <row r="8419" ht="13.5" hidden="1" spans="1:5">
      <c r="A8419" s="2" t="str">
        <f>"周楚萌"</f>
        <v>周楚萌</v>
      </c>
      <c r="B8419" s="2" t="str">
        <f>"B20210904339"</f>
        <v>B20210904339</v>
      </c>
      <c r="C8419" s="2" t="str">
        <f>"男"</f>
        <v>男</v>
      </c>
      <c r="D8419" s="2" t="str">
        <f>"3"</f>
        <v>3</v>
      </c>
      <c r="E8419" s="2" t="str">
        <f>"经济与管理学院"</f>
        <v>经济与管理学院</v>
      </c>
    </row>
    <row r="8420" ht="13.5" hidden="1" spans="1:5">
      <c r="A8420" s="2" t="str">
        <f>"周玉浩"</f>
        <v>周玉浩</v>
      </c>
      <c r="B8420" s="2" t="str">
        <f>"B20220204134"</f>
        <v>B20220204134</v>
      </c>
      <c r="C8420" s="2" t="str">
        <f>"男"</f>
        <v>男</v>
      </c>
      <c r="D8420" s="2" t="str">
        <f>"3"</f>
        <v>3</v>
      </c>
      <c r="E8420" s="2" t="str">
        <f>"机电工程学院"</f>
        <v>机电工程学院</v>
      </c>
    </row>
    <row r="8421" ht="13.5" hidden="1" spans="1:5">
      <c r="A8421" s="2" t="str">
        <f>"韩涵"</f>
        <v>韩涵</v>
      </c>
      <c r="B8421" s="2" t="str">
        <f>"B20210101232"</f>
        <v>B20210101232</v>
      </c>
      <c r="C8421" s="2" t="str">
        <f>"女"</f>
        <v>女</v>
      </c>
      <c r="D8421" s="2" t="str">
        <f>"3"</f>
        <v>3</v>
      </c>
      <c r="E8421" s="2" t="str">
        <f>"土木工程学院"</f>
        <v>土木工程学院</v>
      </c>
    </row>
    <row r="8422" ht="13.5" hidden="1" spans="1:5">
      <c r="A8422" s="2" t="str">
        <f>"李思宇"</f>
        <v>李思宇</v>
      </c>
      <c r="B8422" s="2" t="str">
        <f>"B20230901133"</f>
        <v>B20230901133</v>
      </c>
      <c r="C8422" s="2" t="str">
        <f>"女"</f>
        <v>女</v>
      </c>
      <c r="D8422" s="2" t="str">
        <f>"3"</f>
        <v>3</v>
      </c>
      <c r="E8422" s="2" t="str">
        <f>"经济与管理学院"</f>
        <v>经济与管理学院</v>
      </c>
    </row>
    <row r="8423" ht="13.5" hidden="1" spans="1:5">
      <c r="A8423" s="2" t="str">
        <f>"袁靓"</f>
        <v>袁靓</v>
      </c>
      <c r="B8423" s="2" t="str">
        <f>"B20221001412"</f>
        <v>B20221001412</v>
      </c>
      <c r="C8423" s="2" t="str">
        <f>"女"</f>
        <v>女</v>
      </c>
      <c r="D8423" s="2" t="str">
        <f>"3"</f>
        <v>3</v>
      </c>
      <c r="E8423" s="2" t="str">
        <f>"艺术设计学院"</f>
        <v>艺术设计学院</v>
      </c>
    </row>
    <row r="8424" ht="13.5" hidden="1" spans="1:5">
      <c r="A8424" s="2" t="str">
        <f>"唐颖涛"</f>
        <v>唐颖涛</v>
      </c>
      <c r="B8424" s="2" t="str">
        <f>"B20231302101"</f>
        <v>B20231302101</v>
      </c>
      <c r="C8424" s="2" t="str">
        <f>"男"</f>
        <v>男</v>
      </c>
      <c r="D8424" s="2" t="str">
        <f>"3"</f>
        <v>3</v>
      </c>
      <c r="E8424" s="2" t="str">
        <f>"材料与环境工程学院"</f>
        <v>材料与环境工程学院</v>
      </c>
    </row>
    <row r="8425" ht="13.5" hidden="1" spans="1:5">
      <c r="A8425" s="2" t="str">
        <f>"吴备齐"</f>
        <v>吴备齐</v>
      </c>
      <c r="B8425" s="2" t="str">
        <f>"B20220104120"</f>
        <v>B20220104120</v>
      </c>
      <c r="C8425" s="2" t="str">
        <f>"男"</f>
        <v>男</v>
      </c>
      <c r="D8425" s="2" t="str">
        <f>"3"</f>
        <v>3</v>
      </c>
      <c r="E8425" s="2" t="str">
        <f>"土木工程学院"</f>
        <v>土木工程学院</v>
      </c>
    </row>
    <row r="8426" ht="13.5" hidden="1" spans="1:5">
      <c r="A8426" s="2" t="str">
        <f>"李茹岚"</f>
        <v>李茹岚</v>
      </c>
      <c r="B8426" s="2" t="str">
        <f>"B20221001318"</f>
        <v>B20221001318</v>
      </c>
      <c r="C8426" s="2" t="str">
        <f>"女"</f>
        <v>女</v>
      </c>
      <c r="D8426" s="2" t="str">
        <f t="shared" ref="D8426:D8433" si="2028">"3"</f>
        <v>3</v>
      </c>
      <c r="E8426" s="2" t="str">
        <f>"艺术设计学院"</f>
        <v>艺术设计学院</v>
      </c>
    </row>
    <row r="8427" ht="13.5" hidden="1" spans="1:5">
      <c r="A8427" s="2" t="str">
        <f>"唐佩群"</f>
        <v>唐佩群</v>
      </c>
      <c r="B8427" s="2" t="str">
        <f>"B20200902317"</f>
        <v>B20200902317</v>
      </c>
      <c r="C8427" s="2" t="str">
        <f>"女"</f>
        <v>女</v>
      </c>
      <c r="D8427" s="2" t="str">
        <f t="shared" si="2028"/>
        <v>3</v>
      </c>
      <c r="E8427" s="2" t="str">
        <f>"经济与管理学院"</f>
        <v>经济与管理学院</v>
      </c>
    </row>
    <row r="8428" ht="13.5" hidden="1" spans="1:5">
      <c r="A8428" s="2" t="str">
        <f>"李坤"</f>
        <v>李坤</v>
      </c>
      <c r="B8428" s="2" t="str">
        <f>"B20210501118"</f>
        <v>B20210501118</v>
      </c>
      <c r="C8428" s="2" t="str">
        <f>"男"</f>
        <v>男</v>
      </c>
      <c r="D8428" s="2" t="str">
        <f t="shared" si="2028"/>
        <v>3</v>
      </c>
      <c r="E8428" s="2" t="str">
        <f>"生物与化学工程学院"</f>
        <v>生物与化学工程学院</v>
      </c>
    </row>
    <row r="8429" ht="13.5" hidden="1" spans="1:5">
      <c r="A8429" s="2" t="str">
        <f>"童妤晗"</f>
        <v>童妤晗</v>
      </c>
      <c r="B8429" s="2" t="str">
        <f>"B20210701320"</f>
        <v>B20210701320</v>
      </c>
      <c r="C8429" s="2" t="str">
        <f t="shared" ref="C8429:C8431" si="2029">"女"</f>
        <v>女</v>
      </c>
      <c r="D8429" s="2" t="str">
        <f t="shared" si="2028"/>
        <v>3</v>
      </c>
      <c r="E8429" s="2" t="str">
        <f>"马栏山新媒体学院"</f>
        <v>马栏山新媒体学院</v>
      </c>
    </row>
    <row r="8430" ht="13.5" hidden="1" spans="1:5">
      <c r="A8430" s="2" t="str">
        <f>"周少女"</f>
        <v>周少女</v>
      </c>
      <c r="B8430" s="2" t="str">
        <f>"B20200904234"</f>
        <v>B20200904234</v>
      </c>
      <c r="C8430" s="2" t="str">
        <f t="shared" si="2029"/>
        <v>女</v>
      </c>
      <c r="D8430" s="2" t="str">
        <f t="shared" si="2028"/>
        <v>3</v>
      </c>
      <c r="E8430" s="2" t="str">
        <f>"经济与管理学院"</f>
        <v>经济与管理学院</v>
      </c>
    </row>
    <row r="8431" ht="13.5" hidden="1" spans="1:5">
      <c r="A8431" s="2" t="str">
        <f>"岳怡"</f>
        <v>岳怡</v>
      </c>
      <c r="B8431" s="2" t="str">
        <f>"B20210705111"</f>
        <v>B20210705111</v>
      </c>
      <c r="C8431" s="2" t="str">
        <f t="shared" si="2029"/>
        <v>女</v>
      </c>
      <c r="D8431" s="2" t="str">
        <f t="shared" si="2028"/>
        <v>3</v>
      </c>
      <c r="E8431" s="2" t="str">
        <f>"马栏山新媒体学院"</f>
        <v>马栏山新媒体学院</v>
      </c>
    </row>
    <row r="8432" ht="13.5" hidden="1" spans="1:5">
      <c r="A8432" s="2" t="str">
        <f>"杜孝龙"</f>
        <v>杜孝龙</v>
      </c>
      <c r="B8432" s="2" t="str">
        <f>"B20230504212"</f>
        <v>B20230504212</v>
      </c>
      <c r="C8432" s="2" t="str">
        <f>"男"</f>
        <v>男</v>
      </c>
      <c r="D8432" s="2" t="str">
        <f t="shared" si="2028"/>
        <v>3</v>
      </c>
      <c r="E8432" s="2" t="str">
        <f>"生物与化学工程学院"</f>
        <v>生物与化学工程学院</v>
      </c>
    </row>
    <row r="8433" ht="13.5" hidden="1" spans="1:5">
      <c r="A8433" s="2" t="str">
        <f>"吴杨"</f>
        <v>吴杨</v>
      </c>
      <c r="B8433" s="2" t="str">
        <f>"B20230102216"</f>
        <v>B20230102216</v>
      </c>
      <c r="C8433" s="2" t="str">
        <f>"女"</f>
        <v>女</v>
      </c>
      <c r="D8433" s="2" t="str">
        <f t="shared" si="2028"/>
        <v>3</v>
      </c>
      <c r="E8433" s="2" t="str">
        <f>"土木工程学院"</f>
        <v>土木工程学院</v>
      </c>
    </row>
    <row r="8434" ht="13.5" hidden="1" spans="1:5">
      <c r="A8434" s="2" t="str">
        <f>"周俊志"</f>
        <v>周俊志</v>
      </c>
      <c r="B8434" s="2" t="str">
        <f>"B20210202226"</f>
        <v>B20210202226</v>
      </c>
      <c r="C8434" s="2" t="str">
        <f>"男"</f>
        <v>男</v>
      </c>
      <c r="D8434" s="2" t="str">
        <f>"3"</f>
        <v>3</v>
      </c>
      <c r="E8434" s="2" t="str">
        <f>"机电工程学院"</f>
        <v>机电工程学院</v>
      </c>
    </row>
    <row r="8435" ht="13.5" hidden="1" spans="1:5">
      <c r="A8435" s="2" t="str">
        <f>"胡春洁"</f>
        <v>胡春洁</v>
      </c>
      <c r="B8435" s="2" t="str">
        <f>"B20200103104"</f>
        <v>B20200103104</v>
      </c>
      <c r="C8435" s="2" t="str">
        <f>"女"</f>
        <v>女</v>
      </c>
      <c r="D8435" s="2" t="str">
        <f>"3"</f>
        <v>3</v>
      </c>
      <c r="E8435" s="2" t="str">
        <f>"土木工程学院"</f>
        <v>土木工程学院</v>
      </c>
    </row>
    <row r="8436" ht="13.5" hidden="1" spans="1:5">
      <c r="A8436" s="2" t="str">
        <f>"刘帅"</f>
        <v>刘帅</v>
      </c>
      <c r="B8436" s="2" t="str">
        <f>"B20210704422"</f>
        <v>B20210704422</v>
      </c>
      <c r="C8436" s="2" t="str">
        <f>"男"</f>
        <v>男</v>
      </c>
      <c r="D8436" s="2" t="str">
        <f>"3"</f>
        <v>3</v>
      </c>
      <c r="E8436" s="2" t="str">
        <f>"马栏山新媒体学院"</f>
        <v>马栏山新媒体学院</v>
      </c>
    </row>
    <row r="8437" ht="13.5" hidden="1" spans="1:5">
      <c r="A8437" s="2" t="str">
        <f>"吴双彤"</f>
        <v>吴双彤</v>
      </c>
      <c r="B8437" s="2" t="str">
        <f>"B20220504131"</f>
        <v>B20220504131</v>
      </c>
      <c r="C8437" s="2" t="str">
        <f>"女"</f>
        <v>女</v>
      </c>
      <c r="D8437" s="2" t="str">
        <f>"2"</f>
        <v>2</v>
      </c>
      <c r="E8437" s="2" t="str">
        <f>"生物与化学工程学院"</f>
        <v>生物与化学工程学院</v>
      </c>
    </row>
    <row r="8438" ht="13.5" hidden="1" spans="1:5">
      <c r="A8438" s="2" t="str">
        <f>"周靖舒"</f>
        <v>周靖舒</v>
      </c>
      <c r="B8438" s="2" t="str">
        <f>"B20220702413"</f>
        <v>B20220702413</v>
      </c>
      <c r="C8438" s="2" t="str">
        <f>"男"</f>
        <v>男</v>
      </c>
      <c r="D8438" s="2" t="str">
        <f>"2"</f>
        <v>2</v>
      </c>
      <c r="E8438" s="2" t="str">
        <f>"马栏山新媒体学院"</f>
        <v>马栏山新媒体学院</v>
      </c>
    </row>
    <row r="8439" ht="13.5" hidden="1" spans="1:5">
      <c r="A8439" s="2" t="str">
        <f>"丁丹银"</f>
        <v>丁丹银</v>
      </c>
      <c r="B8439" s="2" t="str">
        <f>"B20231002222"</f>
        <v>B20231002222</v>
      </c>
      <c r="C8439" s="2" t="str">
        <f>"女"</f>
        <v>女</v>
      </c>
      <c r="D8439" s="2" t="str">
        <f>"2"</f>
        <v>2</v>
      </c>
      <c r="E8439" s="2" t="str">
        <f>"艺术设计学院"</f>
        <v>艺术设计学院</v>
      </c>
    </row>
    <row r="8440" ht="13.5" hidden="1" spans="1:5">
      <c r="A8440" s="2" t="str">
        <f>"苏妮"</f>
        <v>苏妮</v>
      </c>
      <c r="B8440" s="2" t="str">
        <f>"B20220701125"</f>
        <v>B20220701125</v>
      </c>
      <c r="C8440" s="2" t="str">
        <f>"女"</f>
        <v>女</v>
      </c>
      <c r="D8440" s="2" t="str">
        <f>"2"</f>
        <v>2</v>
      </c>
      <c r="E8440" s="2" t="str">
        <f>"马栏山新媒体学院"</f>
        <v>马栏山新媒体学院</v>
      </c>
    </row>
    <row r="8441" ht="13.5" hidden="1" spans="1:5">
      <c r="A8441" s="2" t="str">
        <f>"陈玲"</f>
        <v>陈玲</v>
      </c>
      <c r="B8441" s="2" t="str">
        <f>"B20220701403"</f>
        <v>B20220701403</v>
      </c>
      <c r="C8441" s="2" t="str">
        <f>"女"</f>
        <v>女</v>
      </c>
      <c r="D8441" s="2" t="str">
        <f>"2"</f>
        <v>2</v>
      </c>
      <c r="E8441" s="2" t="str">
        <f>"马栏山新媒体学院"</f>
        <v>马栏山新媒体学院</v>
      </c>
    </row>
    <row r="8442" ht="13.5" hidden="1" spans="1:5">
      <c r="A8442" s="2" t="str">
        <f>"唐利成"</f>
        <v>唐利成</v>
      </c>
      <c r="B8442" s="2" t="str">
        <f>"B20220104212"</f>
        <v>B20220104212</v>
      </c>
      <c r="C8442" s="2" t="str">
        <f>"男"</f>
        <v>男</v>
      </c>
      <c r="D8442" s="2" t="str">
        <f>"2"</f>
        <v>2</v>
      </c>
      <c r="E8442" s="2" t="str">
        <f>"土木工程学院"</f>
        <v>土木工程学院</v>
      </c>
    </row>
    <row r="8443" ht="13.5" hidden="1" spans="1:5">
      <c r="A8443" s="2" t="str">
        <f>"蒋承佑"</f>
        <v>蒋承佑</v>
      </c>
      <c r="B8443" s="2" t="str">
        <f>"B20210401104"</f>
        <v>B20210401104</v>
      </c>
      <c r="C8443" s="2" t="str">
        <f>"男"</f>
        <v>男</v>
      </c>
      <c r="D8443" s="2" t="str">
        <f>"2"</f>
        <v>2</v>
      </c>
      <c r="E8443" s="2" t="str">
        <f>"电子信息与电气工程学院"</f>
        <v>电子信息与电气工程学院</v>
      </c>
    </row>
    <row r="8444" ht="13.5" hidden="1" spans="1:5">
      <c r="A8444" s="2" t="str">
        <f>"许珍玲"</f>
        <v>许珍玲</v>
      </c>
      <c r="B8444" s="2" t="str">
        <f>"B20220504211"</f>
        <v>B20220504211</v>
      </c>
      <c r="C8444" s="2" t="str">
        <f t="shared" ref="C8444:C8446" si="2030">"女"</f>
        <v>女</v>
      </c>
      <c r="D8444" s="2" t="str">
        <f>"2"</f>
        <v>2</v>
      </c>
      <c r="E8444" s="2" t="str">
        <f>"生物与化学工程学院"</f>
        <v>生物与化学工程学院</v>
      </c>
    </row>
    <row r="8445" ht="13.5" hidden="1" spans="1:5">
      <c r="A8445" s="2" t="str">
        <f>"凌雅薇"</f>
        <v>凌雅薇</v>
      </c>
      <c r="B8445" s="2" t="str">
        <f>"B20231002309"</f>
        <v>B20231002309</v>
      </c>
      <c r="C8445" s="2" t="str">
        <f t="shared" si="2030"/>
        <v>女</v>
      </c>
      <c r="D8445" s="2" t="str">
        <f>"2"</f>
        <v>2</v>
      </c>
      <c r="E8445" s="2" t="str">
        <f>"艺术设计学院"</f>
        <v>艺术设计学院</v>
      </c>
    </row>
    <row r="8446" ht="13.5" hidden="1" spans="1:5">
      <c r="A8446" s="2" t="str">
        <f>"毛溶"</f>
        <v>毛溶</v>
      </c>
      <c r="B8446" s="2" t="str">
        <f>"B20230705128"</f>
        <v>B20230705128</v>
      </c>
      <c r="C8446" s="2" t="str">
        <f t="shared" si="2030"/>
        <v>女</v>
      </c>
      <c r="D8446" s="2" t="str">
        <f>"2"</f>
        <v>2</v>
      </c>
      <c r="E8446" s="2" t="str">
        <f>"马栏山新媒体学院"</f>
        <v>马栏山新媒体学院</v>
      </c>
    </row>
    <row r="8447" ht="13.5" hidden="1" spans="1:5">
      <c r="A8447" s="2" t="str">
        <f>"胡宇翔"</f>
        <v>胡宇翔</v>
      </c>
      <c r="B8447" s="2" t="str">
        <f>"B20220403301"</f>
        <v>B20220403301</v>
      </c>
      <c r="C8447" s="2" t="str">
        <f>"男"</f>
        <v>男</v>
      </c>
      <c r="D8447" s="2" t="str">
        <f>"2"</f>
        <v>2</v>
      </c>
      <c r="E8447" s="2" t="str">
        <f>"电子信息与电气工程学院"</f>
        <v>电子信息与电气工程学院</v>
      </c>
    </row>
    <row r="8448" ht="13.5" hidden="1" spans="1:5">
      <c r="A8448" s="2" t="str">
        <f>"刘晨岚"</f>
        <v>刘晨岚</v>
      </c>
      <c r="B8448" s="2" t="str">
        <f>"B20230702202"</f>
        <v>B20230702202</v>
      </c>
      <c r="C8448" s="2" t="str">
        <f>"女"</f>
        <v>女</v>
      </c>
      <c r="D8448" s="2" t="str">
        <f>"2"</f>
        <v>2</v>
      </c>
      <c r="E8448" s="2" t="str">
        <f>"马栏山新媒体学院"</f>
        <v>马栏山新媒体学院</v>
      </c>
    </row>
    <row r="8449" ht="13.5" hidden="1" spans="1:5">
      <c r="A8449" s="2" t="str">
        <f>"潘刘翠"</f>
        <v>潘刘翠</v>
      </c>
      <c r="B8449" s="2" t="str">
        <f>"B20210601133"</f>
        <v>B20210601133</v>
      </c>
      <c r="C8449" s="2" t="str">
        <f>"女"</f>
        <v>女</v>
      </c>
      <c r="D8449" s="2" t="str">
        <f>"2"</f>
        <v>2</v>
      </c>
      <c r="E8449" s="2" t="str">
        <f>"法学院"</f>
        <v>法学院</v>
      </c>
    </row>
    <row r="8450" ht="13.5" hidden="1" spans="1:5">
      <c r="A8450" s="2" t="str">
        <f>"何冠奇"</f>
        <v>何冠奇</v>
      </c>
      <c r="B8450" s="2" t="str">
        <f>"B20220601218"</f>
        <v>B20220601218</v>
      </c>
      <c r="C8450" s="2" t="str">
        <f>"男"</f>
        <v>男</v>
      </c>
      <c r="D8450" s="2" t="str">
        <f>"2"</f>
        <v>2</v>
      </c>
      <c r="E8450" s="2" t="str">
        <f>"法学院"</f>
        <v>法学院</v>
      </c>
    </row>
    <row r="8451" ht="13.5" hidden="1" spans="1:5">
      <c r="A8451" s="2" t="str">
        <f>"刘曼"</f>
        <v>刘曼</v>
      </c>
      <c r="B8451" s="2" t="str">
        <f>"B20220502128"</f>
        <v>B20220502128</v>
      </c>
      <c r="C8451" s="2" t="str">
        <f>"女"</f>
        <v>女</v>
      </c>
      <c r="D8451" s="2" t="str">
        <f>"2"</f>
        <v>2</v>
      </c>
      <c r="E8451" s="2" t="str">
        <f>"生物与化学工程学院"</f>
        <v>生物与化学工程学院</v>
      </c>
    </row>
    <row r="8452" ht="13.5" hidden="1" spans="1:5">
      <c r="A8452" s="2" t="str">
        <f>"张娟"</f>
        <v>张娟</v>
      </c>
      <c r="B8452" s="2" t="str">
        <f>"B20200801215"</f>
        <v>B20200801215</v>
      </c>
      <c r="C8452" s="2" t="str">
        <f>"女"</f>
        <v>女</v>
      </c>
      <c r="D8452" s="2" t="str">
        <f>"2"</f>
        <v>2</v>
      </c>
      <c r="E8452" s="2" t="str">
        <f>"外国语学院"</f>
        <v>外国语学院</v>
      </c>
    </row>
    <row r="8453" ht="13.5" hidden="1" spans="1:5">
      <c r="A8453" s="2" t="str">
        <f>"卢雅婷"</f>
        <v>卢雅婷</v>
      </c>
      <c r="B8453" s="2" t="str">
        <f>"B20221302232"</f>
        <v>B20221302232</v>
      </c>
      <c r="C8453" s="2" t="str">
        <f>"女"</f>
        <v>女</v>
      </c>
      <c r="D8453" s="2" t="str">
        <f>"2"</f>
        <v>2</v>
      </c>
      <c r="E8453" s="2" t="str">
        <f>"材料与环境工程学院"</f>
        <v>材料与环境工程学院</v>
      </c>
    </row>
    <row r="8454" ht="13.5" hidden="1" spans="1:5">
      <c r="A8454" s="2" t="str">
        <f>"唐灿"</f>
        <v>唐灿</v>
      </c>
      <c r="B8454" s="2" t="str">
        <f>"B20210701209"</f>
        <v>B20210701209</v>
      </c>
      <c r="C8454" s="2" t="str">
        <f>"女"</f>
        <v>女</v>
      </c>
      <c r="D8454" s="2" t="str">
        <f>"2"</f>
        <v>2</v>
      </c>
      <c r="E8454" s="2" t="str">
        <f>"马栏山新媒体学院"</f>
        <v>马栏山新媒体学院</v>
      </c>
    </row>
    <row r="8455" ht="13.5" hidden="1" spans="1:5">
      <c r="A8455" s="2" t="str">
        <f>"谢忠义"</f>
        <v>谢忠义</v>
      </c>
      <c r="B8455" s="2" t="str">
        <f>"B20200801125"</f>
        <v>B20200801125</v>
      </c>
      <c r="C8455" s="2" t="str">
        <f t="shared" ref="C8455:C8459" si="2031">"男"</f>
        <v>男</v>
      </c>
      <c r="D8455" s="2" t="str">
        <f>"2"</f>
        <v>2</v>
      </c>
      <c r="E8455" s="2" t="str">
        <f>"外国语学院"</f>
        <v>外国语学院</v>
      </c>
    </row>
    <row r="8456" ht="13.5" hidden="1" spans="1:5">
      <c r="A8456" s="2" t="str">
        <f>"冯俊骁"</f>
        <v>冯俊骁</v>
      </c>
      <c r="B8456" s="2" t="str">
        <f>"B20230703319"</f>
        <v>B20230703319</v>
      </c>
      <c r="C8456" s="2" t="str">
        <f t="shared" si="2031"/>
        <v>男</v>
      </c>
      <c r="D8456" s="2" t="str">
        <f>"2"</f>
        <v>2</v>
      </c>
      <c r="E8456" s="2" t="str">
        <f>"马栏山新媒体学院"</f>
        <v>马栏山新媒体学院</v>
      </c>
    </row>
    <row r="8457" ht="13.5" hidden="1" spans="1:5">
      <c r="A8457" s="2" t="str">
        <f>"陈浥超"</f>
        <v>陈浥超</v>
      </c>
      <c r="B8457" s="2" t="str">
        <f>"B20230205306"</f>
        <v>B20230205306</v>
      </c>
      <c r="C8457" s="2" t="str">
        <f t="shared" si="2031"/>
        <v>男</v>
      </c>
      <c r="D8457" s="2" t="str">
        <f>"2"</f>
        <v>2</v>
      </c>
      <c r="E8457" s="2" t="str">
        <f>"机电工程学院"</f>
        <v>机电工程学院</v>
      </c>
    </row>
    <row r="8458" ht="13.5" hidden="1" spans="1:5">
      <c r="A8458" s="2" t="str">
        <f>"王永淇"</f>
        <v>王永淇</v>
      </c>
      <c r="B8458" s="2" t="str">
        <f>"B20221301119"</f>
        <v>B20221301119</v>
      </c>
      <c r="C8458" s="2" t="str">
        <f t="shared" si="2031"/>
        <v>男</v>
      </c>
      <c r="D8458" s="2" t="str">
        <f>"2"</f>
        <v>2</v>
      </c>
      <c r="E8458" s="2" t="str">
        <f>"材料与环境工程学院"</f>
        <v>材料与环境工程学院</v>
      </c>
    </row>
    <row r="8459" ht="13.5" hidden="1" spans="1:5">
      <c r="A8459" s="2" t="str">
        <f>"刘志伟"</f>
        <v>刘志伟</v>
      </c>
      <c r="B8459" s="2" t="str">
        <f>"B20230904115"</f>
        <v>B20230904115</v>
      </c>
      <c r="C8459" s="2" t="str">
        <f t="shared" si="2031"/>
        <v>男</v>
      </c>
      <c r="D8459" s="2" t="str">
        <f>"2"</f>
        <v>2</v>
      </c>
      <c r="E8459" s="2" t="str">
        <f>"经济与管理学院"</f>
        <v>经济与管理学院</v>
      </c>
    </row>
    <row r="8460" ht="13.5" hidden="1" spans="1:5">
      <c r="A8460" s="2" t="str">
        <f>"蒋仕林"</f>
        <v>蒋仕林</v>
      </c>
      <c r="B8460" s="2" t="str">
        <f>"B20220901201"</f>
        <v>B20220901201</v>
      </c>
      <c r="C8460" s="2" t="str">
        <f>"女"</f>
        <v>女</v>
      </c>
      <c r="D8460" s="2" t="str">
        <f>"2"</f>
        <v>2</v>
      </c>
      <c r="E8460" s="2" t="str">
        <f>"经济与管理学院"</f>
        <v>经济与管理学院</v>
      </c>
    </row>
    <row r="8461" ht="13.5" hidden="1" spans="1:5">
      <c r="A8461" s="2" t="str">
        <f>"朱门权"</f>
        <v>朱门权</v>
      </c>
      <c r="B8461" s="2" t="str">
        <f>"B20231301116"</f>
        <v>B20231301116</v>
      </c>
      <c r="C8461" s="2" t="str">
        <f>"男"</f>
        <v>男</v>
      </c>
      <c r="D8461" s="2" t="str">
        <f>"2"</f>
        <v>2</v>
      </c>
      <c r="E8461" s="2" t="str">
        <f>"材料与环境工程学院"</f>
        <v>材料与环境工程学院</v>
      </c>
    </row>
    <row r="8462" ht="13.5" hidden="1" spans="1:5">
      <c r="A8462" s="2" t="str">
        <f>"宁好"</f>
        <v>宁好</v>
      </c>
      <c r="B8462" s="2" t="str">
        <f>"B20210703213"</f>
        <v>B20210703213</v>
      </c>
      <c r="C8462" s="2" t="str">
        <f>"女"</f>
        <v>女</v>
      </c>
      <c r="D8462" s="2" t="str">
        <f>"2"</f>
        <v>2</v>
      </c>
      <c r="E8462" s="2" t="str">
        <f>"马栏山新媒体学院"</f>
        <v>马栏山新媒体学院</v>
      </c>
    </row>
    <row r="8463" ht="13.5" hidden="1" spans="1:5">
      <c r="A8463" s="2" t="str">
        <f>"陈沛祺"</f>
        <v>陈沛祺</v>
      </c>
      <c r="B8463" s="2" t="str">
        <f>"B20230101610"</f>
        <v>B20230101610</v>
      </c>
      <c r="C8463" s="2" t="str">
        <f>"男"</f>
        <v>男</v>
      </c>
      <c r="D8463" s="2" t="str">
        <f>"2"</f>
        <v>2</v>
      </c>
      <c r="E8463" s="2" t="str">
        <f>"土木工程学院"</f>
        <v>土木工程学院</v>
      </c>
    </row>
    <row r="8464" ht="13.5" hidden="1" spans="1:5">
      <c r="A8464" s="2" t="str">
        <f>"冯乐乐"</f>
        <v>冯乐乐</v>
      </c>
      <c r="B8464" s="2" t="str">
        <f>"B20231002204"</f>
        <v>B20231002204</v>
      </c>
      <c r="C8464" s="2" t="str">
        <f t="shared" ref="C8463:C8468" si="2032">"女"</f>
        <v>女</v>
      </c>
      <c r="D8464" s="2" t="str">
        <f>"2"</f>
        <v>2</v>
      </c>
      <c r="E8464" s="2" t="str">
        <f t="shared" ref="E8464:E8467" si="2033">"艺术设计学院"</f>
        <v>艺术设计学院</v>
      </c>
    </row>
    <row r="8465" ht="13.5" hidden="1" spans="1:5">
      <c r="A8465" s="2" t="str">
        <f>"陈巧"</f>
        <v>陈巧</v>
      </c>
      <c r="B8465" s="2" t="str">
        <f>"B20231001401"</f>
        <v>B20231001401</v>
      </c>
      <c r="C8465" s="2" t="str">
        <f t="shared" si="2032"/>
        <v>女</v>
      </c>
      <c r="D8465" s="2" t="str">
        <f>"2"</f>
        <v>2</v>
      </c>
      <c r="E8465" s="2" t="str">
        <f t="shared" si="2033"/>
        <v>艺术设计学院</v>
      </c>
    </row>
    <row r="8466" ht="13.5" hidden="1" spans="1:5">
      <c r="A8466" s="2" t="str">
        <f>"吴雅萱"</f>
        <v>吴雅萱</v>
      </c>
      <c r="B8466" s="2" t="str">
        <f>"B20210903106"</f>
        <v>B20210903106</v>
      </c>
      <c r="C8466" s="2" t="str">
        <f t="shared" si="2032"/>
        <v>女</v>
      </c>
      <c r="D8466" s="2" t="str">
        <f>"2"</f>
        <v>2</v>
      </c>
      <c r="E8466" s="2" t="str">
        <f>"经济与管理学院"</f>
        <v>经济与管理学院</v>
      </c>
    </row>
    <row r="8467" ht="13.5" hidden="1" spans="1:5">
      <c r="A8467" s="2" t="str">
        <f>"任斯羽"</f>
        <v>任斯羽</v>
      </c>
      <c r="B8467" s="2" t="str">
        <f>"B20231001208"</f>
        <v>B20231001208</v>
      </c>
      <c r="C8467" s="2" t="str">
        <f t="shared" si="2032"/>
        <v>女</v>
      </c>
      <c r="D8467" s="2" t="str">
        <f>"2"</f>
        <v>2</v>
      </c>
      <c r="E8467" s="2" t="str">
        <f t="shared" si="2033"/>
        <v>艺术设计学院</v>
      </c>
    </row>
    <row r="8468" ht="13.5" hidden="1" spans="1:5">
      <c r="A8468" s="2" t="str">
        <f>"韦水兰"</f>
        <v>韦水兰</v>
      </c>
      <c r="B8468" s="2" t="str">
        <f>"B20210704222"</f>
        <v>B20210704222</v>
      </c>
      <c r="C8468" s="2" t="str">
        <f t="shared" si="2032"/>
        <v>女</v>
      </c>
      <c r="D8468" s="2" t="str">
        <f>"2"</f>
        <v>2</v>
      </c>
      <c r="E8468" s="2" t="str">
        <f>"马栏山新媒体学院"</f>
        <v>马栏山新媒体学院</v>
      </c>
    </row>
    <row r="8469" ht="13.5" hidden="1" spans="1:5">
      <c r="A8469" s="2" t="str">
        <f>"刘武"</f>
        <v>刘武</v>
      </c>
      <c r="B8469" s="2" t="str">
        <f>"B20230101416"</f>
        <v>B20230101416</v>
      </c>
      <c r="C8469" s="2" t="str">
        <f>"男"</f>
        <v>男</v>
      </c>
      <c r="D8469" s="2" t="str">
        <f>"2"</f>
        <v>2</v>
      </c>
      <c r="E8469" s="2" t="str">
        <f>"土木工程学院"</f>
        <v>土木工程学院</v>
      </c>
    </row>
    <row r="8470" ht="13.5" hidden="1" spans="1:5">
      <c r="A8470" s="2" t="str">
        <f>"张沛"</f>
        <v>张沛</v>
      </c>
      <c r="B8470" s="2" t="str">
        <f>"B20200701106"</f>
        <v>B20200701106</v>
      </c>
      <c r="C8470" s="2" t="str">
        <f t="shared" ref="C8470:C8474" si="2034">"女"</f>
        <v>女</v>
      </c>
      <c r="D8470" s="2" t="str">
        <f>"2"</f>
        <v>2</v>
      </c>
      <c r="E8470" s="2" t="str">
        <f>"马栏山新媒体学院"</f>
        <v>马栏山新媒体学院</v>
      </c>
    </row>
    <row r="8471" ht="13.5" hidden="1" spans="1:5">
      <c r="A8471" s="2" t="str">
        <f>"李世杰"</f>
        <v>李世杰</v>
      </c>
      <c r="B8471" s="2" t="str">
        <f>"B20230402201"</f>
        <v>B20230402201</v>
      </c>
      <c r="C8471" s="2" t="str">
        <f>"男"</f>
        <v>男</v>
      </c>
      <c r="D8471" s="2" t="str">
        <f>"2"</f>
        <v>2</v>
      </c>
      <c r="E8471" s="2" t="str">
        <f>"电子信息与电气工程学院"</f>
        <v>电子信息与电气工程学院</v>
      </c>
    </row>
    <row r="8472" ht="13.5" hidden="1" spans="1:5">
      <c r="A8472" s="2" t="str">
        <f>"段思敏"</f>
        <v>段思敏</v>
      </c>
      <c r="B8472" s="2" t="str">
        <f>"B20210803121"</f>
        <v>B20210803121</v>
      </c>
      <c r="C8472" s="2" t="str">
        <f t="shared" si="2034"/>
        <v>女</v>
      </c>
      <c r="D8472" s="2" t="str">
        <f>"2"</f>
        <v>2</v>
      </c>
      <c r="E8472" s="2" t="str">
        <f>"外国语学院"</f>
        <v>外国语学院</v>
      </c>
    </row>
    <row r="8473" ht="13.5" hidden="1" spans="1:5">
      <c r="A8473" s="2" t="str">
        <f>"吴姗姗"</f>
        <v>吴姗姗</v>
      </c>
      <c r="B8473" s="2" t="str">
        <f>"B20200501118"</f>
        <v>B20200501118</v>
      </c>
      <c r="C8473" s="2" t="str">
        <f t="shared" si="2034"/>
        <v>女</v>
      </c>
      <c r="D8473" s="2" t="str">
        <f>"2"</f>
        <v>2</v>
      </c>
      <c r="E8473" s="2" t="str">
        <f>"生物与环境工程学院"</f>
        <v>生物与环境工程学院</v>
      </c>
    </row>
    <row r="8474" ht="13.5" hidden="1" spans="1:5">
      <c r="A8474" s="2" t="str">
        <f>"罗雅楠"</f>
        <v>罗雅楠</v>
      </c>
      <c r="B8474" s="2" t="str">
        <f>"B20220504321"</f>
        <v>B20220504321</v>
      </c>
      <c r="C8474" s="2" t="str">
        <f t="shared" si="2034"/>
        <v>女</v>
      </c>
      <c r="D8474" s="2" t="str">
        <f>"2"</f>
        <v>2</v>
      </c>
      <c r="E8474" s="2" t="str">
        <f>"生物与化学工程学院"</f>
        <v>生物与化学工程学院</v>
      </c>
    </row>
    <row r="8475" ht="13.5" hidden="1" spans="1:5">
      <c r="A8475" s="2" t="str">
        <f>"陈旭"</f>
        <v>陈旭</v>
      </c>
      <c r="B8475" s="2" t="str">
        <f>"B20231004114"</f>
        <v>B20231004114</v>
      </c>
      <c r="C8475" s="2" t="str">
        <f>"男"</f>
        <v>男</v>
      </c>
      <c r="D8475" s="2" t="str">
        <f>"2"</f>
        <v>2</v>
      </c>
      <c r="E8475" s="2" t="str">
        <f>"艺术设计学院"</f>
        <v>艺术设计学院</v>
      </c>
    </row>
    <row r="8476" ht="13.5" hidden="1" spans="1:5">
      <c r="A8476" s="2" t="str">
        <f>"欧阳晴"</f>
        <v>欧阳晴</v>
      </c>
      <c r="B8476" s="2" t="str">
        <f>"B20231401112"</f>
        <v>B20231401112</v>
      </c>
      <c r="C8476" s="2" t="str">
        <f>"女"</f>
        <v>女</v>
      </c>
      <c r="D8476" s="2" t="str">
        <f>"2"</f>
        <v>2</v>
      </c>
      <c r="E8476" s="2" t="str">
        <f>"马克思主义学院"</f>
        <v>马克思主义学院</v>
      </c>
    </row>
    <row r="8477" ht="13.5" hidden="1" spans="1:5">
      <c r="A8477" s="2" t="str">
        <f>"萧越"</f>
        <v>萧越</v>
      </c>
      <c r="B8477" s="2" t="str">
        <f>"B20220703112"</f>
        <v>B20220703112</v>
      </c>
      <c r="C8477" s="2" t="str">
        <f>"女"</f>
        <v>女</v>
      </c>
      <c r="D8477" s="2" t="str">
        <f>"2"</f>
        <v>2</v>
      </c>
      <c r="E8477" s="2" t="str">
        <f>"马栏山新媒体学院"</f>
        <v>马栏山新媒体学院</v>
      </c>
    </row>
    <row r="8478" ht="13.5" hidden="1" spans="1:5">
      <c r="A8478" s="2" t="str">
        <f>"张冯吉萱"</f>
        <v>张冯吉萱</v>
      </c>
      <c r="B8478" s="2" t="str">
        <f>"B20231003112"</f>
        <v>B20231003112</v>
      </c>
      <c r="C8478" s="2" t="str">
        <f>"女"</f>
        <v>女</v>
      </c>
      <c r="D8478" s="2" t="str">
        <f t="shared" ref="D8478:D8483" si="2035">"2"</f>
        <v>2</v>
      </c>
      <c r="E8478" s="2" t="str">
        <f>"艺术设计学院"</f>
        <v>艺术设计学院</v>
      </c>
    </row>
    <row r="8479" ht="13.5" hidden="1" spans="1:5">
      <c r="A8479" s="2" t="str">
        <f>"章鹏霖"</f>
        <v>章鹏霖</v>
      </c>
      <c r="B8479" s="2" t="str">
        <f>"B20220101537"</f>
        <v>B20220101537</v>
      </c>
      <c r="C8479" s="2" t="str">
        <f>"男"</f>
        <v>男</v>
      </c>
      <c r="D8479" s="2" t="str">
        <f t="shared" si="2035"/>
        <v>2</v>
      </c>
      <c r="E8479" s="2" t="str">
        <f>"土木工程学院"</f>
        <v>土木工程学院</v>
      </c>
    </row>
    <row r="8480" ht="13.5" hidden="1" spans="1:5">
      <c r="A8480" s="2" t="str">
        <f>"李珊"</f>
        <v>李珊</v>
      </c>
      <c r="B8480" s="2" t="str">
        <f>"B20200803206"</f>
        <v>B20200803206</v>
      </c>
      <c r="C8480" s="2" t="str">
        <f t="shared" ref="C8480:C8483" si="2036">"女"</f>
        <v>女</v>
      </c>
      <c r="D8480" s="2" t="str">
        <f t="shared" si="2035"/>
        <v>2</v>
      </c>
      <c r="E8480" s="2" t="str">
        <f t="shared" ref="E8480:E8483" si="2037">"外国语学院"</f>
        <v>外国语学院</v>
      </c>
    </row>
    <row r="8481" ht="13.5" hidden="1" spans="1:5">
      <c r="A8481" s="2" t="str">
        <f>"廖思如"</f>
        <v>廖思如</v>
      </c>
      <c r="B8481" s="2" t="str">
        <f>"B20210901207"</f>
        <v>B20210901207</v>
      </c>
      <c r="C8481" s="2" t="str">
        <f t="shared" si="2036"/>
        <v>女</v>
      </c>
      <c r="D8481" s="2" t="str">
        <f t="shared" si="2035"/>
        <v>2</v>
      </c>
      <c r="E8481" s="2" t="str">
        <f>"经济与管理学院"</f>
        <v>经济与管理学院</v>
      </c>
    </row>
    <row r="8482" ht="13.5" hidden="1" spans="1:5">
      <c r="A8482" s="2" t="str">
        <f>"杨卫华"</f>
        <v>杨卫华</v>
      </c>
      <c r="B8482" s="2" t="str">
        <f>"B20230801216"</f>
        <v>B20230801216</v>
      </c>
      <c r="C8482" s="2" t="str">
        <f t="shared" si="2036"/>
        <v>女</v>
      </c>
      <c r="D8482" s="2" t="str">
        <f t="shared" si="2035"/>
        <v>2</v>
      </c>
      <c r="E8482" s="2" t="str">
        <f t="shared" si="2037"/>
        <v>外国语学院</v>
      </c>
    </row>
    <row r="8483" ht="13.5" hidden="1" spans="1:5">
      <c r="A8483" s="2" t="str">
        <f>"傅晓蕾"</f>
        <v>傅晓蕾</v>
      </c>
      <c r="B8483" s="2" t="str">
        <f>"B20200802304"</f>
        <v>B20200802304</v>
      </c>
      <c r="C8483" s="2" t="str">
        <f t="shared" si="2036"/>
        <v>女</v>
      </c>
      <c r="D8483" s="2" t="str">
        <f t="shared" si="2035"/>
        <v>2</v>
      </c>
      <c r="E8483" s="2" t="str">
        <f t="shared" si="2037"/>
        <v>外国语学院</v>
      </c>
    </row>
    <row r="8484" ht="13.5" hidden="1" spans="1:5">
      <c r="A8484" s="2" t="str">
        <f>"周惠玲"</f>
        <v>周惠玲</v>
      </c>
      <c r="B8484" s="2" t="str">
        <f>"B20211004224"</f>
        <v>B20211004224</v>
      </c>
      <c r="C8484" s="2" t="str">
        <f t="shared" ref="C8484:C8490" si="2038">"女"</f>
        <v>女</v>
      </c>
      <c r="D8484" s="2" t="str">
        <f>"2"</f>
        <v>2</v>
      </c>
      <c r="E8484" s="2" t="str">
        <f>"艺术设计学院"</f>
        <v>艺术设计学院</v>
      </c>
    </row>
    <row r="8485" ht="13.5" hidden="1" spans="1:5">
      <c r="A8485" s="2" t="str">
        <f>"李瑶"</f>
        <v>李瑶</v>
      </c>
      <c r="B8485" s="2" t="str">
        <f>"B20210801423"</f>
        <v>B20210801423</v>
      </c>
      <c r="C8485" s="2" t="str">
        <f t="shared" si="2038"/>
        <v>女</v>
      </c>
      <c r="D8485" s="2" t="str">
        <f>"2"</f>
        <v>2</v>
      </c>
      <c r="E8485" s="2" t="str">
        <f>"外国语学院"</f>
        <v>外国语学院</v>
      </c>
    </row>
    <row r="8486" ht="13.5" hidden="1" spans="1:5">
      <c r="A8486" s="2" t="str">
        <f>"程楚儒"</f>
        <v>程楚儒</v>
      </c>
      <c r="B8486" s="2" t="str">
        <f>"B20230401307"</f>
        <v>B20230401307</v>
      </c>
      <c r="C8486" s="2" t="str">
        <f>"男"</f>
        <v>男</v>
      </c>
      <c r="D8486" s="2" t="str">
        <f>"2"</f>
        <v>2</v>
      </c>
      <c r="E8486" s="2" t="str">
        <f>"电子信息与电气工程学院"</f>
        <v>电子信息与电气工程学院</v>
      </c>
    </row>
    <row r="8487" ht="13.5" hidden="1" spans="1:5">
      <c r="A8487" s="2" t="str">
        <f>"张祎峰"</f>
        <v>张祎峰</v>
      </c>
      <c r="B8487" s="2" t="str">
        <f>"B20200505106"</f>
        <v>B20200505106</v>
      </c>
      <c r="C8487" s="2" t="str">
        <f>"男"</f>
        <v>男</v>
      </c>
      <c r="D8487" s="2" t="str">
        <f>"2"</f>
        <v>2</v>
      </c>
      <c r="E8487" s="2" t="str">
        <f>"生物与环境工程学院"</f>
        <v>生物与环境工程学院</v>
      </c>
    </row>
    <row r="8488" ht="13.5" hidden="1" spans="1:5">
      <c r="A8488" s="2" t="str">
        <f>"罗阳"</f>
        <v>罗阳</v>
      </c>
      <c r="B8488" s="2" t="str">
        <f>"B20210503112"</f>
        <v>B20210503112</v>
      </c>
      <c r="C8488" s="2" t="str">
        <f>"男"</f>
        <v>男</v>
      </c>
      <c r="D8488" s="2" t="str">
        <f>"2"</f>
        <v>2</v>
      </c>
      <c r="E8488" s="2" t="str">
        <f>"材料与环境工程学院"</f>
        <v>材料与环境工程学院</v>
      </c>
    </row>
    <row r="8489" ht="13.5" hidden="1" spans="1:5">
      <c r="A8489" s="2" t="str">
        <f>"瞿倩"</f>
        <v>瞿倩</v>
      </c>
      <c r="B8489" s="2" t="str">
        <f>"B20220204212"</f>
        <v>B20220204212</v>
      </c>
      <c r="C8489" s="2" t="str">
        <f t="shared" si="2038"/>
        <v>女</v>
      </c>
      <c r="D8489" s="2" t="str">
        <f>"2"</f>
        <v>2</v>
      </c>
      <c r="E8489" s="2" t="str">
        <f>"机电工程学院"</f>
        <v>机电工程学院</v>
      </c>
    </row>
    <row r="8490" ht="13.5" hidden="1" spans="1:5">
      <c r="A8490" s="2" t="str">
        <f>"王雪萌"</f>
        <v>王雪萌</v>
      </c>
      <c r="B8490" s="2" t="str">
        <f>"B20220601429"</f>
        <v>B20220601429</v>
      </c>
      <c r="C8490" s="2" t="str">
        <f t="shared" si="2038"/>
        <v>女</v>
      </c>
      <c r="D8490" s="2" t="str">
        <f>"2"</f>
        <v>2</v>
      </c>
      <c r="E8490" s="2" t="str">
        <f>"法学院"</f>
        <v>法学院</v>
      </c>
    </row>
    <row r="8491" ht="13.5" hidden="1" spans="1:5">
      <c r="A8491" s="2" t="str">
        <f>"刘坤"</f>
        <v>刘坤</v>
      </c>
      <c r="B8491" s="2" t="str">
        <f>"B20230202126"</f>
        <v>B20230202126</v>
      </c>
      <c r="C8491" s="2" t="str">
        <f>"男"</f>
        <v>男</v>
      </c>
      <c r="D8491" s="2" t="str">
        <f>"2"</f>
        <v>2</v>
      </c>
      <c r="E8491" s="2" t="str">
        <f>"机电工程学院"</f>
        <v>机电工程学院</v>
      </c>
    </row>
    <row r="8492" ht="13.5" hidden="1" spans="1:5">
      <c r="A8492" s="2" t="str">
        <f>"刘贵玲"</f>
        <v>刘贵玲</v>
      </c>
      <c r="B8492" s="2" t="str">
        <f>"B20220902228"</f>
        <v>B20220902228</v>
      </c>
      <c r="C8492" s="2" t="str">
        <f>"女"</f>
        <v>女</v>
      </c>
      <c r="D8492" s="2" t="str">
        <f>"2"</f>
        <v>2</v>
      </c>
      <c r="E8492" s="2" t="str">
        <f>"经济与管理学院"</f>
        <v>经济与管理学院</v>
      </c>
    </row>
    <row r="8493" ht="13.5" hidden="1" spans="1:5">
      <c r="A8493" s="2" t="str">
        <f>"吴瑜昕"</f>
        <v>吴瑜昕</v>
      </c>
      <c r="B8493" s="2" t="str">
        <f>"B20200803228"</f>
        <v>B20200803228</v>
      </c>
      <c r="C8493" s="2" t="str">
        <f>"女"</f>
        <v>女</v>
      </c>
      <c r="D8493" s="2" t="str">
        <f>"2"</f>
        <v>2</v>
      </c>
      <c r="E8493" s="2" t="str">
        <f>"外国语学院"</f>
        <v>外国语学院</v>
      </c>
    </row>
    <row r="8494" ht="13.5" hidden="1" spans="1:5">
      <c r="A8494" s="2" t="str">
        <f>"杨思炎"</f>
        <v>杨思炎</v>
      </c>
      <c r="B8494" s="2" t="str">
        <f>"B20210203229"</f>
        <v>B20210203229</v>
      </c>
      <c r="C8494" s="2" t="str">
        <f>"男"</f>
        <v>男</v>
      </c>
      <c r="D8494" s="2" t="str">
        <f>"2"</f>
        <v>2</v>
      </c>
      <c r="E8494" s="2" t="str">
        <f>"机电工程学院"</f>
        <v>机电工程学院</v>
      </c>
    </row>
    <row r="8495" ht="13.5" hidden="1" spans="1:5">
      <c r="A8495" s="2" t="str">
        <f>"张小强"</f>
        <v>张小强</v>
      </c>
      <c r="B8495" s="2" t="str">
        <f>"B20231301208"</f>
        <v>B20231301208</v>
      </c>
      <c r="C8495" s="2" t="str">
        <f>"男"</f>
        <v>男</v>
      </c>
      <c r="D8495" s="2" t="str">
        <f>"2"</f>
        <v>2</v>
      </c>
      <c r="E8495" s="2" t="str">
        <f>"材料与环境工程学院"</f>
        <v>材料与环境工程学院</v>
      </c>
    </row>
    <row r="8496" ht="13.5" hidden="1" spans="1:5">
      <c r="A8496" s="2" t="str">
        <f>"沈语诺"</f>
        <v>沈语诺</v>
      </c>
      <c r="B8496" s="2" t="str">
        <f>"B20220903108"</f>
        <v>B20220903108</v>
      </c>
      <c r="C8496" s="2" t="str">
        <f>"女"</f>
        <v>女</v>
      </c>
      <c r="D8496" s="2" t="str">
        <f>"2"</f>
        <v>2</v>
      </c>
      <c r="E8496" s="2" t="str">
        <f>"经济与管理学院"</f>
        <v>经济与管理学院</v>
      </c>
    </row>
    <row r="8497" ht="13.5" hidden="1" spans="1:5">
      <c r="A8497" s="2" t="str">
        <f>"裴子希"</f>
        <v>裴子希</v>
      </c>
      <c r="B8497" s="2" t="str">
        <f>"B20200702117"</f>
        <v>B20200702117</v>
      </c>
      <c r="C8497" s="2" t="str">
        <f>"女"</f>
        <v>女</v>
      </c>
      <c r="D8497" s="2" t="str">
        <f>"2"</f>
        <v>2</v>
      </c>
      <c r="E8497" s="2" t="str">
        <f>"马栏山新媒体学院"</f>
        <v>马栏山新媒体学院</v>
      </c>
    </row>
    <row r="8498" ht="13.5" hidden="1" spans="1:5">
      <c r="A8498" s="2" t="str">
        <f>"黄美婷"</f>
        <v>黄美婷</v>
      </c>
      <c r="B8498" s="2" t="str">
        <f>"B20231002223"</f>
        <v>B20231002223</v>
      </c>
      <c r="C8498" s="2" t="str">
        <f>"女"</f>
        <v>女</v>
      </c>
      <c r="D8498" s="2" t="str">
        <f>"2"</f>
        <v>2</v>
      </c>
      <c r="E8498" s="2" t="str">
        <f>"艺术设计学院"</f>
        <v>艺术设计学院</v>
      </c>
    </row>
    <row r="8499" ht="13.5" hidden="1" spans="1:5">
      <c r="A8499" s="2" t="str">
        <f>"袁敏怡"</f>
        <v>袁敏怡</v>
      </c>
      <c r="B8499" s="2" t="str">
        <f>"B20200501217"</f>
        <v>B20200501217</v>
      </c>
      <c r="C8499" s="2" t="str">
        <f>"女"</f>
        <v>女</v>
      </c>
      <c r="D8499" s="2" t="str">
        <f>"2"</f>
        <v>2</v>
      </c>
      <c r="E8499" s="2" t="str">
        <f>"生物与环境工程学院"</f>
        <v>生物与环境工程学院</v>
      </c>
    </row>
    <row r="8500" ht="13.5" hidden="1" spans="1:5">
      <c r="A8500" s="2" t="str">
        <f>"张徐喆"</f>
        <v>张徐喆</v>
      </c>
      <c r="B8500" s="2" t="str">
        <f>"B20231003120"</f>
        <v>B20231003120</v>
      </c>
      <c r="C8500" s="2" t="str">
        <f>"男"</f>
        <v>男</v>
      </c>
      <c r="D8500" s="2" t="str">
        <f>"2"</f>
        <v>2</v>
      </c>
      <c r="E8500" s="2" t="str">
        <f>"艺术设计学院"</f>
        <v>艺术设计学院</v>
      </c>
    </row>
    <row r="8501" ht="13.5" hidden="1" spans="1:5">
      <c r="A8501" s="2" t="str">
        <f>"尹阔"</f>
        <v>尹阔</v>
      </c>
      <c r="B8501" s="2" t="str">
        <f>"B20230101407"</f>
        <v>B20230101407</v>
      </c>
      <c r="C8501" s="2" t="str">
        <f>"男"</f>
        <v>男</v>
      </c>
      <c r="D8501" s="2" t="str">
        <f>"2"</f>
        <v>2</v>
      </c>
      <c r="E8501" s="2" t="str">
        <f>"土木工程学院"</f>
        <v>土木工程学院</v>
      </c>
    </row>
    <row r="8502" ht="13.5" hidden="1" spans="1:5">
      <c r="A8502" s="2" t="str">
        <f>"廖莹"</f>
        <v>廖莹</v>
      </c>
      <c r="B8502" s="2" t="str">
        <f>"B20230601512"</f>
        <v>B20230601512</v>
      </c>
      <c r="C8502" s="2" t="str">
        <f>"女"</f>
        <v>女</v>
      </c>
      <c r="D8502" s="2" t="str">
        <f>"2"</f>
        <v>2</v>
      </c>
      <c r="E8502" s="2" t="str">
        <f>"法学院"</f>
        <v>法学院</v>
      </c>
    </row>
    <row r="8503" ht="13.5" hidden="1" spans="1:5">
      <c r="A8503" s="2" t="str">
        <f>"曾鑫江"</f>
        <v>曾鑫江</v>
      </c>
      <c r="B8503" s="2" t="str">
        <f>"B20220401123"</f>
        <v>B20220401123</v>
      </c>
      <c r="C8503" s="2" t="str">
        <f>"男"</f>
        <v>男</v>
      </c>
      <c r="D8503" s="2" t="str">
        <f>"2"</f>
        <v>2</v>
      </c>
      <c r="E8503" s="2" t="str">
        <f>"电子信息与电气工程学院"</f>
        <v>电子信息与电气工程学院</v>
      </c>
    </row>
    <row r="8504" ht="13.5" hidden="1" spans="1:5">
      <c r="A8504" s="2" t="str">
        <f>"黄子茹"</f>
        <v>黄子茹</v>
      </c>
      <c r="B8504" s="2" t="str">
        <f>"B20231401202"</f>
        <v>B20231401202</v>
      </c>
      <c r="C8504" s="2" t="str">
        <f>"女"</f>
        <v>女</v>
      </c>
      <c r="D8504" s="2" t="str">
        <f>"2"</f>
        <v>2</v>
      </c>
      <c r="E8504" s="2" t="str">
        <f>"马克思主义学院"</f>
        <v>马克思主义学院</v>
      </c>
    </row>
    <row r="8505" ht="13.5" hidden="1" spans="1:5">
      <c r="A8505" s="2" t="str">
        <f>"林婷婷"</f>
        <v>林婷婷</v>
      </c>
      <c r="B8505" s="2" t="str">
        <f>"B20200104101"</f>
        <v>B20200104101</v>
      </c>
      <c r="C8505" s="2" t="str">
        <f>"女"</f>
        <v>女</v>
      </c>
      <c r="D8505" s="2" t="str">
        <f>"2"</f>
        <v>2</v>
      </c>
      <c r="E8505" s="2" t="str">
        <f>"土木工程学院"</f>
        <v>土木工程学院</v>
      </c>
    </row>
    <row r="8506" ht="13.5" hidden="1" spans="1:5">
      <c r="A8506" s="2" t="str">
        <f>"曹俊"</f>
        <v>曹俊</v>
      </c>
      <c r="B8506" s="2" t="str">
        <f>"B20210202127"</f>
        <v>B20210202127</v>
      </c>
      <c r="C8506" s="2" t="str">
        <f>"男"</f>
        <v>男</v>
      </c>
      <c r="D8506" s="2" t="str">
        <f>"2"</f>
        <v>2</v>
      </c>
      <c r="E8506" s="2" t="str">
        <f>"机电工程学院"</f>
        <v>机电工程学院</v>
      </c>
    </row>
    <row r="8507" ht="13.5" hidden="1" spans="1:5">
      <c r="A8507" s="2" t="str">
        <f>"杨琛"</f>
        <v>杨琛</v>
      </c>
      <c r="B8507" s="2" t="str">
        <f>"B20220401122"</f>
        <v>B20220401122</v>
      </c>
      <c r="C8507" s="2" t="str">
        <f>"男"</f>
        <v>男</v>
      </c>
      <c r="D8507" s="2" t="str">
        <f>"2"</f>
        <v>2</v>
      </c>
      <c r="E8507" s="2" t="str">
        <f>"电子信息与电气工程学院"</f>
        <v>电子信息与电气工程学院</v>
      </c>
    </row>
    <row r="8508" ht="13.5" hidden="1" spans="1:5">
      <c r="A8508" s="2" t="str">
        <f>"唐政皇"</f>
        <v>唐政皇</v>
      </c>
      <c r="B8508" s="2" t="str">
        <f>"B20200202313"</f>
        <v>B20200202313</v>
      </c>
      <c r="C8508" s="2" t="str">
        <f>"男"</f>
        <v>男</v>
      </c>
      <c r="D8508" s="2" t="str">
        <f>"2"</f>
        <v>2</v>
      </c>
      <c r="E8508" s="2" t="str">
        <f>"机电工程学院"</f>
        <v>机电工程学院</v>
      </c>
    </row>
    <row r="8509" ht="13.5" hidden="1" spans="1:5">
      <c r="A8509" s="2" t="str">
        <f>"崔馨月"</f>
        <v>崔馨月</v>
      </c>
      <c r="B8509" s="2" t="str">
        <f>"B20210601331"</f>
        <v>B20210601331</v>
      </c>
      <c r="C8509" s="2" t="str">
        <f>"女"</f>
        <v>女</v>
      </c>
      <c r="D8509" s="2" t="str">
        <f>"2"</f>
        <v>2</v>
      </c>
      <c r="E8509" s="2" t="str">
        <f>"法学院"</f>
        <v>法学院</v>
      </c>
    </row>
    <row r="8510" ht="13.5" hidden="1" spans="1:5">
      <c r="A8510" s="2" t="str">
        <f>"刘晨宇"</f>
        <v>刘晨宇</v>
      </c>
      <c r="B8510" s="2" t="str">
        <f>"B20230705117"</f>
        <v>B20230705117</v>
      </c>
      <c r="C8510" s="2" t="str">
        <f>"女"</f>
        <v>女</v>
      </c>
      <c r="D8510" s="2" t="str">
        <f>"2"</f>
        <v>2</v>
      </c>
      <c r="E8510" s="2" t="str">
        <f>"马栏山新媒体学院"</f>
        <v>马栏山新媒体学院</v>
      </c>
    </row>
    <row r="8511" ht="13.5" hidden="1" spans="1:5">
      <c r="A8511" s="2" t="str">
        <f>"欧阳如松"</f>
        <v>欧阳如松</v>
      </c>
      <c r="B8511" s="2" t="str">
        <f>"B20210902417"</f>
        <v>B20210902417</v>
      </c>
      <c r="C8511" s="2" t="str">
        <f>"男"</f>
        <v>男</v>
      </c>
      <c r="D8511" s="2" t="str">
        <f>"2"</f>
        <v>2</v>
      </c>
      <c r="E8511" s="2" t="str">
        <f>"经济与管理学院"</f>
        <v>经济与管理学院</v>
      </c>
    </row>
    <row r="8512" ht="13.5" hidden="1" spans="1:5">
      <c r="A8512" s="2" t="str">
        <f>"崔璠"</f>
        <v>崔璠</v>
      </c>
      <c r="B8512" s="2" t="str">
        <f>"B20230403314"</f>
        <v>B20230403314</v>
      </c>
      <c r="C8512" s="2" t="str">
        <f>"女"</f>
        <v>女</v>
      </c>
      <c r="D8512" s="2" t="str">
        <f>"2"</f>
        <v>2</v>
      </c>
      <c r="E8512" s="2" t="str">
        <f>"电子信息与电气工程学院"</f>
        <v>电子信息与电气工程学院</v>
      </c>
    </row>
    <row r="8513" ht="13.5" hidden="1" spans="1:5">
      <c r="A8513" s="2" t="str">
        <f>"易思睿"</f>
        <v>易思睿</v>
      </c>
      <c r="B8513" s="2" t="str">
        <f>"B20210701114"</f>
        <v>B20210701114</v>
      </c>
      <c r="C8513" s="2" t="str">
        <f>"女"</f>
        <v>女</v>
      </c>
      <c r="D8513" s="2" t="str">
        <f>"2"</f>
        <v>2</v>
      </c>
      <c r="E8513" s="2" t="str">
        <f>"马栏山新媒体学院"</f>
        <v>马栏山新媒体学院</v>
      </c>
    </row>
    <row r="8514" ht="13.5" hidden="1" spans="1:5">
      <c r="A8514" s="2" t="str">
        <f>"唐宇鸿"</f>
        <v>唐宇鸿</v>
      </c>
      <c r="B8514" s="2" t="str">
        <f>"B20230101227"</f>
        <v>B20230101227</v>
      </c>
      <c r="C8514" s="2" t="str">
        <f>"男"</f>
        <v>男</v>
      </c>
      <c r="D8514" s="2" t="str">
        <f>"2"</f>
        <v>2</v>
      </c>
      <c r="E8514" s="2" t="str">
        <f>"土木工程学院"</f>
        <v>土木工程学院</v>
      </c>
    </row>
    <row r="8515" ht="13.5" hidden="1" spans="1:5">
      <c r="A8515" s="2" t="str">
        <f>"陈楚楚"</f>
        <v>陈楚楚</v>
      </c>
      <c r="B8515" s="2" t="str">
        <f>"B20230801213"</f>
        <v>B20230801213</v>
      </c>
      <c r="C8515" s="2" t="str">
        <f>"女"</f>
        <v>女</v>
      </c>
      <c r="D8515" s="2" t="str">
        <f>"2"</f>
        <v>2</v>
      </c>
      <c r="E8515" s="2" t="str">
        <f>"外国语学院"</f>
        <v>外国语学院</v>
      </c>
    </row>
    <row r="8516" ht="13.5" hidden="1" spans="1:5">
      <c r="A8516" s="2" t="str">
        <f>"邱政"</f>
        <v>邱政</v>
      </c>
      <c r="B8516" s="2" t="str">
        <f>"B20220502114"</f>
        <v>B20220502114</v>
      </c>
      <c r="C8516" s="2" t="str">
        <f>"男"</f>
        <v>男</v>
      </c>
      <c r="D8516" s="2" t="str">
        <f>"2"</f>
        <v>2</v>
      </c>
      <c r="E8516" s="2" t="str">
        <f>"生物与化学工程学院"</f>
        <v>生物与化学工程学院</v>
      </c>
    </row>
    <row r="8517" ht="13.5" hidden="1" spans="1:5">
      <c r="A8517" s="2" t="str">
        <f>"龙依婷"</f>
        <v>龙依婷</v>
      </c>
      <c r="B8517" s="2" t="str">
        <f>"B20210102206"</f>
        <v>B20210102206</v>
      </c>
      <c r="C8517" s="2" t="str">
        <f>"女"</f>
        <v>女</v>
      </c>
      <c r="D8517" s="2" t="str">
        <f>"2"</f>
        <v>2</v>
      </c>
      <c r="E8517" s="2" t="str">
        <f>"土木工程学院"</f>
        <v>土木工程学院</v>
      </c>
    </row>
    <row r="8518" ht="13.5" hidden="1" spans="1:5">
      <c r="A8518" s="2" t="str">
        <f>"熊礼文"</f>
        <v>熊礼文</v>
      </c>
      <c r="B8518" s="2" t="str">
        <f>"B20230401305"</f>
        <v>B20230401305</v>
      </c>
      <c r="C8518" s="2" t="str">
        <f>"男"</f>
        <v>男</v>
      </c>
      <c r="D8518" s="2" t="str">
        <f>"2"</f>
        <v>2</v>
      </c>
      <c r="E8518" s="2" t="str">
        <f>"电子信息与电气工程学院"</f>
        <v>电子信息与电气工程学院</v>
      </c>
    </row>
    <row r="8519" ht="13.5" hidden="1" spans="1:5">
      <c r="A8519" s="2" t="str">
        <f>"李福勇"</f>
        <v>李福勇</v>
      </c>
      <c r="B8519" s="2" t="str">
        <f>"B20221002315"</f>
        <v>B20221002315</v>
      </c>
      <c r="C8519" s="2" t="str">
        <f>"男"</f>
        <v>男</v>
      </c>
      <c r="D8519" s="2" t="str">
        <f>"2"</f>
        <v>2</v>
      </c>
      <c r="E8519" s="2" t="str">
        <f>"艺术设计学院"</f>
        <v>艺术设计学院</v>
      </c>
    </row>
    <row r="8520" ht="13.5" hidden="1" spans="1:5">
      <c r="A8520" s="2" t="str">
        <f>"朱婧"</f>
        <v>朱婧</v>
      </c>
      <c r="B8520" s="2" t="str">
        <f>"B20210901332"</f>
        <v>B20210901332</v>
      </c>
      <c r="C8520" s="2" t="str">
        <f>"女"</f>
        <v>女</v>
      </c>
      <c r="D8520" s="2" t="str">
        <f>"2"</f>
        <v>2</v>
      </c>
      <c r="E8520" s="2" t="str">
        <f>"经济与管理学院"</f>
        <v>经济与管理学院</v>
      </c>
    </row>
    <row r="8521" ht="13.5" hidden="1" spans="1:5">
      <c r="A8521" s="2" t="str">
        <f>"颜茂芳"</f>
        <v>颜茂芳</v>
      </c>
      <c r="B8521" s="2" t="str">
        <f>"B20221302103"</f>
        <v>B20221302103</v>
      </c>
      <c r="C8521" s="2" t="str">
        <f>"女"</f>
        <v>女</v>
      </c>
      <c r="D8521" s="2" t="str">
        <f>"2"</f>
        <v>2</v>
      </c>
      <c r="E8521" s="2" t="str">
        <f>"材料与环境工程学院"</f>
        <v>材料与环境工程学院</v>
      </c>
    </row>
    <row r="8522" ht="13.5" hidden="1" spans="1:5">
      <c r="A8522" s="2" t="str">
        <f>"邹新妮"</f>
        <v>邹新妮</v>
      </c>
      <c r="B8522" s="2" t="str">
        <f>"B20230903112"</f>
        <v>B20230903112</v>
      </c>
      <c r="C8522" s="2" t="str">
        <f>"女"</f>
        <v>女</v>
      </c>
      <c r="D8522" s="2" t="str">
        <f>"2"</f>
        <v>2</v>
      </c>
      <c r="E8522" s="2" t="str">
        <f>"经济与管理学院"</f>
        <v>经济与管理学院</v>
      </c>
    </row>
    <row r="8523" ht="13.5" hidden="1" spans="1:5">
      <c r="A8523" s="2" t="str">
        <f>"莫姝梅"</f>
        <v>莫姝梅</v>
      </c>
      <c r="B8523" s="2" t="str">
        <f>"B20231002303"</f>
        <v>B20231002303</v>
      </c>
      <c r="C8523" s="2" t="str">
        <f>"女"</f>
        <v>女</v>
      </c>
      <c r="D8523" s="2" t="str">
        <f>"2"</f>
        <v>2</v>
      </c>
      <c r="E8523" s="2" t="str">
        <f>"艺术设计学院"</f>
        <v>艺术设计学院</v>
      </c>
    </row>
    <row r="8524" ht="13.5" hidden="1" spans="1:5">
      <c r="A8524" s="2" t="str">
        <f>"龚钰婷"</f>
        <v>龚钰婷</v>
      </c>
      <c r="B8524" s="2" t="str">
        <f>"B20210704408"</f>
        <v>B20210704408</v>
      </c>
      <c r="C8524" s="2" t="str">
        <f>"女"</f>
        <v>女</v>
      </c>
      <c r="D8524" s="2" t="str">
        <f>"2"</f>
        <v>2</v>
      </c>
      <c r="E8524" s="2" t="str">
        <f>"马栏山新媒体学院"</f>
        <v>马栏山新媒体学院</v>
      </c>
    </row>
    <row r="8525" ht="13.5" hidden="1" spans="1:5">
      <c r="A8525" s="2" t="str">
        <f>"吴小丫"</f>
        <v>吴小丫</v>
      </c>
      <c r="B8525" s="2" t="str">
        <f>"B20211101103"</f>
        <v>B20211101103</v>
      </c>
      <c r="C8525" s="2" t="str">
        <f>"女"</f>
        <v>女</v>
      </c>
      <c r="D8525" s="2" t="str">
        <f t="shared" ref="D8525:D8531" si="2039">"2"</f>
        <v>2</v>
      </c>
      <c r="E8525" s="2" t="str">
        <f>"音乐学院"</f>
        <v>音乐学院</v>
      </c>
    </row>
    <row r="8526" ht="13.5" hidden="1" spans="1:5">
      <c r="A8526" s="2" t="str">
        <f>"刘淑仪"</f>
        <v>刘淑仪</v>
      </c>
      <c r="B8526" s="2" t="str">
        <f>"B20200701101"</f>
        <v>B20200701101</v>
      </c>
      <c r="C8526" s="2" t="str">
        <f>"女"</f>
        <v>女</v>
      </c>
      <c r="D8526" s="2" t="str">
        <f t="shared" si="2039"/>
        <v>2</v>
      </c>
      <c r="E8526" s="2" t="str">
        <f>"马栏山新媒体学院"</f>
        <v>马栏山新媒体学院</v>
      </c>
    </row>
    <row r="8527" ht="13.5" hidden="1" spans="1:5">
      <c r="A8527" s="2" t="str">
        <f>"肖骏杰"</f>
        <v>肖骏杰</v>
      </c>
      <c r="B8527" s="2" t="str">
        <f>"B20230101616"</f>
        <v>B20230101616</v>
      </c>
      <c r="C8527" s="2" t="str">
        <f>"男"</f>
        <v>男</v>
      </c>
      <c r="D8527" s="2" t="str">
        <f t="shared" si="2039"/>
        <v>2</v>
      </c>
      <c r="E8527" s="2" t="str">
        <f>"土木工程学院"</f>
        <v>土木工程学院</v>
      </c>
    </row>
    <row r="8528" ht="13.5" hidden="1" spans="1:5">
      <c r="A8528" s="2" t="str">
        <f>"何依"</f>
        <v>何依</v>
      </c>
      <c r="B8528" s="2" t="str">
        <f>"B20200801523"</f>
        <v>B20200801523</v>
      </c>
      <c r="C8528" s="2" t="str">
        <f t="shared" ref="C8528:C8531" si="2040">"女"</f>
        <v>女</v>
      </c>
      <c r="D8528" s="2" t="str">
        <f t="shared" si="2039"/>
        <v>2</v>
      </c>
      <c r="E8528" s="2" t="str">
        <f>"外国语学院"</f>
        <v>外国语学院</v>
      </c>
    </row>
    <row r="8529" ht="13.5" hidden="1" spans="1:5">
      <c r="A8529" s="2" t="str">
        <f>"邓梦娇"</f>
        <v>邓梦娇</v>
      </c>
      <c r="B8529" s="2" t="str">
        <f>"B20230101222"</f>
        <v>B20230101222</v>
      </c>
      <c r="C8529" s="2" t="str">
        <f t="shared" si="2040"/>
        <v>女</v>
      </c>
      <c r="D8529" s="2" t="str">
        <f t="shared" si="2039"/>
        <v>2</v>
      </c>
      <c r="E8529" s="2" t="str">
        <f>"土木工程学院"</f>
        <v>土木工程学院</v>
      </c>
    </row>
    <row r="8530" ht="13.5" hidden="1" spans="1:5">
      <c r="A8530" s="2" t="str">
        <f>"曹东"</f>
        <v>曹东</v>
      </c>
      <c r="B8530" s="2" t="str">
        <f>"B20230903227"</f>
        <v>B20230903227</v>
      </c>
      <c r="C8530" s="2" t="str">
        <f>"男"</f>
        <v>男</v>
      </c>
      <c r="D8530" s="2" t="str">
        <f t="shared" si="2039"/>
        <v>2</v>
      </c>
      <c r="E8530" s="2" t="str">
        <f>"经济与管理学院"</f>
        <v>经济与管理学院</v>
      </c>
    </row>
    <row r="8531" ht="13.5" hidden="1" spans="1:5">
      <c r="A8531" s="2" t="str">
        <f>"李欣"</f>
        <v>李欣</v>
      </c>
      <c r="B8531" s="2" t="str">
        <f>"B20210903208"</f>
        <v>B20210903208</v>
      </c>
      <c r="C8531" s="2" t="str">
        <f t="shared" si="2040"/>
        <v>女</v>
      </c>
      <c r="D8531" s="2" t="str">
        <f t="shared" si="2039"/>
        <v>2</v>
      </c>
      <c r="E8531" s="2" t="str">
        <f>"经济与管理学院"</f>
        <v>经济与管理学院</v>
      </c>
    </row>
    <row r="8532" ht="13.5" hidden="1" spans="1:5">
      <c r="A8532" s="2" t="str">
        <f>"单瑶"</f>
        <v>单瑶</v>
      </c>
      <c r="B8532" s="2" t="str">
        <f>"B20200701122"</f>
        <v>B20200701122</v>
      </c>
      <c r="C8532" s="2" t="str">
        <f t="shared" ref="C8532:C8537" si="2041">"女"</f>
        <v>女</v>
      </c>
      <c r="D8532" s="2" t="str">
        <f>"2"</f>
        <v>2</v>
      </c>
      <c r="E8532" s="2" t="str">
        <f>"马栏山新媒体学院"</f>
        <v>马栏山新媒体学院</v>
      </c>
    </row>
    <row r="8533" ht="13.5" hidden="1" spans="1:5">
      <c r="A8533" s="2" t="str">
        <f>"李小乐"</f>
        <v>李小乐</v>
      </c>
      <c r="B8533" s="2" t="str">
        <f>"B20230205314"</f>
        <v>B20230205314</v>
      </c>
      <c r="C8533" s="2" t="str">
        <f t="shared" ref="C8533:C8539" si="2042">"男"</f>
        <v>男</v>
      </c>
      <c r="D8533" s="2" t="str">
        <f>"2"</f>
        <v>2</v>
      </c>
      <c r="E8533" s="2" t="str">
        <f>"机电工程学院"</f>
        <v>机电工程学院</v>
      </c>
    </row>
    <row r="8534" ht="13.5" hidden="1" spans="1:5">
      <c r="A8534" s="2" t="str">
        <f>"罗鼎文"</f>
        <v>罗鼎文</v>
      </c>
      <c r="B8534" s="2" t="str">
        <f>"B20230702211"</f>
        <v>B20230702211</v>
      </c>
      <c r="C8534" s="2" t="str">
        <f t="shared" si="2042"/>
        <v>男</v>
      </c>
      <c r="D8534" s="2" t="str">
        <f>"2"</f>
        <v>2</v>
      </c>
      <c r="E8534" s="2" t="str">
        <f>"马栏山新媒体学院"</f>
        <v>马栏山新媒体学院</v>
      </c>
    </row>
    <row r="8535" ht="13.5" hidden="1" spans="1:5">
      <c r="A8535" s="2" t="str">
        <f>"张紫淼"</f>
        <v>张紫淼</v>
      </c>
      <c r="B8535" s="2" t="str">
        <f>"B20210902228"</f>
        <v>B20210902228</v>
      </c>
      <c r="C8535" s="2" t="str">
        <f t="shared" si="2041"/>
        <v>女</v>
      </c>
      <c r="D8535" s="2" t="str">
        <f>"2"</f>
        <v>2</v>
      </c>
      <c r="E8535" s="2" t="str">
        <f>"经济与管理学院"</f>
        <v>经济与管理学院</v>
      </c>
    </row>
    <row r="8536" ht="13.5" hidden="1" spans="1:5">
      <c r="A8536" s="2" t="str">
        <f>"柳秀晶"</f>
        <v>柳秀晶</v>
      </c>
      <c r="B8536" s="2" t="str">
        <f>"B20211101329"</f>
        <v>B20211101329</v>
      </c>
      <c r="C8536" s="2" t="str">
        <f t="shared" si="2041"/>
        <v>女</v>
      </c>
      <c r="D8536" s="2" t="str">
        <f>"2"</f>
        <v>2</v>
      </c>
      <c r="E8536" s="2" t="str">
        <f>"音乐学院"</f>
        <v>音乐学院</v>
      </c>
    </row>
    <row r="8537" ht="13.5" hidden="1" spans="1:5">
      <c r="A8537" s="2" t="str">
        <f>"邱勤"</f>
        <v>邱勤</v>
      </c>
      <c r="B8537" s="2" t="str">
        <f>"B20200504231"</f>
        <v>B20200504231</v>
      </c>
      <c r="C8537" s="2" t="str">
        <f t="shared" si="2041"/>
        <v>女</v>
      </c>
      <c r="D8537" s="2" t="str">
        <f>"2"</f>
        <v>2</v>
      </c>
      <c r="E8537" s="2" t="str">
        <f>"生物与环境工程学院"</f>
        <v>生物与环境工程学院</v>
      </c>
    </row>
    <row r="8538" ht="13.5" hidden="1" spans="1:5">
      <c r="A8538" s="2" t="str">
        <f>"肖贤璋"</f>
        <v>肖贤璋</v>
      </c>
      <c r="B8538" s="2" t="str">
        <f>"B20230903215"</f>
        <v>B20230903215</v>
      </c>
      <c r="C8538" s="2" t="str">
        <f t="shared" si="2042"/>
        <v>男</v>
      </c>
      <c r="D8538" s="2" t="str">
        <f>"2"</f>
        <v>2</v>
      </c>
      <c r="E8538" s="2" t="str">
        <f>"经济与管理学院"</f>
        <v>经济与管理学院</v>
      </c>
    </row>
    <row r="8539" ht="13.5" hidden="1" spans="1:5">
      <c r="A8539" s="2" t="str">
        <f>"吴江巧"</f>
        <v>吴江巧</v>
      </c>
      <c r="B8539" s="2" t="str">
        <f>"B20231301218"</f>
        <v>B20231301218</v>
      </c>
      <c r="C8539" s="2" t="str">
        <f t="shared" si="2042"/>
        <v>男</v>
      </c>
      <c r="D8539" s="2" t="str">
        <f>"2"</f>
        <v>2</v>
      </c>
      <c r="E8539" s="2" t="str">
        <f>"材料与环境工程学院"</f>
        <v>材料与环境工程学院</v>
      </c>
    </row>
    <row r="8540" ht="13.5" hidden="1" spans="1:5">
      <c r="A8540" s="2" t="str">
        <f>"李锦威"</f>
        <v>李锦威</v>
      </c>
      <c r="B8540" s="2" t="str">
        <f>"B20200801611"</f>
        <v>B20200801611</v>
      </c>
      <c r="C8540" s="2" t="str">
        <f>"男"</f>
        <v>男</v>
      </c>
      <c r="D8540" s="2" t="str">
        <f>"2"</f>
        <v>2</v>
      </c>
      <c r="E8540" s="2" t="str">
        <f>"法学院"</f>
        <v>法学院</v>
      </c>
    </row>
    <row r="8541" ht="13.5" hidden="1" spans="1:5">
      <c r="A8541" s="2" t="str">
        <f>"江玥秀"</f>
        <v>江玥秀</v>
      </c>
      <c r="B8541" s="2" t="str">
        <f>"B20231002416"</f>
        <v>B20231002416</v>
      </c>
      <c r="C8541" s="2" t="str">
        <f>"女"</f>
        <v>女</v>
      </c>
      <c r="D8541" s="2" t="str">
        <f>"2"</f>
        <v>2</v>
      </c>
      <c r="E8541" s="2" t="str">
        <f>"艺术设计学院"</f>
        <v>艺术设计学院</v>
      </c>
    </row>
    <row r="8542" ht="13.5" hidden="1" spans="1:5">
      <c r="A8542" s="2" t="str">
        <f>"刘宇"</f>
        <v>刘宇</v>
      </c>
      <c r="B8542" s="2" t="str">
        <f>"B20200906111"</f>
        <v>B20200906111</v>
      </c>
      <c r="C8542" s="2" t="str">
        <f>"男"</f>
        <v>男</v>
      </c>
      <c r="D8542" s="2" t="str">
        <f>"2"</f>
        <v>2</v>
      </c>
      <c r="E8542" s="2" t="str">
        <f>"经济与管理学院"</f>
        <v>经济与管理学院</v>
      </c>
    </row>
    <row r="8543" ht="13.5" hidden="1" spans="1:5">
      <c r="A8543" s="2" t="str">
        <f>"杨智宇"</f>
        <v>杨智宇</v>
      </c>
      <c r="B8543" s="2" t="str">
        <f>"B20230102221"</f>
        <v>B20230102221</v>
      </c>
      <c r="C8543" s="2" t="str">
        <f>"男"</f>
        <v>男</v>
      </c>
      <c r="D8543" s="2" t="str">
        <f>"2"</f>
        <v>2</v>
      </c>
      <c r="E8543" s="2" t="str">
        <f>"土木工程学院"</f>
        <v>土木工程学院</v>
      </c>
    </row>
    <row r="8544" ht="13.5" hidden="1" spans="1:5">
      <c r="A8544" s="2" t="str">
        <f>"邓雪琴"</f>
        <v>邓雪琴</v>
      </c>
      <c r="B8544" s="2" t="str">
        <f>"B20230905216"</f>
        <v>B20230905216</v>
      </c>
      <c r="C8544" s="2" t="str">
        <f>"女"</f>
        <v>女</v>
      </c>
      <c r="D8544" s="2" t="str">
        <f>"2"</f>
        <v>2</v>
      </c>
      <c r="E8544" s="2" t="str">
        <f>"经济与管理学院"</f>
        <v>经济与管理学院</v>
      </c>
    </row>
    <row r="8545" ht="13.5" hidden="1" spans="1:5">
      <c r="A8545" s="2" t="str">
        <f>"王俊烨"</f>
        <v>王俊烨</v>
      </c>
      <c r="B8545" s="2" t="str">
        <f>"B20230401209"</f>
        <v>B20230401209</v>
      </c>
      <c r="C8545" s="2" t="str">
        <f>"男"</f>
        <v>男</v>
      </c>
      <c r="D8545" s="2" t="str">
        <f>"2"</f>
        <v>2</v>
      </c>
      <c r="E8545" s="2" t="str">
        <f>"电子信息与电气工程学院"</f>
        <v>电子信息与电气工程学院</v>
      </c>
    </row>
    <row r="8546" ht="13.5" hidden="1" spans="1:5">
      <c r="A8546" s="2" t="str">
        <f>"杨思彤"</f>
        <v>杨思彤</v>
      </c>
      <c r="B8546" s="2" t="str">
        <f>"B20210601429"</f>
        <v>B20210601429</v>
      </c>
      <c r="C8546" s="2" t="str">
        <f>"女"</f>
        <v>女</v>
      </c>
      <c r="D8546" s="2" t="str">
        <f>"2"</f>
        <v>2</v>
      </c>
      <c r="E8546" s="2" t="str">
        <f>"法学院"</f>
        <v>法学院</v>
      </c>
    </row>
    <row r="8547" ht="13.5" hidden="1" spans="1:5">
      <c r="A8547" s="2" t="str">
        <f>"朱远"</f>
        <v>朱远</v>
      </c>
      <c r="B8547" s="2" t="str">
        <f>"B20230501216"</f>
        <v>B20230501216</v>
      </c>
      <c r="C8547" s="2" t="str">
        <f>"男"</f>
        <v>男</v>
      </c>
      <c r="D8547" s="2" t="str">
        <f>"2"</f>
        <v>2</v>
      </c>
      <c r="E8547" s="2" t="str">
        <f>"生物与化学工程学院"</f>
        <v>生物与化学工程学院</v>
      </c>
    </row>
    <row r="8548" ht="13.5" hidden="1" spans="1:5">
      <c r="A8548" s="2" t="str">
        <f>"曾胜"</f>
        <v>曾胜</v>
      </c>
      <c r="B8548" s="2" t="str">
        <f>"B20230404201"</f>
        <v>B20230404201</v>
      </c>
      <c r="C8548" s="2" t="str">
        <f>"男"</f>
        <v>男</v>
      </c>
      <c r="D8548" s="2" t="str">
        <f>"2"</f>
        <v>2</v>
      </c>
      <c r="E8548" s="2" t="str">
        <f>"电子信息与电气工程学院"</f>
        <v>电子信息与电气工程学院</v>
      </c>
    </row>
    <row r="8549" ht="13.5" hidden="1" spans="1:5">
      <c r="A8549" s="2" t="str">
        <f>"柳鹏飞"</f>
        <v>柳鹏飞</v>
      </c>
      <c r="B8549" s="2" t="str">
        <f>"B20220101632"</f>
        <v>B20220101632</v>
      </c>
      <c r="C8549" s="2" t="str">
        <f>"男"</f>
        <v>男</v>
      </c>
      <c r="D8549" s="2" t="str">
        <f>"2"</f>
        <v>2</v>
      </c>
      <c r="E8549" s="2" t="str">
        <f>"土木工程学院"</f>
        <v>土木工程学院</v>
      </c>
    </row>
    <row r="8550" ht="13.5" hidden="1" spans="1:5">
      <c r="A8550" s="2" t="str">
        <f>"张晶琦"</f>
        <v>张晶琦</v>
      </c>
      <c r="B8550" s="2" t="str">
        <f>"B20220701105"</f>
        <v>B20220701105</v>
      </c>
      <c r="C8550" s="2" t="str">
        <f>"女"</f>
        <v>女</v>
      </c>
      <c r="D8550" s="2" t="str">
        <f>"2"</f>
        <v>2</v>
      </c>
      <c r="E8550" s="2" t="str">
        <f>"马栏山新媒体学院"</f>
        <v>马栏山新媒体学院</v>
      </c>
    </row>
    <row r="8551" ht="13.5" hidden="1" spans="1:5">
      <c r="A8551" s="2" t="str">
        <f>"廖子成"</f>
        <v>廖子成</v>
      </c>
      <c r="B8551" s="2" t="str">
        <f>"B20220204429"</f>
        <v>B20220204429</v>
      </c>
      <c r="C8551" s="2" t="str">
        <f>"男"</f>
        <v>男</v>
      </c>
      <c r="D8551" s="2" t="str">
        <f>"2"</f>
        <v>2</v>
      </c>
      <c r="E8551" s="2" t="str">
        <f>"机电工程学院"</f>
        <v>机电工程学院</v>
      </c>
    </row>
    <row r="8552" ht="13.5" hidden="1" spans="1:5">
      <c r="A8552" s="2" t="str">
        <f>"周佳龙"</f>
        <v>周佳龙</v>
      </c>
      <c r="B8552" s="2" t="str">
        <f>"B20200204129"</f>
        <v>B20200204129</v>
      </c>
      <c r="C8552" s="2" t="str">
        <f>"男"</f>
        <v>男</v>
      </c>
      <c r="D8552" s="2" t="str">
        <f>"2"</f>
        <v>2</v>
      </c>
      <c r="E8552" s="2" t="str">
        <f>"机电工程学院"</f>
        <v>机电工程学院</v>
      </c>
    </row>
    <row r="8553" ht="13.5" hidden="1" spans="1:5">
      <c r="A8553" s="2" t="str">
        <f>"李林峰"</f>
        <v>李林峰</v>
      </c>
      <c r="B8553" s="2" t="str">
        <f>"B20210201328"</f>
        <v>B20210201328</v>
      </c>
      <c r="C8553" s="2" t="str">
        <f>"男"</f>
        <v>男</v>
      </c>
      <c r="D8553" s="2" t="str">
        <f>"2"</f>
        <v>2</v>
      </c>
      <c r="E8553" s="2" t="str">
        <f>"机电工程学院"</f>
        <v>机电工程学院</v>
      </c>
    </row>
    <row r="8554" ht="13.5" hidden="1" spans="1:5">
      <c r="A8554" s="2" t="str">
        <f>"何斌"</f>
        <v>何斌</v>
      </c>
      <c r="B8554" s="2" t="str">
        <f>"B20201002122"</f>
        <v>B20201002122</v>
      </c>
      <c r="C8554" s="2" t="str">
        <f>"男"</f>
        <v>男</v>
      </c>
      <c r="D8554" s="2" t="str">
        <f>"2"</f>
        <v>2</v>
      </c>
      <c r="E8554" s="2" t="str">
        <f>"艺术设计学院"</f>
        <v>艺术设计学院</v>
      </c>
    </row>
    <row r="8555" ht="13.5" hidden="1" spans="1:5">
      <c r="A8555" s="2" t="str">
        <f>"麦文杰"</f>
        <v>麦文杰</v>
      </c>
      <c r="B8555" s="2" t="str">
        <f>"B20230903130"</f>
        <v>B20230903130</v>
      </c>
      <c r="C8555" s="2" t="str">
        <f>"男"</f>
        <v>男</v>
      </c>
      <c r="D8555" s="2" t="str">
        <f>"2"</f>
        <v>2</v>
      </c>
      <c r="E8555" s="2" t="str">
        <f>"经济与管理学院"</f>
        <v>经济与管理学院</v>
      </c>
    </row>
    <row r="8556" ht="13.5" hidden="1" spans="1:5">
      <c r="A8556" s="2" t="str">
        <f>"游宇航"</f>
        <v>游宇航</v>
      </c>
      <c r="B8556" s="2" t="str">
        <f>"B20210204123"</f>
        <v>B20210204123</v>
      </c>
      <c r="C8556" s="2" t="str">
        <f>"男"</f>
        <v>男</v>
      </c>
      <c r="D8556" s="2" t="str">
        <f>"2"</f>
        <v>2</v>
      </c>
      <c r="E8556" s="2" t="str">
        <f>"机电工程学院"</f>
        <v>机电工程学院</v>
      </c>
    </row>
    <row r="8557" ht="13.5" hidden="1" spans="1:5">
      <c r="A8557" s="2" t="str">
        <f>"陈箫雅"</f>
        <v>陈箫雅</v>
      </c>
      <c r="B8557" s="2" t="str">
        <f>"B20210504116"</f>
        <v>B20210504116</v>
      </c>
      <c r="C8557" s="2" t="str">
        <f>"女"</f>
        <v>女</v>
      </c>
      <c r="D8557" s="2" t="str">
        <f>"2"</f>
        <v>2</v>
      </c>
      <c r="E8557" s="2" t="str">
        <f>"生物与化学工程学院"</f>
        <v>生物与化学工程学院</v>
      </c>
    </row>
    <row r="8558" ht="13.5" hidden="1" spans="1:5">
      <c r="A8558" s="2" t="str">
        <f>"魏勇祯"</f>
        <v>魏勇祯</v>
      </c>
      <c r="B8558" s="2" t="str">
        <f>"B20210501103"</f>
        <v>B20210501103</v>
      </c>
      <c r="C8558" s="2" t="str">
        <f>"男"</f>
        <v>男</v>
      </c>
      <c r="D8558" s="2" t="str">
        <f>"2"</f>
        <v>2</v>
      </c>
      <c r="E8558" s="2" t="str">
        <f>"生物与化学工程学院"</f>
        <v>生物与化学工程学院</v>
      </c>
    </row>
    <row r="8559" ht="13.5" hidden="1" spans="1:5">
      <c r="A8559" s="2" t="str">
        <f>"王侯敦"</f>
        <v>王侯敦</v>
      </c>
      <c r="B8559" s="2" t="str">
        <f>"B20230601301"</f>
        <v>B20230601301</v>
      </c>
      <c r="C8559" s="2" t="str">
        <f>"男"</f>
        <v>男</v>
      </c>
      <c r="D8559" s="2" t="str">
        <f>"2"</f>
        <v>2</v>
      </c>
      <c r="E8559" s="2" t="str">
        <f>"法学院"</f>
        <v>法学院</v>
      </c>
    </row>
    <row r="8560" ht="13.5" hidden="1" spans="1:5">
      <c r="A8560" s="2" t="str">
        <f>"汪婉蓉"</f>
        <v>汪婉蓉</v>
      </c>
      <c r="B8560" s="2" t="str">
        <f>"B20210204111"</f>
        <v>B20210204111</v>
      </c>
      <c r="C8560" s="2" t="str">
        <f>"女"</f>
        <v>女</v>
      </c>
      <c r="D8560" s="2" t="str">
        <f>"2"</f>
        <v>2</v>
      </c>
      <c r="E8560" s="2" t="str">
        <f>"机电工程学院"</f>
        <v>机电工程学院</v>
      </c>
    </row>
    <row r="8561" ht="13.5" hidden="1" spans="1:5">
      <c r="A8561" s="2" t="str">
        <f>"张晨翔"</f>
        <v>张晨翔</v>
      </c>
      <c r="B8561" s="2" t="str">
        <f>"B20221302335"</f>
        <v>B20221302335</v>
      </c>
      <c r="C8561" s="2" t="str">
        <f>"男"</f>
        <v>男</v>
      </c>
      <c r="D8561" s="2" t="str">
        <f>"2"</f>
        <v>2</v>
      </c>
      <c r="E8561" s="2" t="str">
        <f>"材料与环境工程学院"</f>
        <v>材料与环境工程学院</v>
      </c>
    </row>
    <row r="8562" ht="13.5" hidden="1" spans="1:5">
      <c r="A8562" s="2" t="str">
        <f>"吴柯霆"</f>
        <v>吴柯霆</v>
      </c>
      <c r="B8562" s="2" t="str">
        <f>"B20230202223"</f>
        <v>B20230202223</v>
      </c>
      <c r="C8562" s="2" t="str">
        <f>"男"</f>
        <v>男</v>
      </c>
      <c r="D8562" s="2" t="str">
        <f>"2"</f>
        <v>2</v>
      </c>
      <c r="E8562" s="2" t="str">
        <f>"机电工程学院"</f>
        <v>机电工程学院</v>
      </c>
    </row>
    <row r="8563" ht="13.5" hidden="1" spans="1:5">
      <c r="A8563" s="2" t="str">
        <f>"王欣悦"</f>
        <v>王欣悦</v>
      </c>
      <c r="B8563" s="2" t="str">
        <f>"B20201004101"</f>
        <v>B20201004101</v>
      </c>
      <c r="C8563" s="2" t="str">
        <f>"女"</f>
        <v>女</v>
      </c>
      <c r="D8563" s="2" t="str">
        <f>"2"</f>
        <v>2</v>
      </c>
      <c r="E8563" s="2" t="str">
        <f>"艺术设计学院"</f>
        <v>艺术设计学院</v>
      </c>
    </row>
    <row r="8564" ht="13.5" hidden="1" spans="1:5">
      <c r="A8564" s="2" t="str">
        <f>"刘翔"</f>
        <v>刘翔</v>
      </c>
      <c r="B8564" s="2" t="str">
        <f>"B20231302320"</f>
        <v>B20231302320</v>
      </c>
      <c r="C8564" s="2" t="str">
        <f>"男"</f>
        <v>男</v>
      </c>
      <c r="D8564" s="2" t="str">
        <f t="shared" ref="D8564:D8574" si="2043">"2"</f>
        <v>2</v>
      </c>
      <c r="E8564" s="2" t="str">
        <f>"材料与环境工程学院"</f>
        <v>材料与环境工程学院</v>
      </c>
    </row>
    <row r="8565" ht="13.5" hidden="1" spans="1:5">
      <c r="A8565" s="2" t="str">
        <f>"谢聪"</f>
        <v>谢聪</v>
      </c>
      <c r="B8565" s="2" t="str">
        <f>"B20230404225"</f>
        <v>B20230404225</v>
      </c>
      <c r="C8565" s="2" t="str">
        <f>"男"</f>
        <v>男</v>
      </c>
      <c r="D8565" s="2" t="str">
        <f t="shared" si="2043"/>
        <v>2</v>
      </c>
      <c r="E8565" s="2" t="str">
        <f>"电子信息与电气工程学院"</f>
        <v>电子信息与电气工程学院</v>
      </c>
    </row>
    <row r="8566" ht="13.5" hidden="1" spans="1:5">
      <c r="A8566" s="2" t="str">
        <f>"张伊怡"</f>
        <v>张伊怡</v>
      </c>
      <c r="B8566" s="2" t="str">
        <f>"B20220702326"</f>
        <v>B20220702326</v>
      </c>
      <c r="C8566" s="2" t="str">
        <f t="shared" ref="C8566:C8570" si="2044">"女"</f>
        <v>女</v>
      </c>
      <c r="D8566" s="2" t="str">
        <f t="shared" si="2043"/>
        <v>2</v>
      </c>
      <c r="E8566" s="2" t="str">
        <f>"马栏山新媒体学院"</f>
        <v>马栏山新媒体学院</v>
      </c>
    </row>
    <row r="8567" ht="13.5" hidden="1" spans="1:5">
      <c r="A8567" s="2" t="str">
        <f>"李浩明"</f>
        <v>李浩明</v>
      </c>
      <c r="B8567" s="2" t="str">
        <f>"B20200102104"</f>
        <v>B20200102104</v>
      </c>
      <c r="C8567" s="2" t="str">
        <f>"男"</f>
        <v>男</v>
      </c>
      <c r="D8567" s="2" t="str">
        <f t="shared" si="2043"/>
        <v>2</v>
      </c>
      <c r="E8567" s="2" t="str">
        <f>"土木工程学院"</f>
        <v>土木工程学院</v>
      </c>
    </row>
    <row r="8568" ht="13.5" hidden="1" spans="1:5">
      <c r="A8568" s="2" t="str">
        <f>"吴梦婷"</f>
        <v>吴梦婷</v>
      </c>
      <c r="B8568" s="2" t="str">
        <f>"B20210202323"</f>
        <v>B20210202323</v>
      </c>
      <c r="C8568" s="2" t="str">
        <f t="shared" si="2044"/>
        <v>女</v>
      </c>
      <c r="D8568" s="2" t="str">
        <f t="shared" si="2043"/>
        <v>2</v>
      </c>
      <c r="E8568" s="2" t="str">
        <f>"机电工程学院"</f>
        <v>机电工程学院</v>
      </c>
    </row>
    <row r="8569" ht="13.5" hidden="1" spans="1:5">
      <c r="A8569" s="2" t="str">
        <f>"陈雯怡"</f>
        <v>陈雯怡</v>
      </c>
      <c r="B8569" s="2" t="str">
        <f>"B20200701125"</f>
        <v>B20200701125</v>
      </c>
      <c r="C8569" s="2" t="str">
        <f t="shared" si="2044"/>
        <v>女</v>
      </c>
      <c r="D8569" s="2" t="str">
        <f t="shared" si="2043"/>
        <v>2</v>
      </c>
      <c r="E8569" s="2" t="str">
        <f>"马栏山新媒体学院"</f>
        <v>马栏山新媒体学院</v>
      </c>
    </row>
    <row r="8570" ht="13.5" hidden="1" spans="1:5">
      <c r="A8570" s="2" t="str">
        <f>"李玥璇"</f>
        <v>李玥璇</v>
      </c>
      <c r="B8570" s="2" t="str">
        <f>"B20210104222"</f>
        <v>B20210104222</v>
      </c>
      <c r="C8570" s="2" t="str">
        <f t="shared" si="2044"/>
        <v>女</v>
      </c>
      <c r="D8570" s="2" t="str">
        <f t="shared" si="2043"/>
        <v>2</v>
      </c>
      <c r="E8570" s="2" t="str">
        <f>"土木工程学院"</f>
        <v>土木工程学院</v>
      </c>
    </row>
    <row r="8571" ht="13.5" hidden="1" spans="1:5">
      <c r="A8571" s="2" t="str">
        <f>"熊远东"</f>
        <v>熊远东</v>
      </c>
      <c r="B8571" s="2" t="str">
        <f>"B20230401324"</f>
        <v>B20230401324</v>
      </c>
      <c r="C8571" s="2" t="str">
        <f>"男"</f>
        <v>男</v>
      </c>
      <c r="D8571" s="2" t="str">
        <f t="shared" si="2043"/>
        <v>2</v>
      </c>
      <c r="E8571" s="2" t="str">
        <f>"电子信息与电气工程学院"</f>
        <v>电子信息与电气工程学院</v>
      </c>
    </row>
    <row r="8572" ht="13.5" hidden="1" spans="1:5">
      <c r="A8572" s="2" t="str">
        <f>"郑莹莹"</f>
        <v>郑莹莹</v>
      </c>
      <c r="B8572" s="2" t="str">
        <f>"B20211001418"</f>
        <v>B20211001418</v>
      </c>
      <c r="C8572" s="2" t="str">
        <f>"女"</f>
        <v>女</v>
      </c>
      <c r="D8572" s="2" t="str">
        <f t="shared" si="2043"/>
        <v>2</v>
      </c>
      <c r="E8572" s="2" t="str">
        <f>"艺术设计学院"</f>
        <v>艺术设计学院</v>
      </c>
    </row>
    <row r="8573" ht="13.5" hidden="1" spans="1:5">
      <c r="A8573" s="2" t="str">
        <f>"张沅彤"</f>
        <v>张沅彤</v>
      </c>
      <c r="B8573" s="2" t="str">
        <f>"B20210702125"</f>
        <v>B20210702125</v>
      </c>
      <c r="C8573" s="2" t="str">
        <f>"女"</f>
        <v>女</v>
      </c>
      <c r="D8573" s="2" t="str">
        <f t="shared" si="2043"/>
        <v>2</v>
      </c>
      <c r="E8573" s="2" t="str">
        <f>"马栏山新媒体学院"</f>
        <v>马栏山新媒体学院</v>
      </c>
    </row>
    <row r="8574" ht="13.5" hidden="1" spans="1:5">
      <c r="A8574" s="2" t="str">
        <f>"金科酉"</f>
        <v>金科酉</v>
      </c>
      <c r="B8574" s="2" t="str">
        <f>"B20230906231"</f>
        <v>B20230906231</v>
      </c>
      <c r="C8574" s="2" t="str">
        <f>"男"</f>
        <v>男</v>
      </c>
      <c r="D8574" s="2" t="str">
        <f t="shared" si="2043"/>
        <v>2</v>
      </c>
      <c r="E8574" s="2" t="str">
        <f>"经济与管理学院"</f>
        <v>经济与管理学院</v>
      </c>
    </row>
    <row r="8575" ht="13.5" hidden="1" spans="1:5">
      <c r="A8575" s="2" t="str">
        <f>"陈柏名"</f>
        <v>陈柏名</v>
      </c>
      <c r="B8575" s="2" t="str">
        <f>"B20211004225"</f>
        <v>B20211004225</v>
      </c>
      <c r="C8575" s="2" t="str">
        <f>"男"</f>
        <v>男</v>
      </c>
      <c r="D8575" s="2" t="str">
        <f>"2"</f>
        <v>2</v>
      </c>
      <c r="E8575" s="2" t="str">
        <f>"艺术设计学院"</f>
        <v>艺术设计学院</v>
      </c>
    </row>
    <row r="8576" ht="13.5" hidden="1" spans="1:5">
      <c r="A8576" s="2" t="str">
        <f>"杨洋"</f>
        <v>杨洋</v>
      </c>
      <c r="B8576" s="2" t="str">
        <f>"B20210104120"</f>
        <v>B20210104120</v>
      </c>
      <c r="C8576" s="2" t="str">
        <f>"女"</f>
        <v>女</v>
      </c>
      <c r="D8576" s="2" t="str">
        <f>"2"</f>
        <v>2</v>
      </c>
      <c r="E8576" s="2" t="str">
        <f>"土木工程学院"</f>
        <v>土木工程学院</v>
      </c>
    </row>
    <row r="8577" ht="13.5" hidden="1" spans="1:5">
      <c r="A8577" s="2" t="str">
        <f>"姚本荀"</f>
        <v>姚本荀</v>
      </c>
      <c r="B8577" s="2" t="str">
        <f>"B20220403121"</f>
        <v>B20220403121</v>
      </c>
      <c r="C8577" s="2" t="str">
        <f>"男"</f>
        <v>男</v>
      </c>
      <c r="D8577" s="2" t="str">
        <f>"2"</f>
        <v>2</v>
      </c>
      <c r="E8577" s="2" t="str">
        <f>"电子信息与电气工程学院"</f>
        <v>电子信息与电气工程学院</v>
      </c>
    </row>
    <row r="8578" ht="13.5" hidden="1" spans="1:5">
      <c r="A8578" s="2" t="str">
        <f>"谭灿"</f>
        <v>谭灿</v>
      </c>
      <c r="B8578" s="2" t="str">
        <f>"B20231101104"</f>
        <v>B20231101104</v>
      </c>
      <c r="C8578" s="2" t="str">
        <f>"女"</f>
        <v>女</v>
      </c>
      <c r="D8578" s="2" t="str">
        <f>"2"</f>
        <v>2</v>
      </c>
      <c r="E8578" s="2" t="str">
        <f>"音乐学院"</f>
        <v>音乐学院</v>
      </c>
    </row>
    <row r="8579" ht="13.5" hidden="1" spans="1:5">
      <c r="A8579" s="2" t="str">
        <f>"程芳香"</f>
        <v>程芳香</v>
      </c>
      <c r="B8579" s="2" t="str">
        <f>"B20200905144"</f>
        <v>B20200905144</v>
      </c>
      <c r="C8579" s="2" t="str">
        <f>"女"</f>
        <v>女</v>
      </c>
      <c r="D8579" s="2" t="str">
        <f>"2"</f>
        <v>2</v>
      </c>
      <c r="E8579" s="2" t="str">
        <f>"经济与管理学院"</f>
        <v>经济与管理学院</v>
      </c>
    </row>
    <row r="8580" ht="13.5" hidden="1" spans="1:5">
      <c r="A8580" s="2" t="str">
        <f>"郑子逸"</f>
        <v>郑子逸</v>
      </c>
      <c r="B8580" s="2" t="str">
        <f>"B20220906205"</f>
        <v>B20220906205</v>
      </c>
      <c r="C8580" s="2" t="str">
        <f>"男"</f>
        <v>男</v>
      </c>
      <c r="D8580" s="2" t="str">
        <f>"2"</f>
        <v>2</v>
      </c>
      <c r="E8580" s="2" t="str">
        <f>"经济与管理学院"</f>
        <v>经济与管理学院</v>
      </c>
    </row>
    <row r="8581" ht="13.5" hidden="1" spans="1:5">
      <c r="A8581" s="2" t="str">
        <f>"阳辉"</f>
        <v>阳辉</v>
      </c>
      <c r="B8581" s="2" t="str">
        <f>"B20220701207"</f>
        <v>B20220701207</v>
      </c>
      <c r="C8581" s="2" t="str">
        <f>"女"</f>
        <v>女</v>
      </c>
      <c r="D8581" s="2" t="str">
        <f>"2"</f>
        <v>2</v>
      </c>
      <c r="E8581" s="2" t="str">
        <f>"马栏山新媒体学院"</f>
        <v>马栏山新媒体学院</v>
      </c>
    </row>
    <row r="8582" ht="13.5" hidden="1" spans="1:5">
      <c r="A8582" s="2" t="str">
        <f>"周姿吟"</f>
        <v>周姿吟</v>
      </c>
      <c r="B8582" s="2" t="str">
        <f>"B20210703117"</f>
        <v>B20210703117</v>
      </c>
      <c r="C8582" s="2" t="str">
        <f>"女"</f>
        <v>女</v>
      </c>
      <c r="D8582" s="2" t="str">
        <f>"2"</f>
        <v>2</v>
      </c>
      <c r="E8582" s="2" t="str">
        <f>"马栏山新媒体学院"</f>
        <v>马栏山新媒体学院</v>
      </c>
    </row>
    <row r="8583" ht="13.5" hidden="1" spans="1:5">
      <c r="A8583" s="2" t="str">
        <f>"刘扬"</f>
        <v>刘扬</v>
      </c>
      <c r="B8583" s="2" t="str">
        <f>"B20210202208"</f>
        <v>B20210202208</v>
      </c>
      <c r="C8583" s="2" t="str">
        <f>"女"</f>
        <v>女</v>
      </c>
      <c r="D8583" s="2" t="str">
        <f>"2"</f>
        <v>2</v>
      </c>
      <c r="E8583" s="2" t="str">
        <f>"机电工程学院"</f>
        <v>机电工程学院</v>
      </c>
    </row>
    <row r="8584" ht="13.5" hidden="1" spans="1:5">
      <c r="A8584" s="2" t="str">
        <f>"刘航"</f>
        <v>刘航</v>
      </c>
      <c r="B8584" s="2" t="str">
        <f>"B20220102210"</f>
        <v>B20220102210</v>
      </c>
      <c r="C8584" s="2" t="str">
        <f>"男"</f>
        <v>男</v>
      </c>
      <c r="D8584" s="2" t="str">
        <f>"2"</f>
        <v>2</v>
      </c>
      <c r="E8584" s="2" t="str">
        <f>"土木工程学院"</f>
        <v>土木工程学院</v>
      </c>
    </row>
    <row r="8585" ht="13.5" hidden="1" spans="1:5">
      <c r="A8585" s="2" t="str">
        <f>"杨伊"</f>
        <v>杨伊</v>
      </c>
      <c r="B8585" s="2" t="str">
        <f>"B20220902236"</f>
        <v>B20220902236</v>
      </c>
      <c r="C8585" s="2" t="str">
        <f>"女"</f>
        <v>女</v>
      </c>
      <c r="D8585" s="2" t="str">
        <f>"2"</f>
        <v>2</v>
      </c>
      <c r="E8585" s="2" t="str">
        <f>"经济与管理学院"</f>
        <v>经济与管理学院</v>
      </c>
    </row>
    <row r="8586" ht="13.5" hidden="1" spans="1:5">
      <c r="A8586" s="2" t="str">
        <f>"陶晨旭"</f>
        <v>陶晨旭</v>
      </c>
      <c r="B8586" s="2" t="str">
        <f>"B20210701329"</f>
        <v>B20210701329</v>
      </c>
      <c r="C8586" s="2" t="str">
        <f>"女"</f>
        <v>女</v>
      </c>
      <c r="D8586" s="2" t="str">
        <f>"2"</f>
        <v>2</v>
      </c>
      <c r="E8586" s="2" t="str">
        <f>"马栏山新媒体学院"</f>
        <v>马栏山新媒体学院</v>
      </c>
    </row>
    <row r="8587" ht="13.5" hidden="1" spans="1:5">
      <c r="A8587" s="2" t="str">
        <f>"文思琳"</f>
        <v>文思琳</v>
      </c>
      <c r="B8587" s="2" t="str">
        <f>"B20210801412"</f>
        <v>B20210801412</v>
      </c>
      <c r="C8587" s="2" t="str">
        <f>"女"</f>
        <v>女</v>
      </c>
      <c r="D8587" s="2" t="str">
        <f>"2"</f>
        <v>2</v>
      </c>
      <c r="E8587" s="2" t="str">
        <f>"外国语学院"</f>
        <v>外国语学院</v>
      </c>
    </row>
    <row r="8588" ht="13.5" hidden="1" spans="1:5">
      <c r="A8588" s="2" t="str">
        <f>"杨家乐"</f>
        <v>杨家乐</v>
      </c>
      <c r="B8588" s="2" t="str">
        <f>"B20210202306"</f>
        <v>B20210202306</v>
      </c>
      <c r="C8588" s="2" t="str">
        <f>"男"</f>
        <v>男</v>
      </c>
      <c r="D8588" s="2" t="str">
        <f>"2"</f>
        <v>2</v>
      </c>
      <c r="E8588" s="2" t="str">
        <f>"机电工程学院"</f>
        <v>机电工程学院</v>
      </c>
    </row>
    <row r="8589" ht="13.5" hidden="1" spans="1:5">
      <c r="A8589" s="2" t="str">
        <f>"黄睿"</f>
        <v>黄睿</v>
      </c>
      <c r="B8589" s="2" t="str">
        <f>"B20230705122"</f>
        <v>B20230705122</v>
      </c>
      <c r="C8589" s="2" t="str">
        <f>"男"</f>
        <v>男</v>
      </c>
      <c r="D8589" s="2" t="str">
        <f>"2"</f>
        <v>2</v>
      </c>
      <c r="E8589" s="2" t="str">
        <f>"马栏山新媒体学院"</f>
        <v>马栏山新媒体学院</v>
      </c>
    </row>
    <row r="8590" ht="13.5" hidden="1" spans="1:5">
      <c r="A8590" s="2" t="str">
        <f>"谭莹"</f>
        <v>谭莹</v>
      </c>
      <c r="B8590" s="2" t="str">
        <f>"B20220901331"</f>
        <v>B20220901331</v>
      </c>
      <c r="C8590" s="2" t="str">
        <f>"女"</f>
        <v>女</v>
      </c>
      <c r="D8590" s="2" t="str">
        <f>"2"</f>
        <v>2</v>
      </c>
      <c r="E8590" s="2" t="str">
        <f>"经济与管理学院"</f>
        <v>经济与管理学院</v>
      </c>
    </row>
    <row r="8591" ht="13.5" hidden="1" spans="1:5">
      <c r="A8591" s="2" t="str">
        <f>"黄瑶"</f>
        <v>黄瑶</v>
      </c>
      <c r="B8591" s="2" t="str">
        <f>"B20220701217"</f>
        <v>B20220701217</v>
      </c>
      <c r="C8591" s="2" t="str">
        <f>"女"</f>
        <v>女</v>
      </c>
      <c r="D8591" s="2" t="str">
        <f>"2"</f>
        <v>2</v>
      </c>
      <c r="E8591" s="2" t="str">
        <f>"马栏山新媒体学院"</f>
        <v>马栏山新媒体学院</v>
      </c>
    </row>
    <row r="8592" ht="13.5" hidden="1" spans="1:5">
      <c r="A8592" s="2" t="str">
        <f>"王倩"</f>
        <v>王倩</v>
      </c>
      <c r="B8592" s="2" t="str">
        <f>"B20221002306"</f>
        <v>B20221002306</v>
      </c>
      <c r="C8592" s="2" t="str">
        <f>"女"</f>
        <v>女</v>
      </c>
      <c r="D8592" s="2" t="str">
        <f>"2"</f>
        <v>2</v>
      </c>
      <c r="E8592" s="2" t="str">
        <f>"艺术设计学院"</f>
        <v>艺术设计学院</v>
      </c>
    </row>
    <row r="8593" ht="13.5" hidden="1" spans="1:5">
      <c r="A8593" s="2" t="str">
        <f>"陈路久"</f>
        <v>陈路久</v>
      </c>
      <c r="B8593" s="2" t="str">
        <f>"B20220901328"</f>
        <v>B20220901328</v>
      </c>
      <c r="C8593" s="2" t="str">
        <f>"女"</f>
        <v>女</v>
      </c>
      <c r="D8593" s="2" t="str">
        <f>"2"</f>
        <v>2</v>
      </c>
      <c r="E8593" s="2" t="str">
        <f>"经济与管理学院"</f>
        <v>经济与管理学院</v>
      </c>
    </row>
    <row r="8594" ht="13.5" hidden="1" spans="1:5">
      <c r="A8594" s="2" t="str">
        <f>"刘添一"</f>
        <v>刘添一</v>
      </c>
      <c r="B8594" s="2" t="str">
        <f>"B20210801313"</f>
        <v>B20210801313</v>
      </c>
      <c r="C8594" s="2" t="str">
        <f>"男"</f>
        <v>男</v>
      </c>
      <c r="D8594" s="2" t="str">
        <f>"2"</f>
        <v>2</v>
      </c>
      <c r="E8594" s="2" t="str">
        <f>"外国语学院"</f>
        <v>外国语学院</v>
      </c>
    </row>
    <row r="8595" ht="13.5" hidden="1" spans="1:5">
      <c r="A8595" s="2" t="str">
        <f>"于海情"</f>
        <v>于海情</v>
      </c>
      <c r="B8595" s="2" t="str">
        <f>"B20220902304"</f>
        <v>B20220902304</v>
      </c>
      <c r="C8595" s="2" t="str">
        <f t="shared" ref="C8595:C8599" si="2045">"女"</f>
        <v>女</v>
      </c>
      <c r="D8595" s="2" t="str">
        <f>"2"</f>
        <v>2</v>
      </c>
      <c r="E8595" s="2" t="str">
        <f>"经济与管理学院"</f>
        <v>经济与管理学院</v>
      </c>
    </row>
    <row r="8596" ht="13.5" hidden="1" spans="1:5">
      <c r="A8596" s="2" t="str">
        <f>"吕彗萍"</f>
        <v>吕彗萍</v>
      </c>
      <c r="B8596" s="2" t="str">
        <f>"B20231401118"</f>
        <v>B20231401118</v>
      </c>
      <c r="C8596" s="2" t="str">
        <f t="shared" si="2045"/>
        <v>女</v>
      </c>
      <c r="D8596" s="2" t="str">
        <f>"2"</f>
        <v>2</v>
      </c>
      <c r="E8596" s="2" t="str">
        <f>"马克思主义学院"</f>
        <v>马克思主义学院</v>
      </c>
    </row>
    <row r="8597" ht="13.5" hidden="1" spans="1:5">
      <c r="A8597" s="2" t="str">
        <f>"潘叶子"</f>
        <v>潘叶子</v>
      </c>
      <c r="B8597" s="2" t="str">
        <f>"B20231401210"</f>
        <v>B20231401210</v>
      </c>
      <c r="C8597" s="2" t="str">
        <f t="shared" si="2045"/>
        <v>女</v>
      </c>
      <c r="D8597" s="2" t="str">
        <f>"2"</f>
        <v>2</v>
      </c>
      <c r="E8597" s="2" t="str">
        <f>"马克思主义学院"</f>
        <v>马克思主义学院</v>
      </c>
    </row>
    <row r="8598" ht="13.5" hidden="1" spans="1:5">
      <c r="A8598" s="2" t="str">
        <f>"朱润希"</f>
        <v>朱润希</v>
      </c>
      <c r="B8598" s="2" t="str">
        <f>"B20230705116"</f>
        <v>B20230705116</v>
      </c>
      <c r="C8598" s="2" t="str">
        <f t="shared" si="2045"/>
        <v>女</v>
      </c>
      <c r="D8598" s="2" t="str">
        <f>"2"</f>
        <v>2</v>
      </c>
      <c r="E8598" s="2" t="str">
        <f>"马栏山新媒体学院"</f>
        <v>马栏山新媒体学院</v>
      </c>
    </row>
    <row r="8599" ht="13.5" hidden="1" spans="1:5">
      <c r="A8599" s="2" t="str">
        <f>"刘丹丹"</f>
        <v>刘丹丹</v>
      </c>
      <c r="B8599" s="2" t="str">
        <f>"B20200103232"</f>
        <v>B20200103232</v>
      </c>
      <c r="C8599" s="2" t="str">
        <f t="shared" si="2045"/>
        <v>女</v>
      </c>
      <c r="D8599" s="2" t="str">
        <f>"2"</f>
        <v>2</v>
      </c>
      <c r="E8599" s="2" t="str">
        <f>"土木工程学院"</f>
        <v>土木工程学院</v>
      </c>
    </row>
    <row r="8600" ht="13.5" hidden="1" spans="1:5">
      <c r="A8600" s="2" t="str">
        <f>"元嘉文"</f>
        <v>元嘉文</v>
      </c>
      <c r="B8600" s="2" t="str">
        <f>"B20200901423"</f>
        <v>B20200901423</v>
      </c>
      <c r="C8600" s="2" t="str">
        <f>"男"</f>
        <v>男</v>
      </c>
      <c r="D8600" s="2" t="str">
        <f>"2"</f>
        <v>2</v>
      </c>
      <c r="E8600" s="2" t="str">
        <f>"经济与管理学院"</f>
        <v>经济与管理学院</v>
      </c>
    </row>
    <row r="8601" ht="13.5" hidden="1" spans="1:5">
      <c r="A8601" s="2" t="str">
        <f>"周高翔"</f>
        <v>周高翔</v>
      </c>
      <c r="B8601" s="2" t="str">
        <f>"B20210801625"</f>
        <v>B20210801625</v>
      </c>
      <c r="C8601" s="2" t="str">
        <f>"男"</f>
        <v>男</v>
      </c>
      <c r="D8601" s="2" t="str">
        <f>"2"</f>
        <v>2</v>
      </c>
      <c r="E8601" s="2" t="str">
        <f>"外国语学院"</f>
        <v>外国语学院</v>
      </c>
    </row>
    <row r="8602" ht="13.5" hidden="1" spans="1:5">
      <c r="A8602" s="2" t="str">
        <f>"宋嘉恒"</f>
        <v>宋嘉恒</v>
      </c>
      <c r="B8602" s="2" t="str">
        <f>"B20200505219"</f>
        <v>B20200505219</v>
      </c>
      <c r="C8602" s="2" t="str">
        <f>"男"</f>
        <v>男</v>
      </c>
      <c r="D8602" s="2" t="str">
        <f>"2"</f>
        <v>2</v>
      </c>
      <c r="E8602" s="2" t="str">
        <f>"生物与环境工程学院"</f>
        <v>生物与环境工程学院</v>
      </c>
    </row>
    <row r="8603" ht="13.5" hidden="1" spans="1:5">
      <c r="A8603" s="2" t="str">
        <f>"熊雨钏"</f>
        <v>熊雨钏</v>
      </c>
      <c r="B8603" s="2" t="str">
        <f>"B20210801221"</f>
        <v>B20210801221</v>
      </c>
      <c r="C8603" s="2" t="str">
        <f t="shared" ref="C8603:C8609" si="2046">"女"</f>
        <v>女</v>
      </c>
      <c r="D8603" s="2" t="str">
        <f>"2"</f>
        <v>2</v>
      </c>
      <c r="E8603" s="2" t="str">
        <f>"外国语学院"</f>
        <v>外国语学院</v>
      </c>
    </row>
    <row r="8604" ht="13.5" hidden="1" spans="1:5">
      <c r="A8604" s="2" t="str">
        <f>"刘琪"</f>
        <v>刘琪</v>
      </c>
      <c r="B8604" s="2" t="str">
        <f>"B20230902213"</f>
        <v>B20230902213</v>
      </c>
      <c r="C8604" s="2" t="str">
        <f t="shared" ref="C8604:C8607" si="2047">"男"</f>
        <v>男</v>
      </c>
      <c r="D8604" s="2" t="str">
        <f>"2"</f>
        <v>2</v>
      </c>
      <c r="E8604" s="2" t="str">
        <f>"经济与管理学院"</f>
        <v>经济与管理学院</v>
      </c>
    </row>
    <row r="8605" ht="13.5" hidden="1" spans="1:5">
      <c r="A8605" s="2" t="str">
        <f>"康涵"</f>
        <v>康涵</v>
      </c>
      <c r="B8605" s="2" t="str">
        <f>"B20210505121"</f>
        <v>B20210505121</v>
      </c>
      <c r="C8605" s="2" t="str">
        <f t="shared" si="2047"/>
        <v>男</v>
      </c>
      <c r="D8605" s="2" t="str">
        <f>"2"</f>
        <v>2</v>
      </c>
      <c r="E8605" s="2" t="str">
        <f>"材料与环境工程学院"</f>
        <v>材料与环境工程学院</v>
      </c>
    </row>
    <row r="8606" ht="13.5" hidden="1" spans="1:5">
      <c r="A8606" s="2" t="str">
        <f>"焦彦阳"</f>
        <v>焦彦阳</v>
      </c>
      <c r="B8606" s="2" t="str">
        <f>"B20231401123"</f>
        <v>B20231401123</v>
      </c>
      <c r="C8606" s="2" t="str">
        <f t="shared" si="2046"/>
        <v>女</v>
      </c>
      <c r="D8606" s="2" t="str">
        <f>"2"</f>
        <v>2</v>
      </c>
      <c r="E8606" s="2" t="str">
        <f>"马克思主义学院"</f>
        <v>马克思主义学院</v>
      </c>
    </row>
    <row r="8607" ht="13.5" hidden="1" spans="1:5">
      <c r="A8607" s="2" t="str">
        <f>"李康鸿"</f>
        <v>李康鸿</v>
      </c>
      <c r="B8607" s="2" t="str">
        <f>"B20230102214"</f>
        <v>B20230102214</v>
      </c>
      <c r="C8607" s="2" t="str">
        <f t="shared" si="2047"/>
        <v>男</v>
      </c>
      <c r="D8607" s="2" t="str">
        <f>"2"</f>
        <v>2</v>
      </c>
      <c r="E8607" s="2" t="str">
        <f>"土木工程学院"</f>
        <v>土木工程学院</v>
      </c>
    </row>
    <row r="8608" ht="13.5" hidden="1" spans="1:5">
      <c r="A8608" s="2" t="str">
        <f>"文嘉怡"</f>
        <v>文嘉怡</v>
      </c>
      <c r="B8608" s="2" t="str">
        <f>"B20210704215"</f>
        <v>B20210704215</v>
      </c>
      <c r="C8608" s="2" t="str">
        <f t="shared" si="2046"/>
        <v>女</v>
      </c>
      <c r="D8608" s="2" t="str">
        <f>"2"</f>
        <v>2</v>
      </c>
      <c r="E8608" s="2" t="str">
        <f>"马栏山新媒体学院"</f>
        <v>马栏山新媒体学院</v>
      </c>
    </row>
    <row r="8609" ht="13.5" hidden="1" spans="1:5">
      <c r="A8609" s="2" t="str">
        <f>"张蕊"</f>
        <v>张蕊</v>
      </c>
      <c r="B8609" s="2" t="str">
        <f>"B20220802128"</f>
        <v>B20220802128</v>
      </c>
      <c r="C8609" s="2" t="str">
        <f t="shared" si="2046"/>
        <v>女</v>
      </c>
      <c r="D8609" s="2" t="str">
        <f>"2"</f>
        <v>2</v>
      </c>
      <c r="E8609" s="2" t="str">
        <f>"外国语学院"</f>
        <v>外国语学院</v>
      </c>
    </row>
    <row r="8610" ht="13.5" hidden="1" spans="1:5">
      <c r="A8610" s="2" t="str">
        <f>"贾致坚"</f>
        <v>贾致坚</v>
      </c>
      <c r="B8610" s="2" t="str">
        <f>"B20210703125"</f>
        <v>B20210703125</v>
      </c>
      <c r="C8610" s="2" t="str">
        <f>"男"</f>
        <v>男</v>
      </c>
      <c r="D8610" s="2" t="str">
        <f>"2"</f>
        <v>2</v>
      </c>
      <c r="E8610" s="2" t="str">
        <f>"马栏山新媒体学院"</f>
        <v>马栏山新媒体学院</v>
      </c>
    </row>
    <row r="8611" ht="13.5" hidden="1" spans="1:5">
      <c r="A8611" s="2" t="str">
        <f>"马靖怡"</f>
        <v>马靖怡</v>
      </c>
      <c r="B8611" s="2" t="str">
        <f>"B20200905110"</f>
        <v>B20200905110</v>
      </c>
      <c r="C8611" s="2" t="str">
        <f>"男"</f>
        <v>男</v>
      </c>
      <c r="D8611" s="2" t="str">
        <f>"2"</f>
        <v>2</v>
      </c>
      <c r="E8611" s="2" t="str">
        <f>"经济与管理学院"</f>
        <v>经济与管理学院</v>
      </c>
    </row>
    <row r="8612" ht="13.5" hidden="1" spans="1:5">
      <c r="A8612" s="2" t="str">
        <f>"岑丽婷"</f>
        <v>岑丽婷</v>
      </c>
      <c r="B8612" s="2" t="str">
        <f>"B20211002218"</f>
        <v>B20211002218</v>
      </c>
      <c r="C8612" s="2" t="str">
        <f>"女"</f>
        <v>女</v>
      </c>
      <c r="D8612" s="2" t="str">
        <f>"2"</f>
        <v>2</v>
      </c>
      <c r="E8612" s="2" t="str">
        <f>"艺术设计学院"</f>
        <v>艺术设计学院</v>
      </c>
    </row>
    <row r="8613" ht="13.5" hidden="1" spans="1:5">
      <c r="A8613" s="2" t="str">
        <f>"杨子晴"</f>
        <v>杨子晴</v>
      </c>
      <c r="B8613" s="2" t="str">
        <f>"B20220504202"</f>
        <v>B20220504202</v>
      </c>
      <c r="C8613" s="2" t="str">
        <f>"女"</f>
        <v>女</v>
      </c>
      <c r="D8613" s="2" t="str">
        <f>"2"</f>
        <v>2</v>
      </c>
      <c r="E8613" s="2" t="str">
        <f>"生物与化学工程学院"</f>
        <v>生物与化学工程学院</v>
      </c>
    </row>
    <row r="8614" ht="13.5" hidden="1" spans="1:5">
      <c r="A8614" s="2" t="str">
        <f>"杨璐"</f>
        <v>杨璐</v>
      </c>
      <c r="B8614" s="2" t="str">
        <f>"B20210902335"</f>
        <v>B20210902335</v>
      </c>
      <c r="C8614" s="2" t="str">
        <f>"女"</f>
        <v>女</v>
      </c>
      <c r="D8614" s="2" t="str">
        <f>"2"</f>
        <v>2</v>
      </c>
      <c r="E8614" s="2" t="str">
        <f>"经济与管理学院"</f>
        <v>经济与管理学院</v>
      </c>
    </row>
    <row r="8615" ht="13.5" hidden="1" spans="1:5">
      <c r="A8615" s="2" t="str">
        <f>"刘建豪"</f>
        <v>刘建豪</v>
      </c>
      <c r="B8615" s="2" t="str">
        <f>"B20230101311"</f>
        <v>B20230101311</v>
      </c>
      <c r="C8615" s="2" t="str">
        <f t="shared" ref="C8615:C8619" si="2048">"男"</f>
        <v>男</v>
      </c>
      <c r="D8615" s="2" t="str">
        <f>"2"</f>
        <v>2</v>
      </c>
      <c r="E8615" s="2" t="str">
        <f>"土木工程学院"</f>
        <v>土木工程学院</v>
      </c>
    </row>
    <row r="8616" ht="13.5" hidden="1" spans="1:5">
      <c r="A8616" s="2" t="str">
        <f>"罗依"</f>
        <v>罗依</v>
      </c>
      <c r="B8616" s="2" t="str">
        <f>"B20220803201"</f>
        <v>B20220803201</v>
      </c>
      <c r="C8616" s="2" t="str">
        <f>"女"</f>
        <v>女</v>
      </c>
      <c r="D8616" s="2" t="str">
        <f>"2"</f>
        <v>2</v>
      </c>
      <c r="E8616" s="2" t="str">
        <f>"外国语学院"</f>
        <v>外国语学院</v>
      </c>
    </row>
    <row r="8617" ht="13.5" hidden="1" spans="1:5">
      <c r="A8617" s="2" t="str">
        <f>"吴扬坤"</f>
        <v>吴扬坤</v>
      </c>
      <c r="B8617" s="2" t="str">
        <f>"B20220204214"</f>
        <v>B20220204214</v>
      </c>
      <c r="C8617" s="2" t="str">
        <f t="shared" si="2048"/>
        <v>男</v>
      </c>
      <c r="D8617" s="2" t="str">
        <f>"2"</f>
        <v>2</v>
      </c>
      <c r="E8617" s="2" t="str">
        <f>"机电工程学院"</f>
        <v>机电工程学院</v>
      </c>
    </row>
    <row r="8618" ht="13.5" hidden="1" spans="1:5">
      <c r="A8618" s="2" t="str">
        <f>"廖原原"</f>
        <v>廖原原</v>
      </c>
      <c r="B8618" s="2" t="str">
        <f>"B20210201108"</f>
        <v>B20210201108</v>
      </c>
      <c r="C8618" s="2" t="str">
        <f t="shared" si="2048"/>
        <v>男</v>
      </c>
      <c r="D8618" s="2" t="str">
        <f>"2"</f>
        <v>2</v>
      </c>
      <c r="E8618" s="2" t="str">
        <f>"机电工程学院"</f>
        <v>机电工程学院</v>
      </c>
    </row>
    <row r="8619" ht="13.5" hidden="1" spans="1:5">
      <c r="A8619" s="2" t="str">
        <f>"夏子烨"</f>
        <v>夏子烨</v>
      </c>
      <c r="B8619" s="2" t="str">
        <f>"B20230101513"</f>
        <v>B20230101513</v>
      </c>
      <c r="C8619" s="2" t="str">
        <f t="shared" si="2048"/>
        <v>男</v>
      </c>
      <c r="D8619" s="2" t="str">
        <f>"2"</f>
        <v>2</v>
      </c>
      <c r="E8619" s="2" t="str">
        <f>"土木工程学院"</f>
        <v>土木工程学院</v>
      </c>
    </row>
    <row r="8620" ht="13.5" hidden="1" spans="1:5">
      <c r="A8620" s="2" t="str">
        <f>"郑斐"</f>
        <v>郑斐</v>
      </c>
      <c r="B8620" s="2" t="str">
        <f>"B20210701229"</f>
        <v>B20210701229</v>
      </c>
      <c r="C8620" s="2" t="str">
        <f>"女"</f>
        <v>女</v>
      </c>
      <c r="D8620" s="2" t="str">
        <f>"2"</f>
        <v>2</v>
      </c>
      <c r="E8620" s="2" t="str">
        <f>"马栏山新媒体学院"</f>
        <v>马栏山新媒体学院</v>
      </c>
    </row>
    <row r="8621" ht="13.5" hidden="1" spans="1:5">
      <c r="A8621" s="2" t="str">
        <f>"李久晟"</f>
        <v>李久晟</v>
      </c>
      <c r="B8621" s="2" t="str">
        <f>"B20200402306"</f>
        <v>B20200402306</v>
      </c>
      <c r="C8621" s="2" t="str">
        <f>"男"</f>
        <v>男</v>
      </c>
      <c r="D8621" s="2" t="str">
        <f>"2"</f>
        <v>2</v>
      </c>
      <c r="E8621" s="2" t="str">
        <f>"电子信息与电气工程学院"</f>
        <v>电子信息与电气工程学院</v>
      </c>
    </row>
    <row r="8622" ht="13.5" hidden="1" spans="1:5">
      <c r="A8622" s="2" t="str">
        <f>"邓慧"</f>
        <v>邓慧</v>
      </c>
      <c r="B8622" s="2" t="str">
        <f>"B20200703311"</f>
        <v>B20200703311</v>
      </c>
      <c r="C8622" s="2" t="str">
        <f>"女"</f>
        <v>女</v>
      </c>
      <c r="D8622" s="2" t="str">
        <f>"2"</f>
        <v>2</v>
      </c>
      <c r="E8622" s="2" t="str">
        <f>"马栏山新媒体学院"</f>
        <v>马栏山新媒体学院</v>
      </c>
    </row>
    <row r="8623" ht="13.5" hidden="1" spans="1:5">
      <c r="A8623" s="2" t="str">
        <f>"贺姿睿"</f>
        <v>贺姿睿</v>
      </c>
      <c r="B8623" s="2" t="str">
        <f>"B20200903136"</f>
        <v>B20200903136</v>
      </c>
      <c r="C8623" s="2" t="str">
        <f>"女"</f>
        <v>女</v>
      </c>
      <c r="D8623" s="2" t="str">
        <f t="shared" ref="D8623:D8629" si="2049">"2"</f>
        <v>2</v>
      </c>
      <c r="E8623" s="2" t="str">
        <f>"经济与管理学院"</f>
        <v>经济与管理学院</v>
      </c>
    </row>
    <row r="8624" ht="13.5" hidden="1" spans="1:5">
      <c r="A8624" s="2" t="str">
        <f>"潘佳琳"</f>
        <v>潘佳琳</v>
      </c>
      <c r="B8624" s="2" t="str">
        <f>"B20200504104"</f>
        <v>B20200504104</v>
      </c>
      <c r="C8624" s="2" t="str">
        <f>"女"</f>
        <v>女</v>
      </c>
      <c r="D8624" s="2" t="str">
        <f t="shared" si="2049"/>
        <v>2</v>
      </c>
      <c r="E8624" s="2" t="str">
        <f>"生物与环境工程学院"</f>
        <v>生物与环境工程学院</v>
      </c>
    </row>
    <row r="8625" ht="13.5" hidden="1" spans="1:5">
      <c r="A8625" s="2" t="str">
        <f>"雷佳怡"</f>
        <v>雷佳怡</v>
      </c>
      <c r="B8625" s="2" t="str">
        <f>"B20200904209"</f>
        <v>B20200904209</v>
      </c>
      <c r="C8625" s="2" t="str">
        <f>"女"</f>
        <v>女</v>
      </c>
      <c r="D8625" s="2" t="str">
        <f t="shared" si="2049"/>
        <v>2</v>
      </c>
      <c r="E8625" s="2" t="str">
        <f>"经济与管理学院"</f>
        <v>经济与管理学院</v>
      </c>
    </row>
    <row r="8626" ht="13.5" hidden="1" spans="1:5">
      <c r="A8626" s="2" t="str">
        <f>"贺万鹏"</f>
        <v>贺万鹏</v>
      </c>
      <c r="B8626" s="2" t="str">
        <f>"B20230701419"</f>
        <v>B20230701419</v>
      </c>
      <c r="C8626" s="2" t="str">
        <f>"男"</f>
        <v>男</v>
      </c>
      <c r="D8626" s="2" t="str">
        <f t="shared" si="2049"/>
        <v>2</v>
      </c>
      <c r="E8626" s="2" t="str">
        <f>"马栏山新媒体学院"</f>
        <v>马栏山新媒体学院</v>
      </c>
    </row>
    <row r="8627" ht="13.5" hidden="1" spans="1:5">
      <c r="A8627" s="2" t="str">
        <f>"赵盈盈"</f>
        <v>赵盈盈</v>
      </c>
      <c r="B8627" s="2" t="str">
        <f>"B20231401103"</f>
        <v>B20231401103</v>
      </c>
      <c r="C8627" s="2" t="str">
        <f>"女"</f>
        <v>女</v>
      </c>
      <c r="D8627" s="2" t="str">
        <f t="shared" si="2049"/>
        <v>2</v>
      </c>
      <c r="E8627" s="2" t="str">
        <f>"马克思主义学院"</f>
        <v>马克思主义学院</v>
      </c>
    </row>
    <row r="8628" ht="13.5" hidden="1" spans="1:5">
      <c r="A8628" s="2" t="str">
        <f>"张译壬"</f>
        <v>张译壬</v>
      </c>
      <c r="B8628" s="2" t="str">
        <f>"B20230501137"</f>
        <v>B20230501137</v>
      </c>
      <c r="C8628" s="2" t="str">
        <f>"男"</f>
        <v>男</v>
      </c>
      <c r="D8628" s="2" t="str">
        <f t="shared" si="2049"/>
        <v>2</v>
      </c>
      <c r="E8628" s="2" t="str">
        <f>"生物与化学工程学院"</f>
        <v>生物与化学工程学院</v>
      </c>
    </row>
    <row r="8629" ht="13.5" hidden="1" spans="1:5">
      <c r="A8629" s="2" t="str">
        <f>"刘婷轩"</f>
        <v>刘婷轩</v>
      </c>
      <c r="B8629" s="2" t="str">
        <f>"B20220803227"</f>
        <v>B20220803227</v>
      </c>
      <c r="C8629" s="2" t="str">
        <f>"女"</f>
        <v>女</v>
      </c>
      <c r="D8629" s="2" t="str">
        <f t="shared" si="2049"/>
        <v>2</v>
      </c>
      <c r="E8629" s="2" t="str">
        <f>"外国语学院"</f>
        <v>外国语学院</v>
      </c>
    </row>
    <row r="8630" ht="13.5" hidden="1" spans="1:5">
      <c r="A8630" s="2" t="str">
        <f>"罗文韬"</f>
        <v>罗文韬</v>
      </c>
      <c r="B8630" s="2" t="str">
        <f>"B20210402211"</f>
        <v>B20210402211</v>
      </c>
      <c r="C8630" s="2" t="str">
        <f>"男"</f>
        <v>男</v>
      </c>
      <c r="D8630" s="2" t="str">
        <f>"2"</f>
        <v>2</v>
      </c>
      <c r="E8630" s="2" t="str">
        <f>"电子信息与电气工程学院"</f>
        <v>电子信息与电气工程学院</v>
      </c>
    </row>
    <row r="8631" ht="13.5" hidden="1" spans="1:5">
      <c r="A8631" s="2" t="str">
        <f>"成原驰"</f>
        <v>成原驰</v>
      </c>
      <c r="B8631" s="2" t="str">
        <f>"B20220403112"</f>
        <v>B20220403112</v>
      </c>
      <c r="C8631" s="2" t="str">
        <f>"男"</f>
        <v>男</v>
      </c>
      <c r="D8631" s="2" t="str">
        <f>"2"</f>
        <v>2</v>
      </c>
      <c r="E8631" s="2" t="str">
        <f>"电子信息与电气工程学院"</f>
        <v>电子信息与电气工程学院</v>
      </c>
    </row>
    <row r="8632" ht="13.5" hidden="1" spans="1:5">
      <c r="A8632" s="2" t="str">
        <f>"张琳"</f>
        <v>张琳</v>
      </c>
      <c r="B8632" s="2" t="str">
        <f>"B20221302418"</f>
        <v>B20221302418</v>
      </c>
      <c r="C8632" s="2" t="str">
        <f t="shared" ref="C8632:C8634" si="2050">"女"</f>
        <v>女</v>
      </c>
      <c r="D8632" s="2" t="str">
        <f>"2"</f>
        <v>2</v>
      </c>
      <c r="E8632" s="2" t="str">
        <f>"材料与环境工程学院"</f>
        <v>材料与环境工程学院</v>
      </c>
    </row>
    <row r="8633" ht="13.5" hidden="1" spans="1:5">
      <c r="A8633" s="2" t="str">
        <f>"张艺榕"</f>
        <v>张艺榕</v>
      </c>
      <c r="B8633" s="2" t="str">
        <f>"B20220702226"</f>
        <v>B20220702226</v>
      </c>
      <c r="C8633" s="2" t="str">
        <f t="shared" si="2050"/>
        <v>女</v>
      </c>
      <c r="D8633" s="2" t="str">
        <f>"2"</f>
        <v>2</v>
      </c>
      <c r="E8633" s="2" t="str">
        <f>"马栏山新媒体学院"</f>
        <v>马栏山新媒体学院</v>
      </c>
    </row>
    <row r="8634" ht="13.5" hidden="1" spans="1:5">
      <c r="A8634" s="2" t="str">
        <f>"于雯昕"</f>
        <v>于雯昕</v>
      </c>
      <c r="B8634" s="2" t="str">
        <f>"B20200904227"</f>
        <v>B20200904227</v>
      </c>
      <c r="C8634" s="2" t="str">
        <f t="shared" si="2050"/>
        <v>女</v>
      </c>
      <c r="D8634" s="2" t="str">
        <f>"2"</f>
        <v>2</v>
      </c>
      <c r="E8634" s="2" t="str">
        <f>"经济与管理学院"</f>
        <v>经济与管理学院</v>
      </c>
    </row>
    <row r="8635" ht="13.5" hidden="1" spans="1:5">
      <c r="A8635" s="2" t="str">
        <f>"罗湘粤"</f>
        <v>罗湘粤</v>
      </c>
      <c r="B8635" s="2" t="str">
        <f>"B20200101205"</f>
        <v>B20200101205</v>
      </c>
      <c r="C8635" s="2" t="str">
        <f t="shared" ref="C8635:C8639" si="2051">"男"</f>
        <v>男</v>
      </c>
      <c r="D8635" s="2" t="str">
        <f>"2"</f>
        <v>2</v>
      </c>
      <c r="E8635" s="2" t="str">
        <f>"土木工程学院"</f>
        <v>土木工程学院</v>
      </c>
    </row>
    <row r="8636" ht="13.5" hidden="1" spans="1:5">
      <c r="A8636" s="2" t="str">
        <f>"宾欧阳丽"</f>
        <v>宾欧阳丽</v>
      </c>
      <c r="B8636" s="2" t="str">
        <f>"B20230601524"</f>
        <v>B20230601524</v>
      </c>
      <c r="C8636" s="2" t="str">
        <f t="shared" ref="C8636:C8641" si="2052">"女"</f>
        <v>女</v>
      </c>
      <c r="D8636" s="2" t="str">
        <f>"2"</f>
        <v>2</v>
      </c>
      <c r="E8636" s="2" t="str">
        <f>"法学院"</f>
        <v>法学院</v>
      </c>
    </row>
    <row r="8637" ht="13.5" hidden="1" spans="1:5">
      <c r="A8637" s="2" t="str">
        <f>"钟煜轩"</f>
        <v>钟煜轩</v>
      </c>
      <c r="B8637" s="2" t="str">
        <f>"B20210503209"</f>
        <v>B20210503209</v>
      </c>
      <c r="C8637" s="2" t="str">
        <f t="shared" si="2052"/>
        <v>女</v>
      </c>
      <c r="D8637" s="2" t="str">
        <f>"2"</f>
        <v>2</v>
      </c>
      <c r="E8637" s="2" t="str">
        <f>"材料与环境工程学院"</f>
        <v>材料与环境工程学院</v>
      </c>
    </row>
    <row r="8638" ht="13.5" hidden="1" spans="1:5">
      <c r="A8638" s="2" t="str">
        <f>"袁鑫"</f>
        <v>袁鑫</v>
      </c>
      <c r="B8638" s="2" t="str">
        <f>"B20200401304"</f>
        <v>B20200401304</v>
      </c>
      <c r="C8638" s="2" t="str">
        <f t="shared" si="2051"/>
        <v>男</v>
      </c>
      <c r="D8638" s="2" t="str">
        <f>"2"</f>
        <v>2</v>
      </c>
      <c r="E8638" s="2" t="str">
        <f>"电子信息与电气工程学院"</f>
        <v>电子信息与电气工程学院</v>
      </c>
    </row>
    <row r="8639" ht="13.5" hidden="1" spans="1:5">
      <c r="A8639" s="2" t="str">
        <f>"曹旭楠"</f>
        <v>曹旭楠</v>
      </c>
      <c r="B8639" s="2" t="str">
        <f>"B20210701213"</f>
        <v>B20210701213</v>
      </c>
      <c r="C8639" s="2" t="str">
        <f t="shared" si="2051"/>
        <v>男</v>
      </c>
      <c r="D8639" s="2" t="str">
        <f>"2"</f>
        <v>2</v>
      </c>
      <c r="E8639" s="2" t="str">
        <f>"马栏山新媒体学院"</f>
        <v>马栏山新媒体学院</v>
      </c>
    </row>
    <row r="8640" ht="13.5" hidden="1" spans="1:5">
      <c r="A8640" s="2" t="str">
        <f>"刘心仪"</f>
        <v>刘心仪</v>
      </c>
      <c r="B8640" s="2" t="str">
        <f>"B20200503101"</f>
        <v>B20200503101</v>
      </c>
      <c r="C8640" s="2" t="str">
        <f t="shared" si="2052"/>
        <v>女</v>
      </c>
      <c r="D8640" s="2" t="str">
        <f>"2"</f>
        <v>2</v>
      </c>
      <c r="E8640" s="2" t="str">
        <f>"生物与环境工程学院"</f>
        <v>生物与环境工程学院</v>
      </c>
    </row>
    <row r="8641" ht="13.5" hidden="1" spans="1:5">
      <c r="A8641" s="2" t="str">
        <f>"肖俊珍"</f>
        <v>肖俊珍</v>
      </c>
      <c r="B8641" s="2" t="str">
        <f>"B20231002205"</f>
        <v>B20231002205</v>
      </c>
      <c r="C8641" s="2" t="str">
        <f t="shared" si="2052"/>
        <v>女</v>
      </c>
      <c r="D8641" s="2" t="str">
        <f>"2"</f>
        <v>2</v>
      </c>
      <c r="E8641" s="2" t="str">
        <f>"艺术设计学院"</f>
        <v>艺术设计学院</v>
      </c>
    </row>
    <row r="8642" ht="13.5" hidden="1" spans="1:5">
      <c r="A8642" s="2" t="str">
        <f>"曾威"</f>
        <v>曾威</v>
      </c>
      <c r="B8642" s="2" t="str">
        <f>"B20231101110"</f>
        <v>B20231101110</v>
      </c>
      <c r="C8642" s="2" t="str">
        <f>"男"</f>
        <v>男</v>
      </c>
      <c r="D8642" s="2" t="str">
        <f>"2"</f>
        <v>2</v>
      </c>
      <c r="E8642" s="2" t="str">
        <f>"音乐学院"</f>
        <v>音乐学院</v>
      </c>
    </row>
    <row r="8643" ht="13.5" hidden="1" spans="1:5">
      <c r="A8643" s="2" t="str">
        <f>"陈聪"</f>
        <v>陈聪</v>
      </c>
      <c r="B8643" s="2" t="str">
        <f>"B20230204225"</f>
        <v>B20230204225</v>
      </c>
      <c r="C8643" s="2" t="str">
        <f>"男"</f>
        <v>男</v>
      </c>
      <c r="D8643" s="2" t="str">
        <f>"2"</f>
        <v>2</v>
      </c>
      <c r="E8643" s="2" t="str">
        <f>"机电工程学院"</f>
        <v>机电工程学院</v>
      </c>
    </row>
    <row r="8644" ht="13.5" hidden="1" spans="1:5">
      <c r="A8644" s="2" t="str">
        <f>"殷思思"</f>
        <v>殷思思</v>
      </c>
      <c r="B8644" s="2" t="str">
        <f>"B20220501127"</f>
        <v>B20220501127</v>
      </c>
      <c r="C8644" s="2" t="str">
        <f>"女"</f>
        <v>女</v>
      </c>
      <c r="D8644" s="2" t="str">
        <f>"2"</f>
        <v>2</v>
      </c>
      <c r="E8644" s="2" t="str">
        <f>"生物与化学工程学院"</f>
        <v>生物与化学工程学院</v>
      </c>
    </row>
    <row r="8645" ht="13.5" hidden="1" spans="1:5">
      <c r="A8645" s="2" t="str">
        <f>"邹丰翼"</f>
        <v>邹丰翼</v>
      </c>
      <c r="B8645" s="2" t="str">
        <f>"B20230601508"</f>
        <v>B20230601508</v>
      </c>
      <c r="C8645" s="2" t="str">
        <f t="shared" ref="C8645:C8648" si="2053">"男"</f>
        <v>男</v>
      </c>
      <c r="D8645" s="2" t="str">
        <f>"2"</f>
        <v>2</v>
      </c>
      <c r="E8645" s="2" t="str">
        <f>"法学院"</f>
        <v>法学院</v>
      </c>
    </row>
    <row r="8646" ht="13.5" hidden="1" spans="1:5">
      <c r="A8646" s="2" t="str">
        <f>"侯体磊"</f>
        <v>侯体磊</v>
      </c>
      <c r="B8646" s="2" t="str">
        <f>"B20200905203"</f>
        <v>B20200905203</v>
      </c>
      <c r="C8646" s="2" t="str">
        <f t="shared" si="2053"/>
        <v>男</v>
      </c>
      <c r="D8646" s="2" t="str">
        <f>"2"</f>
        <v>2</v>
      </c>
      <c r="E8646" s="2" t="str">
        <f>"经济与管理学院"</f>
        <v>经济与管理学院</v>
      </c>
    </row>
    <row r="8647" ht="13.5" hidden="1" spans="1:5">
      <c r="A8647" s="2" t="str">
        <f>"曾扬婷"</f>
        <v>曾扬婷</v>
      </c>
      <c r="B8647" s="2" t="str">
        <f>"B20220101215"</f>
        <v>B20220101215</v>
      </c>
      <c r="C8647" s="2" t="str">
        <f>"女"</f>
        <v>女</v>
      </c>
      <c r="D8647" s="2" t="str">
        <f>"2"</f>
        <v>2</v>
      </c>
      <c r="E8647" s="2" t="str">
        <f>"土木工程学院"</f>
        <v>土木工程学院</v>
      </c>
    </row>
    <row r="8648" ht="13.5" hidden="1" spans="1:5">
      <c r="A8648" s="2" t="str">
        <f>"石文辉"</f>
        <v>石文辉</v>
      </c>
      <c r="B8648" s="2" t="str">
        <f>"B20200701225"</f>
        <v>B20200701225</v>
      </c>
      <c r="C8648" s="2" t="str">
        <f t="shared" si="2053"/>
        <v>男</v>
      </c>
      <c r="D8648" s="2" t="str">
        <f>"2"</f>
        <v>2</v>
      </c>
      <c r="E8648" s="2" t="str">
        <f>"马栏山新媒体学院"</f>
        <v>马栏山新媒体学院</v>
      </c>
    </row>
    <row r="8649" ht="13.5" hidden="1" spans="1:5">
      <c r="A8649" s="2" t="str">
        <f>"王怡"</f>
        <v>王怡</v>
      </c>
      <c r="B8649" s="2" t="str">
        <f>"B20211001124"</f>
        <v>B20211001124</v>
      </c>
      <c r="C8649" s="2" t="str">
        <f t="shared" ref="C8649:C8652" si="2054">"女"</f>
        <v>女</v>
      </c>
      <c r="D8649" s="2" t="str">
        <f>"2"</f>
        <v>2</v>
      </c>
      <c r="E8649" s="2" t="str">
        <f>"艺术设计学院"</f>
        <v>艺术设计学院</v>
      </c>
    </row>
    <row r="8650" ht="13.5" hidden="1" spans="1:5">
      <c r="A8650" s="2" t="str">
        <f>"黄钰瑶"</f>
        <v>黄钰瑶</v>
      </c>
      <c r="B8650" s="2" t="str">
        <f>"B20200501219"</f>
        <v>B20200501219</v>
      </c>
      <c r="C8650" s="2" t="str">
        <f t="shared" si="2054"/>
        <v>女</v>
      </c>
      <c r="D8650" s="2" t="str">
        <f>"2"</f>
        <v>2</v>
      </c>
      <c r="E8650" s="2" t="str">
        <f>"生物与环境工程学院"</f>
        <v>生物与环境工程学院</v>
      </c>
    </row>
    <row r="8651" ht="13.5" hidden="1" spans="1:5">
      <c r="A8651" s="2" t="str">
        <f>"肖椋艺"</f>
        <v>肖椋艺</v>
      </c>
      <c r="B8651" s="2" t="str">
        <f>"B20230905225"</f>
        <v>B20230905225</v>
      </c>
      <c r="C8651" s="2" t="str">
        <f t="shared" si="2054"/>
        <v>女</v>
      </c>
      <c r="D8651" s="2" t="str">
        <f>"2"</f>
        <v>2</v>
      </c>
      <c r="E8651" s="2" t="str">
        <f>"经济与管理学院"</f>
        <v>经济与管理学院</v>
      </c>
    </row>
    <row r="8652" ht="13.5" hidden="1" spans="1:5">
      <c r="A8652" s="2" t="str">
        <f>"李涵钰"</f>
        <v>李涵钰</v>
      </c>
      <c r="B8652" s="2" t="str">
        <f>"B20210402106"</f>
        <v>B20210402106</v>
      </c>
      <c r="C8652" s="2" t="str">
        <f t="shared" si="2054"/>
        <v>女</v>
      </c>
      <c r="D8652" s="2" t="str">
        <f>"2"</f>
        <v>2</v>
      </c>
      <c r="E8652" s="2" t="str">
        <f>"电子信息与电气工程学院"</f>
        <v>电子信息与电气工程学院</v>
      </c>
    </row>
    <row r="8653" ht="13.5" hidden="1" spans="1:5">
      <c r="A8653" s="2" t="str">
        <f>"段世俊"</f>
        <v>段世俊</v>
      </c>
      <c r="B8653" s="2" t="str">
        <f>"B20230104231"</f>
        <v>B20230104231</v>
      </c>
      <c r="C8653" s="2" t="str">
        <f t="shared" ref="C8653:C8656" si="2055">"男"</f>
        <v>男</v>
      </c>
      <c r="D8653" s="2" t="str">
        <f>"2"</f>
        <v>2</v>
      </c>
      <c r="E8653" s="2" t="str">
        <f>"土木工程学院"</f>
        <v>土木工程学院</v>
      </c>
    </row>
    <row r="8654" ht="13.5" hidden="1" spans="1:5">
      <c r="A8654" s="2" t="str">
        <f>"张强"</f>
        <v>张强</v>
      </c>
      <c r="B8654" s="2" t="str">
        <f>"B20230601411"</f>
        <v>B20230601411</v>
      </c>
      <c r="C8654" s="2" t="str">
        <f t="shared" si="2055"/>
        <v>男</v>
      </c>
      <c r="D8654" s="2" t="str">
        <f>"2"</f>
        <v>2</v>
      </c>
      <c r="E8654" s="2" t="str">
        <f>"法学院"</f>
        <v>法学院</v>
      </c>
    </row>
    <row r="8655" ht="13.5" hidden="1" spans="1:5">
      <c r="A8655" s="2" t="str">
        <f>"李沛东"</f>
        <v>李沛东</v>
      </c>
      <c r="B8655" s="2" t="str">
        <f>"B20230704315"</f>
        <v>B20230704315</v>
      </c>
      <c r="C8655" s="2" t="str">
        <f t="shared" si="2055"/>
        <v>男</v>
      </c>
      <c r="D8655" s="2" t="str">
        <f>"2"</f>
        <v>2</v>
      </c>
      <c r="E8655" s="2" t="str">
        <f>"马栏山新媒体学院"</f>
        <v>马栏山新媒体学院</v>
      </c>
    </row>
    <row r="8656" ht="13.5" hidden="1" spans="1:5">
      <c r="A8656" s="2" t="str">
        <f>"曹瑞"</f>
        <v>曹瑞</v>
      </c>
      <c r="B8656" s="2" t="str">
        <f>"B20230401216"</f>
        <v>B20230401216</v>
      </c>
      <c r="C8656" s="2" t="str">
        <f t="shared" si="2055"/>
        <v>男</v>
      </c>
      <c r="D8656" s="2" t="str">
        <f>"2"</f>
        <v>2</v>
      </c>
      <c r="E8656" s="2" t="str">
        <f>"电子信息与电气工程学院"</f>
        <v>电子信息与电气工程学院</v>
      </c>
    </row>
    <row r="8657" ht="13.5" hidden="1" spans="1:5">
      <c r="A8657" s="2" t="str">
        <f>"魏阗田"</f>
        <v>魏阗田</v>
      </c>
      <c r="B8657" s="2" t="str">
        <f>"B20220902309"</f>
        <v>B20220902309</v>
      </c>
      <c r="C8657" s="2" t="str">
        <f>"女"</f>
        <v>女</v>
      </c>
      <c r="D8657" s="2" t="str">
        <f>"2"</f>
        <v>2</v>
      </c>
      <c r="E8657" s="2" t="str">
        <f>"经济与管理学院"</f>
        <v>经济与管理学院</v>
      </c>
    </row>
    <row r="8658" ht="13.5" hidden="1" spans="1:5">
      <c r="A8658" s="2" t="str">
        <f>"徐梓怡"</f>
        <v>徐梓怡</v>
      </c>
      <c r="B8658" s="2" t="str">
        <f>"B20200903128"</f>
        <v>B20200903128</v>
      </c>
      <c r="C8658" s="2" t="str">
        <f>"女"</f>
        <v>女</v>
      </c>
      <c r="D8658" s="2" t="str">
        <f>"2"</f>
        <v>2</v>
      </c>
      <c r="E8658" s="2" t="str">
        <f>"经济与管理学院"</f>
        <v>经济与管理学院</v>
      </c>
    </row>
    <row r="8659" ht="13.5" hidden="1" spans="1:5">
      <c r="A8659" s="2" t="str">
        <f>"陈雅芳"</f>
        <v>陈雅芳</v>
      </c>
      <c r="B8659" s="2" t="str">
        <f>"B20200803203"</f>
        <v>B20200803203</v>
      </c>
      <c r="C8659" s="2" t="str">
        <f>"女"</f>
        <v>女</v>
      </c>
      <c r="D8659" s="2" t="str">
        <f>"2"</f>
        <v>2</v>
      </c>
      <c r="E8659" s="2" t="str">
        <f>"外国语学院"</f>
        <v>外国语学院</v>
      </c>
    </row>
    <row r="8660" ht="13.5" hidden="1" spans="1:5">
      <c r="A8660" s="2" t="str">
        <f>"伍淼琳"</f>
        <v>伍淼琳</v>
      </c>
      <c r="B8660" s="2" t="str">
        <f>"B20230906230"</f>
        <v>B20230906230</v>
      </c>
      <c r="C8660" s="2" t="str">
        <f>"女"</f>
        <v>女</v>
      </c>
      <c r="D8660" s="2" t="str">
        <f>"2"</f>
        <v>2</v>
      </c>
      <c r="E8660" s="2" t="str">
        <f>"经济与管理学院"</f>
        <v>经济与管理学院</v>
      </c>
    </row>
    <row r="8661" ht="13.5" hidden="1" spans="1:5">
      <c r="A8661" s="2" t="str">
        <f>"李时峰"</f>
        <v>李时峰</v>
      </c>
      <c r="B8661" s="2" t="str">
        <f>"B20220601319"</f>
        <v>B20220601319</v>
      </c>
      <c r="C8661" s="2" t="str">
        <f>"男"</f>
        <v>男</v>
      </c>
      <c r="D8661" s="2" t="str">
        <f>"2"</f>
        <v>2</v>
      </c>
      <c r="E8661" s="2" t="str">
        <f>"法学院"</f>
        <v>法学院</v>
      </c>
    </row>
    <row r="8662" ht="13.5" hidden="1" spans="1:5">
      <c r="A8662" s="2" t="str">
        <f>"张欣芮"</f>
        <v>张欣芮</v>
      </c>
      <c r="B8662" s="2" t="str">
        <f>"B20220601103"</f>
        <v>B20220601103</v>
      </c>
      <c r="C8662" s="2" t="str">
        <f>"女"</f>
        <v>女</v>
      </c>
      <c r="D8662" s="2" t="str">
        <f>"2"</f>
        <v>2</v>
      </c>
      <c r="E8662" s="2" t="str">
        <f>"法学院"</f>
        <v>法学院</v>
      </c>
    </row>
    <row r="8663" ht="13.5" hidden="1" spans="1:5">
      <c r="A8663" s="2" t="str">
        <f>"曹乐怡"</f>
        <v>曹乐怡</v>
      </c>
      <c r="B8663" s="2" t="str">
        <f>"B20231001204"</f>
        <v>B20231001204</v>
      </c>
      <c r="C8663" s="2" t="str">
        <f>"女"</f>
        <v>女</v>
      </c>
      <c r="D8663" s="2" t="str">
        <f>"2"</f>
        <v>2</v>
      </c>
      <c r="E8663" s="2" t="str">
        <f>"艺术设计学院"</f>
        <v>艺术设计学院</v>
      </c>
    </row>
    <row r="8664" ht="13.5" hidden="1" spans="1:5">
      <c r="A8664" s="2" t="str">
        <f>"陈旭瀚"</f>
        <v>陈旭瀚</v>
      </c>
      <c r="B8664" s="2" t="str">
        <f>"B20230201112"</f>
        <v>B20230201112</v>
      </c>
      <c r="C8664" s="2" t="str">
        <f>"男"</f>
        <v>男</v>
      </c>
      <c r="D8664" s="2" t="str">
        <f>"2"</f>
        <v>2</v>
      </c>
      <c r="E8664" s="2" t="str">
        <f>"机电工程学院"</f>
        <v>机电工程学院</v>
      </c>
    </row>
    <row r="8665" ht="13.5" hidden="1" spans="1:5">
      <c r="A8665" s="2" t="str">
        <f>"汪子婕"</f>
        <v>汪子婕</v>
      </c>
      <c r="B8665" s="2" t="str">
        <f>"B20200906231"</f>
        <v>B20200906231</v>
      </c>
      <c r="C8665" s="2" t="str">
        <f>"女"</f>
        <v>女</v>
      </c>
      <c r="D8665" s="2" t="str">
        <f>"2"</f>
        <v>2</v>
      </c>
      <c r="E8665" s="2" t="str">
        <f>"经济与管理学院"</f>
        <v>经济与管理学院</v>
      </c>
    </row>
    <row r="8666" ht="13.5" hidden="1" spans="1:5">
      <c r="A8666" s="2" t="str">
        <f>"胡洋"</f>
        <v>胡洋</v>
      </c>
      <c r="B8666" s="2" t="str">
        <f>"B20200901320"</f>
        <v>B20200901320</v>
      </c>
      <c r="C8666" s="2" t="str">
        <f>"男"</f>
        <v>男</v>
      </c>
      <c r="D8666" s="2" t="str">
        <f>"2"</f>
        <v>2</v>
      </c>
      <c r="E8666" s="2" t="str">
        <f>"经济与管理学院"</f>
        <v>经济与管理学院</v>
      </c>
    </row>
    <row r="8667" ht="13.5" hidden="1" spans="1:5">
      <c r="A8667" s="2" t="str">
        <f>"彭宇璇"</f>
        <v>彭宇璇</v>
      </c>
      <c r="B8667" s="2" t="str">
        <f>"B20220204111"</f>
        <v>B20220204111</v>
      </c>
      <c r="C8667" s="2" t="str">
        <f>"女"</f>
        <v>女</v>
      </c>
      <c r="D8667" s="2" t="str">
        <f>"2"</f>
        <v>2</v>
      </c>
      <c r="E8667" s="2" t="str">
        <f>"机电工程学院"</f>
        <v>机电工程学院</v>
      </c>
    </row>
    <row r="8668" ht="13.5" hidden="1" spans="1:5">
      <c r="A8668" s="2" t="str">
        <f>"刘源乾"</f>
        <v>刘源乾</v>
      </c>
      <c r="B8668" s="2" t="str">
        <f>"B20221101105"</f>
        <v>B20221101105</v>
      </c>
      <c r="C8668" s="2" t="str">
        <f>"女"</f>
        <v>女</v>
      </c>
      <c r="D8668" s="2" t="str">
        <f>"2"</f>
        <v>2</v>
      </c>
      <c r="E8668" s="2" t="str">
        <f>"音乐学院"</f>
        <v>音乐学院</v>
      </c>
    </row>
    <row r="8669" ht="13.5" hidden="1" spans="1:5">
      <c r="A8669" s="2" t="str">
        <f>"李熠峰"</f>
        <v>李熠峰</v>
      </c>
      <c r="B8669" s="2" t="str">
        <f>"B20231301210"</f>
        <v>B20231301210</v>
      </c>
      <c r="C8669" s="2" t="str">
        <f>"男"</f>
        <v>男</v>
      </c>
      <c r="D8669" s="2" t="str">
        <f>"2"</f>
        <v>2</v>
      </c>
      <c r="E8669" s="2" t="str">
        <f>"材料与环境工程学院"</f>
        <v>材料与环境工程学院</v>
      </c>
    </row>
    <row r="8670" ht="13.5" hidden="1" spans="1:5">
      <c r="A8670" s="2" t="str">
        <f>"欧阳勘"</f>
        <v>欧阳勘</v>
      </c>
      <c r="B8670" s="2" t="str">
        <f>"B20231301102"</f>
        <v>B20231301102</v>
      </c>
      <c r="C8670" s="2" t="str">
        <f>"男"</f>
        <v>男</v>
      </c>
      <c r="D8670" s="2" t="str">
        <f>"2"</f>
        <v>2</v>
      </c>
      <c r="E8670" s="2" t="str">
        <f>"材料与环境工程学院"</f>
        <v>材料与环境工程学院</v>
      </c>
    </row>
    <row r="8671" ht="13.5" hidden="1" spans="1:5">
      <c r="A8671" s="2" t="str">
        <f>"周东"</f>
        <v>周东</v>
      </c>
      <c r="B8671" s="2" t="str">
        <f>"B20200104128"</f>
        <v>B20200104128</v>
      </c>
      <c r="C8671" s="2" t="str">
        <f>"男"</f>
        <v>男</v>
      </c>
      <c r="D8671" s="2" t="str">
        <f>"2"</f>
        <v>2</v>
      </c>
      <c r="E8671" s="2" t="str">
        <f>"土木工程学院"</f>
        <v>土木工程学院</v>
      </c>
    </row>
    <row r="8672" ht="13.5" hidden="1" spans="1:5">
      <c r="A8672" s="2" t="str">
        <f>"叶佳慧"</f>
        <v>叶佳慧</v>
      </c>
      <c r="B8672" s="2" t="str">
        <f>"B20231001205"</f>
        <v>B20231001205</v>
      </c>
      <c r="C8672" s="2" t="str">
        <f>"女"</f>
        <v>女</v>
      </c>
      <c r="D8672" s="2" t="str">
        <f>"2"</f>
        <v>2</v>
      </c>
      <c r="E8672" s="2" t="str">
        <f>"艺术设计学院"</f>
        <v>艺术设计学院</v>
      </c>
    </row>
    <row r="8673" ht="13.5" hidden="1" spans="1:5">
      <c r="A8673" s="2" t="str">
        <f>"丁彤"</f>
        <v>丁彤</v>
      </c>
      <c r="B8673" s="2" t="str">
        <f>"B20221302416"</f>
        <v>B20221302416</v>
      </c>
      <c r="C8673" s="2" t="str">
        <f>"女"</f>
        <v>女</v>
      </c>
      <c r="D8673" s="2" t="str">
        <f>"2"</f>
        <v>2</v>
      </c>
      <c r="E8673" s="2" t="str">
        <f>"材料与环境工程学院"</f>
        <v>材料与环境工程学院</v>
      </c>
    </row>
    <row r="8674" ht="13.5" hidden="1" spans="1:5">
      <c r="A8674" s="2" t="str">
        <f>"舒文杰"</f>
        <v>舒文杰</v>
      </c>
      <c r="B8674" s="2" t="str">
        <f>"B20200504205"</f>
        <v>B20200504205</v>
      </c>
      <c r="C8674" s="2" t="str">
        <f>"男"</f>
        <v>男</v>
      </c>
      <c r="D8674" s="2" t="str">
        <f>"2"</f>
        <v>2</v>
      </c>
      <c r="E8674" s="2" t="str">
        <f>"生物与环境工程学院"</f>
        <v>生物与环境工程学院</v>
      </c>
    </row>
    <row r="8675" ht="13.5" hidden="1" spans="1:5">
      <c r="A8675" s="2" t="str">
        <f>"唐慧敏"</f>
        <v>唐慧敏</v>
      </c>
      <c r="B8675" s="2" t="str">
        <f>"B20220901323"</f>
        <v>B20220901323</v>
      </c>
      <c r="C8675" s="2" t="str">
        <f>"女"</f>
        <v>女</v>
      </c>
      <c r="D8675" s="2" t="str">
        <f>"2"</f>
        <v>2</v>
      </c>
      <c r="E8675" s="2" t="str">
        <f>"经济与管理学院"</f>
        <v>经济与管理学院</v>
      </c>
    </row>
    <row r="8676" ht="13.5" hidden="1" spans="1:5">
      <c r="A8676" s="2" t="str">
        <f>"徐睿"</f>
        <v>徐睿</v>
      </c>
      <c r="B8676" s="2" t="str">
        <f>"B20211001318"</f>
        <v>B20211001318</v>
      </c>
      <c r="C8676" s="2" t="str">
        <f>"男"</f>
        <v>男</v>
      </c>
      <c r="D8676" s="2" t="str">
        <f>"2"</f>
        <v>2</v>
      </c>
      <c r="E8676" s="2" t="str">
        <f>"艺术设计学院"</f>
        <v>艺术设计学院</v>
      </c>
    </row>
    <row r="8677" ht="13.5" hidden="1" spans="1:5">
      <c r="A8677" s="2" t="str">
        <f>"杜晓双"</f>
        <v>杜晓双</v>
      </c>
      <c r="B8677" s="2" t="str">
        <f>"B20231003210"</f>
        <v>B20231003210</v>
      </c>
      <c r="C8677" s="2" t="str">
        <f t="shared" ref="C8677:C8679" si="2056">"女"</f>
        <v>女</v>
      </c>
      <c r="D8677" s="2" t="str">
        <f>"2"</f>
        <v>2</v>
      </c>
      <c r="E8677" s="2" t="str">
        <f>"艺术设计学院"</f>
        <v>艺术设计学院</v>
      </c>
    </row>
    <row r="8678" ht="13.5" hidden="1" spans="1:5">
      <c r="A8678" s="2" t="str">
        <f>"张钰欣"</f>
        <v>张钰欣</v>
      </c>
      <c r="B8678" s="2" t="str">
        <f>"B20210704314"</f>
        <v>B20210704314</v>
      </c>
      <c r="C8678" s="2" t="str">
        <f t="shared" si="2056"/>
        <v>女</v>
      </c>
      <c r="D8678" s="2" t="str">
        <f>"2"</f>
        <v>2</v>
      </c>
      <c r="E8678" s="2" t="str">
        <f>"马栏山新媒体学院"</f>
        <v>马栏山新媒体学院</v>
      </c>
    </row>
    <row r="8679" ht="13.5" hidden="1" spans="1:5">
      <c r="A8679" s="2" t="str">
        <f>"张瀞文"</f>
        <v>张瀞文</v>
      </c>
      <c r="B8679" s="2" t="str">
        <f>"B20230803122"</f>
        <v>B20230803122</v>
      </c>
      <c r="C8679" s="2" t="str">
        <f t="shared" si="2056"/>
        <v>女</v>
      </c>
      <c r="D8679" s="2" t="str">
        <f>"2"</f>
        <v>2</v>
      </c>
      <c r="E8679" s="2" t="str">
        <f>"外国语学院"</f>
        <v>外国语学院</v>
      </c>
    </row>
    <row r="8680" ht="13.5" hidden="1" spans="1:5">
      <c r="A8680" s="2" t="str">
        <f>"许凌皓"</f>
        <v>许凌皓</v>
      </c>
      <c r="B8680" s="2" t="str">
        <f>"B20210702231"</f>
        <v>B20210702231</v>
      </c>
      <c r="C8680" s="2" t="str">
        <f>"男"</f>
        <v>男</v>
      </c>
      <c r="D8680" s="2" t="str">
        <f>"2"</f>
        <v>2</v>
      </c>
      <c r="E8680" s="2" t="str">
        <f>"马栏山新媒体学院"</f>
        <v>马栏山新媒体学院</v>
      </c>
    </row>
    <row r="8681" ht="13.5" hidden="1" spans="1:5">
      <c r="A8681" s="2" t="str">
        <f>"彭慧萱"</f>
        <v>彭慧萱</v>
      </c>
      <c r="B8681" s="2" t="str">
        <f>"B20210601103"</f>
        <v>B20210601103</v>
      </c>
      <c r="C8681" s="2" t="str">
        <f>"女"</f>
        <v>女</v>
      </c>
      <c r="D8681" s="2" t="str">
        <f>"2"</f>
        <v>2</v>
      </c>
      <c r="E8681" s="2" t="str">
        <f>"法学院"</f>
        <v>法学院</v>
      </c>
    </row>
    <row r="8682" ht="13.5" hidden="1" spans="1:5">
      <c r="A8682" s="2" t="str">
        <f>"王兴耀"</f>
        <v>王兴耀</v>
      </c>
      <c r="B8682" s="2" t="str">
        <f>"B20231301219"</f>
        <v>B20231301219</v>
      </c>
      <c r="C8682" s="2" t="str">
        <f>"男"</f>
        <v>男</v>
      </c>
      <c r="D8682" s="2" t="str">
        <f>"2"</f>
        <v>2</v>
      </c>
      <c r="E8682" s="2" t="str">
        <f>"材料与环境工程学院"</f>
        <v>材料与环境工程学院</v>
      </c>
    </row>
    <row r="8683" ht="13.5" hidden="1" spans="1:5">
      <c r="A8683" s="2" t="str">
        <f>"余佩洁"</f>
        <v>余佩洁</v>
      </c>
      <c r="B8683" s="2" t="str">
        <f>"B20231302307"</f>
        <v>B20231302307</v>
      </c>
      <c r="C8683" s="2" t="str">
        <f>"女"</f>
        <v>女</v>
      </c>
      <c r="D8683" s="2" t="str">
        <f>"2"</f>
        <v>2</v>
      </c>
      <c r="E8683" s="2" t="str">
        <f>"材料与环境工程学院"</f>
        <v>材料与环境工程学院</v>
      </c>
    </row>
    <row r="8684" ht="13.5" hidden="1" spans="1:5">
      <c r="A8684" s="2" t="str">
        <f>"陈瑶峰"</f>
        <v>陈瑶峰</v>
      </c>
      <c r="B8684" s="2" t="str">
        <f>"B20220702206"</f>
        <v>B20220702206</v>
      </c>
      <c r="C8684" s="2" t="str">
        <f>"女"</f>
        <v>女</v>
      </c>
      <c r="D8684" s="2" t="str">
        <f>"2"</f>
        <v>2</v>
      </c>
      <c r="E8684" s="2" t="str">
        <f>"马栏山新媒体学院"</f>
        <v>马栏山新媒体学院</v>
      </c>
    </row>
    <row r="8685" ht="13.5" hidden="1" spans="1:5">
      <c r="A8685" s="2" t="str">
        <f>"王文卓"</f>
        <v>王文卓</v>
      </c>
      <c r="B8685" s="2" t="str">
        <f>"B20210104210"</f>
        <v>B20210104210</v>
      </c>
      <c r="C8685" s="2" t="str">
        <f>"男"</f>
        <v>男</v>
      </c>
      <c r="D8685" s="2" t="str">
        <f>"2"</f>
        <v>2</v>
      </c>
      <c r="E8685" s="2" t="str">
        <f>"土木工程学院"</f>
        <v>土木工程学院</v>
      </c>
    </row>
    <row r="8686" ht="13.5" hidden="1" spans="1:5">
      <c r="A8686" s="2" t="str">
        <f>"张馨月"</f>
        <v>张馨月</v>
      </c>
      <c r="B8686" s="2" t="str">
        <f>"B20220601414"</f>
        <v>B20220601414</v>
      </c>
      <c r="C8686" s="2" t="str">
        <f>"女"</f>
        <v>女</v>
      </c>
      <c r="D8686" s="2" t="str">
        <f>"2"</f>
        <v>2</v>
      </c>
      <c r="E8686" s="2" t="str">
        <f>"法学院"</f>
        <v>法学院</v>
      </c>
    </row>
    <row r="8687" ht="13.5" hidden="1" spans="1:5">
      <c r="A8687" s="2" t="str">
        <f>"罗梓慕"</f>
        <v>罗梓慕</v>
      </c>
      <c r="B8687" s="2" t="str">
        <f>"B20220704215"</f>
        <v>B20220704215</v>
      </c>
      <c r="C8687" s="2" t="str">
        <f>"女"</f>
        <v>女</v>
      </c>
      <c r="D8687" s="2" t="str">
        <f>"2"</f>
        <v>2</v>
      </c>
      <c r="E8687" s="2" t="str">
        <f>"马栏山新媒体学院"</f>
        <v>马栏山新媒体学院</v>
      </c>
    </row>
    <row r="8688" ht="13.5" hidden="1" spans="1:5">
      <c r="A8688" s="2" t="str">
        <f>"魏小丸"</f>
        <v>魏小丸</v>
      </c>
      <c r="B8688" s="2" t="str">
        <f>"B20220702408"</f>
        <v>B20220702408</v>
      </c>
      <c r="C8688" s="2" t="str">
        <f>"女"</f>
        <v>女</v>
      </c>
      <c r="D8688" s="2" t="str">
        <f>"2"</f>
        <v>2</v>
      </c>
      <c r="E8688" s="2" t="str">
        <f>"马栏山新媒体学院"</f>
        <v>马栏山新媒体学院</v>
      </c>
    </row>
    <row r="8689" ht="13.5" hidden="1" spans="1:5">
      <c r="A8689" s="2" t="str">
        <f>"邓喜怡"</f>
        <v>邓喜怡</v>
      </c>
      <c r="B8689" s="2" t="str">
        <f>"B20210801321"</f>
        <v>B20210801321</v>
      </c>
      <c r="C8689" s="2" t="str">
        <f>"女"</f>
        <v>女</v>
      </c>
      <c r="D8689" s="2" t="str">
        <f>"2"</f>
        <v>2</v>
      </c>
      <c r="E8689" s="2" t="str">
        <f>"外国语学院"</f>
        <v>外国语学院</v>
      </c>
    </row>
    <row r="8690" ht="13.5" hidden="1" spans="1:5">
      <c r="A8690" s="2" t="str">
        <f>"王欣玲"</f>
        <v>王欣玲</v>
      </c>
      <c r="B8690" s="2" t="str">
        <f>"B20230701318"</f>
        <v>B20230701318</v>
      </c>
      <c r="C8690" s="2" t="str">
        <f>"女"</f>
        <v>女</v>
      </c>
      <c r="D8690" s="2" t="str">
        <f>"2"</f>
        <v>2</v>
      </c>
      <c r="E8690" s="2" t="str">
        <f>"马栏山新媒体学院"</f>
        <v>马栏山新媒体学院</v>
      </c>
    </row>
    <row r="8691" ht="13.5" hidden="1" spans="1:5">
      <c r="A8691" s="2" t="str">
        <f>"廖佳维"</f>
        <v>廖佳维</v>
      </c>
      <c r="B8691" s="2" t="str">
        <f>"B20220101213"</f>
        <v>B20220101213</v>
      </c>
      <c r="C8691" s="2" t="str">
        <f>"男"</f>
        <v>男</v>
      </c>
      <c r="D8691" s="2" t="str">
        <f>"2"</f>
        <v>2</v>
      </c>
      <c r="E8691" s="2" t="str">
        <f>"土木工程学院"</f>
        <v>土木工程学院</v>
      </c>
    </row>
    <row r="8692" ht="13.5" hidden="1" spans="1:5">
      <c r="A8692" s="2" t="str">
        <f>"张凯"</f>
        <v>张凯</v>
      </c>
      <c r="B8692" s="2" t="str">
        <f>"B20230504408"</f>
        <v>B20230504408</v>
      </c>
      <c r="C8692" s="2" t="str">
        <f>"男"</f>
        <v>男</v>
      </c>
      <c r="D8692" s="2" t="str">
        <f>"2"</f>
        <v>2</v>
      </c>
      <c r="E8692" s="2" t="str">
        <f>"生物与化学工程学院"</f>
        <v>生物与化学工程学院</v>
      </c>
    </row>
    <row r="8693" ht="13.5" hidden="1" spans="1:5">
      <c r="A8693" s="2" t="str">
        <f>"黎海阳"</f>
        <v>黎海阳</v>
      </c>
      <c r="B8693" s="2" t="str">
        <f>"B20200402132"</f>
        <v>B20200402132</v>
      </c>
      <c r="C8693" s="2" t="str">
        <f>"男"</f>
        <v>男</v>
      </c>
      <c r="D8693" s="2" t="str">
        <f>"2"</f>
        <v>2</v>
      </c>
      <c r="E8693" s="2" t="str">
        <f>"电子信息与电气工程学院"</f>
        <v>电子信息与电气工程学院</v>
      </c>
    </row>
    <row r="8694" ht="13.5" hidden="1" spans="1:5">
      <c r="A8694" s="2" t="str">
        <f>"姚可"</f>
        <v>姚可</v>
      </c>
      <c r="B8694" s="2" t="str">
        <f>"B20230401416"</f>
        <v>B20230401416</v>
      </c>
      <c r="C8694" s="2" t="str">
        <f>"男"</f>
        <v>男</v>
      </c>
      <c r="D8694" s="2" t="str">
        <f>"2"</f>
        <v>2</v>
      </c>
      <c r="E8694" s="2" t="str">
        <f>"电子信息与电气工程学院"</f>
        <v>电子信息与电气工程学院</v>
      </c>
    </row>
    <row r="8695" ht="13.5" hidden="1" spans="1:5">
      <c r="A8695" s="2" t="str">
        <f>"李湘锦"</f>
        <v>李湘锦</v>
      </c>
      <c r="B8695" s="2" t="str">
        <f>"B20230101230"</f>
        <v>B20230101230</v>
      </c>
      <c r="C8695" s="2" t="str">
        <f>"男"</f>
        <v>男</v>
      </c>
      <c r="D8695" s="2" t="str">
        <f>"2"</f>
        <v>2</v>
      </c>
      <c r="E8695" s="2" t="str">
        <f t="shared" ref="E8695:E8697" si="2057">"土木工程学院"</f>
        <v>土木工程学院</v>
      </c>
    </row>
    <row r="8696" ht="13.5" hidden="1" spans="1:5">
      <c r="A8696" s="2" t="str">
        <f>"龙翔宇"</f>
        <v>龙翔宇</v>
      </c>
      <c r="B8696" s="2" t="str">
        <f>"B20230101433"</f>
        <v>B20230101433</v>
      </c>
      <c r="C8696" s="2" t="str">
        <f>"男"</f>
        <v>男</v>
      </c>
      <c r="D8696" s="2" t="str">
        <f>"2"</f>
        <v>2</v>
      </c>
      <c r="E8696" s="2" t="str">
        <f t="shared" si="2057"/>
        <v>土木工程学院</v>
      </c>
    </row>
    <row r="8697" ht="13.5" hidden="1" spans="1:5">
      <c r="A8697" s="2" t="str">
        <f>"王晨"</f>
        <v>王晨</v>
      </c>
      <c r="B8697" s="2" t="str">
        <f>"B20230101621"</f>
        <v>B20230101621</v>
      </c>
      <c r="C8697" s="2" t="str">
        <f>"男"</f>
        <v>男</v>
      </c>
      <c r="D8697" s="2" t="str">
        <f>"2"</f>
        <v>2</v>
      </c>
      <c r="E8697" s="2" t="str">
        <f t="shared" si="2057"/>
        <v>土木工程学院</v>
      </c>
    </row>
    <row r="8698" ht="13.5" hidden="1" spans="1:5">
      <c r="A8698" s="2" t="str">
        <f>"段龙"</f>
        <v>段龙</v>
      </c>
      <c r="B8698" s="2" t="str">
        <f>"B20230405102"</f>
        <v>B20230405102</v>
      </c>
      <c r="C8698" s="2" t="str">
        <f>"男"</f>
        <v>男</v>
      </c>
      <c r="D8698" s="2" t="str">
        <f>"2"</f>
        <v>2</v>
      </c>
      <c r="E8698" s="2" t="str">
        <f>"电子信息与电气工程学院"</f>
        <v>电子信息与电气工程学院</v>
      </c>
    </row>
    <row r="8699" ht="13.5" hidden="1" spans="1:5">
      <c r="A8699" s="2" t="str">
        <f>"周梦玲"</f>
        <v>周梦玲</v>
      </c>
      <c r="B8699" s="2" t="str">
        <f>"B20200701242"</f>
        <v>B20200701242</v>
      </c>
      <c r="C8699" s="2" t="str">
        <f>"女"</f>
        <v>女</v>
      </c>
      <c r="D8699" s="2" t="str">
        <f>"2"</f>
        <v>2</v>
      </c>
      <c r="E8699" s="2" t="str">
        <f>"马栏山新媒体学院"</f>
        <v>马栏山新媒体学院</v>
      </c>
    </row>
    <row r="8700" ht="13.5" hidden="1" spans="1:5">
      <c r="A8700" s="2" t="str">
        <f>"徐军"</f>
        <v>徐军</v>
      </c>
      <c r="B8700" s="2" t="str">
        <f>"B20220601301"</f>
        <v>B20220601301</v>
      </c>
      <c r="C8700" s="2" t="str">
        <f>"男"</f>
        <v>男</v>
      </c>
      <c r="D8700" s="2" t="str">
        <f>"2"</f>
        <v>2</v>
      </c>
      <c r="E8700" s="2" t="str">
        <f>"法学院"</f>
        <v>法学院</v>
      </c>
    </row>
    <row r="8701" ht="13.5" hidden="1" spans="1:5">
      <c r="A8701" s="2" t="str">
        <f>"罗元曦"</f>
        <v>罗元曦</v>
      </c>
      <c r="B8701" s="2" t="str">
        <f>"B20211002121"</f>
        <v>B20211002121</v>
      </c>
      <c r="C8701" s="2" t="str">
        <f>"男"</f>
        <v>男</v>
      </c>
      <c r="D8701" s="2" t="str">
        <f>"2"</f>
        <v>2</v>
      </c>
      <c r="E8701" s="2" t="str">
        <f>"艺术设计学院"</f>
        <v>艺术设计学院</v>
      </c>
    </row>
    <row r="8702" ht="13.5" hidden="1" spans="1:5">
      <c r="A8702" s="2" t="str">
        <f>"张逸霖"</f>
        <v>张逸霖</v>
      </c>
      <c r="B8702" s="2" t="str">
        <f>"B20230202122"</f>
        <v>B20230202122</v>
      </c>
      <c r="C8702" s="2" t="str">
        <f>"男"</f>
        <v>男</v>
      </c>
      <c r="D8702" s="2" t="str">
        <f>"2"</f>
        <v>2</v>
      </c>
      <c r="E8702" s="2" t="str">
        <f>"机电工程学院"</f>
        <v>机电工程学院</v>
      </c>
    </row>
    <row r="8703" ht="13.5" hidden="1" spans="1:5">
      <c r="A8703" s="2" t="str">
        <f>"孙文"</f>
        <v>孙文</v>
      </c>
      <c r="B8703" s="2" t="str">
        <f>"B20200403203"</f>
        <v>B20200403203</v>
      </c>
      <c r="C8703" s="2" t="str">
        <f t="shared" ref="C8703:C8705" si="2058">"男"</f>
        <v>男</v>
      </c>
      <c r="D8703" s="2" t="str">
        <f>"2"</f>
        <v>2</v>
      </c>
      <c r="E8703" s="2" t="str">
        <f>"电子信息与电气工程学院"</f>
        <v>电子信息与电气工程学院</v>
      </c>
    </row>
    <row r="8704" ht="13.5" hidden="1" spans="1:5">
      <c r="A8704" s="2" t="str">
        <f>"龙学谦"</f>
        <v>龙学谦</v>
      </c>
      <c r="B8704" s="2" t="str">
        <f>"B20190101312"</f>
        <v>B20190101312</v>
      </c>
      <c r="C8704" s="2" t="str">
        <f t="shared" si="2058"/>
        <v>男</v>
      </c>
      <c r="D8704" s="2" t="str">
        <f>"2"</f>
        <v>2</v>
      </c>
      <c r="E8704" s="2" t="str">
        <f>"土木工程学院"</f>
        <v>土木工程学院</v>
      </c>
    </row>
    <row r="8705" ht="13.5" hidden="1" spans="1:5">
      <c r="A8705" s="2" t="str">
        <f>"张嘉懿"</f>
        <v>张嘉懿</v>
      </c>
      <c r="B8705" s="2" t="str">
        <f>"B20210504101"</f>
        <v>B20210504101</v>
      </c>
      <c r="C8705" s="2" t="str">
        <f t="shared" si="2058"/>
        <v>男</v>
      </c>
      <c r="D8705" s="2" t="str">
        <f>"2"</f>
        <v>2</v>
      </c>
      <c r="E8705" s="2" t="str">
        <f>"生物与环境工程学院"</f>
        <v>生物与环境工程学院</v>
      </c>
    </row>
    <row r="8706" ht="13.5" hidden="1" spans="1:5">
      <c r="A8706" s="2" t="str">
        <f>"唐艳"</f>
        <v>唐艳</v>
      </c>
      <c r="B8706" s="2" t="str">
        <f>"B20200503230"</f>
        <v>B20200503230</v>
      </c>
      <c r="C8706" s="2" t="str">
        <f>"女"</f>
        <v>女</v>
      </c>
      <c r="D8706" s="2" t="str">
        <f>"2"</f>
        <v>2</v>
      </c>
      <c r="E8706" s="2" t="str">
        <f>"生物与环境工程学院"</f>
        <v>生物与环境工程学院</v>
      </c>
    </row>
    <row r="8707" ht="13.5" hidden="1" spans="1:5">
      <c r="A8707" s="2" t="str">
        <f>"许康"</f>
        <v>许康</v>
      </c>
      <c r="B8707" s="2" t="str">
        <f>"B20220905227"</f>
        <v>B20220905227</v>
      </c>
      <c r="C8707" s="2" t="str">
        <f>"男"</f>
        <v>男</v>
      </c>
      <c r="D8707" s="2" t="str">
        <f>"2"</f>
        <v>2</v>
      </c>
      <c r="E8707" s="2" t="str">
        <f>"经济与管理学院"</f>
        <v>经济与管理学院</v>
      </c>
    </row>
    <row r="8708" ht="13.5" hidden="1" spans="1:5">
      <c r="A8708" s="2" t="str">
        <f>"彭瑞云"</f>
        <v>彭瑞云</v>
      </c>
      <c r="B8708" s="2" t="str">
        <f>"B20220802133"</f>
        <v>B20220802133</v>
      </c>
      <c r="C8708" s="2" t="str">
        <f>"女"</f>
        <v>女</v>
      </c>
      <c r="D8708" s="2" t="str">
        <f>"2"</f>
        <v>2</v>
      </c>
      <c r="E8708" s="2" t="str">
        <f>"外国语学院"</f>
        <v>外国语学院</v>
      </c>
    </row>
    <row r="8709" ht="13.5" hidden="1" spans="1:5">
      <c r="A8709" s="2" t="str">
        <f>"孙玉飞"</f>
        <v>孙玉飞</v>
      </c>
      <c r="B8709" s="2" t="str">
        <f>"B20221004116"</f>
        <v>B20221004116</v>
      </c>
      <c r="C8709" s="2" t="str">
        <f>"男"</f>
        <v>男</v>
      </c>
      <c r="D8709" s="2" t="str">
        <f>"2"</f>
        <v>2</v>
      </c>
      <c r="E8709" s="2" t="str">
        <f>"艺术设计学院"</f>
        <v>艺术设计学院</v>
      </c>
    </row>
    <row r="8710" ht="13.5" hidden="1" spans="1:5">
      <c r="A8710" s="2" t="str">
        <f>"姚醴利"</f>
        <v>姚醴利</v>
      </c>
      <c r="B8710" s="2" t="str">
        <f>"B20231001109"</f>
        <v>B20231001109</v>
      </c>
      <c r="C8710" s="2" t="str">
        <f>"女"</f>
        <v>女</v>
      </c>
      <c r="D8710" s="2" t="str">
        <f>"2"</f>
        <v>2</v>
      </c>
      <c r="E8710" s="2" t="str">
        <f>"艺术设计学院"</f>
        <v>艺术设计学院</v>
      </c>
    </row>
    <row r="8711" ht="13.5" hidden="1" spans="1:5">
      <c r="A8711" s="2" t="str">
        <f>"李依璐"</f>
        <v>李依璐</v>
      </c>
      <c r="B8711" s="2" t="str">
        <f>"B20230801220"</f>
        <v>B20230801220</v>
      </c>
      <c r="C8711" s="2" t="str">
        <f>"女"</f>
        <v>女</v>
      </c>
      <c r="D8711" s="2" t="str">
        <f>"2"</f>
        <v>2</v>
      </c>
      <c r="E8711" s="2" t="str">
        <f>"外国语学院"</f>
        <v>外国语学院</v>
      </c>
    </row>
    <row r="8712" ht="13.5" hidden="1" spans="1:5">
      <c r="A8712" s="2" t="str">
        <f>"黄善玲"</f>
        <v>黄善玲</v>
      </c>
      <c r="B8712" s="2" t="str">
        <f>"B20231002421"</f>
        <v>B20231002421</v>
      </c>
      <c r="C8712" s="2" t="str">
        <f>"女"</f>
        <v>女</v>
      </c>
      <c r="D8712" s="2" t="str">
        <f>"2"</f>
        <v>2</v>
      </c>
      <c r="E8712" s="2" t="str">
        <f>"艺术设计学院"</f>
        <v>艺术设计学院</v>
      </c>
    </row>
    <row r="8713" ht="13.5" hidden="1" spans="1:5">
      <c r="A8713" s="2" t="str">
        <f>"颜金花"</f>
        <v>颜金花</v>
      </c>
      <c r="B8713" s="2" t="str">
        <f>"B20220803101"</f>
        <v>B20220803101</v>
      </c>
      <c r="C8713" s="2" t="str">
        <f>"女"</f>
        <v>女</v>
      </c>
      <c r="D8713" s="2" t="str">
        <f>"2"</f>
        <v>2</v>
      </c>
      <c r="E8713" s="2" t="str">
        <f>"外国语学院"</f>
        <v>外国语学院</v>
      </c>
    </row>
    <row r="8714" ht="13.5" hidden="1" spans="1:5">
      <c r="A8714" s="2" t="str">
        <f>"龚仪"</f>
        <v>龚仪</v>
      </c>
      <c r="B8714" s="2" t="str">
        <f>"B20200704412"</f>
        <v>B20200704412</v>
      </c>
      <c r="C8714" s="2" t="str">
        <f>"女"</f>
        <v>女</v>
      </c>
      <c r="D8714" s="2" t="str">
        <f>"2"</f>
        <v>2</v>
      </c>
      <c r="E8714" s="2" t="str">
        <f>"马栏山新媒体学院"</f>
        <v>马栏山新媒体学院</v>
      </c>
    </row>
    <row r="8715" ht="13.5" hidden="1" spans="1:5">
      <c r="A8715" s="2" t="str">
        <f>"何炜焱"</f>
        <v>何炜焱</v>
      </c>
      <c r="B8715" s="2" t="str">
        <f>"B20220401125"</f>
        <v>B20220401125</v>
      </c>
      <c r="C8715" s="2" t="str">
        <f>"男"</f>
        <v>男</v>
      </c>
      <c r="D8715" s="2" t="str">
        <f>"2"</f>
        <v>2</v>
      </c>
      <c r="E8715" s="2" t="str">
        <f>"电子信息与电气工程学院"</f>
        <v>电子信息与电气工程学院</v>
      </c>
    </row>
    <row r="8716" ht="13.5" hidden="1" spans="1:5">
      <c r="A8716" s="2" t="str">
        <f>"谢睿"</f>
        <v>谢睿</v>
      </c>
      <c r="B8716" s="2" t="str">
        <f>"B20220402327"</f>
        <v>B20220402327</v>
      </c>
      <c r="C8716" s="2" t="str">
        <f>"男"</f>
        <v>男</v>
      </c>
      <c r="D8716" s="2" t="str">
        <f>"2"</f>
        <v>2</v>
      </c>
      <c r="E8716" s="2" t="str">
        <f>"电子信息与电气工程学院"</f>
        <v>电子信息与电气工程学院</v>
      </c>
    </row>
    <row r="8717" ht="13.5" hidden="1" spans="1:5">
      <c r="A8717" s="2" t="str">
        <f>"王湘贵"</f>
        <v>王湘贵</v>
      </c>
      <c r="B8717" s="2" t="str">
        <f>"B20220101507"</f>
        <v>B20220101507</v>
      </c>
      <c r="C8717" s="2" t="str">
        <f>"男"</f>
        <v>男</v>
      </c>
      <c r="D8717" s="2" t="str">
        <f>"2"</f>
        <v>2</v>
      </c>
      <c r="E8717" s="2" t="str">
        <f>"土木工程学院"</f>
        <v>土木工程学院</v>
      </c>
    </row>
    <row r="8718" ht="13.5" hidden="1" spans="1:5">
      <c r="A8718" s="2" t="str">
        <f>"贺梦露"</f>
        <v>贺梦露</v>
      </c>
      <c r="B8718" s="2" t="str">
        <f>"B20210902314"</f>
        <v>B20210902314</v>
      </c>
      <c r="C8718" s="2" t="str">
        <f>"女"</f>
        <v>女</v>
      </c>
      <c r="D8718" s="2" t="str">
        <f>"2"</f>
        <v>2</v>
      </c>
      <c r="E8718" s="2" t="str">
        <f>"经济与管理学院"</f>
        <v>经济与管理学院</v>
      </c>
    </row>
    <row r="8719" ht="13.5" hidden="1" spans="1:5">
      <c r="A8719" s="2" t="str">
        <f>"张迎秀"</f>
        <v>张迎秀</v>
      </c>
      <c r="B8719" s="2" t="str">
        <f>"B20200903236"</f>
        <v>B20200903236</v>
      </c>
      <c r="C8719" s="2" t="str">
        <f>"女"</f>
        <v>女</v>
      </c>
      <c r="D8719" s="2" t="str">
        <f>"2"</f>
        <v>2</v>
      </c>
      <c r="E8719" s="2" t="str">
        <f>"经济与管理学院"</f>
        <v>经济与管理学院</v>
      </c>
    </row>
    <row r="8720" ht="13.5" hidden="1" spans="1:5">
      <c r="A8720" s="2" t="str">
        <f>"陈哲宇"</f>
        <v>陈哲宇</v>
      </c>
      <c r="B8720" s="2" t="str">
        <f>"B20210201220"</f>
        <v>B20210201220</v>
      </c>
      <c r="C8720" s="2" t="str">
        <f>"男"</f>
        <v>男</v>
      </c>
      <c r="D8720" s="2" t="str">
        <f>"2"</f>
        <v>2</v>
      </c>
      <c r="E8720" s="2" t="str">
        <f>"机电工程学院"</f>
        <v>机电工程学院</v>
      </c>
    </row>
    <row r="8721" ht="13.5" hidden="1" spans="1:5">
      <c r="A8721" s="2" t="str">
        <f>"韦小虎"</f>
        <v>韦小虎</v>
      </c>
      <c r="B8721" s="2" t="str">
        <f>"B20201002307"</f>
        <v>B20201002307</v>
      </c>
      <c r="C8721" s="2" t="str">
        <f>"男"</f>
        <v>男</v>
      </c>
      <c r="D8721" s="2" t="str">
        <f>"2"</f>
        <v>2</v>
      </c>
      <c r="E8721" s="2" t="str">
        <f>"艺术设计学院"</f>
        <v>艺术设计学院</v>
      </c>
    </row>
    <row r="8722" ht="13.5" hidden="1" spans="1:5">
      <c r="A8722" s="2" t="str">
        <f>"江家骏"</f>
        <v>江家骏</v>
      </c>
      <c r="B8722" s="2" t="str">
        <f>"B20200501133"</f>
        <v>B20200501133</v>
      </c>
      <c r="C8722" s="2" t="str">
        <f>"男"</f>
        <v>男</v>
      </c>
      <c r="D8722" s="2" t="str">
        <f>"2"</f>
        <v>2</v>
      </c>
      <c r="E8722" s="2" t="str">
        <f>"生物与环境工程学院"</f>
        <v>生物与环境工程学院</v>
      </c>
    </row>
    <row r="8723" ht="13.5" hidden="1" spans="1:5">
      <c r="A8723" s="2" t="str">
        <f>"杜松霖"</f>
        <v>杜松霖</v>
      </c>
      <c r="B8723" s="2" t="str">
        <f>"B20210906129"</f>
        <v>B20210906129</v>
      </c>
      <c r="C8723" s="2" t="str">
        <f>"男"</f>
        <v>男</v>
      </c>
      <c r="D8723" s="2" t="str">
        <f>"2"</f>
        <v>2</v>
      </c>
      <c r="E8723" s="2" t="str">
        <f>"经济与管理学院"</f>
        <v>经济与管理学院</v>
      </c>
    </row>
    <row r="8724" ht="13.5" hidden="1" spans="1:5">
      <c r="A8724" s="2" t="str">
        <f>"郑依蕾"</f>
        <v>郑依蕾</v>
      </c>
      <c r="B8724" s="2" t="str">
        <f>"B20220901307"</f>
        <v>B20220901307</v>
      </c>
      <c r="C8724" s="2" t="str">
        <f>"女"</f>
        <v>女</v>
      </c>
      <c r="D8724" s="2" t="str">
        <f>"2"</f>
        <v>2</v>
      </c>
      <c r="E8724" s="2" t="str">
        <f>"经济与管理学院"</f>
        <v>经济与管理学院</v>
      </c>
    </row>
    <row r="8725" ht="13.5" hidden="1" spans="1:5">
      <c r="A8725" s="2" t="str">
        <f>"何兴达"</f>
        <v>何兴达</v>
      </c>
      <c r="B8725" s="2" t="str">
        <f>"B20200201405"</f>
        <v>B20200201405</v>
      </c>
      <c r="C8725" s="2" t="str">
        <f>"男"</f>
        <v>男</v>
      </c>
      <c r="D8725" s="2" t="str">
        <f>"2"</f>
        <v>2</v>
      </c>
      <c r="E8725" s="2" t="str">
        <f>"机电工程学院"</f>
        <v>机电工程学院</v>
      </c>
    </row>
    <row r="8726" ht="13.5" hidden="1" spans="1:5">
      <c r="A8726" s="2" t="str">
        <f>"蒋景怡"</f>
        <v>蒋景怡</v>
      </c>
      <c r="B8726" s="2" t="str">
        <f>"B20200403107"</f>
        <v>B20200403107</v>
      </c>
      <c r="C8726" s="2" t="str">
        <f>"女"</f>
        <v>女</v>
      </c>
      <c r="D8726" s="2" t="str">
        <f>"2"</f>
        <v>2</v>
      </c>
      <c r="E8726" s="2" t="str">
        <f>"电子信息与电气工程学院"</f>
        <v>电子信息与电气工程学院</v>
      </c>
    </row>
    <row r="8727" ht="13.5" hidden="1" spans="1:5">
      <c r="A8727" s="2" t="str">
        <f>"陈勃熙"</f>
        <v>陈勃熙</v>
      </c>
      <c r="B8727" s="2" t="str">
        <f>"B20210702121"</f>
        <v>B20210702121</v>
      </c>
      <c r="C8727" s="2" t="str">
        <f>"男"</f>
        <v>男</v>
      </c>
      <c r="D8727" s="2" t="str">
        <f>"2"</f>
        <v>2</v>
      </c>
      <c r="E8727" s="2" t="str">
        <f>"马栏山新媒体学院"</f>
        <v>马栏山新媒体学院</v>
      </c>
    </row>
    <row r="8728" ht="13.5" hidden="1" spans="1:5">
      <c r="A8728" s="2" t="str">
        <f>"刘宇轩"</f>
        <v>刘宇轩</v>
      </c>
      <c r="B8728" s="2" t="str">
        <f>"B20230205319"</f>
        <v>B20230205319</v>
      </c>
      <c r="C8728" s="2" t="str">
        <f>"男"</f>
        <v>男</v>
      </c>
      <c r="D8728" s="2" t="str">
        <f>"2"</f>
        <v>2</v>
      </c>
      <c r="E8728" s="2" t="str">
        <f>"机电工程学院"</f>
        <v>机电工程学院</v>
      </c>
    </row>
    <row r="8729" ht="13.5" hidden="1" spans="1:5">
      <c r="A8729" s="2" t="str">
        <f>"吴晓淇"</f>
        <v>吴晓淇</v>
      </c>
      <c r="B8729" s="2" t="str">
        <f>"B20200901102"</f>
        <v>B20200901102</v>
      </c>
      <c r="C8729" s="2" t="str">
        <f>"女"</f>
        <v>女</v>
      </c>
      <c r="D8729" s="2" t="str">
        <f>"2"</f>
        <v>2</v>
      </c>
      <c r="E8729" s="2" t="str">
        <f>"经济与管理学院"</f>
        <v>经济与管理学院</v>
      </c>
    </row>
    <row r="8730" ht="13.5" hidden="1" spans="1:5">
      <c r="A8730" s="2" t="str">
        <f>"黄夏帆"</f>
        <v>黄夏帆</v>
      </c>
      <c r="B8730" s="2" t="str">
        <f>"B20230401308"</f>
        <v>B20230401308</v>
      </c>
      <c r="C8730" s="2" t="str">
        <f>"男"</f>
        <v>男</v>
      </c>
      <c r="D8730" s="2" t="str">
        <f>"2"</f>
        <v>2</v>
      </c>
      <c r="E8730" s="2" t="str">
        <f>"电子信息与电气工程学院"</f>
        <v>电子信息与电气工程学院</v>
      </c>
    </row>
    <row r="8731" ht="13.5" hidden="1" spans="1:5">
      <c r="A8731" s="2" t="str">
        <f>"谭茗予"</f>
        <v>谭茗予</v>
      </c>
      <c r="B8731" s="2" t="str">
        <f>"B20210902305"</f>
        <v>B20210902305</v>
      </c>
      <c r="C8731" s="2" t="str">
        <f>"女"</f>
        <v>女</v>
      </c>
      <c r="D8731" s="2" t="str">
        <f>"2"</f>
        <v>2</v>
      </c>
      <c r="E8731" s="2" t="str">
        <f>"经济与管理学院"</f>
        <v>经济与管理学院</v>
      </c>
    </row>
    <row r="8732" ht="13.5" hidden="1" spans="1:5">
      <c r="A8732" s="2" t="str">
        <f>"刘一菲"</f>
        <v>刘一菲</v>
      </c>
      <c r="B8732" s="2" t="str">
        <f>"B20230904125"</f>
        <v>B20230904125</v>
      </c>
      <c r="C8732" s="2" t="str">
        <f>"女"</f>
        <v>女</v>
      </c>
      <c r="D8732" s="2" t="str">
        <f>"2"</f>
        <v>2</v>
      </c>
      <c r="E8732" s="2" t="str">
        <f>"经济与管理学院"</f>
        <v>经济与管理学院</v>
      </c>
    </row>
    <row r="8733" ht="13.5" hidden="1" spans="1:5">
      <c r="A8733" s="2" t="str">
        <f>"陈晓玉"</f>
        <v>陈晓玉</v>
      </c>
      <c r="B8733" s="2" t="str">
        <f>"B20231002414"</f>
        <v>B20231002414</v>
      </c>
      <c r="C8733" s="2" t="str">
        <f>"女"</f>
        <v>女</v>
      </c>
      <c r="D8733" s="2" t="str">
        <f>"2"</f>
        <v>2</v>
      </c>
      <c r="E8733" s="2" t="str">
        <f>"艺术设计学院"</f>
        <v>艺术设计学院</v>
      </c>
    </row>
    <row r="8734" ht="13.5" hidden="1" spans="1:5">
      <c r="A8734" s="2" t="str">
        <f>"刘玮晔"</f>
        <v>刘玮晔</v>
      </c>
      <c r="B8734" s="2" t="str">
        <f>"B20210201415"</f>
        <v>B20210201415</v>
      </c>
      <c r="C8734" s="2" t="str">
        <f>"男"</f>
        <v>男</v>
      </c>
      <c r="D8734" s="2" t="str">
        <f>"2"</f>
        <v>2</v>
      </c>
      <c r="E8734" s="2" t="str">
        <f>"机电工程学院"</f>
        <v>机电工程学院</v>
      </c>
    </row>
    <row r="8735" ht="13.5" hidden="1" spans="1:5">
      <c r="A8735" s="2" t="str">
        <f>"杨铭"</f>
        <v>杨铭</v>
      </c>
      <c r="B8735" s="2" t="str">
        <f>"B20200502114"</f>
        <v>B20200502114</v>
      </c>
      <c r="C8735" s="2" t="str">
        <f t="shared" ref="C8735:C8737" si="2059">"女"</f>
        <v>女</v>
      </c>
      <c r="D8735" s="2" t="str">
        <f>"2"</f>
        <v>2</v>
      </c>
      <c r="E8735" s="2" t="str">
        <f>"生物与环境工程学院"</f>
        <v>生物与环境工程学院</v>
      </c>
    </row>
    <row r="8736" ht="13.5" hidden="1" spans="1:5">
      <c r="A8736" s="2" t="str">
        <f>"秦芳芳"</f>
        <v>秦芳芳</v>
      </c>
      <c r="B8736" s="2" t="str">
        <f>"B20210102138"</f>
        <v>B20210102138</v>
      </c>
      <c r="C8736" s="2" t="str">
        <f t="shared" si="2059"/>
        <v>女</v>
      </c>
      <c r="D8736" s="2" t="str">
        <f>"2"</f>
        <v>2</v>
      </c>
      <c r="E8736" s="2" t="str">
        <f>"土木工程学院"</f>
        <v>土木工程学院</v>
      </c>
    </row>
    <row r="8737" ht="13.5" hidden="1" spans="1:5">
      <c r="A8737" s="2" t="str">
        <f>"陈秭宇"</f>
        <v>陈秭宇</v>
      </c>
      <c r="B8737" s="2" t="str">
        <f>"B20220902111"</f>
        <v>B20220902111</v>
      </c>
      <c r="C8737" s="2" t="str">
        <f t="shared" si="2059"/>
        <v>女</v>
      </c>
      <c r="D8737" s="2" t="str">
        <f>"2"</f>
        <v>2</v>
      </c>
      <c r="E8737" s="2" t="str">
        <f>"经济与管理学院"</f>
        <v>经济与管理学院</v>
      </c>
    </row>
    <row r="8738" ht="13.5" hidden="1" spans="1:5">
      <c r="A8738" s="2" t="str">
        <f>"彭俊程"</f>
        <v>彭俊程</v>
      </c>
      <c r="B8738" s="2" t="str">
        <f>"B20220504207"</f>
        <v>B20220504207</v>
      </c>
      <c r="C8738" s="2" t="str">
        <f>"男"</f>
        <v>男</v>
      </c>
      <c r="D8738" s="2" t="str">
        <f>"2"</f>
        <v>2</v>
      </c>
      <c r="E8738" s="2" t="str">
        <f>"生物与化学工程学院"</f>
        <v>生物与化学工程学院</v>
      </c>
    </row>
    <row r="8739" ht="13.5" hidden="1" spans="1:5">
      <c r="A8739" s="2" t="str">
        <f>"龚战"</f>
        <v>龚战</v>
      </c>
      <c r="B8739" s="2" t="str">
        <f>"B20230101402"</f>
        <v>B20230101402</v>
      </c>
      <c r="C8739" s="2" t="str">
        <f>"男"</f>
        <v>男</v>
      </c>
      <c r="D8739" s="2" t="str">
        <f>"2"</f>
        <v>2</v>
      </c>
      <c r="E8739" s="2" t="str">
        <f>"土木工程学院"</f>
        <v>土木工程学院</v>
      </c>
    </row>
    <row r="8740" ht="13.5" hidden="1" spans="1:5">
      <c r="A8740" s="2" t="str">
        <f>"杜鑫宇"</f>
        <v>杜鑫宇</v>
      </c>
      <c r="B8740" s="2" t="str">
        <f>"B20220701214"</f>
        <v>B20220701214</v>
      </c>
      <c r="C8740" s="2" t="str">
        <f>"女"</f>
        <v>女</v>
      </c>
      <c r="D8740" s="2" t="str">
        <f>"2"</f>
        <v>2</v>
      </c>
      <c r="E8740" s="2" t="str">
        <f>"马栏山新媒体学院"</f>
        <v>马栏山新媒体学院</v>
      </c>
    </row>
    <row r="8741" ht="13.5" hidden="1" spans="1:5">
      <c r="A8741" s="2" t="str">
        <f>"龚华玲"</f>
        <v>龚华玲</v>
      </c>
      <c r="B8741" s="2" t="str">
        <f>"B20230405105"</f>
        <v>B20230405105</v>
      </c>
      <c r="C8741" s="2" t="str">
        <f>"男"</f>
        <v>男</v>
      </c>
      <c r="D8741" s="2" t="str">
        <f>"2"</f>
        <v>2</v>
      </c>
      <c r="E8741" s="2" t="str">
        <f>"电子信息与电气工程学院"</f>
        <v>电子信息与电气工程学院</v>
      </c>
    </row>
    <row r="8742" ht="13.5" hidden="1" spans="1:5">
      <c r="A8742" s="2" t="str">
        <f>"李珅演"</f>
        <v>李珅演</v>
      </c>
      <c r="B8742" s="2" t="str">
        <f>"B20231002112"</f>
        <v>B20231002112</v>
      </c>
      <c r="C8742" s="2" t="str">
        <f>"男"</f>
        <v>男</v>
      </c>
      <c r="D8742" s="2" t="str">
        <f>"2"</f>
        <v>2</v>
      </c>
      <c r="E8742" s="2" t="str">
        <f t="shared" ref="E8742:E8747" si="2060">"艺术设计学院"</f>
        <v>艺术设计学院</v>
      </c>
    </row>
    <row r="8743" ht="13.5" hidden="1" spans="1:5">
      <c r="A8743" s="2" t="str">
        <f>"刘晓婷"</f>
        <v>刘晓婷</v>
      </c>
      <c r="B8743" s="2" t="str">
        <f>"B20200503131"</f>
        <v>B20200503131</v>
      </c>
      <c r="C8743" s="2" t="str">
        <f>"女"</f>
        <v>女</v>
      </c>
      <c r="D8743" s="2" t="str">
        <f>"2"</f>
        <v>2</v>
      </c>
      <c r="E8743" s="2" t="str">
        <f>"生物与环境工程学院"</f>
        <v>生物与环境工程学院</v>
      </c>
    </row>
    <row r="8744" ht="13.5" hidden="1" spans="1:5">
      <c r="A8744" s="2" t="str">
        <f>"裴晨希"</f>
        <v>裴晨希</v>
      </c>
      <c r="B8744" s="2" t="str">
        <f>"B20230903211"</f>
        <v>B20230903211</v>
      </c>
      <c r="C8744" s="2" t="str">
        <f>"女"</f>
        <v>女</v>
      </c>
      <c r="D8744" s="2" t="str">
        <f>"2"</f>
        <v>2</v>
      </c>
      <c r="E8744" s="2" t="str">
        <f>"经济与管理学院"</f>
        <v>经济与管理学院</v>
      </c>
    </row>
    <row r="8745" ht="13.5" hidden="1" spans="1:5">
      <c r="A8745" s="2" t="str">
        <f>"吕桢云"</f>
        <v>吕桢云</v>
      </c>
      <c r="B8745" s="2" t="str">
        <f>"B20230701308"</f>
        <v>B20230701308</v>
      </c>
      <c r="C8745" s="2" t="str">
        <f>"女"</f>
        <v>女</v>
      </c>
      <c r="D8745" s="2" t="str">
        <f>"2"</f>
        <v>2</v>
      </c>
      <c r="E8745" s="2" t="str">
        <f>"马栏山新媒体学院"</f>
        <v>马栏山新媒体学院</v>
      </c>
    </row>
    <row r="8746" ht="13.5" hidden="1" spans="1:5">
      <c r="A8746" s="2" t="str">
        <f>"王莹"</f>
        <v>王莹</v>
      </c>
      <c r="B8746" s="2" t="str">
        <f>"B20221003202"</f>
        <v>B20221003202</v>
      </c>
      <c r="C8746" s="2" t="str">
        <f>"女"</f>
        <v>女</v>
      </c>
      <c r="D8746" s="2" t="str">
        <f>"2"</f>
        <v>2</v>
      </c>
      <c r="E8746" s="2" t="str">
        <f t="shared" si="2060"/>
        <v>艺术设计学院</v>
      </c>
    </row>
    <row r="8747" ht="13.5" hidden="1" spans="1:5">
      <c r="A8747" s="2" t="str">
        <f>"谭林"</f>
        <v>谭林</v>
      </c>
      <c r="B8747" s="2" t="str">
        <f>"B20211002118"</f>
        <v>B20211002118</v>
      </c>
      <c r="C8747" s="2" t="str">
        <f>"男"</f>
        <v>男</v>
      </c>
      <c r="D8747" s="2" t="str">
        <f>"2"</f>
        <v>2</v>
      </c>
      <c r="E8747" s="2" t="str">
        <f t="shared" si="2060"/>
        <v>艺术设计学院</v>
      </c>
    </row>
    <row r="8748" ht="13.5" hidden="1" spans="1:5">
      <c r="A8748" s="2" t="str">
        <f>"李情芳"</f>
        <v>李情芳</v>
      </c>
      <c r="B8748" s="2" t="str">
        <f>"B20230902223"</f>
        <v>B20230902223</v>
      </c>
      <c r="C8748" s="2" t="str">
        <f>"女"</f>
        <v>女</v>
      </c>
      <c r="D8748" s="2" t="str">
        <f>"2"</f>
        <v>2</v>
      </c>
      <c r="E8748" s="2" t="str">
        <f>"经济与管理学院"</f>
        <v>经济与管理学院</v>
      </c>
    </row>
    <row r="8749" ht="13.5" hidden="1" spans="1:5">
      <c r="A8749" s="2" t="str">
        <f>"周航"</f>
        <v>周航</v>
      </c>
      <c r="B8749" s="2" t="str">
        <f>"B20210101301"</f>
        <v>B20210101301</v>
      </c>
      <c r="C8749" s="2" t="str">
        <f>"男"</f>
        <v>男</v>
      </c>
      <c r="D8749" s="2" t="str">
        <f>"2"</f>
        <v>2</v>
      </c>
      <c r="E8749" s="2" t="str">
        <f>"土木工程学院"</f>
        <v>土木工程学院</v>
      </c>
    </row>
    <row r="8750" ht="13.5" hidden="1" spans="1:5">
      <c r="A8750" s="2" t="str">
        <f>"唐柳音"</f>
        <v>唐柳音</v>
      </c>
      <c r="B8750" s="2" t="str">
        <f>"B20231003108"</f>
        <v>B20231003108</v>
      </c>
      <c r="C8750" s="2" t="str">
        <f>"女"</f>
        <v>女</v>
      </c>
      <c r="D8750" s="2" t="str">
        <f>"2"</f>
        <v>2</v>
      </c>
      <c r="E8750" s="2" t="str">
        <f>"艺术设计学院"</f>
        <v>艺术设计学院</v>
      </c>
    </row>
    <row r="8751" ht="13.5" hidden="1" spans="1:5">
      <c r="A8751" s="2" t="str">
        <f>"刘粤华"</f>
        <v>刘粤华</v>
      </c>
      <c r="B8751" s="2" t="str">
        <f>"B20200803123"</f>
        <v>B20200803123</v>
      </c>
      <c r="C8751" s="2" t="str">
        <f>"女"</f>
        <v>女</v>
      </c>
      <c r="D8751" s="2" t="str">
        <f>"2"</f>
        <v>2</v>
      </c>
      <c r="E8751" s="2" t="str">
        <f>"外国语学院"</f>
        <v>外国语学院</v>
      </c>
    </row>
    <row r="8752" ht="13.5" hidden="1" spans="1:5">
      <c r="A8752" s="2" t="str">
        <f>"邓红丽"</f>
        <v>邓红丽</v>
      </c>
      <c r="B8752" s="2" t="str">
        <f>"B20220906113"</f>
        <v>B20220906113</v>
      </c>
      <c r="C8752" s="2" t="str">
        <f t="shared" ref="C8752:C8755" si="2061">"女"</f>
        <v>女</v>
      </c>
      <c r="D8752" s="2" t="str">
        <f>"2"</f>
        <v>2</v>
      </c>
      <c r="E8752" s="2" t="str">
        <f>"经济与管理学院"</f>
        <v>经济与管理学院</v>
      </c>
    </row>
    <row r="8753" ht="13.5" hidden="1" spans="1:5">
      <c r="A8753" s="2" t="str">
        <f>"陈战"</f>
        <v>陈战</v>
      </c>
      <c r="B8753" s="2" t="str">
        <f>"B20220202329"</f>
        <v>B20220202329</v>
      </c>
      <c r="C8753" s="2" t="str">
        <f>"男"</f>
        <v>男</v>
      </c>
      <c r="D8753" s="2" t="str">
        <f>"2"</f>
        <v>2</v>
      </c>
      <c r="E8753" s="2" t="str">
        <f>"机电工程学院"</f>
        <v>机电工程学院</v>
      </c>
    </row>
    <row r="8754" ht="13.5" hidden="1" spans="1:5">
      <c r="A8754" s="2" t="str">
        <f>"李思柔"</f>
        <v>李思柔</v>
      </c>
      <c r="B8754" s="2" t="str">
        <f>"B20220601306"</f>
        <v>B20220601306</v>
      </c>
      <c r="C8754" s="2" t="str">
        <f t="shared" si="2061"/>
        <v>女</v>
      </c>
      <c r="D8754" s="2" t="str">
        <f>"2"</f>
        <v>2</v>
      </c>
      <c r="E8754" s="2" t="str">
        <f>"法学院"</f>
        <v>法学院</v>
      </c>
    </row>
    <row r="8755" ht="13.5" hidden="1" spans="1:5">
      <c r="A8755" s="2" t="str">
        <f>"王心愿"</f>
        <v>王心愿</v>
      </c>
      <c r="B8755" s="2" t="str">
        <f>"B20230703121"</f>
        <v>B20230703121</v>
      </c>
      <c r="C8755" s="2" t="str">
        <f t="shared" si="2061"/>
        <v>女</v>
      </c>
      <c r="D8755" s="2" t="str">
        <f>"2"</f>
        <v>2</v>
      </c>
      <c r="E8755" s="2" t="str">
        <f t="shared" ref="E8755:E8758" si="2062">"马栏山新媒体学院"</f>
        <v>马栏山新媒体学院</v>
      </c>
    </row>
    <row r="8756" ht="13.5" hidden="1" spans="1:5">
      <c r="A8756" s="2" t="str">
        <f>"刘佳洛"</f>
        <v>刘佳洛</v>
      </c>
      <c r="B8756" s="2" t="str">
        <f>"B20230102114"</f>
        <v>B20230102114</v>
      </c>
      <c r="C8756" s="2" t="str">
        <f>"男"</f>
        <v>男</v>
      </c>
      <c r="D8756" s="2" t="str">
        <f>"2"</f>
        <v>2</v>
      </c>
      <c r="E8756" s="2" t="str">
        <f>"土木工程学院"</f>
        <v>土木工程学院</v>
      </c>
    </row>
    <row r="8757" ht="13.5" hidden="1" spans="1:5">
      <c r="A8757" s="2" t="str">
        <f>"廖湘楠"</f>
        <v>廖湘楠</v>
      </c>
      <c r="B8757" s="2" t="str">
        <f>"B20210701108"</f>
        <v>B20210701108</v>
      </c>
      <c r="C8757" s="2" t="str">
        <f t="shared" ref="C8757:C8759" si="2063">"女"</f>
        <v>女</v>
      </c>
      <c r="D8757" s="2" t="str">
        <f>"2"</f>
        <v>2</v>
      </c>
      <c r="E8757" s="2" t="str">
        <f t="shared" si="2062"/>
        <v>马栏山新媒体学院</v>
      </c>
    </row>
    <row r="8758" ht="13.5" hidden="1" spans="1:5">
      <c r="A8758" s="2" t="str">
        <f>"曹颖"</f>
        <v>曹颖</v>
      </c>
      <c r="B8758" s="2" t="str">
        <f>"B20210701223"</f>
        <v>B20210701223</v>
      </c>
      <c r="C8758" s="2" t="str">
        <f t="shared" si="2063"/>
        <v>女</v>
      </c>
      <c r="D8758" s="2" t="str">
        <f>"2"</f>
        <v>2</v>
      </c>
      <c r="E8758" s="2" t="str">
        <f t="shared" si="2062"/>
        <v>马栏山新媒体学院</v>
      </c>
    </row>
    <row r="8759" ht="13.5" hidden="1" spans="1:5">
      <c r="A8759" s="2" t="str">
        <f>"张诗悦"</f>
        <v>张诗悦</v>
      </c>
      <c r="B8759" s="2" t="str">
        <f>"B20231002401"</f>
        <v>B20231002401</v>
      </c>
      <c r="C8759" s="2" t="str">
        <f t="shared" si="2063"/>
        <v>女</v>
      </c>
      <c r="D8759" s="2" t="str">
        <f>"2"</f>
        <v>2</v>
      </c>
      <c r="E8759" s="2" t="str">
        <f t="shared" ref="E8759:E8763" si="2064">"艺术设计学院"</f>
        <v>艺术设计学院</v>
      </c>
    </row>
    <row r="8760" ht="13.5" hidden="1" spans="1:5">
      <c r="A8760" s="2" t="str">
        <f>"向晨"</f>
        <v>向晨</v>
      </c>
      <c r="B8760" s="2" t="str">
        <f>"B20220204216"</f>
        <v>B20220204216</v>
      </c>
      <c r="C8760" s="2" t="str">
        <f t="shared" ref="C8760:C8765" si="2065">"男"</f>
        <v>男</v>
      </c>
      <c r="D8760" s="2" t="str">
        <f>"2"</f>
        <v>2</v>
      </c>
      <c r="E8760" s="2" t="str">
        <f>"机电工程学院"</f>
        <v>机电工程学院</v>
      </c>
    </row>
    <row r="8761" ht="13.5" hidden="1" spans="1:5">
      <c r="A8761" s="2" t="str">
        <f>"宋冬晴"</f>
        <v>宋冬晴</v>
      </c>
      <c r="B8761" s="2" t="str">
        <f>"B20231004121"</f>
        <v>B20231004121</v>
      </c>
      <c r="C8761" s="2" t="str">
        <f t="shared" ref="C8761:C8766" si="2066">"女"</f>
        <v>女</v>
      </c>
      <c r="D8761" s="2" t="str">
        <f>"2"</f>
        <v>2</v>
      </c>
      <c r="E8761" s="2" t="str">
        <f t="shared" si="2064"/>
        <v>艺术设计学院</v>
      </c>
    </row>
    <row r="8762" ht="13.5" hidden="1" spans="1:5">
      <c r="A8762" s="2" t="str">
        <f>"张泽稳"</f>
        <v>张泽稳</v>
      </c>
      <c r="B8762" s="2" t="str">
        <f>"B20220701228"</f>
        <v>B20220701228</v>
      </c>
      <c r="C8762" s="2" t="str">
        <f t="shared" si="2065"/>
        <v>男</v>
      </c>
      <c r="D8762" s="2" t="str">
        <f>"2"</f>
        <v>2</v>
      </c>
      <c r="E8762" s="2" t="str">
        <f>"马栏山新媒体学院"</f>
        <v>马栏山新媒体学院</v>
      </c>
    </row>
    <row r="8763" ht="13.5" hidden="1" spans="1:5">
      <c r="A8763" s="2" t="str">
        <f>"林涵"</f>
        <v>林涵</v>
      </c>
      <c r="B8763" s="2" t="str">
        <f>"B20211002419"</f>
        <v>B20211002419</v>
      </c>
      <c r="C8763" s="2" t="str">
        <f t="shared" si="2066"/>
        <v>女</v>
      </c>
      <c r="D8763" s="2" t="str">
        <f>"2"</f>
        <v>2</v>
      </c>
      <c r="E8763" s="2" t="str">
        <f t="shared" si="2064"/>
        <v>艺术设计学院</v>
      </c>
    </row>
    <row r="8764" ht="13.5" hidden="1" spans="1:5">
      <c r="A8764" s="2" t="str">
        <f>"欧阳俊豪"</f>
        <v>欧阳俊豪</v>
      </c>
      <c r="B8764" s="2" t="str">
        <f>"B20230101627"</f>
        <v>B20230101627</v>
      </c>
      <c r="C8764" s="2" t="str">
        <f t="shared" si="2065"/>
        <v>男</v>
      </c>
      <c r="D8764" s="2" t="str">
        <f>"2"</f>
        <v>2</v>
      </c>
      <c r="E8764" s="2" t="str">
        <f>"土木工程学院"</f>
        <v>土木工程学院</v>
      </c>
    </row>
    <row r="8765" ht="13.5" hidden="1" spans="1:5">
      <c r="A8765" s="2" t="str">
        <f>"李亮"</f>
        <v>李亮</v>
      </c>
      <c r="B8765" s="2" t="str">
        <f>"B20200704317"</f>
        <v>B20200704317</v>
      </c>
      <c r="C8765" s="2" t="str">
        <f t="shared" si="2065"/>
        <v>男</v>
      </c>
      <c r="D8765" s="2" t="str">
        <f>"2"</f>
        <v>2</v>
      </c>
      <c r="E8765" s="2" t="str">
        <f>"马栏山新媒体学院"</f>
        <v>马栏山新媒体学院</v>
      </c>
    </row>
    <row r="8766" ht="13.5" hidden="1" spans="1:5">
      <c r="A8766" s="2" t="str">
        <f>"肖冰璐"</f>
        <v>肖冰璐</v>
      </c>
      <c r="B8766" s="2" t="str">
        <f>"B20200601421"</f>
        <v>B20200601421</v>
      </c>
      <c r="C8766" s="2" t="str">
        <f t="shared" si="2066"/>
        <v>女</v>
      </c>
      <c r="D8766" s="2" t="str">
        <f>"2"</f>
        <v>2</v>
      </c>
      <c r="E8766" s="2" t="str">
        <f>"法学院"</f>
        <v>法学院</v>
      </c>
    </row>
    <row r="8767" ht="13.5" hidden="1" spans="1:5">
      <c r="A8767" s="2" t="str">
        <f>"黄欣蓉"</f>
        <v>黄欣蓉</v>
      </c>
      <c r="B8767" s="2" t="str">
        <f>"B20210701111"</f>
        <v>B20210701111</v>
      </c>
      <c r="C8767" s="2" t="str">
        <f>"女"</f>
        <v>女</v>
      </c>
      <c r="D8767" s="2" t="str">
        <f>"2"</f>
        <v>2</v>
      </c>
      <c r="E8767" s="2" t="str">
        <f>"马栏山新媒体学院"</f>
        <v>马栏山新媒体学院</v>
      </c>
    </row>
    <row r="8768" ht="13.5" hidden="1" spans="1:5">
      <c r="A8768" s="2" t="str">
        <f>"陈伟"</f>
        <v>陈伟</v>
      </c>
      <c r="B8768" s="2" t="str">
        <f>"B20220201105"</f>
        <v>B20220201105</v>
      </c>
      <c r="C8768" s="2" t="str">
        <f>"男"</f>
        <v>男</v>
      </c>
      <c r="D8768" s="2" t="str">
        <f>"2"</f>
        <v>2</v>
      </c>
      <c r="E8768" s="2" t="str">
        <f>"机电工程学院"</f>
        <v>机电工程学院</v>
      </c>
    </row>
    <row r="8769" ht="13.5" hidden="1" spans="1:5">
      <c r="A8769" s="2" t="str">
        <f>"周佳翔"</f>
        <v>周佳翔</v>
      </c>
      <c r="B8769" s="2" t="str">
        <f>"B20220204131"</f>
        <v>B20220204131</v>
      </c>
      <c r="C8769" s="2" t="str">
        <f>"男"</f>
        <v>男</v>
      </c>
      <c r="D8769" s="2" t="str">
        <f>"2"</f>
        <v>2</v>
      </c>
      <c r="E8769" s="2" t="str">
        <f>"机电工程学院"</f>
        <v>机电工程学院</v>
      </c>
    </row>
    <row r="8770" ht="13.5" hidden="1" spans="1:5">
      <c r="A8770" s="2" t="str">
        <f>"黎雅娟"</f>
        <v>黎雅娟</v>
      </c>
      <c r="B8770" s="2" t="str">
        <f>"B20230903210"</f>
        <v>B20230903210</v>
      </c>
      <c r="C8770" s="2" t="str">
        <f t="shared" ref="C8770:C8772" si="2067">"女"</f>
        <v>女</v>
      </c>
      <c r="D8770" s="2" t="str">
        <f>"2"</f>
        <v>2</v>
      </c>
      <c r="E8770" s="2" t="str">
        <f>"经济与管理学院"</f>
        <v>经济与管理学院</v>
      </c>
    </row>
    <row r="8771" ht="13.5" hidden="1" spans="1:5">
      <c r="A8771" s="2" t="str">
        <f>"刘婉怡"</f>
        <v>刘婉怡</v>
      </c>
      <c r="B8771" s="2" t="str">
        <f>"B20210701312"</f>
        <v>B20210701312</v>
      </c>
      <c r="C8771" s="2" t="str">
        <f t="shared" si="2067"/>
        <v>女</v>
      </c>
      <c r="D8771" s="2" t="str">
        <f>"2"</f>
        <v>2</v>
      </c>
      <c r="E8771" s="2" t="str">
        <f>"马栏山新媒体学院"</f>
        <v>马栏山新媒体学院</v>
      </c>
    </row>
    <row r="8772" ht="13.5" hidden="1" spans="1:5">
      <c r="A8772" s="2" t="str">
        <f>"王中霞"</f>
        <v>王中霞</v>
      </c>
      <c r="B8772" s="2" t="str">
        <f>"B20210104226"</f>
        <v>B20210104226</v>
      </c>
      <c r="C8772" s="2" t="str">
        <f t="shared" si="2067"/>
        <v>女</v>
      </c>
      <c r="D8772" s="2" t="str">
        <f>"2"</f>
        <v>2</v>
      </c>
      <c r="E8772" s="2" t="str">
        <f>"土木工程学院"</f>
        <v>土木工程学院</v>
      </c>
    </row>
    <row r="8773" ht="13.5" hidden="1" spans="1:5">
      <c r="A8773" s="2" t="str">
        <f>"易志武"</f>
        <v>易志武</v>
      </c>
      <c r="B8773" s="2" t="str">
        <f>"B20230401428"</f>
        <v>B20230401428</v>
      </c>
      <c r="C8773" s="2" t="str">
        <f>"男"</f>
        <v>男</v>
      </c>
      <c r="D8773" s="2" t="str">
        <f>"2"</f>
        <v>2</v>
      </c>
      <c r="E8773" s="2" t="str">
        <f>"电子信息与电气工程学院"</f>
        <v>电子信息与电气工程学院</v>
      </c>
    </row>
    <row r="8774" ht="13.5" hidden="1" spans="1:5">
      <c r="A8774" s="2" t="str">
        <f>"黄薇"</f>
        <v>黄薇</v>
      </c>
      <c r="B8774" s="2" t="str">
        <f>"B20220504223"</f>
        <v>B20220504223</v>
      </c>
      <c r="C8774" s="2" t="str">
        <f>"女"</f>
        <v>女</v>
      </c>
      <c r="D8774" s="2" t="str">
        <f>"2"</f>
        <v>2</v>
      </c>
      <c r="E8774" s="2" t="str">
        <f>"生物与化学工程学院"</f>
        <v>生物与化学工程学院</v>
      </c>
    </row>
    <row r="8775" ht="13.5" hidden="1" spans="1:5">
      <c r="A8775" s="2" t="str">
        <f>"李珅"</f>
        <v>李珅</v>
      </c>
      <c r="B8775" s="2" t="str">
        <f>"B20230205304"</f>
        <v>B20230205304</v>
      </c>
      <c r="C8775" s="2" t="str">
        <f>"男"</f>
        <v>男</v>
      </c>
      <c r="D8775" s="2" t="str">
        <f>"2"</f>
        <v>2</v>
      </c>
      <c r="E8775" s="2" t="str">
        <f>"机电工程学院"</f>
        <v>机电工程学院</v>
      </c>
    </row>
    <row r="8776" ht="13.5" hidden="1" spans="1:5">
      <c r="A8776" s="2" t="str">
        <f>"马勇鹏"</f>
        <v>马勇鹏</v>
      </c>
      <c r="B8776" s="2" t="str">
        <f>"B20230704206"</f>
        <v>B20230704206</v>
      </c>
      <c r="C8776" s="2" t="str">
        <f>"男"</f>
        <v>男</v>
      </c>
      <c r="D8776" s="2" t="str">
        <f>"2"</f>
        <v>2</v>
      </c>
      <c r="E8776" s="2" t="str">
        <f>"马栏山新媒体学院"</f>
        <v>马栏山新媒体学院</v>
      </c>
    </row>
    <row r="8777" ht="13.5" hidden="1" spans="1:5">
      <c r="A8777" s="2" t="str">
        <f>"伍雯佩"</f>
        <v>伍雯佩</v>
      </c>
      <c r="B8777" s="2" t="str">
        <f>"B20230905107"</f>
        <v>B20230905107</v>
      </c>
      <c r="C8777" s="2" t="str">
        <f>"女"</f>
        <v>女</v>
      </c>
      <c r="D8777" s="2" t="str">
        <f>"2"</f>
        <v>2</v>
      </c>
      <c r="E8777" s="2" t="str">
        <f>"经济与管理学院"</f>
        <v>经济与管理学院</v>
      </c>
    </row>
    <row r="8778" ht="13.5" hidden="1" spans="1:5">
      <c r="A8778" s="2" t="str">
        <f>"田臻"</f>
        <v>田臻</v>
      </c>
      <c r="B8778" s="2" t="str">
        <f>"B20200704406"</f>
        <v>B20200704406</v>
      </c>
      <c r="C8778" s="2" t="str">
        <f t="shared" ref="C8778:C8781" si="2068">"女"</f>
        <v>女</v>
      </c>
      <c r="D8778" s="2" t="str">
        <f>"2"</f>
        <v>2</v>
      </c>
      <c r="E8778" s="2" t="str">
        <f>"马栏山新媒体学院"</f>
        <v>马栏山新媒体学院</v>
      </c>
    </row>
    <row r="8779" ht="13.5" hidden="1" spans="1:5">
      <c r="A8779" s="2" t="str">
        <f>"罗辰逸"</f>
        <v>罗辰逸</v>
      </c>
      <c r="B8779" s="2" t="str">
        <f>"B20230202413"</f>
        <v>B20230202413</v>
      </c>
      <c r="C8779" s="2" t="str">
        <f>"男"</f>
        <v>男</v>
      </c>
      <c r="D8779" s="2" t="str">
        <f>"2"</f>
        <v>2</v>
      </c>
      <c r="E8779" s="2" t="str">
        <f>"机电工程学院"</f>
        <v>机电工程学院</v>
      </c>
    </row>
    <row r="8780" ht="13.5" hidden="1" spans="1:5">
      <c r="A8780" s="2" t="str">
        <f>"杨湘莹"</f>
        <v>杨湘莹</v>
      </c>
      <c r="B8780" s="2" t="str">
        <f>"B20210104204"</f>
        <v>B20210104204</v>
      </c>
      <c r="C8780" s="2" t="str">
        <f t="shared" si="2068"/>
        <v>女</v>
      </c>
      <c r="D8780" s="2" t="str">
        <f>"2"</f>
        <v>2</v>
      </c>
      <c r="E8780" s="2" t="str">
        <f>"土木工程学院"</f>
        <v>土木工程学院</v>
      </c>
    </row>
    <row r="8781" ht="13.5" hidden="1" spans="1:5">
      <c r="A8781" s="2" t="str">
        <f>"付孟君"</f>
        <v>付孟君</v>
      </c>
      <c r="B8781" s="2" t="str">
        <f>"B20210902320"</f>
        <v>B20210902320</v>
      </c>
      <c r="C8781" s="2" t="str">
        <f t="shared" si="2068"/>
        <v>女</v>
      </c>
      <c r="D8781" s="2" t="str">
        <f>"2"</f>
        <v>2</v>
      </c>
      <c r="E8781" s="2" t="str">
        <f>"经济与管理学院"</f>
        <v>经济与管理学院</v>
      </c>
    </row>
    <row r="8782" ht="13.5" hidden="1" spans="1:5">
      <c r="A8782" s="2" t="str">
        <f>"李维"</f>
        <v>李维</v>
      </c>
      <c r="B8782" s="2" t="str">
        <f>"B20200201210"</f>
        <v>B20200201210</v>
      </c>
      <c r="C8782" s="2" t="str">
        <f>"男"</f>
        <v>男</v>
      </c>
      <c r="D8782" s="2" t="str">
        <f>"2"</f>
        <v>2</v>
      </c>
      <c r="E8782" s="2" t="str">
        <f>"机电工程学院"</f>
        <v>机电工程学院</v>
      </c>
    </row>
    <row r="8783" ht="13.5" hidden="1" spans="1:5">
      <c r="A8783" s="2" t="str">
        <f>"张怡敏"</f>
        <v>张怡敏</v>
      </c>
      <c r="B8783" s="2" t="str">
        <f>"B20231003207"</f>
        <v>B20231003207</v>
      </c>
      <c r="C8783" s="2" t="str">
        <f>"女"</f>
        <v>女</v>
      </c>
      <c r="D8783" s="2" t="str">
        <f>"2"</f>
        <v>2</v>
      </c>
      <c r="E8783" s="2" t="str">
        <f>"艺术设计学院"</f>
        <v>艺术设计学院</v>
      </c>
    </row>
    <row r="8784" ht="13.5" hidden="1" spans="1:5">
      <c r="A8784" s="2" t="str">
        <f>"戴志承"</f>
        <v>戴志承</v>
      </c>
      <c r="B8784" s="2" t="str">
        <f>"B20230401412"</f>
        <v>B20230401412</v>
      </c>
      <c r="C8784" s="2" t="str">
        <f>"男"</f>
        <v>男</v>
      </c>
      <c r="D8784" s="2" t="str">
        <f t="shared" ref="D8784:D8789" si="2069">"2"</f>
        <v>2</v>
      </c>
      <c r="E8784" s="2" t="str">
        <f>"电子信息与电气工程学院"</f>
        <v>电子信息与电气工程学院</v>
      </c>
    </row>
    <row r="8785" ht="13.5" hidden="1" spans="1:5">
      <c r="A8785" s="2" t="str">
        <f>"王湘娟"</f>
        <v>王湘娟</v>
      </c>
      <c r="B8785" s="2" t="str">
        <f>"B20210503214"</f>
        <v>B20210503214</v>
      </c>
      <c r="C8785" s="2" t="str">
        <f>"女"</f>
        <v>女</v>
      </c>
      <c r="D8785" s="2" t="str">
        <f t="shared" si="2069"/>
        <v>2</v>
      </c>
      <c r="E8785" s="2" t="str">
        <f>"材料与环境工程学院"</f>
        <v>材料与环境工程学院</v>
      </c>
    </row>
    <row r="8786" ht="13.5" hidden="1" spans="1:5">
      <c r="A8786" s="2" t="str">
        <f>"胡烨"</f>
        <v>胡烨</v>
      </c>
      <c r="B8786" s="2" t="str">
        <f>"B20231001207"</f>
        <v>B20231001207</v>
      </c>
      <c r="C8786" s="2" t="str">
        <f>"女"</f>
        <v>女</v>
      </c>
      <c r="D8786" s="2" t="str">
        <f t="shared" si="2069"/>
        <v>2</v>
      </c>
      <c r="E8786" s="2" t="str">
        <f>"艺术设计学院"</f>
        <v>艺术设计学院</v>
      </c>
    </row>
    <row r="8787" ht="13.5" hidden="1" spans="1:5">
      <c r="A8787" s="2" t="str">
        <f>"龙宇"</f>
        <v>龙宇</v>
      </c>
      <c r="B8787" s="2" t="str">
        <f>"B20220906130"</f>
        <v>B20220906130</v>
      </c>
      <c r="C8787" s="2" t="str">
        <f>"女"</f>
        <v>女</v>
      </c>
      <c r="D8787" s="2" t="str">
        <f t="shared" si="2069"/>
        <v>2</v>
      </c>
      <c r="E8787" s="2" t="str">
        <f>"经济与管理学院"</f>
        <v>经济与管理学院</v>
      </c>
    </row>
    <row r="8788" ht="13.5" hidden="1" spans="1:5">
      <c r="A8788" s="2" t="str">
        <f>"吴润林"</f>
        <v>吴润林</v>
      </c>
      <c r="B8788" s="2" t="str">
        <f>"B20230501229"</f>
        <v>B20230501229</v>
      </c>
      <c r="C8788" s="2" t="str">
        <f>"男"</f>
        <v>男</v>
      </c>
      <c r="D8788" s="2" t="str">
        <f t="shared" si="2069"/>
        <v>2</v>
      </c>
      <c r="E8788" s="2" t="str">
        <f>"生物与化学工程学院"</f>
        <v>生物与化学工程学院</v>
      </c>
    </row>
    <row r="8789" ht="13.5" hidden="1" spans="1:5">
      <c r="A8789" s="2" t="str">
        <f>"金可心"</f>
        <v>金可心</v>
      </c>
      <c r="B8789" s="2" t="str">
        <f>"B20230204131"</f>
        <v>B20230204131</v>
      </c>
      <c r="C8789" s="2" t="str">
        <f>"女"</f>
        <v>女</v>
      </c>
      <c r="D8789" s="2" t="str">
        <f t="shared" si="2069"/>
        <v>2</v>
      </c>
      <c r="E8789" s="2" t="str">
        <f>"机电工程学院"</f>
        <v>机电工程学院</v>
      </c>
    </row>
    <row r="8790" ht="13.5" hidden="1" spans="1:5">
      <c r="A8790" s="2" t="str">
        <f>"郭航志"</f>
        <v>郭航志</v>
      </c>
      <c r="B8790" s="2" t="str">
        <f>"B20220601418"</f>
        <v>B20220601418</v>
      </c>
      <c r="C8790" s="2" t="str">
        <f>"男"</f>
        <v>男</v>
      </c>
      <c r="D8790" s="2" t="str">
        <f>"2"</f>
        <v>2</v>
      </c>
      <c r="E8790" s="2" t="str">
        <f>"法学院"</f>
        <v>法学院</v>
      </c>
    </row>
    <row r="8791" ht="13.5" hidden="1" spans="1:5">
      <c r="A8791" s="2" t="str">
        <f>"李文涛"</f>
        <v>李文涛</v>
      </c>
      <c r="B8791" s="2" t="str">
        <f>"B20210104207"</f>
        <v>B20210104207</v>
      </c>
      <c r="C8791" s="2" t="str">
        <f>"男"</f>
        <v>男</v>
      </c>
      <c r="D8791" s="2" t="str">
        <f>"2"</f>
        <v>2</v>
      </c>
      <c r="E8791" s="2" t="str">
        <f>"土木工程学院"</f>
        <v>土木工程学院</v>
      </c>
    </row>
    <row r="8792" ht="13.5" hidden="1" spans="1:5">
      <c r="A8792" s="2" t="str">
        <f>"赵睿"</f>
        <v>赵睿</v>
      </c>
      <c r="B8792" s="2" t="str">
        <f>"B20220101136"</f>
        <v>B20220101136</v>
      </c>
      <c r="C8792" s="2" t="str">
        <f>"男"</f>
        <v>男</v>
      </c>
      <c r="D8792" s="2" t="str">
        <f>"2"</f>
        <v>2</v>
      </c>
      <c r="E8792" s="2" t="str">
        <f>"土木工程学院"</f>
        <v>土木工程学院</v>
      </c>
    </row>
    <row r="8793" ht="13.5" hidden="1" spans="1:5">
      <c r="A8793" s="2" t="str">
        <f>"何晓峰"</f>
        <v>何晓峰</v>
      </c>
      <c r="B8793" s="2" t="str">
        <f>"B20230402120"</f>
        <v>B20230402120</v>
      </c>
      <c r="C8793" s="2" t="str">
        <f>"男"</f>
        <v>男</v>
      </c>
      <c r="D8793" s="2" t="str">
        <f>"2"</f>
        <v>2</v>
      </c>
      <c r="E8793" s="2" t="str">
        <f>"电子信息与电气工程学院"</f>
        <v>电子信息与电气工程学院</v>
      </c>
    </row>
    <row r="8794" ht="13.5" hidden="1" spans="1:5">
      <c r="A8794" s="2" t="str">
        <f>"丁绍思"</f>
        <v>丁绍思</v>
      </c>
      <c r="B8794" s="2" t="str">
        <f>"B20200902325"</f>
        <v>B20200902325</v>
      </c>
      <c r="C8794" s="2" t="str">
        <f t="shared" ref="C8794:C8799" si="2070">"女"</f>
        <v>女</v>
      </c>
      <c r="D8794" s="2" t="str">
        <f>"2"</f>
        <v>2</v>
      </c>
      <c r="E8794" s="2" t="str">
        <f>"经济与管理学院"</f>
        <v>经济与管理学院</v>
      </c>
    </row>
    <row r="8795" ht="13.5" hidden="1" spans="1:5">
      <c r="A8795" s="2" t="str">
        <f>"罗逸轩"</f>
        <v>罗逸轩</v>
      </c>
      <c r="B8795" s="2" t="str">
        <f>"B20220504117"</f>
        <v>B20220504117</v>
      </c>
      <c r="C8795" s="2" t="str">
        <f t="shared" ref="C8795:C8797" si="2071">"男"</f>
        <v>男</v>
      </c>
      <c r="D8795" s="2" t="str">
        <f>"2"</f>
        <v>2</v>
      </c>
      <c r="E8795" s="2" t="str">
        <f>"生物与化学工程学院"</f>
        <v>生物与化学工程学院</v>
      </c>
    </row>
    <row r="8796" ht="13.5" hidden="1" spans="1:5">
      <c r="A8796" s="2" t="str">
        <f>"贺宇然"</f>
        <v>贺宇然</v>
      </c>
      <c r="B8796" s="2" t="str">
        <f>"B20230205307"</f>
        <v>B20230205307</v>
      </c>
      <c r="C8796" s="2" t="str">
        <f t="shared" si="2071"/>
        <v>男</v>
      </c>
      <c r="D8796" s="2" t="str">
        <f>"2"</f>
        <v>2</v>
      </c>
      <c r="E8796" s="2" t="str">
        <f>"机电工程学院"</f>
        <v>机电工程学院</v>
      </c>
    </row>
    <row r="8797" ht="13.5" hidden="1" spans="1:5">
      <c r="A8797" s="2" t="str">
        <f>"王涛"</f>
        <v>王涛</v>
      </c>
      <c r="B8797" s="2" t="str">
        <f>"B20210101637"</f>
        <v>B20210101637</v>
      </c>
      <c r="C8797" s="2" t="str">
        <f t="shared" si="2071"/>
        <v>男</v>
      </c>
      <c r="D8797" s="2" t="str">
        <f>"2"</f>
        <v>2</v>
      </c>
      <c r="E8797" s="2" t="str">
        <f t="shared" ref="E8797:E8800" si="2072">"土木工程学院"</f>
        <v>土木工程学院</v>
      </c>
    </row>
    <row r="8798" ht="13.5" hidden="1" spans="1:5">
      <c r="A8798" s="2" t="str">
        <f>"陈潇娴"</f>
        <v>陈潇娴</v>
      </c>
      <c r="B8798" s="2" t="str">
        <f>"B20230801215"</f>
        <v>B20230801215</v>
      </c>
      <c r="C8798" s="2" t="str">
        <f t="shared" si="2070"/>
        <v>女</v>
      </c>
      <c r="D8798" s="2" t="str">
        <f>"2"</f>
        <v>2</v>
      </c>
      <c r="E8798" s="2" t="str">
        <f>"外国语学院"</f>
        <v>外国语学院</v>
      </c>
    </row>
    <row r="8799" ht="13.5" hidden="1" spans="1:5">
      <c r="A8799" s="2" t="str">
        <f>"谢仪"</f>
        <v>谢仪</v>
      </c>
      <c r="B8799" s="2" t="str">
        <f>"B20210103123"</f>
        <v>B20210103123</v>
      </c>
      <c r="C8799" s="2" t="str">
        <f t="shared" si="2070"/>
        <v>女</v>
      </c>
      <c r="D8799" s="2" t="str">
        <f>"2"</f>
        <v>2</v>
      </c>
      <c r="E8799" s="2" t="str">
        <f t="shared" si="2072"/>
        <v>土木工程学院</v>
      </c>
    </row>
    <row r="8800" ht="13.5" hidden="1" spans="1:5">
      <c r="A8800" s="2" t="str">
        <f>"唐泽辉"</f>
        <v>唐泽辉</v>
      </c>
      <c r="B8800" s="2" t="str">
        <f>"B20200104113"</f>
        <v>B20200104113</v>
      </c>
      <c r="C8800" s="2" t="str">
        <f>"男"</f>
        <v>男</v>
      </c>
      <c r="D8800" s="2" t="str">
        <f>"2"</f>
        <v>2</v>
      </c>
      <c r="E8800" s="2" t="str">
        <f t="shared" si="2072"/>
        <v>土木工程学院</v>
      </c>
    </row>
    <row r="8801" ht="13.5" hidden="1" spans="1:5">
      <c r="A8801" s="2" t="str">
        <f>"朱峰"</f>
        <v>朱峰</v>
      </c>
      <c r="B8801" s="2" t="str">
        <f>"B20221301136"</f>
        <v>B20221301136</v>
      </c>
      <c r="C8801" s="2" t="str">
        <f>"男"</f>
        <v>男</v>
      </c>
      <c r="D8801" s="2" t="str">
        <f t="shared" ref="D8801:D8832" si="2073">"2"</f>
        <v>2</v>
      </c>
      <c r="E8801" s="2" t="str">
        <f>"材料与环境工程学院"</f>
        <v>材料与环境工程学院</v>
      </c>
    </row>
    <row r="8802" ht="13.5" hidden="1" spans="1:5">
      <c r="A8802" s="2" t="str">
        <f>"彭嘉龙"</f>
        <v>彭嘉龙</v>
      </c>
      <c r="B8802" s="2" t="str">
        <f>"B20230101510"</f>
        <v>B20230101510</v>
      </c>
      <c r="C8802" s="2" t="str">
        <f>"男"</f>
        <v>男</v>
      </c>
      <c r="D8802" s="2" t="str">
        <f t="shared" si="2073"/>
        <v>2</v>
      </c>
      <c r="E8802" s="2" t="str">
        <f>"土木工程学院"</f>
        <v>土木工程学院</v>
      </c>
    </row>
    <row r="8803" ht="13.5" hidden="1" spans="1:5">
      <c r="A8803" s="2" t="str">
        <f>"王琛"</f>
        <v>王琛</v>
      </c>
      <c r="B8803" s="2" t="str">
        <f>"B20231201101"</f>
        <v>B20231201101</v>
      </c>
      <c r="C8803" s="2" t="str">
        <f>"男"</f>
        <v>男</v>
      </c>
      <c r="D8803" s="2" t="str">
        <f>"4"</f>
        <v>4</v>
      </c>
      <c r="E8803" s="2" t="str">
        <f>"数学学院"</f>
        <v>数学学院</v>
      </c>
    </row>
    <row r="8804" ht="13.5" hidden="1" spans="1:5">
      <c r="A8804" s="2" t="str">
        <f>"易李皓宇"</f>
        <v>易李皓宇</v>
      </c>
      <c r="B8804" s="2" t="str">
        <f>"B20200201207"</f>
        <v>B20200201207</v>
      </c>
      <c r="C8804" s="2" t="str">
        <f t="shared" ref="C8804:C8807" si="2074">"男"</f>
        <v>男</v>
      </c>
      <c r="D8804" s="2" t="str">
        <f t="shared" si="2073"/>
        <v>2</v>
      </c>
      <c r="E8804" s="2" t="str">
        <f t="shared" ref="E8804:E8807" si="2075">"机电工程学院"</f>
        <v>机电工程学院</v>
      </c>
    </row>
    <row r="8805" ht="13.5" hidden="1" spans="1:5">
      <c r="A8805" s="2" t="str">
        <f>"岳航"</f>
        <v>岳航</v>
      </c>
      <c r="B8805" s="2" t="str">
        <f>"B20210201312"</f>
        <v>B20210201312</v>
      </c>
      <c r="C8805" s="2" t="str">
        <f t="shared" si="2074"/>
        <v>男</v>
      </c>
      <c r="D8805" s="2" t="str">
        <f t="shared" si="2073"/>
        <v>2</v>
      </c>
      <c r="E8805" s="2" t="str">
        <f t="shared" si="2075"/>
        <v>机电工程学院</v>
      </c>
    </row>
    <row r="8806" ht="13.5" hidden="1" spans="1:5">
      <c r="A8806" s="2" t="str">
        <f>"李林秀"</f>
        <v>李林秀</v>
      </c>
      <c r="B8806" s="2" t="str">
        <f>"B20220905205"</f>
        <v>B20220905205</v>
      </c>
      <c r="C8806" s="2" t="str">
        <f>"女"</f>
        <v>女</v>
      </c>
      <c r="D8806" s="2" t="str">
        <f t="shared" si="2073"/>
        <v>2</v>
      </c>
      <c r="E8806" s="2" t="str">
        <f>"经济与管理学院"</f>
        <v>经济与管理学院</v>
      </c>
    </row>
    <row r="8807" ht="13.5" hidden="1" spans="1:5">
      <c r="A8807" s="2" t="str">
        <f>"张鹏宇"</f>
        <v>张鹏宇</v>
      </c>
      <c r="B8807" s="2" t="str">
        <f>"B20220201407"</f>
        <v>B20220201407</v>
      </c>
      <c r="C8807" s="2" t="str">
        <f t="shared" si="2074"/>
        <v>男</v>
      </c>
      <c r="D8807" s="2" t="str">
        <f t="shared" si="2073"/>
        <v>2</v>
      </c>
      <c r="E8807" s="2" t="str">
        <f t="shared" si="2075"/>
        <v>机电工程学院</v>
      </c>
    </row>
    <row r="8808" ht="13.5" hidden="1" spans="1:5">
      <c r="A8808" s="2" t="str">
        <f>"王雪琰"</f>
        <v>王雪琰</v>
      </c>
      <c r="B8808" s="2" t="str">
        <f>"B20230705119"</f>
        <v>B20230705119</v>
      </c>
      <c r="C8808" s="2" t="str">
        <f>"女"</f>
        <v>女</v>
      </c>
      <c r="D8808" s="2" t="str">
        <f t="shared" si="2073"/>
        <v>2</v>
      </c>
      <c r="E8808" s="2" t="str">
        <f t="shared" ref="E8808:E8812" si="2076">"马栏山新媒体学院"</f>
        <v>马栏山新媒体学院</v>
      </c>
    </row>
    <row r="8809" ht="13.5" hidden="1" spans="1:5">
      <c r="A8809" s="2" t="str">
        <f>"刘光祖"</f>
        <v>刘光祖</v>
      </c>
      <c r="B8809" s="2" t="str">
        <f>"B20230903102"</f>
        <v>B20230903102</v>
      </c>
      <c r="C8809" s="2" t="str">
        <f t="shared" ref="C8809:C8811" si="2077">"男"</f>
        <v>男</v>
      </c>
      <c r="D8809" s="2" t="str">
        <f t="shared" si="2073"/>
        <v>2</v>
      </c>
      <c r="E8809" s="2" t="str">
        <f>"经济与管理学院"</f>
        <v>经济与管理学院</v>
      </c>
    </row>
    <row r="8810" ht="13.5" hidden="1" spans="1:5">
      <c r="A8810" s="2" t="str">
        <f>"郜克柯"</f>
        <v>郜克柯</v>
      </c>
      <c r="B8810" s="2" t="str">
        <f>"B20230501138"</f>
        <v>B20230501138</v>
      </c>
      <c r="C8810" s="2" t="str">
        <f t="shared" si="2077"/>
        <v>男</v>
      </c>
      <c r="D8810" s="2" t="str">
        <f t="shared" si="2073"/>
        <v>2</v>
      </c>
      <c r="E8810" s="2" t="str">
        <f>"生物与化学工程学院"</f>
        <v>生物与化学工程学院</v>
      </c>
    </row>
    <row r="8811" ht="13.5" hidden="1" spans="1:5">
      <c r="A8811" s="2" t="str">
        <f>"张嘉淇"</f>
        <v>张嘉淇</v>
      </c>
      <c r="B8811" s="2" t="str">
        <f>"B20230704119"</f>
        <v>B20230704119</v>
      </c>
      <c r="C8811" s="2" t="str">
        <f t="shared" si="2077"/>
        <v>男</v>
      </c>
      <c r="D8811" s="2" t="str">
        <f t="shared" si="2073"/>
        <v>2</v>
      </c>
      <c r="E8811" s="2" t="str">
        <f t="shared" si="2076"/>
        <v>马栏山新媒体学院</v>
      </c>
    </row>
    <row r="8812" ht="13.5" hidden="1" spans="1:5">
      <c r="A8812" s="2" t="str">
        <f>"孟雅如"</f>
        <v>孟雅如</v>
      </c>
      <c r="B8812" s="2" t="str">
        <f>"B20220703223"</f>
        <v>B20220703223</v>
      </c>
      <c r="C8812" s="2" t="str">
        <f t="shared" ref="C8812:C8817" si="2078">"女"</f>
        <v>女</v>
      </c>
      <c r="D8812" s="2" t="str">
        <f t="shared" si="2073"/>
        <v>2</v>
      </c>
      <c r="E8812" s="2" t="str">
        <f t="shared" si="2076"/>
        <v>马栏山新媒体学院</v>
      </c>
    </row>
    <row r="8813" ht="13.5" hidden="1" spans="1:5">
      <c r="A8813" s="2" t="str">
        <f>"刘隽颖"</f>
        <v>刘隽颖</v>
      </c>
      <c r="B8813" s="2" t="str">
        <f>"B20220103215"</f>
        <v>B20220103215</v>
      </c>
      <c r="C8813" s="2" t="str">
        <f t="shared" si="2078"/>
        <v>女</v>
      </c>
      <c r="D8813" s="2" t="str">
        <f t="shared" si="2073"/>
        <v>2</v>
      </c>
      <c r="E8813" s="2" t="str">
        <f>"土木工程学院"</f>
        <v>土木工程学院</v>
      </c>
    </row>
    <row r="8814" ht="13.5" hidden="1" spans="1:5">
      <c r="A8814" s="2" t="str">
        <f>"胡骏翔"</f>
        <v>胡骏翔</v>
      </c>
      <c r="B8814" s="2" t="str">
        <f>"B20220704312"</f>
        <v>B20220704312</v>
      </c>
      <c r="C8814" s="2" t="str">
        <f t="shared" ref="C8814:C8818" si="2079">"男"</f>
        <v>男</v>
      </c>
      <c r="D8814" s="2" t="str">
        <f t="shared" si="2073"/>
        <v>2</v>
      </c>
      <c r="E8814" s="2" t="str">
        <f>"马栏山新媒体学院"</f>
        <v>马栏山新媒体学院</v>
      </c>
    </row>
    <row r="8815" ht="13.5" hidden="1" spans="1:5">
      <c r="A8815" s="2" t="str">
        <f>"苏晓寒"</f>
        <v>苏晓寒</v>
      </c>
      <c r="B8815" s="2" t="str">
        <f>"B20230601529"</f>
        <v>B20230601529</v>
      </c>
      <c r="C8815" s="2" t="str">
        <f t="shared" si="2078"/>
        <v>女</v>
      </c>
      <c r="D8815" s="2" t="str">
        <f t="shared" si="2073"/>
        <v>2</v>
      </c>
      <c r="E8815" s="2" t="str">
        <f>"法学院"</f>
        <v>法学院</v>
      </c>
    </row>
    <row r="8816" ht="13.5" hidden="1" spans="1:5">
      <c r="A8816" s="2" t="str">
        <f>"战懋霖"</f>
        <v>战懋霖</v>
      </c>
      <c r="B8816" s="2" t="str">
        <f>"B20201002304"</f>
        <v>B20201002304</v>
      </c>
      <c r="C8816" s="2" t="str">
        <f t="shared" si="2078"/>
        <v>女</v>
      </c>
      <c r="D8816" s="2" t="str">
        <f t="shared" si="2073"/>
        <v>2</v>
      </c>
      <c r="E8816" s="2" t="str">
        <f>"艺术设计学院"</f>
        <v>艺术设计学院</v>
      </c>
    </row>
    <row r="8817" ht="13.5" hidden="1" spans="1:5">
      <c r="A8817" s="2" t="str">
        <f>"曾佳"</f>
        <v>曾佳</v>
      </c>
      <c r="B8817" s="2" t="str">
        <f>"B20231201107"</f>
        <v>B20231201107</v>
      </c>
      <c r="C8817" s="2" t="str">
        <f t="shared" si="2078"/>
        <v>女</v>
      </c>
      <c r="D8817" s="2" t="str">
        <f t="shared" si="2073"/>
        <v>2</v>
      </c>
      <c r="E8817" s="2" t="str">
        <f>"数学学院"</f>
        <v>数学学院</v>
      </c>
    </row>
    <row r="8818" ht="13.5" hidden="1" spans="1:5">
      <c r="A8818" s="2" t="str">
        <f>"杨润曦"</f>
        <v>杨润曦</v>
      </c>
      <c r="B8818" s="2" t="str">
        <f>"B20220502104"</f>
        <v>B20220502104</v>
      </c>
      <c r="C8818" s="2" t="str">
        <f t="shared" si="2079"/>
        <v>男</v>
      </c>
      <c r="D8818" s="2" t="str">
        <f t="shared" si="2073"/>
        <v>2</v>
      </c>
      <c r="E8818" s="2" t="str">
        <f>"生物与化学工程学院"</f>
        <v>生物与化学工程学院</v>
      </c>
    </row>
    <row r="8819" ht="13.5" hidden="1" spans="1:5">
      <c r="A8819" s="2" t="str">
        <f>"侯睿雅"</f>
        <v>侯睿雅</v>
      </c>
      <c r="B8819" s="2" t="str">
        <f>"B20230102106"</f>
        <v>B20230102106</v>
      </c>
      <c r="C8819" s="2" t="str">
        <f>"女"</f>
        <v>女</v>
      </c>
      <c r="D8819" s="2" t="str">
        <f t="shared" si="2073"/>
        <v>2</v>
      </c>
      <c r="E8819" s="2" t="str">
        <f>"土木工程学院"</f>
        <v>土木工程学院</v>
      </c>
    </row>
    <row r="8820" ht="13.5" hidden="1" spans="1:5">
      <c r="A8820" s="2" t="str">
        <f>"张德高"</f>
        <v>张德高</v>
      </c>
      <c r="B8820" s="2" t="str">
        <f>"B20231201115"</f>
        <v>B20231201115</v>
      </c>
      <c r="C8820" s="2" t="str">
        <f>"男"</f>
        <v>男</v>
      </c>
      <c r="D8820" s="2" t="str">
        <f>"17"</f>
        <v>17</v>
      </c>
      <c r="E8820" s="2" t="str">
        <f>"数学学院"</f>
        <v>数学学院</v>
      </c>
    </row>
    <row r="8821" ht="13.5" hidden="1" spans="1:5">
      <c r="A8821" s="2" t="str">
        <f>"杨益民"</f>
        <v>杨益民</v>
      </c>
      <c r="B8821" s="2" t="str">
        <f>"B20200401408"</f>
        <v>B20200401408</v>
      </c>
      <c r="C8821" s="2" t="str">
        <f t="shared" ref="C8820:C8824" si="2080">"男"</f>
        <v>男</v>
      </c>
      <c r="D8821" s="2" t="str">
        <f t="shared" si="2073"/>
        <v>2</v>
      </c>
      <c r="E8821" s="2" t="str">
        <f>"电子信息与电气工程学院"</f>
        <v>电子信息与电气工程学院</v>
      </c>
    </row>
    <row r="8822" ht="13.5" hidden="1" spans="1:5">
      <c r="A8822" s="2" t="str">
        <f>"梁宁"</f>
        <v>梁宁</v>
      </c>
      <c r="B8822" s="2" t="str">
        <f>"B20200201129"</f>
        <v>B20200201129</v>
      </c>
      <c r="C8822" s="2" t="str">
        <f t="shared" si="2080"/>
        <v>男</v>
      </c>
      <c r="D8822" s="2" t="str">
        <f t="shared" si="2073"/>
        <v>2</v>
      </c>
      <c r="E8822" s="2" t="str">
        <f>"机电工程学院"</f>
        <v>机电工程学院</v>
      </c>
    </row>
    <row r="8823" ht="13.5" hidden="1" spans="1:5">
      <c r="A8823" s="2" t="str">
        <f>"王珮源"</f>
        <v>王珮源</v>
      </c>
      <c r="B8823" s="2" t="str">
        <f>"B20230906104"</f>
        <v>B20230906104</v>
      </c>
      <c r="C8823" s="2" t="str">
        <f t="shared" si="2080"/>
        <v>男</v>
      </c>
      <c r="D8823" s="2" t="str">
        <f t="shared" si="2073"/>
        <v>2</v>
      </c>
      <c r="E8823" s="2" t="str">
        <f>"经济与管理学院"</f>
        <v>经济与管理学院</v>
      </c>
    </row>
    <row r="8824" ht="13.5" hidden="1" spans="1:5">
      <c r="A8824" s="2" t="str">
        <f>"田志凌"</f>
        <v>田志凌</v>
      </c>
      <c r="B8824" s="2" t="str">
        <f>"B20231201117"</f>
        <v>B20231201117</v>
      </c>
      <c r="C8824" s="2" t="str">
        <f t="shared" si="2080"/>
        <v>男</v>
      </c>
      <c r="D8824" s="2" t="str">
        <f>"1"</f>
        <v>1</v>
      </c>
      <c r="E8824" s="2" t="str">
        <f>"数学学院"</f>
        <v>数学学院</v>
      </c>
    </row>
    <row r="8825" ht="13.5" hidden="1" spans="1:5">
      <c r="A8825" s="2" t="str">
        <f>"丁唐莉"</f>
        <v>丁唐莉</v>
      </c>
      <c r="B8825" s="2" t="str">
        <f>"B20230102206"</f>
        <v>B20230102206</v>
      </c>
      <c r="C8825" s="2" t="str">
        <f>"女"</f>
        <v>女</v>
      </c>
      <c r="D8825" s="2" t="str">
        <f t="shared" si="2073"/>
        <v>2</v>
      </c>
      <c r="E8825" s="2" t="str">
        <f>"土木工程学院"</f>
        <v>土木工程学院</v>
      </c>
    </row>
    <row r="8826" ht="13.5" hidden="1" spans="1:5">
      <c r="A8826" s="2" t="str">
        <f>"但佳银"</f>
        <v>但佳银</v>
      </c>
      <c r="B8826" s="2" t="str">
        <f>"B20231002221"</f>
        <v>B20231002221</v>
      </c>
      <c r="C8826" s="2" t="str">
        <f>"女"</f>
        <v>女</v>
      </c>
      <c r="D8826" s="2" t="str">
        <f t="shared" si="2073"/>
        <v>2</v>
      </c>
      <c r="E8826" s="2" t="str">
        <f>"艺术设计学院"</f>
        <v>艺术设计学院</v>
      </c>
    </row>
    <row r="8827" ht="13.5" hidden="1" spans="1:5">
      <c r="A8827" s="2" t="str">
        <f>"刘嘉乐"</f>
        <v>刘嘉乐</v>
      </c>
      <c r="B8827" s="2" t="str">
        <f>"B20230403213"</f>
        <v>B20230403213</v>
      </c>
      <c r="C8827" s="2" t="str">
        <f t="shared" ref="C8827:C8830" si="2081">"男"</f>
        <v>男</v>
      </c>
      <c r="D8827" s="2" t="str">
        <f t="shared" si="2073"/>
        <v>2</v>
      </c>
      <c r="E8827" s="2" t="str">
        <f>"电子信息与电气工程学院"</f>
        <v>电子信息与电气工程学院</v>
      </c>
    </row>
    <row r="8828" ht="13.5" hidden="1" spans="1:5">
      <c r="A8828" s="2" t="str">
        <f>"朱俊阳"</f>
        <v>朱俊阳</v>
      </c>
      <c r="B8828" s="2" t="str">
        <f>"B20210402230"</f>
        <v>B20210402230</v>
      </c>
      <c r="C8828" s="2" t="str">
        <f t="shared" si="2081"/>
        <v>男</v>
      </c>
      <c r="D8828" s="2" t="str">
        <f t="shared" si="2073"/>
        <v>2</v>
      </c>
      <c r="E8828" s="2" t="str">
        <f>"电子信息与电气工程学院"</f>
        <v>电子信息与电气工程学院</v>
      </c>
    </row>
    <row r="8829" ht="13.5" hidden="1" spans="1:5">
      <c r="A8829" s="2" t="str">
        <f>"邓兴旺"</f>
        <v>邓兴旺</v>
      </c>
      <c r="B8829" s="2" t="str">
        <f>"B20210905138"</f>
        <v>B20210905138</v>
      </c>
      <c r="C8829" s="2" t="str">
        <f t="shared" si="2081"/>
        <v>男</v>
      </c>
      <c r="D8829" s="2" t="str">
        <f t="shared" si="2073"/>
        <v>2</v>
      </c>
      <c r="E8829" s="2" t="str">
        <f>"经济与管理学院"</f>
        <v>经济与管理学院</v>
      </c>
    </row>
    <row r="8830" ht="13.5" hidden="1" spans="1:5">
      <c r="A8830" s="2" t="str">
        <f>"项明建"</f>
        <v>项明建</v>
      </c>
      <c r="B8830" s="2" t="str">
        <f>"B20231201118"</f>
        <v>B20231201118</v>
      </c>
      <c r="C8830" s="2" t="str">
        <f t="shared" si="2081"/>
        <v>男</v>
      </c>
      <c r="D8830" s="2" t="str">
        <f t="shared" si="2073"/>
        <v>2</v>
      </c>
      <c r="E8830" s="2" t="str">
        <f>"数学学院"</f>
        <v>数学学院</v>
      </c>
    </row>
    <row r="8831" ht="13.5" hidden="1" spans="1:5">
      <c r="A8831" s="2" t="str">
        <f>"邓雪梅"</f>
        <v>邓雪梅</v>
      </c>
      <c r="B8831" s="2" t="str">
        <f>"B20231201120"</f>
        <v>B20231201120</v>
      </c>
      <c r="C8831" s="2" t="str">
        <f>"女"</f>
        <v>女</v>
      </c>
      <c r="D8831" s="2" t="str">
        <f t="shared" si="2073"/>
        <v>2</v>
      </c>
      <c r="E8831" s="2" t="str">
        <f>"数学学院"</f>
        <v>数学学院</v>
      </c>
    </row>
    <row r="8832" ht="13.5" hidden="1" spans="1:5">
      <c r="A8832" s="2" t="str">
        <f>"孙若尘"</f>
        <v>孙若尘</v>
      </c>
      <c r="B8832" s="2" t="str">
        <f>"B20210701324"</f>
        <v>B20210701324</v>
      </c>
      <c r="C8832" s="2" t="str">
        <f t="shared" ref="C8831:C8833" si="2082">"女"</f>
        <v>女</v>
      </c>
      <c r="D8832" s="2" t="str">
        <f t="shared" si="2073"/>
        <v>2</v>
      </c>
      <c r="E8832" s="2" t="str">
        <f>"马栏山新媒体学院"</f>
        <v>马栏山新媒体学院</v>
      </c>
    </row>
    <row r="8833" ht="13.5" hidden="1" spans="1:5">
      <c r="A8833" s="2" t="str">
        <f>"陶琳华"</f>
        <v>陶琳华</v>
      </c>
      <c r="B8833" s="2" t="str">
        <f>"B20200102219"</f>
        <v>B20200102219</v>
      </c>
      <c r="C8833" s="2" t="str">
        <f t="shared" si="2082"/>
        <v>女</v>
      </c>
      <c r="D8833" s="2" t="str">
        <f t="shared" ref="D8833:D8896" si="2083">"1"</f>
        <v>1</v>
      </c>
      <c r="E8833" s="2" t="str">
        <f>"土木工程学院"</f>
        <v>土木工程学院</v>
      </c>
    </row>
    <row r="8834" ht="13.5" hidden="1" spans="1:5">
      <c r="A8834" s="2" t="str">
        <f>"胡誉"</f>
        <v>胡誉</v>
      </c>
      <c r="B8834" s="2" t="str">
        <f>"B20200502105"</f>
        <v>B20200502105</v>
      </c>
      <c r="C8834" s="2" t="str">
        <f t="shared" ref="C8834:C8836" si="2084">"男"</f>
        <v>男</v>
      </c>
      <c r="D8834" s="2" t="str">
        <f t="shared" si="2083"/>
        <v>1</v>
      </c>
      <c r="E8834" s="2" t="str">
        <f>"生物与环境工程学院"</f>
        <v>生物与环境工程学院</v>
      </c>
    </row>
    <row r="8835" ht="13.5" hidden="1" spans="1:5">
      <c r="A8835" s="2" t="str">
        <f>"伍子康"</f>
        <v>伍子康</v>
      </c>
      <c r="B8835" s="2" t="str">
        <f>"B20230103226"</f>
        <v>B20230103226</v>
      </c>
      <c r="C8835" s="2" t="str">
        <f t="shared" si="2084"/>
        <v>男</v>
      </c>
      <c r="D8835" s="2" t="str">
        <f t="shared" si="2083"/>
        <v>1</v>
      </c>
      <c r="E8835" s="2" t="str">
        <f>"土木工程学院"</f>
        <v>土木工程学院</v>
      </c>
    </row>
    <row r="8836" ht="13.5" hidden="1" spans="1:5">
      <c r="A8836" s="2" t="str">
        <f>"谭景文"</f>
        <v>谭景文</v>
      </c>
      <c r="B8836" s="2" t="str">
        <f>"B20221302109"</f>
        <v>B20221302109</v>
      </c>
      <c r="C8836" s="2" t="str">
        <f t="shared" si="2084"/>
        <v>男</v>
      </c>
      <c r="D8836" s="2" t="str">
        <f t="shared" si="2083"/>
        <v>1</v>
      </c>
      <c r="E8836" s="2" t="str">
        <f>"材料与环境工程学院"</f>
        <v>材料与环境工程学院</v>
      </c>
    </row>
    <row r="8837" ht="13.5" hidden="1" spans="1:5">
      <c r="A8837" s="2" t="str">
        <f>"杜冰冰"</f>
        <v>杜冰冰</v>
      </c>
      <c r="B8837" s="2" t="str">
        <f>"B20231101225"</f>
        <v>B20231101225</v>
      </c>
      <c r="C8837" s="2" t="str">
        <f t="shared" ref="C8837:C8841" si="2085">"女"</f>
        <v>女</v>
      </c>
      <c r="D8837" s="2" t="str">
        <f t="shared" si="2083"/>
        <v>1</v>
      </c>
      <c r="E8837" s="2" t="str">
        <f>"音乐学院"</f>
        <v>音乐学院</v>
      </c>
    </row>
    <row r="8838" ht="13.5" hidden="1" spans="1:5">
      <c r="A8838" s="2" t="str">
        <f>"周宇健"</f>
        <v>周宇健</v>
      </c>
      <c r="B8838" s="2" t="str">
        <f>"B20230904322"</f>
        <v>B20230904322</v>
      </c>
      <c r="C8838" s="2" t="str">
        <f t="shared" ref="C8838:C8842" si="2086">"男"</f>
        <v>男</v>
      </c>
      <c r="D8838" s="2" t="str">
        <f t="shared" si="2083"/>
        <v>1</v>
      </c>
      <c r="E8838" s="2" t="str">
        <f>"经济与管理学院"</f>
        <v>经济与管理学院</v>
      </c>
    </row>
    <row r="8839" ht="13.5" hidden="1" spans="1:5">
      <c r="A8839" s="2" t="str">
        <f>"夏伊雯"</f>
        <v>夏伊雯</v>
      </c>
      <c r="B8839" s="2" t="str">
        <f>"B20210704302"</f>
        <v>B20210704302</v>
      </c>
      <c r="C8839" s="2" t="str">
        <f t="shared" si="2085"/>
        <v>女</v>
      </c>
      <c r="D8839" s="2" t="str">
        <f t="shared" si="2083"/>
        <v>1</v>
      </c>
      <c r="E8839" s="2" t="str">
        <f>"马栏山新媒体学院"</f>
        <v>马栏山新媒体学院</v>
      </c>
    </row>
    <row r="8840" ht="13.5" hidden="1" spans="1:5">
      <c r="A8840" s="2" t="str">
        <f>"史庭浪"</f>
        <v>史庭浪</v>
      </c>
      <c r="B8840" s="2" t="str">
        <f>"B20200906210"</f>
        <v>B20200906210</v>
      </c>
      <c r="C8840" s="2" t="str">
        <f t="shared" si="2086"/>
        <v>男</v>
      </c>
      <c r="D8840" s="2" t="str">
        <f t="shared" si="2083"/>
        <v>1</v>
      </c>
      <c r="E8840" s="2" t="str">
        <f>"经济与管理学院"</f>
        <v>经济与管理学院</v>
      </c>
    </row>
    <row r="8841" ht="13.5" hidden="1" spans="1:5">
      <c r="A8841" s="2" t="str">
        <f>"周纹旭"</f>
        <v>周纹旭</v>
      </c>
      <c r="B8841" s="2" t="str">
        <f>"B20200702124"</f>
        <v>B20200702124</v>
      </c>
      <c r="C8841" s="2" t="str">
        <f t="shared" si="2085"/>
        <v>女</v>
      </c>
      <c r="D8841" s="2" t="str">
        <f t="shared" si="2083"/>
        <v>1</v>
      </c>
      <c r="E8841" s="2" t="str">
        <f>"马栏山新媒体学院"</f>
        <v>马栏山新媒体学院</v>
      </c>
    </row>
    <row r="8842" ht="13.5" hidden="1" spans="1:5">
      <c r="A8842" s="2" t="str">
        <f>"彭非凡"</f>
        <v>彭非凡</v>
      </c>
      <c r="B8842" s="2" t="str">
        <f>"B20231201121"</f>
        <v>B20231201121</v>
      </c>
      <c r="C8842" s="2" t="str">
        <f>"男"</f>
        <v>男</v>
      </c>
      <c r="D8842" s="2" t="str">
        <f>"12"</f>
        <v>12</v>
      </c>
      <c r="E8842" s="2" t="str">
        <f>"数学学院"</f>
        <v>数学学院</v>
      </c>
    </row>
    <row r="8843" ht="13.5" hidden="1" spans="1:5">
      <c r="A8843" s="2" t="str">
        <f>"李林盼"</f>
        <v>李林盼</v>
      </c>
      <c r="B8843" s="2" t="str">
        <f>"B20200403236"</f>
        <v>B20200403236</v>
      </c>
      <c r="C8843" s="2" t="str">
        <f>"女"</f>
        <v>女</v>
      </c>
      <c r="D8843" s="2" t="str">
        <f t="shared" si="2083"/>
        <v>1</v>
      </c>
      <c r="E8843" s="2" t="str">
        <f>"电子信息与电气工程学院"</f>
        <v>电子信息与电气工程学院</v>
      </c>
    </row>
    <row r="8844" ht="13.5" hidden="1" spans="1:5">
      <c r="A8844" s="2" t="str">
        <f>"秦亮岚"</f>
        <v>秦亮岚</v>
      </c>
      <c r="B8844" s="2" t="str">
        <f>"B20231201123"</f>
        <v>B20231201123</v>
      </c>
      <c r="C8844" s="2" t="str">
        <f>"女"</f>
        <v>女</v>
      </c>
      <c r="D8844" s="2" t="str">
        <f>"2"</f>
        <v>2</v>
      </c>
      <c r="E8844" s="2" t="str">
        <f>"数学学院"</f>
        <v>数学学院</v>
      </c>
    </row>
    <row r="8845" ht="13.5" hidden="1" spans="1:5">
      <c r="A8845" s="2" t="str">
        <f>"唐冠宇"</f>
        <v>唐冠宇</v>
      </c>
      <c r="B8845" s="2" t="str">
        <f>"B20231201126"</f>
        <v>B20231201126</v>
      </c>
      <c r="C8845" s="2" t="str">
        <f>"男"</f>
        <v>男</v>
      </c>
      <c r="D8845" s="2" t="str">
        <f>"2"</f>
        <v>2</v>
      </c>
      <c r="E8845" s="2" t="str">
        <f>"数学学院"</f>
        <v>数学学院</v>
      </c>
    </row>
    <row r="8846" ht="13.5" hidden="1" spans="1:5">
      <c r="A8846" s="2" t="str">
        <f>"赖嘉成"</f>
        <v>赖嘉成</v>
      </c>
      <c r="B8846" s="2" t="str">
        <f>"B20231201130"</f>
        <v>B20231201130</v>
      </c>
      <c r="C8846" s="2" t="str">
        <f>"男"</f>
        <v>男</v>
      </c>
      <c r="D8846" s="2" t="str">
        <f>"11"</f>
        <v>11</v>
      </c>
      <c r="E8846" s="2" t="str">
        <f>"数学学院"</f>
        <v>数学学院</v>
      </c>
    </row>
    <row r="8847" ht="13.5" hidden="1" spans="1:5">
      <c r="A8847" s="2" t="str">
        <f>"曹馨怡"</f>
        <v>曹馨怡</v>
      </c>
      <c r="B8847" s="2" t="str">
        <f>"B20231201131"</f>
        <v>B20231201131</v>
      </c>
      <c r="C8847" s="2" t="str">
        <f>"女"</f>
        <v>女</v>
      </c>
      <c r="D8847" s="2" t="str">
        <f>"6"</f>
        <v>6</v>
      </c>
      <c r="E8847" s="2" t="str">
        <f>"数学学院"</f>
        <v>数学学院</v>
      </c>
    </row>
    <row r="8848" ht="13.5" hidden="1" spans="1:5">
      <c r="A8848" s="2" t="str">
        <f>"邓翔"</f>
        <v>邓翔</v>
      </c>
      <c r="B8848" s="2" t="str">
        <f>"B20220101506"</f>
        <v>B20220101506</v>
      </c>
      <c r="C8848" s="2" t="str">
        <f t="shared" ref="C8844:C8850" si="2087">"男"</f>
        <v>男</v>
      </c>
      <c r="D8848" s="2" t="str">
        <f t="shared" si="2083"/>
        <v>1</v>
      </c>
      <c r="E8848" s="2" t="str">
        <f>"土木工程学院"</f>
        <v>土木工程学院</v>
      </c>
    </row>
    <row r="8849" ht="13.5" hidden="1" spans="1:5">
      <c r="A8849" s="2" t="str">
        <f>"王景仪"</f>
        <v>王景仪</v>
      </c>
      <c r="B8849" s="2" t="str">
        <f>"B20230405129"</f>
        <v>B20230405129</v>
      </c>
      <c r="C8849" s="2" t="str">
        <f t="shared" si="2087"/>
        <v>男</v>
      </c>
      <c r="D8849" s="2" t="str">
        <f t="shared" si="2083"/>
        <v>1</v>
      </c>
      <c r="E8849" s="2" t="str">
        <f>"电子信息与电气工程学院"</f>
        <v>电子信息与电气工程学院</v>
      </c>
    </row>
    <row r="8850" ht="13.5" hidden="1" spans="1:5">
      <c r="A8850" s="2" t="str">
        <f>"钟博飞"</f>
        <v>钟博飞</v>
      </c>
      <c r="B8850" s="2" t="str">
        <f>"B20210201327"</f>
        <v>B20210201327</v>
      </c>
      <c r="C8850" s="2" t="str">
        <f t="shared" si="2087"/>
        <v>男</v>
      </c>
      <c r="D8850" s="2" t="str">
        <f t="shared" si="2083"/>
        <v>1</v>
      </c>
      <c r="E8850" s="2" t="str">
        <f>"机电工程学院"</f>
        <v>机电工程学院</v>
      </c>
    </row>
    <row r="8851" ht="13.5" hidden="1" spans="1:5">
      <c r="A8851" s="2" t="str">
        <f>"陆盈"</f>
        <v>陆盈</v>
      </c>
      <c r="B8851" s="2" t="str">
        <f>"B20200503223"</f>
        <v>B20200503223</v>
      </c>
      <c r="C8851" s="2" t="str">
        <f>"女"</f>
        <v>女</v>
      </c>
      <c r="D8851" s="2" t="str">
        <f t="shared" si="2083"/>
        <v>1</v>
      </c>
      <c r="E8851" s="2" t="str">
        <f>"生物与环境工程学院"</f>
        <v>生物与环境工程学院</v>
      </c>
    </row>
    <row r="8852" ht="13.5" hidden="1" spans="1:5">
      <c r="A8852" s="2" t="str">
        <f>"周丽秀"</f>
        <v>周丽秀</v>
      </c>
      <c r="B8852" s="2" t="str">
        <f>"B20231201134"</f>
        <v>B20231201134</v>
      </c>
      <c r="C8852" s="2" t="str">
        <f>"女"</f>
        <v>女</v>
      </c>
      <c r="D8852" s="2" t="str">
        <f>"3"</f>
        <v>3</v>
      </c>
      <c r="E8852" s="2" t="str">
        <f>"数学学院"</f>
        <v>数学学院</v>
      </c>
    </row>
    <row r="8853" ht="13.5" hidden="1" spans="1:5">
      <c r="A8853" s="2" t="str">
        <f>"李娜"</f>
        <v>李娜</v>
      </c>
      <c r="B8853" s="2" t="str">
        <f>"B20210104227"</f>
        <v>B20210104227</v>
      </c>
      <c r="C8853" s="2" t="str">
        <f>"女"</f>
        <v>女</v>
      </c>
      <c r="D8853" s="2" t="str">
        <f t="shared" si="2083"/>
        <v>1</v>
      </c>
      <c r="E8853" s="2" t="str">
        <f>"土木工程学院"</f>
        <v>土木工程学院</v>
      </c>
    </row>
    <row r="8854" ht="13.5" hidden="1" spans="1:5">
      <c r="A8854" s="2" t="str">
        <f>"王浚旭"</f>
        <v>王浚旭</v>
      </c>
      <c r="B8854" s="2" t="str">
        <f>"B20230903217"</f>
        <v>B20230903217</v>
      </c>
      <c r="C8854" s="2" t="str">
        <f t="shared" ref="C8852:C8858" si="2088">"男"</f>
        <v>男</v>
      </c>
      <c r="D8854" s="2" t="str">
        <f t="shared" si="2083"/>
        <v>1</v>
      </c>
      <c r="E8854" s="2" t="str">
        <f>"经济与管理学院"</f>
        <v>经济与管理学院</v>
      </c>
    </row>
    <row r="8855" ht="13.5" hidden="1" spans="1:5">
      <c r="A8855" s="2" t="str">
        <f>"陈家达"</f>
        <v>陈家达</v>
      </c>
      <c r="B8855" s="2" t="str">
        <f>"B20220501210"</f>
        <v>B20220501210</v>
      </c>
      <c r="C8855" s="2" t="str">
        <f t="shared" si="2088"/>
        <v>男</v>
      </c>
      <c r="D8855" s="2" t="str">
        <f t="shared" si="2083"/>
        <v>1</v>
      </c>
      <c r="E8855" s="2" t="str">
        <f>"生物与化学工程学院"</f>
        <v>生物与化学工程学院</v>
      </c>
    </row>
    <row r="8856" ht="13.5" hidden="1" spans="1:5">
      <c r="A8856" s="2" t="str">
        <f>"雷佳务"</f>
        <v>雷佳务</v>
      </c>
      <c r="B8856" s="2" t="str">
        <f>"B20230205126"</f>
        <v>B20230205126</v>
      </c>
      <c r="C8856" s="2" t="str">
        <f t="shared" si="2088"/>
        <v>男</v>
      </c>
      <c r="D8856" s="2" t="str">
        <f t="shared" si="2083"/>
        <v>1</v>
      </c>
      <c r="E8856" s="2" t="str">
        <f>"机电工程学院"</f>
        <v>机电工程学院</v>
      </c>
    </row>
    <row r="8857" ht="13.5" hidden="1" spans="1:5">
      <c r="A8857" s="2" t="str">
        <f>"罗好"</f>
        <v>罗好</v>
      </c>
      <c r="B8857" s="2" t="str">
        <f>"B20221302414"</f>
        <v>B20221302414</v>
      </c>
      <c r="C8857" s="2" t="str">
        <f t="shared" si="2088"/>
        <v>男</v>
      </c>
      <c r="D8857" s="2" t="str">
        <f t="shared" si="2083"/>
        <v>1</v>
      </c>
      <c r="E8857" s="2" t="str">
        <f>"材料与环境工程学院"</f>
        <v>材料与环境工程学院</v>
      </c>
    </row>
    <row r="8858" ht="13.5" hidden="1" spans="1:5">
      <c r="A8858" s="2" t="str">
        <f>"汤鑫诚"</f>
        <v>汤鑫诚</v>
      </c>
      <c r="B8858" s="2" t="str">
        <f>"B20210904219"</f>
        <v>B20210904219</v>
      </c>
      <c r="C8858" s="2" t="str">
        <f t="shared" si="2088"/>
        <v>男</v>
      </c>
      <c r="D8858" s="2" t="str">
        <f t="shared" si="2083"/>
        <v>1</v>
      </c>
      <c r="E8858" s="2" t="str">
        <f>"经济与管理学院"</f>
        <v>经济与管理学院</v>
      </c>
    </row>
    <row r="8859" ht="13.5" hidden="1" spans="1:5">
      <c r="A8859" s="2" t="str">
        <f>"曹懿雯"</f>
        <v>曹懿雯</v>
      </c>
      <c r="B8859" s="2" t="str">
        <f>"B20210102139"</f>
        <v>B20210102139</v>
      </c>
      <c r="C8859" s="2" t="str">
        <f>"女"</f>
        <v>女</v>
      </c>
      <c r="D8859" s="2" t="str">
        <f t="shared" si="2083"/>
        <v>1</v>
      </c>
      <c r="E8859" s="2" t="str">
        <f t="shared" ref="E8859:E8863" si="2089">"土木工程学院"</f>
        <v>土木工程学院</v>
      </c>
    </row>
    <row r="8860" ht="13.5" hidden="1" spans="1:5">
      <c r="A8860" s="2" t="str">
        <f>"吴浪轩"</f>
        <v>吴浪轩</v>
      </c>
      <c r="B8860" s="2" t="str">
        <f>"B20230101330"</f>
        <v>B20230101330</v>
      </c>
      <c r="C8860" s="2" t="str">
        <f t="shared" ref="C8860:C8863" si="2090">"男"</f>
        <v>男</v>
      </c>
      <c r="D8860" s="2" t="str">
        <f t="shared" si="2083"/>
        <v>1</v>
      </c>
      <c r="E8860" s="2" t="str">
        <f t="shared" si="2089"/>
        <v>土木工程学院</v>
      </c>
    </row>
    <row r="8861" ht="13.5" hidden="1" spans="1:5">
      <c r="A8861" s="2" t="str">
        <f>"陈垚鹏"</f>
        <v>陈垚鹏</v>
      </c>
      <c r="B8861" s="2" t="str">
        <f>"B20200202112"</f>
        <v>B20200202112</v>
      </c>
      <c r="C8861" s="2" t="str">
        <f t="shared" si="2090"/>
        <v>男</v>
      </c>
      <c r="D8861" s="2" t="str">
        <f t="shared" si="2083"/>
        <v>1</v>
      </c>
      <c r="E8861" s="2" t="str">
        <f>"机电工程学院"</f>
        <v>机电工程学院</v>
      </c>
    </row>
    <row r="8862" ht="13.5" hidden="1" spans="1:5">
      <c r="A8862" s="2" t="str">
        <f>"朱世琼"</f>
        <v>朱世琼</v>
      </c>
      <c r="B8862" s="2" t="str">
        <f>"B20210601420"</f>
        <v>B20210601420</v>
      </c>
      <c r="C8862" s="2" t="str">
        <f t="shared" si="2090"/>
        <v>男</v>
      </c>
      <c r="D8862" s="2" t="str">
        <f t="shared" si="2083"/>
        <v>1</v>
      </c>
      <c r="E8862" s="2" t="str">
        <f>"法学院"</f>
        <v>法学院</v>
      </c>
    </row>
    <row r="8863" ht="13.5" hidden="1" spans="1:5">
      <c r="A8863" s="2" t="str">
        <f>"何向阳"</f>
        <v>何向阳</v>
      </c>
      <c r="B8863" s="2" t="str">
        <f>"B20230101233"</f>
        <v>B20230101233</v>
      </c>
      <c r="C8863" s="2" t="str">
        <f t="shared" si="2090"/>
        <v>男</v>
      </c>
      <c r="D8863" s="2" t="str">
        <f t="shared" si="2083"/>
        <v>1</v>
      </c>
      <c r="E8863" s="2" t="str">
        <f t="shared" si="2089"/>
        <v>土木工程学院</v>
      </c>
    </row>
    <row r="8864" ht="13.5" hidden="1" spans="1:5">
      <c r="A8864" s="2" t="str">
        <f>"游好"</f>
        <v>游好</v>
      </c>
      <c r="B8864" s="2" t="str">
        <f>"B20200701121"</f>
        <v>B20200701121</v>
      </c>
      <c r="C8864" s="2" t="str">
        <f t="shared" ref="C8864:C8866" si="2091">"女"</f>
        <v>女</v>
      </c>
      <c r="D8864" s="2" t="str">
        <f t="shared" si="2083"/>
        <v>1</v>
      </c>
      <c r="E8864" s="2" t="str">
        <f>"马栏山新媒体学院"</f>
        <v>马栏山新媒体学院</v>
      </c>
    </row>
    <row r="8865" ht="13.5" hidden="1" spans="1:5">
      <c r="A8865" s="2" t="str">
        <f>"余意"</f>
        <v>余意</v>
      </c>
      <c r="B8865" s="2" t="str">
        <f>"B20210701110"</f>
        <v>B20210701110</v>
      </c>
      <c r="C8865" s="2" t="str">
        <f t="shared" si="2091"/>
        <v>女</v>
      </c>
      <c r="D8865" s="2" t="str">
        <f t="shared" si="2083"/>
        <v>1</v>
      </c>
      <c r="E8865" s="2" t="str">
        <f>"马栏山新媒体学院"</f>
        <v>马栏山新媒体学院</v>
      </c>
    </row>
    <row r="8866" ht="13.5" hidden="1" spans="1:5">
      <c r="A8866" s="2" t="str">
        <f>"孙沁钰"</f>
        <v>孙沁钰</v>
      </c>
      <c r="B8866" s="2" t="str">
        <f>"B20231003213"</f>
        <v>B20231003213</v>
      </c>
      <c r="C8866" s="2" t="str">
        <f t="shared" si="2091"/>
        <v>女</v>
      </c>
      <c r="D8866" s="2" t="str">
        <f t="shared" si="2083"/>
        <v>1</v>
      </c>
      <c r="E8866" s="2" t="str">
        <f>"艺术设计学院"</f>
        <v>艺术设计学院</v>
      </c>
    </row>
    <row r="8867" ht="13.5" hidden="1" spans="1:5">
      <c r="A8867" s="2" t="str">
        <f>"陈威"</f>
        <v>陈威</v>
      </c>
      <c r="B8867" s="2" t="str">
        <f>"B20230101320"</f>
        <v>B20230101320</v>
      </c>
      <c r="C8867" s="2" t="str">
        <f t="shared" ref="C8867:C8870" si="2092">"男"</f>
        <v>男</v>
      </c>
      <c r="D8867" s="2" t="str">
        <f t="shared" si="2083"/>
        <v>1</v>
      </c>
      <c r="E8867" s="2" t="str">
        <f>"土木工程学院"</f>
        <v>土木工程学院</v>
      </c>
    </row>
    <row r="8868" ht="13.5" hidden="1" spans="1:5">
      <c r="A8868" s="2" t="str">
        <f>"陈云"</f>
        <v>陈云</v>
      </c>
      <c r="B8868" s="2" t="str">
        <f>"B20231201201"</f>
        <v>B20231201201</v>
      </c>
      <c r="C8868" s="2" t="str">
        <f t="shared" si="2092"/>
        <v>男</v>
      </c>
      <c r="D8868" s="2" t="str">
        <f t="shared" si="2083"/>
        <v>1</v>
      </c>
      <c r="E8868" s="2" t="str">
        <f>"数学学院"</f>
        <v>数学学院</v>
      </c>
    </row>
    <row r="8869" ht="13.5" hidden="1" spans="1:5">
      <c r="A8869" s="2" t="str">
        <f>"魏傅晨"</f>
        <v>魏傅晨</v>
      </c>
      <c r="B8869" s="2" t="str">
        <f>"B20230501217"</f>
        <v>B20230501217</v>
      </c>
      <c r="C8869" s="2" t="str">
        <f t="shared" ref="C8869:C8874" si="2093">"女"</f>
        <v>女</v>
      </c>
      <c r="D8869" s="2" t="str">
        <f t="shared" si="2083"/>
        <v>1</v>
      </c>
      <c r="E8869" s="2" t="str">
        <f>"生物与化学工程学院"</f>
        <v>生物与化学工程学院</v>
      </c>
    </row>
    <row r="8870" ht="13.5" hidden="1" spans="1:5">
      <c r="A8870" s="2" t="str">
        <f>"段凌翔"</f>
        <v>段凌翔</v>
      </c>
      <c r="B8870" s="2" t="str">
        <f>"B20230103107"</f>
        <v>B20230103107</v>
      </c>
      <c r="C8870" s="2" t="str">
        <f t="shared" si="2092"/>
        <v>男</v>
      </c>
      <c r="D8870" s="2" t="str">
        <f t="shared" si="2083"/>
        <v>1</v>
      </c>
      <c r="E8870" s="2" t="str">
        <f>"土木工程学院"</f>
        <v>土木工程学院</v>
      </c>
    </row>
    <row r="8871" ht="13.5" hidden="1" spans="1:5">
      <c r="A8871" s="2" t="str">
        <f>"杨奕"</f>
        <v>杨奕</v>
      </c>
      <c r="B8871" s="2" t="str">
        <f>"B20211001422"</f>
        <v>B20211001422</v>
      </c>
      <c r="C8871" s="2" t="str">
        <f t="shared" si="2093"/>
        <v>女</v>
      </c>
      <c r="D8871" s="2" t="str">
        <f t="shared" si="2083"/>
        <v>1</v>
      </c>
      <c r="E8871" s="2" t="str">
        <f>"艺术设计学院"</f>
        <v>艺术设计学院</v>
      </c>
    </row>
    <row r="8872" ht="13.5" hidden="1" spans="1:5">
      <c r="A8872" s="2" t="str">
        <f>"陈冠鑫"</f>
        <v>陈冠鑫</v>
      </c>
      <c r="B8872" s="2" t="str">
        <f>"B20230702210"</f>
        <v>B20230702210</v>
      </c>
      <c r="C8872" s="2" t="str">
        <f>"男"</f>
        <v>男</v>
      </c>
      <c r="D8872" s="2" t="str">
        <f t="shared" si="2083"/>
        <v>1</v>
      </c>
      <c r="E8872" s="2" t="str">
        <f>"马栏山新媒体学院"</f>
        <v>马栏山新媒体学院</v>
      </c>
    </row>
    <row r="8873" ht="13.5" hidden="1" spans="1:5">
      <c r="A8873" s="2" t="str">
        <f>"冯玥"</f>
        <v>冯玥</v>
      </c>
      <c r="B8873" s="2" t="str">
        <f>"B20200306205"</f>
        <v>B20200306205</v>
      </c>
      <c r="C8873" s="2" t="str">
        <f t="shared" si="2093"/>
        <v>女</v>
      </c>
      <c r="D8873" s="2" t="str">
        <f t="shared" si="2083"/>
        <v>1</v>
      </c>
      <c r="E8873" s="2" t="str">
        <f>"外国语学院"</f>
        <v>外国语学院</v>
      </c>
    </row>
    <row r="8874" ht="13.5" hidden="1" spans="1:5">
      <c r="A8874" s="2" t="str">
        <f>"王藜"</f>
        <v>王藜</v>
      </c>
      <c r="B8874" s="2" t="str">
        <f>"B20201002405"</f>
        <v>B20201002405</v>
      </c>
      <c r="C8874" s="2" t="str">
        <f t="shared" si="2093"/>
        <v>女</v>
      </c>
      <c r="D8874" s="2" t="str">
        <f t="shared" si="2083"/>
        <v>1</v>
      </c>
      <c r="E8874" s="2" t="str">
        <f>"艺术设计学院"</f>
        <v>艺术设计学院</v>
      </c>
    </row>
    <row r="8875" ht="13.5" hidden="1" spans="1:5">
      <c r="A8875" s="2" t="str">
        <f>"文钧可"</f>
        <v>文钧可</v>
      </c>
      <c r="B8875" s="2" t="str">
        <f>"B20220502226"</f>
        <v>B20220502226</v>
      </c>
      <c r="C8875" s="2" t="str">
        <f>"男"</f>
        <v>男</v>
      </c>
      <c r="D8875" s="2" t="str">
        <f t="shared" si="2083"/>
        <v>1</v>
      </c>
      <c r="E8875" s="2" t="str">
        <f>"生物与化学工程学院"</f>
        <v>生物与化学工程学院</v>
      </c>
    </row>
    <row r="8876" ht="13.5" hidden="1" spans="1:5">
      <c r="A8876" s="2" t="str">
        <f>"易庭"</f>
        <v>易庭</v>
      </c>
      <c r="B8876" s="2" t="str">
        <f>"B20230402118"</f>
        <v>B20230402118</v>
      </c>
      <c r="C8876" s="2" t="str">
        <f>"女"</f>
        <v>女</v>
      </c>
      <c r="D8876" s="2" t="str">
        <f t="shared" si="2083"/>
        <v>1</v>
      </c>
      <c r="E8876" s="2" t="str">
        <f>"电子信息与电气工程学院"</f>
        <v>电子信息与电气工程学院</v>
      </c>
    </row>
    <row r="8877" ht="13.5" hidden="1" spans="1:5">
      <c r="A8877" s="2" t="str">
        <f>"张志豪"</f>
        <v>张志豪</v>
      </c>
      <c r="B8877" s="2" t="str">
        <f>"B20231201204"</f>
        <v>B20231201204</v>
      </c>
      <c r="C8877" s="2" t="str">
        <f>"男"</f>
        <v>男</v>
      </c>
      <c r="D8877" s="2" t="str">
        <f>"3"</f>
        <v>3</v>
      </c>
      <c r="E8877" s="2" t="str">
        <f>"数学学院"</f>
        <v>数学学院</v>
      </c>
    </row>
    <row r="8878" ht="13.5" hidden="1" spans="1:5">
      <c r="A8878" s="2" t="str">
        <f>"张郴"</f>
        <v>张郴</v>
      </c>
      <c r="B8878" s="2" t="str">
        <f>"B20230102119"</f>
        <v>B20230102119</v>
      </c>
      <c r="C8878" s="2" t="str">
        <f>"女"</f>
        <v>女</v>
      </c>
      <c r="D8878" s="2" t="str">
        <f t="shared" si="2083"/>
        <v>1</v>
      </c>
      <c r="E8878" s="2" t="str">
        <f>"土木工程学院"</f>
        <v>土木工程学院</v>
      </c>
    </row>
    <row r="8879" ht="13.5" hidden="1" spans="1:5">
      <c r="A8879" s="2" t="str">
        <f>"王俊鹏"</f>
        <v>王俊鹏</v>
      </c>
      <c r="B8879" s="2" t="str">
        <f>"B20231201208"</f>
        <v>B20231201208</v>
      </c>
      <c r="C8879" s="2" t="str">
        <f>"男"</f>
        <v>男</v>
      </c>
      <c r="D8879" s="2" t="str">
        <f>"9"</f>
        <v>9</v>
      </c>
      <c r="E8879" s="2" t="str">
        <f>"数学学院"</f>
        <v>数学学院</v>
      </c>
    </row>
    <row r="8880" ht="13.5" hidden="1" spans="1:5">
      <c r="A8880" s="2" t="str">
        <f>"何涛"</f>
        <v>何涛</v>
      </c>
      <c r="B8880" s="2" t="str">
        <f>"B20230101226"</f>
        <v>B20230101226</v>
      </c>
      <c r="C8880" s="2" t="str">
        <f>"男"</f>
        <v>男</v>
      </c>
      <c r="D8880" s="2" t="str">
        <f t="shared" si="2083"/>
        <v>1</v>
      </c>
      <c r="E8880" s="2" t="str">
        <f t="shared" ref="E8880:E8885" si="2094">"土木工程学院"</f>
        <v>土木工程学院</v>
      </c>
    </row>
    <row r="8881" ht="13.5" hidden="1" spans="1:5">
      <c r="A8881" s="2" t="str">
        <f>"李翔宇"</f>
        <v>李翔宇</v>
      </c>
      <c r="B8881" s="2" t="str">
        <f>"B20231201213"</f>
        <v>B20231201213</v>
      </c>
      <c r="C8881" s="2" t="str">
        <f>"男"</f>
        <v>男</v>
      </c>
      <c r="D8881" s="2" t="str">
        <f>"6"</f>
        <v>6</v>
      </c>
      <c r="E8881" s="2" t="str">
        <f>"数学学院"</f>
        <v>数学学院</v>
      </c>
    </row>
    <row r="8882" ht="13.5" hidden="1" spans="1:5">
      <c r="A8882" s="2" t="str">
        <f>"赵晨宇"</f>
        <v>赵晨宇</v>
      </c>
      <c r="B8882" s="2" t="str">
        <f>"B20231201214"</f>
        <v>B20231201214</v>
      </c>
      <c r="C8882" s="2" t="str">
        <f>"男"</f>
        <v>男</v>
      </c>
      <c r="D8882" s="2" t="str">
        <f>"7"</f>
        <v>7</v>
      </c>
      <c r="E8882" s="2" t="str">
        <f>"数学学院"</f>
        <v>数学学院</v>
      </c>
    </row>
    <row r="8883" ht="13.5" hidden="1" spans="1:5">
      <c r="A8883" s="2" t="str">
        <f>"朱芷萱"</f>
        <v>朱芷萱</v>
      </c>
      <c r="B8883" s="2" t="str">
        <f>"B20231401205"</f>
        <v>B20231401205</v>
      </c>
      <c r="C8883" s="2" t="str">
        <f t="shared" ref="C8883:C8886" si="2095">"女"</f>
        <v>女</v>
      </c>
      <c r="D8883" s="2" t="str">
        <f t="shared" si="2083"/>
        <v>1</v>
      </c>
      <c r="E8883" s="2" t="str">
        <f>"马克思主义学院"</f>
        <v>马克思主义学院</v>
      </c>
    </row>
    <row r="8884" ht="13.5" hidden="1" spans="1:5">
      <c r="A8884" s="2" t="str">
        <f>"刘昀淏"</f>
        <v>刘昀淏</v>
      </c>
      <c r="B8884" s="2" t="str">
        <f>"B20230102201"</f>
        <v>B20230102201</v>
      </c>
      <c r="C8884" s="2" t="str">
        <f t="shared" ref="C8884:C8888" si="2096">"男"</f>
        <v>男</v>
      </c>
      <c r="D8884" s="2" t="str">
        <f t="shared" si="2083"/>
        <v>1</v>
      </c>
      <c r="E8884" s="2" t="str">
        <f t="shared" si="2094"/>
        <v>土木工程学院</v>
      </c>
    </row>
    <row r="8885" ht="13.5" hidden="1" spans="1:5">
      <c r="A8885" s="2" t="str">
        <f>"贺玺"</f>
        <v>贺玺</v>
      </c>
      <c r="B8885" s="2" t="str">
        <f>"B20230104135"</f>
        <v>B20230104135</v>
      </c>
      <c r="C8885" s="2" t="str">
        <f t="shared" si="2095"/>
        <v>女</v>
      </c>
      <c r="D8885" s="2" t="str">
        <f t="shared" si="2083"/>
        <v>1</v>
      </c>
      <c r="E8885" s="2" t="str">
        <f t="shared" si="2094"/>
        <v>土木工程学院</v>
      </c>
    </row>
    <row r="8886" ht="13.5" hidden="1" spans="1:5">
      <c r="A8886" s="2" t="str">
        <f>"吕勇博"</f>
        <v>吕勇博</v>
      </c>
      <c r="B8886" s="2" t="str">
        <f>"B20231201215"</f>
        <v>B20231201215</v>
      </c>
      <c r="C8886" s="2" t="str">
        <f>"男"</f>
        <v>男</v>
      </c>
      <c r="D8886" s="2" t="str">
        <f>"7"</f>
        <v>7</v>
      </c>
      <c r="E8886" s="2" t="str">
        <f>"数学学院"</f>
        <v>数学学院</v>
      </c>
    </row>
    <row r="8887" ht="13.5" hidden="1" spans="1:5">
      <c r="A8887" s="2" t="str">
        <f>"徐峥"</f>
        <v>徐峥</v>
      </c>
      <c r="B8887" s="2" t="str">
        <f>"B20200503236"</f>
        <v>B20200503236</v>
      </c>
      <c r="C8887" s="2" t="str">
        <f t="shared" si="2096"/>
        <v>男</v>
      </c>
      <c r="D8887" s="2" t="str">
        <f t="shared" si="2083"/>
        <v>1</v>
      </c>
      <c r="E8887" s="2" t="str">
        <f>"生物与环境工程学院"</f>
        <v>生物与环境工程学院</v>
      </c>
    </row>
    <row r="8888" ht="13.5" hidden="1" spans="1:5">
      <c r="A8888" s="2" t="str">
        <f>"谌洵"</f>
        <v>谌洵</v>
      </c>
      <c r="B8888" s="2" t="str">
        <f>"B20210505224"</f>
        <v>B20210505224</v>
      </c>
      <c r="C8888" s="2" t="str">
        <f t="shared" si="2096"/>
        <v>男</v>
      </c>
      <c r="D8888" s="2" t="str">
        <f t="shared" si="2083"/>
        <v>1</v>
      </c>
      <c r="E8888" s="2" t="str">
        <f>"材料与环境工程学院"</f>
        <v>材料与环境工程学院</v>
      </c>
    </row>
    <row r="8889" ht="13.5" hidden="1" spans="1:5">
      <c r="A8889" s="2" t="str">
        <f>"何惠芳"</f>
        <v>何惠芳</v>
      </c>
      <c r="B8889" s="2" t="str">
        <f>"B20201002412"</f>
        <v>B20201002412</v>
      </c>
      <c r="C8889" s="2" t="str">
        <f>"女"</f>
        <v>女</v>
      </c>
      <c r="D8889" s="2" t="str">
        <f t="shared" si="2083"/>
        <v>1</v>
      </c>
      <c r="E8889" s="2" t="str">
        <f>"艺术设计学院"</f>
        <v>艺术设计学院</v>
      </c>
    </row>
    <row r="8890" ht="13.5" hidden="1" spans="1:5">
      <c r="A8890" s="2" t="str">
        <f>"朱文昊"</f>
        <v>朱文昊</v>
      </c>
      <c r="B8890" s="2" t="str">
        <f>"B20230102212"</f>
        <v>B20230102212</v>
      </c>
      <c r="C8890" s="2" t="str">
        <f t="shared" ref="C8890:C8897" si="2097">"男"</f>
        <v>男</v>
      </c>
      <c r="D8890" s="2" t="str">
        <f t="shared" si="2083"/>
        <v>1</v>
      </c>
      <c r="E8890" s="2" t="str">
        <f>"土木工程学院"</f>
        <v>土木工程学院</v>
      </c>
    </row>
    <row r="8891" ht="13.5" hidden="1" spans="1:5">
      <c r="A8891" s="2" t="str">
        <f>"雷兵惠"</f>
        <v>雷兵惠</v>
      </c>
      <c r="B8891" s="2" t="str">
        <f>"B20220401124"</f>
        <v>B20220401124</v>
      </c>
      <c r="C8891" s="2" t="str">
        <f t="shared" si="2097"/>
        <v>男</v>
      </c>
      <c r="D8891" s="2" t="str">
        <f t="shared" si="2083"/>
        <v>1</v>
      </c>
      <c r="E8891" s="2" t="str">
        <f>"电子信息与电气工程学院"</f>
        <v>电子信息与电气工程学院</v>
      </c>
    </row>
    <row r="8892" ht="13.5" hidden="1" spans="1:5">
      <c r="A8892" s="2" t="str">
        <f>"何蕊"</f>
        <v>何蕊</v>
      </c>
      <c r="B8892" s="2" t="str">
        <f>"B20231401108"</f>
        <v>B20231401108</v>
      </c>
      <c r="C8892" s="2" t="str">
        <f>"女"</f>
        <v>女</v>
      </c>
      <c r="D8892" s="2" t="str">
        <f t="shared" si="2083"/>
        <v>1</v>
      </c>
      <c r="E8892" s="2" t="str">
        <f>"马克思主义学院"</f>
        <v>马克思主义学院</v>
      </c>
    </row>
    <row r="8893" ht="13.5" hidden="1" spans="1:5">
      <c r="A8893" s="2" t="str">
        <f>"甄熠彤"</f>
        <v>甄熠彤</v>
      </c>
      <c r="B8893" s="2" t="str">
        <f>"B20210903234"</f>
        <v>B20210903234</v>
      </c>
      <c r="C8893" s="2" t="str">
        <f t="shared" si="2097"/>
        <v>男</v>
      </c>
      <c r="D8893" s="2" t="str">
        <f t="shared" si="2083"/>
        <v>1</v>
      </c>
      <c r="E8893" s="2" t="str">
        <f>"经济与管理学院"</f>
        <v>经济与管理学院</v>
      </c>
    </row>
    <row r="8894" ht="13.5" hidden="1" spans="1:5">
      <c r="A8894" s="2" t="str">
        <f>"袁珍"</f>
        <v>袁珍</v>
      </c>
      <c r="B8894" s="2" t="str">
        <f>"B20231201219"</f>
        <v>B20231201219</v>
      </c>
      <c r="C8894" s="2" t="str">
        <f>"女"</f>
        <v>女</v>
      </c>
      <c r="D8894" s="2" t="str">
        <f t="shared" si="2083"/>
        <v>1</v>
      </c>
      <c r="E8894" s="2" t="str">
        <f>"数学学院"</f>
        <v>数学学院</v>
      </c>
    </row>
    <row r="8895" ht="13.5" hidden="1" spans="1:5">
      <c r="A8895" s="2" t="str">
        <f>"章灿"</f>
        <v>章灿</v>
      </c>
      <c r="B8895" s="2" t="str">
        <f>"B20231201220"</f>
        <v>B20231201220</v>
      </c>
      <c r="C8895" s="2" t="str">
        <f>"女"</f>
        <v>女</v>
      </c>
      <c r="D8895" s="2" t="str">
        <f t="shared" si="2083"/>
        <v>1</v>
      </c>
      <c r="E8895" s="2" t="str">
        <f>"数学学院"</f>
        <v>数学学院</v>
      </c>
    </row>
    <row r="8896" ht="13.5" hidden="1" spans="1:5">
      <c r="A8896" s="2" t="str">
        <f>"曾磊"</f>
        <v>曾磊</v>
      </c>
      <c r="B8896" s="2" t="str">
        <f>"B20221302404"</f>
        <v>B20221302404</v>
      </c>
      <c r="C8896" s="2" t="str">
        <f t="shared" si="2097"/>
        <v>男</v>
      </c>
      <c r="D8896" s="2" t="str">
        <f t="shared" si="2083"/>
        <v>1</v>
      </c>
      <c r="E8896" s="2" t="str">
        <f>"材料与环境工程学院"</f>
        <v>材料与环境工程学院</v>
      </c>
    </row>
    <row r="8897" ht="13.5" hidden="1" spans="1:5">
      <c r="A8897" s="2" t="str">
        <f>"汪嘉涛"</f>
        <v>汪嘉涛</v>
      </c>
      <c r="B8897" s="2" t="str">
        <f>"B20230404232"</f>
        <v>B20230404232</v>
      </c>
      <c r="C8897" s="2" t="str">
        <f t="shared" si="2097"/>
        <v>男</v>
      </c>
      <c r="D8897" s="2" t="str">
        <f t="shared" ref="D8897:D8960" si="2098">"1"</f>
        <v>1</v>
      </c>
      <c r="E8897" s="2" t="str">
        <f>"电子信息与电气工程学院"</f>
        <v>电子信息与电气工程学院</v>
      </c>
    </row>
    <row r="8898" ht="13.5" hidden="1" spans="1:5">
      <c r="A8898" s="2" t="str">
        <f>"凌婷"</f>
        <v>凌婷</v>
      </c>
      <c r="B8898" s="2" t="str">
        <f>"B20210502217"</f>
        <v>B20210502217</v>
      </c>
      <c r="C8898" s="2" t="str">
        <f>"女"</f>
        <v>女</v>
      </c>
      <c r="D8898" s="2" t="str">
        <f t="shared" si="2098"/>
        <v>1</v>
      </c>
      <c r="E8898" s="2" t="str">
        <f>"生物与化学工程学院"</f>
        <v>生物与化学工程学院</v>
      </c>
    </row>
    <row r="8899" ht="13.5" hidden="1" spans="1:5">
      <c r="A8899" s="2" t="str">
        <f>"董小楠"</f>
        <v>董小楠</v>
      </c>
      <c r="B8899" s="2" t="str">
        <f>"B20210801506"</f>
        <v>B20210801506</v>
      </c>
      <c r="C8899" s="2" t="str">
        <f>"女"</f>
        <v>女</v>
      </c>
      <c r="D8899" s="2" t="str">
        <f t="shared" si="2098"/>
        <v>1</v>
      </c>
      <c r="E8899" s="2" t="str">
        <f>"外国语学院"</f>
        <v>外国语学院</v>
      </c>
    </row>
    <row r="8900" ht="13.5" hidden="1" spans="1:5">
      <c r="A8900" s="2" t="str">
        <f>"樊星辉"</f>
        <v>樊星辉</v>
      </c>
      <c r="B8900" s="2" t="str">
        <f>"B20200504222"</f>
        <v>B20200504222</v>
      </c>
      <c r="C8900" s="2" t="str">
        <f t="shared" ref="C8900:C8905" si="2099">"男"</f>
        <v>男</v>
      </c>
      <c r="D8900" s="2" t="str">
        <f t="shared" si="2098"/>
        <v>1</v>
      </c>
      <c r="E8900" s="2" t="str">
        <f>"生物与环境工程学院"</f>
        <v>生物与环境工程学院</v>
      </c>
    </row>
    <row r="8901" ht="13.5" hidden="1" spans="1:5">
      <c r="A8901" s="2" t="str">
        <f>"赵望"</f>
        <v>赵望</v>
      </c>
      <c r="B8901" s="2" t="str">
        <f>"B20230103128"</f>
        <v>B20230103128</v>
      </c>
      <c r="C8901" s="2" t="str">
        <f t="shared" si="2099"/>
        <v>男</v>
      </c>
      <c r="D8901" s="2" t="str">
        <f t="shared" si="2098"/>
        <v>1</v>
      </c>
      <c r="E8901" s="2" t="str">
        <f t="shared" ref="E8901:E8905" si="2100">"土木工程学院"</f>
        <v>土木工程学院</v>
      </c>
    </row>
    <row r="8902" ht="13.5" hidden="1" spans="1:5">
      <c r="A8902" s="2" t="str">
        <f>"雷志豪"</f>
        <v>雷志豪</v>
      </c>
      <c r="B8902" s="2" t="str">
        <f>"B20220204227"</f>
        <v>B20220204227</v>
      </c>
      <c r="C8902" s="2" t="str">
        <f t="shared" si="2099"/>
        <v>男</v>
      </c>
      <c r="D8902" s="2" t="str">
        <f t="shared" si="2098"/>
        <v>1</v>
      </c>
      <c r="E8902" s="2" t="str">
        <f>"机电工程学院"</f>
        <v>机电工程学院</v>
      </c>
    </row>
    <row r="8903" ht="13.5" hidden="1" spans="1:5">
      <c r="A8903" s="2" t="str">
        <f>"戴辉"</f>
        <v>戴辉</v>
      </c>
      <c r="B8903" s="2" t="str">
        <f>"B20230101319"</f>
        <v>B20230101319</v>
      </c>
      <c r="C8903" s="2" t="str">
        <f t="shared" si="2099"/>
        <v>男</v>
      </c>
      <c r="D8903" s="2" t="str">
        <f t="shared" si="2098"/>
        <v>1</v>
      </c>
      <c r="E8903" s="2" t="str">
        <f t="shared" si="2100"/>
        <v>土木工程学院</v>
      </c>
    </row>
    <row r="8904" ht="13.5" hidden="1" spans="1:5">
      <c r="A8904" s="2" t="str">
        <f>"杨宇谦"</f>
        <v>杨宇谦</v>
      </c>
      <c r="B8904" s="2" t="str">
        <f>"B20231201221"</f>
        <v>B20231201221</v>
      </c>
      <c r="C8904" s="2" t="str">
        <f t="shared" si="2099"/>
        <v>男</v>
      </c>
      <c r="D8904" s="2" t="str">
        <f>"3"</f>
        <v>3</v>
      </c>
      <c r="E8904" s="2" t="str">
        <f>"数学学院"</f>
        <v>数学学院</v>
      </c>
    </row>
    <row r="8905" ht="13.5" hidden="1" spans="1:5">
      <c r="A8905" s="2" t="str">
        <f>"邱偈"</f>
        <v>邱偈</v>
      </c>
      <c r="B8905" s="2" t="str">
        <f>"B20230101235"</f>
        <v>B20230101235</v>
      </c>
      <c r="C8905" s="2" t="str">
        <f t="shared" si="2099"/>
        <v>男</v>
      </c>
      <c r="D8905" s="2" t="str">
        <f t="shared" si="2098"/>
        <v>1</v>
      </c>
      <c r="E8905" s="2" t="str">
        <f t="shared" si="2100"/>
        <v>土木工程学院</v>
      </c>
    </row>
    <row r="8906" ht="13.5" hidden="1" spans="1:5">
      <c r="A8906" s="2" t="str">
        <f>"王检兰"</f>
        <v>王检兰</v>
      </c>
      <c r="B8906" s="2" t="str">
        <f>"B20210704124"</f>
        <v>B20210704124</v>
      </c>
      <c r="C8906" s="2" t="str">
        <f t="shared" ref="C8906:C8909" si="2101">"女"</f>
        <v>女</v>
      </c>
      <c r="D8906" s="2" t="str">
        <f t="shared" si="2098"/>
        <v>1</v>
      </c>
      <c r="E8906" s="2" t="str">
        <f t="shared" ref="E8906:E8909" si="2102">"马栏山新媒体学院"</f>
        <v>马栏山新媒体学院</v>
      </c>
    </row>
    <row r="8907" ht="13.5" hidden="1" spans="1:5">
      <c r="A8907" s="2" t="str">
        <f>"叶素芳"</f>
        <v>叶素芳</v>
      </c>
      <c r="B8907" s="2" t="str">
        <f>"B20210504201"</f>
        <v>B20210504201</v>
      </c>
      <c r="C8907" s="2" t="str">
        <f t="shared" si="2101"/>
        <v>女</v>
      </c>
      <c r="D8907" s="2" t="str">
        <f t="shared" si="2098"/>
        <v>1</v>
      </c>
      <c r="E8907" s="2" t="str">
        <f>"生物与化学工程学院"</f>
        <v>生物与化学工程学院</v>
      </c>
    </row>
    <row r="8908" ht="13.5" hidden="1" spans="1:5">
      <c r="A8908" s="2" t="str">
        <f>"唐心怡"</f>
        <v>唐心怡</v>
      </c>
      <c r="B8908" s="2" t="str">
        <f>"B20210701318"</f>
        <v>B20210701318</v>
      </c>
      <c r="C8908" s="2" t="str">
        <f t="shared" si="2101"/>
        <v>女</v>
      </c>
      <c r="D8908" s="2" t="str">
        <f t="shared" si="2098"/>
        <v>1</v>
      </c>
      <c r="E8908" s="2" t="str">
        <f t="shared" si="2102"/>
        <v>马栏山新媒体学院</v>
      </c>
    </row>
    <row r="8909" ht="13.5" hidden="1" spans="1:5">
      <c r="A8909" s="2" t="str">
        <f>"农润轩"</f>
        <v>农润轩</v>
      </c>
      <c r="B8909" s="2" t="str">
        <f>"B20220704306"</f>
        <v>B20220704306</v>
      </c>
      <c r="C8909" s="2" t="str">
        <f t="shared" si="2101"/>
        <v>女</v>
      </c>
      <c r="D8909" s="2" t="str">
        <f t="shared" si="2098"/>
        <v>1</v>
      </c>
      <c r="E8909" s="2" t="str">
        <f t="shared" si="2102"/>
        <v>马栏山新媒体学院</v>
      </c>
    </row>
    <row r="8910" ht="13.5" hidden="1" spans="1:5">
      <c r="A8910" s="2" t="str">
        <f>"曾洋超"</f>
        <v>曾洋超</v>
      </c>
      <c r="B8910" s="2" t="str">
        <f>"B20210505109"</f>
        <v>B20210505109</v>
      </c>
      <c r="C8910" s="2" t="str">
        <f t="shared" ref="C8910:C8914" si="2103">"男"</f>
        <v>男</v>
      </c>
      <c r="D8910" s="2" t="str">
        <f t="shared" si="2098"/>
        <v>1</v>
      </c>
      <c r="E8910" s="2" t="str">
        <f>"材料与环境工程学院"</f>
        <v>材料与环境工程学院</v>
      </c>
    </row>
    <row r="8911" ht="13.5" hidden="1" spans="1:5">
      <c r="A8911" s="2" t="str">
        <f>"张妍"</f>
        <v>张妍</v>
      </c>
      <c r="B8911" s="2" t="str">
        <f>"B20200401228"</f>
        <v>B20200401228</v>
      </c>
      <c r="C8911" s="2" t="str">
        <f t="shared" ref="C8911:C8915" si="2104">"女"</f>
        <v>女</v>
      </c>
      <c r="D8911" s="2" t="str">
        <f t="shared" si="2098"/>
        <v>1</v>
      </c>
      <c r="E8911" s="2" t="str">
        <f>"电子信息与电气工程学院"</f>
        <v>电子信息与电气工程学院</v>
      </c>
    </row>
    <row r="8912" ht="13.5" hidden="1" spans="1:5">
      <c r="A8912" s="2" t="str">
        <f>"谢子璇"</f>
        <v>谢子璇</v>
      </c>
      <c r="B8912" s="2" t="str">
        <f>"B20200803119"</f>
        <v>B20200803119</v>
      </c>
      <c r="C8912" s="2" t="str">
        <f t="shared" si="2104"/>
        <v>女</v>
      </c>
      <c r="D8912" s="2" t="str">
        <f t="shared" si="2098"/>
        <v>1</v>
      </c>
      <c r="E8912" s="2" t="str">
        <f>"外国语学院"</f>
        <v>外国语学院</v>
      </c>
    </row>
    <row r="8913" ht="13.5" hidden="1" spans="1:5">
      <c r="A8913" s="2" t="str">
        <f>"吴炙翔"</f>
        <v>吴炙翔</v>
      </c>
      <c r="B8913" s="2" t="str">
        <f>"B20230201119"</f>
        <v>B20230201119</v>
      </c>
      <c r="C8913" s="2" t="str">
        <f t="shared" si="2103"/>
        <v>男</v>
      </c>
      <c r="D8913" s="2" t="str">
        <f t="shared" si="2098"/>
        <v>1</v>
      </c>
      <c r="E8913" s="2" t="str">
        <f>"机电工程学院"</f>
        <v>机电工程学院</v>
      </c>
    </row>
    <row r="8914" ht="13.5" hidden="1" spans="1:5">
      <c r="A8914" s="2" t="str">
        <f>"倪同玉"</f>
        <v>倪同玉</v>
      </c>
      <c r="B8914" s="2" t="str">
        <f>"B20210901128"</f>
        <v>B20210901128</v>
      </c>
      <c r="C8914" s="2" t="str">
        <f t="shared" si="2103"/>
        <v>男</v>
      </c>
      <c r="D8914" s="2" t="str">
        <f t="shared" si="2098"/>
        <v>1</v>
      </c>
      <c r="E8914" s="2" t="str">
        <f>"经济与管理学院"</f>
        <v>经济与管理学院</v>
      </c>
    </row>
    <row r="8915" ht="13.5" hidden="1" spans="1:5">
      <c r="A8915" s="2" t="str">
        <f>"陈芳"</f>
        <v>陈芳</v>
      </c>
      <c r="B8915" s="2" t="str">
        <f>"B20210701122"</f>
        <v>B20210701122</v>
      </c>
      <c r="C8915" s="2" t="str">
        <f t="shared" si="2104"/>
        <v>女</v>
      </c>
      <c r="D8915" s="2" t="str">
        <f t="shared" si="2098"/>
        <v>1</v>
      </c>
      <c r="E8915" s="2" t="str">
        <f>"马栏山新媒体学院"</f>
        <v>马栏山新媒体学院</v>
      </c>
    </row>
    <row r="8916" ht="13.5" hidden="1" spans="1:5">
      <c r="A8916" s="2" t="str">
        <f>"谢学辉"</f>
        <v>谢学辉</v>
      </c>
      <c r="B8916" s="2" t="str">
        <f>"B20210505231"</f>
        <v>B20210505231</v>
      </c>
      <c r="C8916" s="2" t="str">
        <f t="shared" ref="C8916:C8921" si="2105">"男"</f>
        <v>男</v>
      </c>
      <c r="D8916" s="2" t="str">
        <f t="shared" si="2098"/>
        <v>1</v>
      </c>
      <c r="E8916" s="2" t="str">
        <f>"材料与环境工程学院"</f>
        <v>材料与环境工程学院</v>
      </c>
    </row>
    <row r="8917" ht="13.5" hidden="1" spans="1:5">
      <c r="A8917" s="2" t="str">
        <f>"葛澜"</f>
        <v>葛澜</v>
      </c>
      <c r="B8917" s="2" t="str">
        <f>"B20200501109"</f>
        <v>B20200501109</v>
      </c>
      <c r="C8917" s="2" t="str">
        <f t="shared" ref="C8917:C8920" si="2106">"女"</f>
        <v>女</v>
      </c>
      <c r="D8917" s="2" t="str">
        <f t="shared" si="2098"/>
        <v>1</v>
      </c>
      <c r="E8917" s="2" t="str">
        <f>"生物与环境工程学院"</f>
        <v>生物与环境工程学院</v>
      </c>
    </row>
    <row r="8918" ht="13.5" hidden="1" spans="1:5">
      <c r="A8918" s="2" t="str">
        <f>"夏芷琪"</f>
        <v>夏芷琪</v>
      </c>
      <c r="B8918" s="2" t="str">
        <f>"B20200701226"</f>
        <v>B20200701226</v>
      </c>
      <c r="C8918" s="2" t="str">
        <f t="shared" si="2106"/>
        <v>女</v>
      </c>
      <c r="D8918" s="2" t="str">
        <f t="shared" si="2098"/>
        <v>1</v>
      </c>
      <c r="E8918" s="2" t="str">
        <f>"马栏山新媒体学院"</f>
        <v>马栏山新媒体学院</v>
      </c>
    </row>
    <row r="8919" ht="13.5" hidden="1" spans="1:5">
      <c r="A8919" s="2" t="str">
        <f>"田长泉"</f>
        <v>田长泉</v>
      </c>
      <c r="B8919" s="2" t="str">
        <f>"B20200202209"</f>
        <v>B20200202209</v>
      </c>
      <c r="C8919" s="2" t="str">
        <f t="shared" si="2105"/>
        <v>男</v>
      </c>
      <c r="D8919" s="2" t="str">
        <f t="shared" si="2098"/>
        <v>1</v>
      </c>
      <c r="E8919" s="2" t="str">
        <f>"机电工程学院"</f>
        <v>机电工程学院</v>
      </c>
    </row>
    <row r="8920" ht="13.5" hidden="1" spans="1:5">
      <c r="A8920" s="2" t="str">
        <f>"刘斌艳"</f>
        <v>刘斌艳</v>
      </c>
      <c r="B8920" s="2" t="str">
        <f>"B20200503114"</f>
        <v>B20200503114</v>
      </c>
      <c r="C8920" s="2" t="str">
        <f t="shared" si="2106"/>
        <v>女</v>
      </c>
      <c r="D8920" s="2" t="str">
        <f t="shared" si="2098"/>
        <v>1</v>
      </c>
      <c r="E8920" s="2" t="str">
        <f>"生物与环境工程学院"</f>
        <v>生物与环境工程学院</v>
      </c>
    </row>
    <row r="8921" ht="13.5" hidden="1" spans="1:5">
      <c r="A8921" s="2" t="str">
        <f>"刘祺伟"</f>
        <v>刘祺伟</v>
      </c>
      <c r="B8921" s="2" t="str">
        <f>"B20231301137"</f>
        <v>B20231301137</v>
      </c>
      <c r="C8921" s="2" t="str">
        <f t="shared" si="2105"/>
        <v>男</v>
      </c>
      <c r="D8921" s="2" t="str">
        <f t="shared" si="2098"/>
        <v>1</v>
      </c>
      <c r="E8921" s="2" t="str">
        <f>"材料与环境工程学院"</f>
        <v>材料与环境工程学院</v>
      </c>
    </row>
    <row r="8922" ht="13.5" hidden="1" spans="1:5">
      <c r="A8922" s="2" t="str">
        <f>"崔忠睿"</f>
        <v>崔忠睿</v>
      </c>
      <c r="B8922" s="2" t="str">
        <f>"B20231002424"</f>
        <v>B20231002424</v>
      </c>
      <c r="C8922" s="2" t="str">
        <f t="shared" ref="C8922:C8928" si="2107">"女"</f>
        <v>女</v>
      </c>
      <c r="D8922" s="2" t="str">
        <f t="shared" si="2098"/>
        <v>1</v>
      </c>
      <c r="E8922" s="2" t="str">
        <f>"艺术设计学院"</f>
        <v>艺术设计学院</v>
      </c>
    </row>
    <row r="8923" ht="13.5" hidden="1" spans="1:5">
      <c r="A8923" s="2" t="str">
        <f>"王勇军"</f>
        <v>王勇军</v>
      </c>
      <c r="B8923" s="2" t="str">
        <f>"B20220705113"</f>
        <v>B20220705113</v>
      </c>
      <c r="C8923" s="2" t="str">
        <f t="shared" ref="C8923:C8925" si="2108">"男"</f>
        <v>男</v>
      </c>
      <c r="D8923" s="2" t="str">
        <f t="shared" si="2098"/>
        <v>1</v>
      </c>
      <c r="E8923" s="2" t="str">
        <f>"马栏山新媒体学院"</f>
        <v>马栏山新媒体学院</v>
      </c>
    </row>
    <row r="8924" ht="13.5" hidden="1" spans="1:5">
      <c r="A8924" s="2" t="str">
        <f>"徐远恒"</f>
        <v>徐远恒</v>
      </c>
      <c r="B8924" s="2" t="str">
        <f>"B20220401225"</f>
        <v>B20220401225</v>
      </c>
      <c r="C8924" s="2" t="str">
        <f t="shared" si="2108"/>
        <v>男</v>
      </c>
      <c r="D8924" s="2" t="str">
        <f t="shared" si="2098"/>
        <v>1</v>
      </c>
      <c r="E8924" s="2" t="str">
        <f>"电子信息与电气工程学院"</f>
        <v>电子信息与电气工程学院</v>
      </c>
    </row>
    <row r="8925" ht="13.5" hidden="1" spans="1:5">
      <c r="A8925" s="2" t="str">
        <f>"陈钜江"</f>
        <v>陈钜江</v>
      </c>
      <c r="B8925" s="2" t="str">
        <f>"B20200401422"</f>
        <v>B20200401422</v>
      </c>
      <c r="C8925" s="2" t="str">
        <f t="shared" si="2108"/>
        <v>男</v>
      </c>
      <c r="D8925" s="2" t="str">
        <f t="shared" si="2098"/>
        <v>1</v>
      </c>
      <c r="E8925" s="2" t="str">
        <f>"电子信息与电气工程学院"</f>
        <v>电子信息与电气工程学院</v>
      </c>
    </row>
    <row r="8926" ht="13.5" hidden="1" spans="1:5">
      <c r="A8926" s="2" t="str">
        <f>"瞿楚楚"</f>
        <v>瞿楚楚</v>
      </c>
      <c r="B8926" s="2" t="str">
        <f>"B20210905120"</f>
        <v>B20210905120</v>
      </c>
      <c r="C8926" s="2" t="str">
        <f t="shared" si="2107"/>
        <v>女</v>
      </c>
      <c r="D8926" s="2" t="str">
        <f t="shared" si="2098"/>
        <v>1</v>
      </c>
      <c r="E8926" s="2" t="str">
        <f>"经济与管理学院"</f>
        <v>经济与管理学院</v>
      </c>
    </row>
    <row r="8927" ht="13.5" hidden="1" spans="1:5">
      <c r="A8927" s="2" t="str">
        <f>"胡琳婉"</f>
        <v>胡琳婉</v>
      </c>
      <c r="B8927" s="2" t="str">
        <f>"B20231201224"</f>
        <v>B20231201224</v>
      </c>
      <c r="C8927" s="2" t="str">
        <f t="shared" si="2107"/>
        <v>女</v>
      </c>
      <c r="D8927" s="2" t="str">
        <f>"4"</f>
        <v>4</v>
      </c>
      <c r="E8927" s="2" t="str">
        <f>"数学学院"</f>
        <v>数学学院</v>
      </c>
    </row>
    <row r="8928" ht="13.5" hidden="1" spans="1:5">
      <c r="A8928" s="2" t="str">
        <f>"陈佳欣"</f>
        <v>陈佳欣</v>
      </c>
      <c r="B8928" s="2" t="str">
        <f>"B20210701327"</f>
        <v>B20210701327</v>
      </c>
      <c r="C8928" s="2" t="str">
        <f t="shared" si="2107"/>
        <v>女</v>
      </c>
      <c r="D8928" s="2" t="str">
        <f t="shared" si="2098"/>
        <v>1</v>
      </c>
      <c r="E8928" s="2" t="str">
        <f>"马栏山新媒体学院"</f>
        <v>马栏山新媒体学院</v>
      </c>
    </row>
    <row r="8929" ht="13.5" hidden="1" spans="1:5">
      <c r="A8929" s="2" t="str">
        <f>"邹震"</f>
        <v>邹震</v>
      </c>
      <c r="B8929" s="2" t="str">
        <f>"B20231101329"</f>
        <v>B20231101329</v>
      </c>
      <c r="C8929" s="2" t="str">
        <f t="shared" ref="C8929:C8936" si="2109">"男"</f>
        <v>男</v>
      </c>
      <c r="D8929" s="2" t="str">
        <f t="shared" si="2098"/>
        <v>1</v>
      </c>
      <c r="E8929" s="2" t="str">
        <f>"音乐学院"</f>
        <v>音乐学院</v>
      </c>
    </row>
    <row r="8930" ht="13.5" hidden="1" spans="1:5">
      <c r="A8930" s="2" t="str">
        <f>"张秦帅"</f>
        <v>张秦帅</v>
      </c>
      <c r="B8930" s="2" t="str">
        <f>"B20231201228"</f>
        <v>B20231201228</v>
      </c>
      <c r="C8930" s="2" t="str">
        <f t="shared" si="2109"/>
        <v>男</v>
      </c>
      <c r="D8930" s="2" t="str">
        <f>"9"</f>
        <v>9</v>
      </c>
      <c r="E8930" s="2" t="str">
        <f>"数学学院"</f>
        <v>数学学院</v>
      </c>
    </row>
    <row r="8931" ht="13.5" hidden="1" spans="1:5">
      <c r="A8931" s="2" t="str">
        <f>"金铭渊"</f>
        <v>金铭渊</v>
      </c>
      <c r="B8931" s="2" t="str">
        <f>"B20231201229"</f>
        <v>B20231201229</v>
      </c>
      <c r="C8931" s="2" t="str">
        <f t="shared" si="2109"/>
        <v>男</v>
      </c>
      <c r="D8931" s="2" t="str">
        <f>"2"</f>
        <v>2</v>
      </c>
      <c r="E8931" s="2" t="str">
        <f>"数学学院"</f>
        <v>数学学院</v>
      </c>
    </row>
    <row r="8932" ht="13.5" hidden="1" spans="1:5">
      <c r="A8932" s="2" t="str">
        <f>"石恩迪"</f>
        <v>石恩迪</v>
      </c>
      <c r="B8932" s="2" t="str">
        <f>"B20230101432"</f>
        <v>B20230101432</v>
      </c>
      <c r="C8932" s="2" t="str">
        <f t="shared" si="2109"/>
        <v>男</v>
      </c>
      <c r="D8932" s="2" t="str">
        <f t="shared" si="2098"/>
        <v>1</v>
      </c>
      <c r="E8932" s="2" t="str">
        <f>"土木工程学院"</f>
        <v>土木工程学院</v>
      </c>
    </row>
    <row r="8933" ht="13.5" hidden="1" spans="1:5">
      <c r="A8933" s="2" t="str">
        <f>"张浩然"</f>
        <v>张浩然</v>
      </c>
      <c r="B8933" s="2" t="str">
        <f>"B20220204222"</f>
        <v>B20220204222</v>
      </c>
      <c r="C8933" s="2" t="str">
        <f t="shared" si="2109"/>
        <v>男</v>
      </c>
      <c r="D8933" s="2" t="str">
        <f t="shared" si="2098"/>
        <v>1</v>
      </c>
      <c r="E8933" s="2" t="str">
        <f>"机电工程学院"</f>
        <v>机电工程学院</v>
      </c>
    </row>
    <row r="8934" ht="13.5" hidden="1" spans="1:5">
      <c r="A8934" s="2" t="str">
        <f>"陈鑫瑞"</f>
        <v>陈鑫瑞</v>
      </c>
      <c r="B8934" s="2" t="str">
        <f>"B20221002313"</f>
        <v>B20221002313</v>
      </c>
      <c r="C8934" s="2" t="str">
        <f t="shared" si="2109"/>
        <v>男</v>
      </c>
      <c r="D8934" s="2" t="str">
        <f t="shared" si="2098"/>
        <v>1</v>
      </c>
      <c r="E8934" s="2" t="str">
        <f>"艺术设计学院"</f>
        <v>艺术设计学院</v>
      </c>
    </row>
    <row r="8935" ht="13.5" hidden="1" spans="1:5">
      <c r="A8935" s="2" t="str">
        <f>"张亚鹏"</f>
        <v>张亚鹏</v>
      </c>
      <c r="B8935" s="2" t="str">
        <f>"B20230403233"</f>
        <v>B20230403233</v>
      </c>
      <c r="C8935" s="2" t="str">
        <f t="shared" si="2109"/>
        <v>男</v>
      </c>
      <c r="D8935" s="2" t="str">
        <f t="shared" si="2098"/>
        <v>1</v>
      </c>
      <c r="E8935" s="2" t="str">
        <f>"电子信息与电气工程学院"</f>
        <v>电子信息与电气工程学院</v>
      </c>
    </row>
    <row r="8936" ht="13.5" hidden="1" spans="1:5">
      <c r="A8936" s="2" t="str">
        <f>"刘兴"</f>
        <v>刘兴</v>
      </c>
      <c r="B8936" s="2" t="str">
        <f>"B20231201232"</f>
        <v>B20231201232</v>
      </c>
      <c r="C8936" s="2" t="str">
        <f t="shared" si="2109"/>
        <v>男</v>
      </c>
      <c r="D8936" s="2" t="str">
        <f>"2"</f>
        <v>2</v>
      </c>
      <c r="E8936" s="2" t="str">
        <f>"数学学院"</f>
        <v>数学学院</v>
      </c>
    </row>
    <row r="8937" ht="13.5" hidden="1" spans="1:5">
      <c r="A8937" s="2" t="str">
        <f>"唐一丁"</f>
        <v>唐一丁</v>
      </c>
      <c r="B8937" s="2" t="str">
        <f>"B20210704104"</f>
        <v>B20210704104</v>
      </c>
      <c r="C8937" s="2" t="str">
        <f t="shared" ref="C8937:C8943" si="2110">"女"</f>
        <v>女</v>
      </c>
      <c r="D8937" s="2" t="str">
        <f t="shared" si="2098"/>
        <v>1</v>
      </c>
      <c r="E8937" s="2" t="str">
        <f t="shared" ref="E8937:E8942" si="2111">"马栏山新媒体学院"</f>
        <v>马栏山新媒体学院</v>
      </c>
    </row>
    <row r="8938" ht="13.5" hidden="1" spans="1:5">
      <c r="A8938" s="2" t="str">
        <f>"黄文轩"</f>
        <v>黄文轩</v>
      </c>
      <c r="B8938" s="2" t="str">
        <f>"B20200803106"</f>
        <v>B20200803106</v>
      </c>
      <c r="C8938" s="2" t="str">
        <f t="shared" si="2110"/>
        <v>女</v>
      </c>
      <c r="D8938" s="2" t="str">
        <f t="shared" si="2098"/>
        <v>1</v>
      </c>
      <c r="E8938" s="2" t="str">
        <f>"外国语学院"</f>
        <v>外国语学院</v>
      </c>
    </row>
    <row r="8939" ht="13.5" hidden="1" spans="1:5">
      <c r="A8939" s="2" t="str">
        <f>"刘华宇"</f>
        <v>刘华宇</v>
      </c>
      <c r="B8939" s="2" t="str">
        <f>"B20210901305"</f>
        <v>B20210901305</v>
      </c>
      <c r="C8939" s="2" t="str">
        <f t="shared" si="2110"/>
        <v>女</v>
      </c>
      <c r="D8939" s="2" t="str">
        <f t="shared" si="2098"/>
        <v>1</v>
      </c>
      <c r="E8939" s="2" t="str">
        <f>"经济与管理学院"</f>
        <v>经济与管理学院</v>
      </c>
    </row>
    <row r="8940" ht="13.5" hidden="1" spans="1:5">
      <c r="A8940" s="2" t="str">
        <f>"刘羽桐"</f>
        <v>刘羽桐</v>
      </c>
      <c r="B8940" s="2" t="str">
        <f>"B20231004122"</f>
        <v>B20231004122</v>
      </c>
      <c r="C8940" s="2" t="str">
        <f t="shared" si="2110"/>
        <v>女</v>
      </c>
      <c r="D8940" s="2" t="str">
        <f t="shared" si="2098"/>
        <v>1</v>
      </c>
      <c r="E8940" s="2" t="str">
        <f>"艺术设计学院"</f>
        <v>艺术设计学院</v>
      </c>
    </row>
    <row r="8941" ht="13.5" hidden="1" spans="1:5">
      <c r="A8941" s="2" t="str">
        <f>"姚梦琴"</f>
        <v>姚梦琴</v>
      </c>
      <c r="B8941" s="2" t="str">
        <f>"B20220705102"</f>
        <v>B20220705102</v>
      </c>
      <c r="C8941" s="2" t="str">
        <f t="shared" si="2110"/>
        <v>女</v>
      </c>
      <c r="D8941" s="2" t="str">
        <f t="shared" si="2098"/>
        <v>1</v>
      </c>
      <c r="E8941" s="2" t="str">
        <f t="shared" si="2111"/>
        <v>马栏山新媒体学院</v>
      </c>
    </row>
    <row r="8942" ht="13.5" hidden="1" spans="1:5">
      <c r="A8942" s="2" t="str">
        <f>"杨强丽"</f>
        <v>杨强丽</v>
      </c>
      <c r="B8942" s="2" t="str">
        <f>"B20210704425"</f>
        <v>B20210704425</v>
      </c>
      <c r="C8942" s="2" t="str">
        <f t="shared" si="2110"/>
        <v>女</v>
      </c>
      <c r="D8942" s="2" t="str">
        <f t="shared" si="2098"/>
        <v>1</v>
      </c>
      <c r="E8942" s="2" t="str">
        <f t="shared" si="2111"/>
        <v>马栏山新媒体学院</v>
      </c>
    </row>
    <row r="8943" ht="13.5" hidden="1" spans="1:5">
      <c r="A8943" s="2" t="str">
        <f>"王淑情"</f>
        <v>王淑情</v>
      </c>
      <c r="B8943" s="2" t="str">
        <f>"B20231201234"</f>
        <v>B20231201234</v>
      </c>
      <c r="C8943" s="2" t="str">
        <f t="shared" si="2110"/>
        <v>女</v>
      </c>
      <c r="D8943" s="2" t="str">
        <f>"2"</f>
        <v>2</v>
      </c>
      <c r="E8943" s="2" t="str">
        <f>"数学学院"</f>
        <v>数学学院</v>
      </c>
    </row>
    <row r="8944" ht="13.5" hidden="1" spans="1:5">
      <c r="A8944" s="2" t="str">
        <f>"阳丽"</f>
        <v>阳丽</v>
      </c>
      <c r="B8944" s="2" t="str">
        <f>"B20200801221"</f>
        <v>B20200801221</v>
      </c>
      <c r="C8944" s="2" t="str">
        <f t="shared" ref="C8944:C8949" si="2112">"女"</f>
        <v>女</v>
      </c>
      <c r="D8944" s="2" t="str">
        <f t="shared" si="2098"/>
        <v>1</v>
      </c>
      <c r="E8944" s="2" t="str">
        <f>"外国语学院"</f>
        <v>外国语学院</v>
      </c>
    </row>
    <row r="8945" ht="13.5" hidden="1" spans="1:5">
      <c r="A8945" s="2" t="str">
        <f>"张智文"</f>
        <v>张智文</v>
      </c>
      <c r="B8945" s="2" t="str">
        <f>"B20230104230"</f>
        <v>B20230104230</v>
      </c>
      <c r="C8945" s="2" t="str">
        <f>"男"</f>
        <v>男</v>
      </c>
      <c r="D8945" s="2" t="str">
        <f t="shared" si="2098"/>
        <v>1</v>
      </c>
      <c r="E8945" s="2" t="str">
        <f>"土木工程学院"</f>
        <v>土木工程学院</v>
      </c>
    </row>
    <row r="8946" ht="13.5" hidden="1" spans="1:5">
      <c r="A8946" s="2" t="str">
        <f>"肖育恒"</f>
        <v>肖育恒</v>
      </c>
      <c r="B8946" s="2" t="str">
        <f>"B20231202103"</f>
        <v>B20231202103</v>
      </c>
      <c r="C8946" s="2" t="str">
        <f>"男"</f>
        <v>男</v>
      </c>
      <c r="D8946" s="2" t="str">
        <f>"3"</f>
        <v>3</v>
      </c>
      <c r="E8946" s="2" t="str">
        <f>"数学学院"</f>
        <v>数学学院</v>
      </c>
    </row>
    <row r="8947" ht="13.5" hidden="1" spans="1:5">
      <c r="A8947" s="2" t="str">
        <f>"胡欣玥"</f>
        <v>胡欣玥</v>
      </c>
      <c r="B8947" s="2" t="str">
        <f>"B20230702227"</f>
        <v>B20230702227</v>
      </c>
      <c r="C8947" s="2" t="str">
        <f t="shared" si="2112"/>
        <v>女</v>
      </c>
      <c r="D8947" s="2" t="str">
        <f t="shared" si="2098"/>
        <v>1</v>
      </c>
      <c r="E8947" s="2" t="str">
        <f>"马栏山新媒体学院"</f>
        <v>马栏山新媒体学院</v>
      </c>
    </row>
    <row r="8948" ht="13.5" hidden="1" spans="1:5">
      <c r="A8948" s="2" t="str">
        <f>"马灵宝"</f>
        <v>马灵宝</v>
      </c>
      <c r="B8948" s="2" t="str">
        <f>"B20231202109"</f>
        <v>B20231202109</v>
      </c>
      <c r="C8948" s="2" t="str">
        <f>"男"</f>
        <v>男</v>
      </c>
      <c r="D8948" s="2" t="str">
        <f>"4"</f>
        <v>4</v>
      </c>
      <c r="E8948" s="2" t="str">
        <f>"数学学院"</f>
        <v>数学学院</v>
      </c>
    </row>
    <row r="8949" ht="13.5" hidden="1" spans="1:5">
      <c r="A8949" s="2" t="str">
        <f>"唐敏杨"</f>
        <v>唐敏杨</v>
      </c>
      <c r="B8949" s="2" t="str">
        <f>"B20220701101"</f>
        <v>B20220701101</v>
      </c>
      <c r="C8949" s="2" t="str">
        <f t="shared" si="2112"/>
        <v>女</v>
      </c>
      <c r="D8949" s="2" t="str">
        <f t="shared" si="2098"/>
        <v>1</v>
      </c>
      <c r="E8949" s="2" t="str">
        <f>"马栏山新媒体学院"</f>
        <v>马栏山新媒体学院</v>
      </c>
    </row>
    <row r="8950" ht="13.5" hidden="1" spans="1:5">
      <c r="A8950" s="2" t="str">
        <f>"裴轩正"</f>
        <v>裴轩正</v>
      </c>
      <c r="B8950" s="2" t="str">
        <f>"B20230101505"</f>
        <v>B20230101505</v>
      </c>
      <c r="C8950" s="2" t="str">
        <f>"男"</f>
        <v>男</v>
      </c>
      <c r="D8950" s="2" t="str">
        <f t="shared" si="2098"/>
        <v>1</v>
      </c>
      <c r="E8950" s="2" t="str">
        <f t="shared" ref="E8950:E8954" si="2113">"土木工程学院"</f>
        <v>土木工程学院</v>
      </c>
    </row>
    <row r="8951" ht="13.5" hidden="1" spans="1:5">
      <c r="A8951" s="2" t="str">
        <f>"曹建业"</f>
        <v>曹建业</v>
      </c>
      <c r="B8951" s="2" t="str">
        <f>"B20231202110"</f>
        <v>B20231202110</v>
      </c>
      <c r="C8951" s="2" t="str">
        <f>"男"</f>
        <v>男</v>
      </c>
      <c r="D8951" s="2" t="str">
        <f>"7"</f>
        <v>7</v>
      </c>
      <c r="E8951" s="2" t="str">
        <f>"数学学院"</f>
        <v>数学学院</v>
      </c>
    </row>
    <row r="8952" ht="13.5" hidden="1" spans="1:5">
      <c r="A8952" s="2" t="str">
        <f>"周婉亭"</f>
        <v>周婉亭</v>
      </c>
      <c r="B8952" s="2" t="str">
        <f>"B20221002214"</f>
        <v>B20221002214</v>
      </c>
      <c r="C8952" s="2" t="str">
        <f t="shared" ref="C8951:C8954" si="2114">"女"</f>
        <v>女</v>
      </c>
      <c r="D8952" s="2" t="str">
        <f t="shared" si="2098"/>
        <v>1</v>
      </c>
      <c r="E8952" s="2" t="str">
        <f>"艺术设计学院"</f>
        <v>艺术设计学院</v>
      </c>
    </row>
    <row r="8953" ht="13.5" hidden="1" spans="1:5">
      <c r="A8953" s="2" t="str">
        <f>"潘琦玥"</f>
        <v>潘琦玥</v>
      </c>
      <c r="B8953" s="2" t="str">
        <f>"B20210103105"</f>
        <v>B20210103105</v>
      </c>
      <c r="C8953" s="2" t="str">
        <f t="shared" si="2114"/>
        <v>女</v>
      </c>
      <c r="D8953" s="2" t="str">
        <f t="shared" si="2098"/>
        <v>1</v>
      </c>
      <c r="E8953" s="2" t="str">
        <f t="shared" si="2113"/>
        <v>土木工程学院</v>
      </c>
    </row>
    <row r="8954" ht="13.5" hidden="1" spans="1:5">
      <c r="A8954" s="2" t="str">
        <f>"胡佳珍"</f>
        <v>胡佳珍</v>
      </c>
      <c r="B8954" s="2" t="str">
        <f>"B20210102230"</f>
        <v>B20210102230</v>
      </c>
      <c r="C8954" s="2" t="str">
        <f t="shared" si="2114"/>
        <v>女</v>
      </c>
      <c r="D8954" s="2" t="str">
        <f t="shared" si="2098"/>
        <v>1</v>
      </c>
      <c r="E8954" s="2" t="str">
        <f t="shared" si="2113"/>
        <v>土木工程学院</v>
      </c>
    </row>
    <row r="8955" ht="13.5" hidden="1" spans="1:5">
      <c r="A8955" s="2" t="str">
        <f>"陆恒霏"</f>
        <v>陆恒霏</v>
      </c>
      <c r="B8955" s="2" t="str">
        <f>"B20231001402"</f>
        <v>B20231001402</v>
      </c>
      <c r="C8955" s="2" t="str">
        <f t="shared" ref="C8955:C8962" si="2115">"男"</f>
        <v>男</v>
      </c>
      <c r="D8955" s="2" t="str">
        <f t="shared" si="2098"/>
        <v>1</v>
      </c>
      <c r="E8955" s="2" t="str">
        <f>"艺术设计学院"</f>
        <v>艺术设计学院</v>
      </c>
    </row>
    <row r="8956" ht="13.5" hidden="1" spans="1:5">
      <c r="A8956" s="2" t="str">
        <f>"姚俊彦"</f>
        <v>姚俊彦</v>
      </c>
      <c r="B8956" s="2" t="str">
        <f>"B20210901116"</f>
        <v>B20210901116</v>
      </c>
      <c r="C8956" s="2" t="str">
        <f t="shared" si="2115"/>
        <v>男</v>
      </c>
      <c r="D8956" s="2" t="str">
        <f t="shared" si="2098"/>
        <v>1</v>
      </c>
      <c r="E8956" s="2" t="str">
        <f>"经济与管理学院"</f>
        <v>经济与管理学院</v>
      </c>
    </row>
    <row r="8957" ht="13.5" hidden="1" spans="1:5">
      <c r="A8957" s="2" t="str">
        <f>"高发强"</f>
        <v>高发强</v>
      </c>
      <c r="B8957" s="2" t="str">
        <f>"B20231202111"</f>
        <v>B20231202111</v>
      </c>
      <c r="C8957" s="2" t="str">
        <f t="shared" si="2115"/>
        <v>男</v>
      </c>
      <c r="D8957" s="2" t="str">
        <f>"3"</f>
        <v>3</v>
      </c>
      <c r="E8957" s="2" t="str">
        <f>"数学学院"</f>
        <v>数学学院</v>
      </c>
    </row>
    <row r="8958" ht="13.5" hidden="1" spans="1:5">
      <c r="A8958" s="2" t="str">
        <f>"邓宇哲"</f>
        <v>邓宇哲</v>
      </c>
      <c r="B8958" s="2" t="str">
        <f>"B20200704416"</f>
        <v>B20200704416</v>
      </c>
      <c r="C8958" s="2" t="str">
        <f t="shared" si="2115"/>
        <v>男</v>
      </c>
      <c r="D8958" s="2" t="str">
        <f t="shared" si="2098"/>
        <v>1</v>
      </c>
      <c r="E8958" s="2" t="str">
        <f>"马栏山新媒体学院"</f>
        <v>马栏山新媒体学院</v>
      </c>
    </row>
    <row r="8959" ht="13.5" hidden="1" spans="1:5">
      <c r="A8959" s="2" t="str">
        <f>"曾粤"</f>
        <v>曾粤</v>
      </c>
      <c r="B8959" s="2" t="str">
        <f>"B20230702226"</f>
        <v>B20230702226</v>
      </c>
      <c r="C8959" s="2" t="str">
        <f t="shared" si="2115"/>
        <v>男</v>
      </c>
      <c r="D8959" s="2" t="str">
        <f t="shared" si="2098"/>
        <v>1</v>
      </c>
      <c r="E8959" s="2" t="str">
        <f>"马栏山新媒体学院"</f>
        <v>马栏山新媒体学院</v>
      </c>
    </row>
    <row r="8960" ht="13.5" hidden="1" spans="1:5">
      <c r="A8960" s="2" t="str">
        <f>"邓皓诚"</f>
        <v>邓皓诚</v>
      </c>
      <c r="B8960" s="2" t="str">
        <f>"B20210203121"</f>
        <v>B20210203121</v>
      </c>
      <c r="C8960" s="2" t="str">
        <f t="shared" si="2115"/>
        <v>男</v>
      </c>
      <c r="D8960" s="2" t="str">
        <f t="shared" si="2098"/>
        <v>1</v>
      </c>
      <c r="E8960" s="2" t="str">
        <f>"机电工程学院"</f>
        <v>机电工程学院</v>
      </c>
    </row>
    <row r="8961" ht="13.5" hidden="1" spans="1:5">
      <c r="A8961" s="2" t="str">
        <f>"屈鑫卓"</f>
        <v>屈鑫卓</v>
      </c>
      <c r="B8961" s="2" t="str">
        <f>"B20231302329"</f>
        <v>B20231302329</v>
      </c>
      <c r="C8961" s="2" t="str">
        <f t="shared" si="2115"/>
        <v>男</v>
      </c>
      <c r="D8961" s="2" t="str">
        <f t="shared" ref="D8961:D9024" si="2116">"1"</f>
        <v>1</v>
      </c>
      <c r="E8961" s="2" t="str">
        <f>"材料与环境工程学院"</f>
        <v>材料与环境工程学院</v>
      </c>
    </row>
    <row r="8962" ht="13.5" hidden="1" spans="1:5">
      <c r="A8962" s="2" t="str">
        <f>"彭程"</f>
        <v>彭程</v>
      </c>
      <c r="B8962" s="2" t="str">
        <f>"B20231004205"</f>
        <v>B20231004205</v>
      </c>
      <c r="C8962" s="2" t="str">
        <f t="shared" si="2115"/>
        <v>男</v>
      </c>
      <c r="D8962" s="2" t="str">
        <f t="shared" si="2116"/>
        <v>1</v>
      </c>
      <c r="E8962" s="2" t="str">
        <f t="shared" ref="E8962:E8966" si="2117">"艺术设计学院"</f>
        <v>艺术设计学院</v>
      </c>
    </row>
    <row r="8963" ht="13.5" hidden="1" spans="1:5">
      <c r="A8963" s="2" t="str">
        <f>"陈欣怡"</f>
        <v>陈欣怡</v>
      </c>
      <c r="B8963" s="2" t="str">
        <f>"B20230401121"</f>
        <v>B20230401121</v>
      </c>
      <c r="C8963" s="2" t="str">
        <f t="shared" ref="C8963:C8965" si="2118">"女"</f>
        <v>女</v>
      </c>
      <c r="D8963" s="2" t="str">
        <f t="shared" si="2116"/>
        <v>1</v>
      </c>
      <c r="E8963" s="2" t="str">
        <f>"电子信息与电气工程学院"</f>
        <v>电子信息与电气工程学院</v>
      </c>
    </row>
    <row r="8964" ht="13.5" hidden="1" spans="1:5">
      <c r="A8964" s="2" t="str">
        <f>"胡迁迁"</f>
        <v>胡迁迁</v>
      </c>
      <c r="B8964" s="2" t="str">
        <f>"B20210502228"</f>
        <v>B20210502228</v>
      </c>
      <c r="C8964" s="2" t="str">
        <f t="shared" si="2118"/>
        <v>女</v>
      </c>
      <c r="D8964" s="2" t="str">
        <f t="shared" si="2116"/>
        <v>1</v>
      </c>
      <c r="E8964" s="2" t="str">
        <f>"生物与化学工程学院"</f>
        <v>生物与化学工程学院</v>
      </c>
    </row>
    <row r="8965" ht="13.5" hidden="1" spans="1:5">
      <c r="A8965" s="2" t="str">
        <f>"李思容"</f>
        <v>李思容</v>
      </c>
      <c r="B8965" s="2" t="str">
        <f>"B20221002413"</f>
        <v>B20221002413</v>
      </c>
      <c r="C8965" s="2" t="str">
        <f t="shared" si="2118"/>
        <v>女</v>
      </c>
      <c r="D8965" s="2" t="str">
        <f t="shared" si="2116"/>
        <v>1</v>
      </c>
      <c r="E8965" s="2" t="str">
        <f t="shared" si="2117"/>
        <v>艺术设计学院</v>
      </c>
    </row>
    <row r="8966" ht="13.5" hidden="1" spans="1:5">
      <c r="A8966" s="2" t="str">
        <f>"曹广鹏"</f>
        <v>曹广鹏</v>
      </c>
      <c r="B8966" s="2" t="str">
        <f>"B20221001421"</f>
        <v>B20221001421</v>
      </c>
      <c r="C8966" s="2" t="str">
        <f t="shared" ref="C8966:C8968" si="2119">"男"</f>
        <v>男</v>
      </c>
      <c r="D8966" s="2" t="str">
        <f t="shared" si="2116"/>
        <v>1</v>
      </c>
      <c r="E8966" s="2" t="str">
        <f t="shared" si="2117"/>
        <v>艺术设计学院</v>
      </c>
    </row>
    <row r="8967" ht="13.5" hidden="1" spans="1:5">
      <c r="A8967" s="2" t="str">
        <f>"曹植凯"</f>
        <v>曹植凯</v>
      </c>
      <c r="B8967" s="2" t="str">
        <f>"B20200905213"</f>
        <v>B20200905213</v>
      </c>
      <c r="C8967" s="2" t="str">
        <f t="shared" si="2119"/>
        <v>男</v>
      </c>
      <c r="D8967" s="2" t="str">
        <f t="shared" si="2116"/>
        <v>1</v>
      </c>
      <c r="E8967" s="2" t="str">
        <f>"经济与管理学院"</f>
        <v>经济与管理学院</v>
      </c>
    </row>
    <row r="8968" ht="13.5" hidden="1" spans="1:5">
      <c r="A8968" s="2" t="str">
        <f>"李元诚"</f>
        <v>李元诚</v>
      </c>
      <c r="B8968" s="2" t="str">
        <f>"B20231202112"</f>
        <v>B20231202112</v>
      </c>
      <c r="C8968" s="2" t="str">
        <f t="shared" si="2119"/>
        <v>男</v>
      </c>
      <c r="D8968" s="2" t="str">
        <f>"3"</f>
        <v>3</v>
      </c>
      <c r="E8968" s="2" t="str">
        <f>"数学学院"</f>
        <v>数学学院</v>
      </c>
    </row>
    <row r="8969" ht="13.5" hidden="1" spans="1:5">
      <c r="A8969" s="2" t="str">
        <f>"吴佳"</f>
        <v>吴佳</v>
      </c>
      <c r="B8969" s="2" t="str">
        <f>"B20210503137"</f>
        <v>B20210503137</v>
      </c>
      <c r="C8969" s="2" t="str">
        <f t="shared" ref="C8969:C8973" si="2120">"女"</f>
        <v>女</v>
      </c>
      <c r="D8969" s="2" t="str">
        <f t="shared" si="2116"/>
        <v>1</v>
      </c>
      <c r="E8969" s="2" t="str">
        <f>"材料与环境工程学院"</f>
        <v>材料与环境工程学院</v>
      </c>
    </row>
    <row r="8970" ht="13.5" hidden="1" spans="1:5">
      <c r="A8970" s="2" t="str">
        <f>"闫博韵"</f>
        <v>闫博韵</v>
      </c>
      <c r="B8970" s="2" t="str">
        <f>"B20230101537"</f>
        <v>B20230101537</v>
      </c>
      <c r="C8970" s="2" t="str">
        <f t="shared" ref="C8970:C8976" si="2121">"男"</f>
        <v>男</v>
      </c>
      <c r="D8970" s="2" t="str">
        <f t="shared" si="2116"/>
        <v>1</v>
      </c>
      <c r="E8970" s="2" t="str">
        <f>"土木工程学院"</f>
        <v>土木工程学院</v>
      </c>
    </row>
    <row r="8971" ht="13.5" hidden="1" spans="1:5">
      <c r="A8971" s="2" t="str">
        <f>"郑智远"</f>
        <v>郑智远</v>
      </c>
      <c r="B8971" s="2" t="str">
        <f>"B20230101437"</f>
        <v>B20230101437</v>
      </c>
      <c r="C8971" s="2" t="str">
        <f t="shared" si="2121"/>
        <v>男</v>
      </c>
      <c r="D8971" s="2" t="str">
        <f t="shared" si="2116"/>
        <v>1</v>
      </c>
      <c r="E8971" s="2" t="str">
        <f>"土木工程学院"</f>
        <v>土木工程学院</v>
      </c>
    </row>
    <row r="8972" ht="13.5" hidden="1" spans="1:5">
      <c r="A8972" s="2" t="str">
        <f>"文友"</f>
        <v>文友</v>
      </c>
      <c r="B8972" s="2" t="str">
        <f>"B20210906214"</f>
        <v>B20210906214</v>
      </c>
      <c r="C8972" s="2" t="str">
        <f t="shared" si="2120"/>
        <v>女</v>
      </c>
      <c r="D8972" s="2" t="str">
        <f t="shared" si="2116"/>
        <v>1</v>
      </c>
      <c r="E8972" s="2" t="str">
        <f>"经济与管理学院"</f>
        <v>经济与管理学院</v>
      </c>
    </row>
    <row r="8973" ht="13.5" hidden="1" spans="1:5">
      <c r="A8973" s="2" t="str">
        <f>"贺盼"</f>
        <v>贺盼</v>
      </c>
      <c r="B8973" s="2" t="str">
        <f>"B20220601312"</f>
        <v>B20220601312</v>
      </c>
      <c r="C8973" s="2" t="str">
        <f t="shared" si="2120"/>
        <v>女</v>
      </c>
      <c r="D8973" s="2" t="str">
        <f t="shared" si="2116"/>
        <v>1</v>
      </c>
      <c r="E8973" s="2" t="str">
        <f>"法学院"</f>
        <v>法学院</v>
      </c>
    </row>
    <row r="8974" ht="13.5" hidden="1" spans="1:5">
      <c r="A8974" s="2" t="str">
        <f>"谢玉林"</f>
        <v>谢玉林</v>
      </c>
      <c r="B8974" s="2" t="str">
        <f>"B20221302225"</f>
        <v>B20221302225</v>
      </c>
      <c r="C8974" s="2" t="str">
        <f t="shared" si="2121"/>
        <v>男</v>
      </c>
      <c r="D8974" s="2" t="str">
        <f t="shared" si="2116"/>
        <v>1</v>
      </c>
      <c r="E8974" s="2" t="str">
        <f>"材料与环境工程学院"</f>
        <v>材料与环境工程学院</v>
      </c>
    </row>
    <row r="8975" ht="13.5" hidden="1" spans="1:5">
      <c r="A8975" s="2" t="str">
        <f>"黄奕静"</f>
        <v>黄奕静</v>
      </c>
      <c r="B8975" s="2" t="str">
        <f>"B20231202114"</f>
        <v>B20231202114</v>
      </c>
      <c r="C8975" s="2" t="str">
        <f>"女"</f>
        <v>女</v>
      </c>
      <c r="D8975" s="2" t="str">
        <f>"2"</f>
        <v>2</v>
      </c>
      <c r="E8975" s="2" t="str">
        <f>"数学学院"</f>
        <v>数学学院</v>
      </c>
    </row>
    <row r="8976" ht="13.5" hidden="1" spans="1:5">
      <c r="A8976" s="2" t="str">
        <f>"贺鹏"</f>
        <v>贺鹏</v>
      </c>
      <c r="B8976" s="2" t="str">
        <f>"B20220404126"</f>
        <v>B20220404126</v>
      </c>
      <c r="C8976" s="2" t="str">
        <f t="shared" si="2121"/>
        <v>男</v>
      </c>
      <c r="D8976" s="2" t="str">
        <f t="shared" si="2116"/>
        <v>1</v>
      </c>
      <c r="E8976" s="2" t="str">
        <f>"电子信息与电气工程学院"</f>
        <v>电子信息与电气工程学院</v>
      </c>
    </row>
    <row r="8977" ht="13.5" hidden="1" spans="1:5">
      <c r="A8977" s="2" t="str">
        <f>"程珏文"</f>
        <v>程珏文</v>
      </c>
      <c r="B8977" s="2" t="str">
        <f>"B20200802314"</f>
        <v>B20200802314</v>
      </c>
      <c r="C8977" s="2" t="str">
        <f>"女"</f>
        <v>女</v>
      </c>
      <c r="D8977" s="2" t="str">
        <f t="shared" si="2116"/>
        <v>1</v>
      </c>
      <c r="E8977" s="2" t="str">
        <f>"外国语学院"</f>
        <v>外国语学院</v>
      </c>
    </row>
    <row r="8978" ht="13.5" hidden="1" spans="1:5">
      <c r="A8978" s="2" t="str">
        <f>"邹正"</f>
        <v>邹正</v>
      </c>
      <c r="B8978" s="2" t="str">
        <f>"B20210101431"</f>
        <v>B20210101431</v>
      </c>
      <c r="C8978" s="2" t="str">
        <f t="shared" ref="C8978:C8980" si="2122">"男"</f>
        <v>男</v>
      </c>
      <c r="D8978" s="2" t="str">
        <f t="shared" si="2116"/>
        <v>1</v>
      </c>
      <c r="E8978" s="2" t="str">
        <f t="shared" ref="E8978:E8980" si="2123">"土木工程学院"</f>
        <v>土木工程学院</v>
      </c>
    </row>
    <row r="8979" ht="13.5" hidden="1" spans="1:5">
      <c r="A8979" s="2" t="str">
        <f>"颜世明"</f>
        <v>颜世明</v>
      </c>
      <c r="B8979" s="2" t="str">
        <f>"B20220101113"</f>
        <v>B20220101113</v>
      </c>
      <c r="C8979" s="2" t="str">
        <f t="shared" si="2122"/>
        <v>男</v>
      </c>
      <c r="D8979" s="2" t="str">
        <f t="shared" si="2116"/>
        <v>1</v>
      </c>
      <c r="E8979" s="2" t="str">
        <f t="shared" si="2123"/>
        <v>土木工程学院</v>
      </c>
    </row>
    <row r="8980" ht="13.5" hidden="1" spans="1:5">
      <c r="A8980" s="2" t="str">
        <f>"房蔚伟"</f>
        <v>房蔚伟</v>
      </c>
      <c r="B8980" s="2" t="str">
        <f>"B20200102108"</f>
        <v>B20200102108</v>
      </c>
      <c r="C8980" s="2" t="str">
        <f t="shared" si="2122"/>
        <v>男</v>
      </c>
      <c r="D8980" s="2" t="str">
        <f t="shared" si="2116"/>
        <v>1</v>
      </c>
      <c r="E8980" s="2" t="str">
        <f t="shared" si="2123"/>
        <v>土木工程学院</v>
      </c>
    </row>
    <row r="8981" ht="13.5" hidden="1" spans="1:5">
      <c r="A8981" s="2" t="str">
        <f>"曹译予"</f>
        <v>曹译予</v>
      </c>
      <c r="B8981" s="2" t="str">
        <f>"B20210504223"</f>
        <v>B20210504223</v>
      </c>
      <c r="C8981" s="2" t="str">
        <f t="shared" ref="C8981:C8985" si="2124">"女"</f>
        <v>女</v>
      </c>
      <c r="D8981" s="2" t="str">
        <f t="shared" si="2116"/>
        <v>1</v>
      </c>
      <c r="E8981" s="2" t="str">
        <f>"生物与化学工程学院"</f>
        <v>生物与化学工程学院</v>
      </c>
    </row>
    <row r="8982" ht="13.5" hidden="1" spans="1:5">
      <c r="A8982" s="2" t="str">
        <f>"蒋子健"</f>
        <v>蒋子健</v>
      </c>
      <c r="B8982" s="2" t="str">
        <f>"B20200204120"</f>
        <v>B20200204120</v>
      </c>
      <c r="C8982" s="2" t="str">
        <f>"男"</f>
        <v>男</v>
      </c>
      <c r="D8982" s="2" t="str">
        <f t="shared" si="2116"/>
        <v>1</v>
      </c>
      <c r="E8982" s="2" t="str">
        <f>"机电工程学院"</f>
        <v>机电工程学院</v>
      </c>
    </row>
    <row r="8983" ht="13.5" hidden="1" spans="1:5">
      <c r="A8983" s="2" t="str">
        <f>"胡毅宁"</f>
        <v>胡毅宁</v>
      </c>
      <c r="B8983" s="2" t="str">
        <f>"B20200503234"</f>
        <v>B20200503234</v>
      </c>
      <c r="C8983" s="2" t="str">
        <f t="shared" si="2124"/>
        <v>女</v>
      </c>
      <c r="D8983" s="2" t="str">
        <f t="shared" si="2116"/>
        <v>1</v>
      </c>
      <c r="E8983" s="2" t="str">
        <f>"生物与环境工程学院"</f>
        <v>生物与环境工程学院</v>
      </c>
    </row>
    <row r="8984" ht="13.5" hidden="1" spans="1:5">
      <c r="A8984" s="2" t="str">
        <f>"蒋纪欣"</f>
        <v>蒋纪欣</v>
      </c>
      <c r="B8984" s="2" t="str">
        <f>"B20180902222"</f>
        <v>B20180902222</v>
      </c>
      <c r="C8984" s="2" t="str">
        <f t="shared" si="2124"/>
        <v>女</v>
      </c>
      <c r="D8984" s="2" t="str">
        <f t="shared" si="2116"/>
        <v>1</v>
      </c>
      <c r="E8984" s="2" t="str">
        <f t="shared" ref="E8984:E8989" si="2125">"外国语学院"</f>
        <v>外国语学院</v>
      </c>
    </row>
    <row r="8985" ht="13.5" hidden="1" spans="1:5">
      <c r="A8985" s="2" t="str">
        <f>"吴乐乐"</f>
        <v>吴乐乐</v>
      </c>
      <c r="B8985" s="2" t="str">
        <f>"B20231202117"</f>
        <v>B20231202117</v>
      </c>
      <c r="C8985" s="2" t="str">
        <f t="shared" si="2124"/>
        <v>女</v>
      </c>
      <c r="D8985" s="2" t="str">
        <f>"3"</f>
        <v>3</v>
      </c>
      <c r="E8985" s="2" t="str">
        <f>"数学学院"</f>
        <v>数学学院</v>
      </c>
    </row>
    <row r="8986" ht="13.5" hidden="1" spans="1:5">
      <c r="A8986" s="2" t="str">
        <f>"曹媛"</f>
        <v>曹媛</v>
      </c>
      <c r="B8986" s="2" t="str">
        <f>"B20200803201"</f>
        <v>B20200803201</v>
      </c>
      <c r="C8986" s="2" t="str">
        <f t="shared" ref="C8986:C8989" si="2126">"女"</f>
        <v>女</v>
      </c>
      <c r="D8986" s="2" t="str">
        <f t="shared" si="2116"/>
        <v>1</v>
      </c>
      <c r="E8986" s="2" t="str">
        <f t="shared" si="2125"/>
        <v>外国语学院</v>
      </c>
    </row>
    <row r="8987" ht="13.5" hidden="1" spans="1:5">
      <c r="A8987" s="2" t="str">
        <f>"范力"</f>
        <v>范力</v>
      </c>
      <c r="B8987" s="2" t="str">
        <f>"B20200204113"</f>
        <v>B20200204113</v>
      </c>
      <c r="C8987" s="2" t="str">
        <f>"男"</f>
        <v>男</v>
      </c>
      <c r="D8987" s="2" t="str">
        <f t="shared" si="2116"/>
        <v>1</v>
      </c>
      <c r="E8987" s="2" t="str">
        <f>"机电工程学院"</f>
        <v>机电工程学院</v>
      </c>
    </row>
    <row r="8988" ht="13.5" hidden="1" spans="1:5">
      <c r="A8988" s="2" t="str">
        <f>"李啸尘"</f>
        <v>李啸尘</v>
      </c>
      <c r="B8988" s="2" t="str">
        <f>"B20231202118"</f>
        <v>B20231202118</v>
      </c>
      <c r="C8988" s="2" t="str">
        <f>"男"</f>
        <v>男</v>
      </c>
      <c r="D8988" s="2" t="str">
        <f>"3"</f>
        <v>3</v>
      </c>
      <c r="E8988" s="2" t="str">
        <f>"数学学院"</f>
        <v>数学学院</v>
      </c>
    </row>
    <row r="8989" ht="13.5" hidden="1" spans="1:5">
      <c r="A8989" s="2" t="str">
        <f>"曾雨婷"</f>
        <v>曾雨婷</v>
      </c>
      <c r="B8989" s="2" t="str">
        <f>"B20200801217"</f>
        <v>B20200801217</v>
      </c>
      <c r="C8989" s="2" t="str">
        <f t="shared" si="2126"/>
        <v>女</v>
      </c>
      <c r="D8989" s="2" t="str">
        <f t="shared" si="2116"/>
        <v>1</v>
      </c>
      <c r="E8989" s="2" t="str">
        <f t="shared" si="2125"/>
        <v>外国语学院</v>
      </c>
    </row>
    <row r="8990" ht="13.5" hidden="1" spans="1:5">
      <c r="A8990" s="2" t="str">
        <f>"邝金鹏"</f>
        <v>邝金鹏</v>
      </c>
      <c r="B8990" s="2" t="str">
        <f>"B20231202124"</f>
        <v>B20231202124</v>
      </c>
      <c r="C8990" s="2" t="str">
        <f>"男"</f>
        <v>男</v>
      </c>
      <c r="D8990" s="2" t="str">
        <f t="shared" si="2116"/>
        <v>1</v>
      </c>
      <c r="E8990" s="2" t="str">
        <f>"数学学院"</f>
        <v>数学学院</v>
      </c>
    </row>
    <row r="8991" ht="13.5" hidden="1" spans="1:5">
      <c r="A8991" s="2" t="str">
        <f>"周莎"</f>
        <v>周莎</v>
      </c>
      <c r="B8991" s="2" t="str">
        <f>"B20210802111"</f>
        <v>B20210802111</v>
      </c>
      <c r="C8991" s="2" t="str">
        <f>"女"</f>
        <v>女</v>
      </c>
      <c r="D8991" s="2" t="str">
        <f t="shared" si="2116"/>
        <v>1</v>
      </c>
      <c r="E8991" s="2" t="str">
        <f>"外国语学院"</f>
        <v>外国语学院</v>
      </c>
    </row>
    <row r="8992" ht="13.5" hidden="1" spans="1:5">
      <c r="A8992" s="2" t="str">
        <f>"罗清旺"</f>
        <v>罗清旺</v>
      </c>
      <c r="B8992" s="2" t="str">
        <f>"B20231202127"</f>
        <v>B20231202127</v>
      </c>
      <c r="C8992" s="2" t="str">
        <f>"男"</f>
        <v>男</v>
      </c>
      <c r="D8992" s="2" t="str">
        <f>"4"</f>
        <v>4</v>
      </c>
      <c r="E8992" s="2" t="str">
        <f>"数学学院"</f>
        <v>数学学院</v>
      </c>
    </row>
    <row r="8993" ht="13.5" hidden="1" spans="1:5">
      <c r="A8993" s="2" t="str">
        <f>"王诗韵"</f>
        <v>王诗韵</v>
      </c>
      <c r="B8993" s="2" t="str">
        <f>"B20231202130"</f>
        <v>B20231202130</v>
      </c>
      <c r="C8993" s="2" t="str">
        <f>"男"</f>
        <v>男</v>
      </c>
      <c r="D8993" s="2" t="str">
        <f>"12"</f>
        <v>12</v>
      </c>
      <c r="E8993" s="2" t="str">
        <f>"数学学院"</f>
        <v>数学学院</v>
      </c>
    </row>
    <row r="8994" ht="13.5" hidden="1" spans="1:5">
      <c r="A8994" s="2" t="str">
        <f>"陈思宇"</f>
        <v>陈思宇</v>
      </c>
      <c r="B8994" s="2" t="str">
        <f>"B20200703106"</f>
        <v>B20200703106</v>
      </c>
      <c r="C8994" s="2" t="str">
        <f t="shared" ref="C8994:C9000" si="2127">"女"</f>
        <v>女</v>
      </c>
      <c r="D8994" s="2" t="str">
        <f t="shared" si="2116"/>
        <v>1</v>
      </c>
      <c r="E8994" s="2" t="str">
        <f>"马栏山新媒体学院"</f>
        <v>马栏山新媒体学院</v>
      </c>
    </row>
    <row r="8995" ht="13.5" hidden="1" spans="1:5">
      <c r="A8995" s="2" t="str">
        <f>"马浩博"</f>
        <v>马浩博</v>
      </c>
      <c r="B8995" s="2" t="str">
        <f>"B20231002201"</f>
        <v>B20231002201</v>
      </c>
      <c r="C8995" s="2" t="str">
        <f>"男"</f>
        <v>男</v>
      </c>
      <c r="D8995" s="2" t="str">
        <f t="shared" si="2116"/>
        <v>1</v>
      </c>
      <c r="E8995" s="2" t="str">
        <f>"艺术设计学院"</f>
        <v>艺术设计学院</v>
      </c>
    </row>
    <row r="8996" ht="13.5" hidden="1" spans="1:5">
      <c r="A8996" s="2" t="str">
        <f>"李志楠"</f>
        <v>李志楠</v>
      </c>
      <c r="B8996" s="2" t="str">
        <f>"B20200802202"</f>
        <v>B20200802202</v>
      </c>
      <c r="C8996" s="2" t="str">
        <f>"男"</f>
        <v>男</v>
      </c>
      <c r="D8996" s="2" t="str">
        <f t="shared" si="2116"/>
        <v>1</v>
      </c>
      <c r="E8996" s="2" t="str">
        <f>"外国语学院"</f>
        <v>外国语学院</v>
      </c>
    </row>
    <row r="8997" ht="13.5" hidden="1" spans="1:5">
      <c r="A8997" s="2" t="str">
        <f>"普梅"</f>
        <v>普梅</v>
      </c>
      <c r="B8997" s="2" t="str">
        <f>"B20201002324"</f>
        <v>B20201002324</v>
      </c>
      <c r="C8997" s="2" t="str">
        <f t="shared" si="2127"/>
        <v>女</v>
      </c>
      <c r="D8997" s="2" t="str">
        <f t="shared" si="2116"/>
        <v>1</v>
      </c>
      <c r="E8997" s="2" t="str">
        <f>"艺术设计学院"</f>
        <v>艺术设计学院</v>
      </c>
    </row>
    <row r="8998" ht="13.5" hidden="1" spans="1:5">
      <c r="A8998" s="2" t="str">
        <f>"李思思"</f>
        <v>李思思</v>
      </c>
      <c r="B8998" s="2" t="str">
        <f>"B20200502118"</f>
        <v>B20200502118</v>
      </c>
      <c r="C8998" s="2" t="str">
        <f t="shared" si="2127"/>
        <v>女</v>
      </c>
      <c r="D8998" s="2" t="str">
        <f t="shared" si="2116"/>
        <v>1</v>
      </c>
      <c r="E8998" s="2" t="str">
        <f>"生物与环境工程学院"</f>
        <v>生物与环境工程学院</v>
      </c>
    </row>
    <row r="8999" ht="13.5" hidden="1" spans="1:5">
      <c r="A8999" s="2" t="str">
        <f>"候丹婷"</f>
        <v>候丹婷</v>
      </c>
      <c r="B8999" s="2" t="str">
        <f>"B20200905106"</f>
        <v>B20200905106</v>
      </c>
      <c r="C8999" s="2" t="str">
        <f t="shared" si="2127"/>
        <v>女</v>
      </c>
      <c r="D8999" s="2" t="str">
        <f t="shared" si="2116"/>
        <v>1</v>
      </c>
      <c r="E8999" s="2" t="str">
        <f>"经济与管理学院"</f>
        <v>经济与管理学院</v>
      </c>
    </row>
    <row r="9000" ht="13.5" hidden="1" spans="1:5">
      <c r="A9000" s="2" t="str">
        <f>"唐文璐"</f>
        <v>唐文璐</v>
      </c>
      <c r="B9000" s="2" t="str">
        <f>"B20231202131"</f>
        <v>B20231202131</v>
      </c>
      <c r="C9000" s="2" t="str">
        <f t="shared" si="2127"/>
        <v>女</v>
      </c>
      <c r="D9000" s="2" t="str">
        <f>"11"</f>
        <v>11</v>
      </c>
      <c r="E9000" s="2" t="str">
        <f>"数学学院"</f>
        <v>数学学院</v>
      </c>
    </row>
    <row r="9001" ht="13.5" hidden="1" spans="1:5">
      <c r="A9001" s="2" t="str">
        <f>"李诗璐"</f>
        <v>李诗璐</v>
      </c>
      <c r="B9001" s="2" t="str">
        <f>"B20230601422"</f>
        <v>B20230601422</v>
      </c>
      <c r="C9001" s="2" t="str">
        <f t="shared" ref="C9001:C9009" si="2128">"女"</f>
        <v>女</v>
      </c>
      <c r="D9001" s="2" t="str">
        <f t="shared" si="2116"/>
        <v>1</v>
      </c>
      <c r="E9001" s="2" t="str">
        <f>"法学院"</f>
        <v>法学院</v>
      </c>
    </row>
    <row r="9002" ht="13.5" hidden="1" spans="1:5">
      <c r="A9002" s="2" t="str">
        <f>"梁舜旗"</f>
        <v>梁舜旗</v>
      </c>
      <c r="B9002" s="2" t="str">
        <f>"B20210503126"</f>
        <v>B20210503126</v>
      </c>
      <c r="C9002" s="2" t="str">
        <f t="shared" ref="C9002:C9005" si="2129">"男"</f>
        <v>男</v>
      </c>
      <c r="D9002" s="2" t="str">
        <f t="shared" si="2116"/>
        <v>1</v>
      </c>
      <c r="E9002" s="2" t="str">
        <f>"材料与环境工程学院"</f>
        <v>材料与环境工程学院</v>
      </c>
    </row>
    <row r="9003" ht="13.5" hidden="1" spans="1:5">
      <c r="A9003" s="2" t="str">
        <f>"刘若薇"</f>
        <v>刘若薇</v>
      </c>
      <c r="B9003" s="2" t="str">
        <f>"B20231003216"</f>
        <v>B20231003216</v>
      </c>
      <c r="C9003" s="2" t="str">
        <f t="shared" si="2128"/>
        <v>女</v>
      </c>
      <c r="D9003" s="2" t="str">
        <f t="shared" si="2116"/>
        <v>1</v>
      </c>
      <c r="E9003" s="2" t="str">
        <f>"艺术设计学院"</f>
        <v>艺术设计学院</v>
      </c>
    </row>
    <row r="9004" ht="13.5" hidden="1" spans="1:5">
      <c r="A9004" s="2" t="str">
        <f>"杜金金"</f>
        <v>杜金金</v>
      </c>
      <c r="B9004" s="2" t="str">
        <f>"B20231202133"</f>
        <v>B20231202133</v>
      </c>
      <c r="C9004" s="2" t="str">
        <f t="shared" si="2128"/>
        <v>女</v>
      </c>
      <c r="D9004" s="2" t="str">
        <f>"5"</f>
        <v>5</v>
      </c>
      <c r="E9004" s="2" t="str">
        <f>"数学学院"</f>
        <v>数学学院</v>
      </c>
    </row>
    <row r="9005" ht="13.5" hidden="1" spans="1:5">
      <c r="A9005" s="2" t="str">
        <f>"张玖榕"</f>
        <v>张玖榕</v>
      </c>
      <c r="B9005" s="2" t="str">
        <f>"B20230901135"</f>
        <v>B20230901135</v>
      </c>
      <c r="C9005" s="2" t="str">
        <f t="shared" si="2129"/>
        <v>男</v>
      </c>
      <c r="D9005" s="2" t="str">
        <f t="shared" si="2116"/>
        <v>1</v>
      </c>
      <c r="E9005" s="2" t="str">
        <f>"经济与管理学院"</f>
        <v>经济与管理学院</v>
      </c>
    </row>
    <row r="9006" ht="13.5" hidden="1" spans="1:5">
      <c r="A9006" s="2" t="str">
        <f>"刘璇"</f>
        <v>刘璇</v>
      </c>
      <c r="B9006" s="2" t="str">
        <f>"B20200801229"</f>
        <v>B20200801229</v>
      </c>
      <c r="C9006" s="2" t="str">
        <f t="shared" si="2128"/>
        <v>女</v>
      </c>
      <c r="D9006" s="2" t="str">
        <f t="shared" si="2116"/>
        <v>1</v>
      </c>
      <c r="E9006" s="2" t="str">
        <f t="shared" ref="E9006:E9010" si="2130">"外国语学院"</f>
        <v>外国语学院</v>
      </c>
    </row>
    <row r="9007" ht="13.5" hidden="1" spans="1:5">
      <c r="A9007" s="2" t="str">
        <f>"陈红燕"</f>
        <v>陈红燕</v>
      </c>
      <c r="B9007" s="2" t="str">
        <f>"B20200102113"</f>
        <v>B20200102113</v>
      </c>
      <c r="C9007" s="2" t="str">
        <f t="shared" si="2128"/>
        <v>女</v>
      </c>
      <c r="D9007" s="2" t="str">
        <f t="shared" si="2116"/>
        <v>1</v>
      </c>
      <c r="E9007" s="2" t="str">
        <f>"土木工程学院"</f>
        <v>土木工程学院</v>
      </c>
    </row>
    <row r="9008" ht="13.5" hidden="1" spans="1:5">
      <c r="A9008" s="2" t="str">
        <f>"李姊芊"</f>
        <v>李姊芊</v>
      </c>
      <c r="B9008" s="2" t="str">
        <f>"B20210802125"</f>
        <v>B20210802125</v>
      </c>
      <c r="C9008" s="2" t="str">
        <f t="shared" si="2128"/>
        <v>女</v>
      </c>
      <c r="D9008" s="2" t="str">
        <f t="shared" si="2116"/>
        <v>1</v>
      </c>
      <c r="E9008" s="2" t="str">
        <f t="shared" si="2130"/>
        <v>外国语学院</v>
      </c>
    </row>
    <row r="9009" ht="13.5" hidden="1" spans="1:5">
      <c r="A9009" s="2" t="str">
        <f>"赵语涵"</f>
        <v>赵语涵</v>
      </c>
      <c r="B9009" s="2" t="str">
        <f>"B20220204210"</f>
        <v>B20220204210</v>
      </c>
      <c r="C9009" s="2" t="str">
        <f t="shared" si="2128"/>
        <v>女</v>
      </c>
      <c r="D9009" s="2" t="str">
        <f t="shared" si="2116"/>
        <v>1</v>
      </c>
      <c r="E9009" s="2" t="str">
        <f>"机电工程学院"</f>
        <v>机电工程学院</v>
      </c>
    </row>
    <row r="9010" ht="13.5" hidden="1" spans="1:5">
      <c r="A9010" s="2" t="str">
        <f>"李文耀"</f>
        <v>李文耀</v>
      </c>
      <c r="B9010" s="2" t="str">
        <f>"B20200803215"</f>
        <v>B20200803215</v>
      </c>
      <c r="C9010" s="2" t="str">
        <f>"男"</f>
        <v>男</v>
      </c>
      <c r="D9010" s="2" t="str">
        <f t="shared" si="2116"/>
        <v>1</v>
      </c>
      <c r="E9010" s="2" t="str">
        <f t="shared" si="2130"/>
        <v>外国语学院</v>
      </c>
    </row>
    <row r="9011" ht="13.5" hidden="1" spans="1:5">
      <c r="A9011" s="2" t="str">
        <f>"杨巧"</f>
        <v>杨巧</v>
      </c>
      <c r="B9011" s="2" t="str">
        <f>"B20200202408"</f>
        <v>B20200202408</v>
      </c>
      <c r="C9011" s="2" t="str">
        <f>"男"</f>
        <v>男</v>
      </c>
      <c r="D9011" s="2" t="str">
        <f t="shared" si="2116"/>
        <v>1</v>
      </c>
      <c r="E9011" s="2" t="str">
        <f>"机电工程学院"</f>
        <v>机电工程学院</v>
      </c>
    </row>
    <row r="9012" ht="13.5" hidden="1" spans="1:5">
      <c r="A9012" s="2" t="str">
        <f>"陈诗诗"</f>
        <v>陈诗诗</v>
      </c>
      <c r="B9012" s="2" t="str">
        <f>"B20210901211"</f>
        <v>B20210901211</v>
      </c>
      <c r="C9012" s="2" t="str">
        <f t="shared" ref="C9012:C9015" si="2131">"女"</f>
        <v>女</v>
      </c>
      <c r="D9012" s="2" t="str">
        <f t="shared" si="2116"/>
        <v>1</v>
      </c>
      <c r="E9012" s="2" t="str">
        <f>"经济与管理学院"</f>
        <v>经济与管理学院</v>
      </c>
    </row>
    <row r="9013" ht="13.5" hidden="1" spans="1:5">
      <c r="A9013" s="2" t="str">
        <f>"蒋述"</f>
        <v>蒋述</v>
      </c>
      <c r="B9013" s="2" t="str">
        <f>"B20210503133"</f>
        <v>B20210503133</v>
      </c>
      <c r="C9013" s="2" t="str">
        <f t="shared" si="2131"/>
        <v>女</v>
      </c>
      <c r="D9013" s="2" t="str">
        <f t="shared" si="2116"/>
        <v>1</v>
      </c>
      <c r="E9013" s="2" t="str">
        <f>"材料与环境工程学院"</f>
        <v>材料与环境工程学院</v>
      </c>
    </row>
    <row r="9014" ht="13.5" hidden="1" spans="1:5">
      <c r="A9014" s="2" t="str">
        <f>"段平"</f>
        <v>段平</v>
      </c>
      <c r="B9014" s="2" t="str">
        <f>"B20200403219"</f>
        <v>B20200403219</v>
      </c>
      <c r="C9014" s="2" t="str">
        <f t="shared" si="2131"/>
        <v>女</v>
      </c>
      <c r="D9014" s="2" t="str">
        <f t="shared" si="2116"/>
        <v>1</v>
      </c>
      <c r="E9014" s="2" t="str">
        <f>"电子信息与电气工程学院"</f>
        <v>电子信息与电气工程学院</v>
      </c>
    </row>
    <row r="9015" ht="13.5" hidden="1" spans="1:5">
      <c r="A9015" s="2" t="str">
        <f>"兰珂"</f>
        <v>兰珂</v>
      </c>
      <c r="B9015" s="2" t="str">
        <f>"B20220901231"</f>
        <v>B20220901231</v>
      </c>
      <c r="C9015" s="2" t="str">
        <f t="shared" si="2131"/>
        <v>女</v>
      </c>
      <c r="D9015" s="2" t="str">
        <f t="shared" si="2116"/>
        <v>1</v>
      </c>
      <c r="E9015" s="2" t="str">
        <f>"经济与管理学院"</f>
        <v>经济与管理学院</v>
      </c>
    </row>
    <row r="9016" ht="13.5" hidden="1" spans="1:5">
      <c r="A9016" s="2" t="str">
        <f>"陈泽宇"</f>
        <v>陈泽宇</v>
      </c>
      <c r="B9016" s="2" t="str">
        <f>"B20220402213"</f>
        <v>B20220402213</v>
      </c>
      <c r="C9016" s="2" t="str">
        <f t="shared" ref="C9016:C9024" si="2132">"男"</f>
        <v>男</v>
      </c>
      <c r="D9016" s="2" t="str">
        <f t="shared" si="2116"/>
        <v>1</v>
      </c>
      <c r="E9016" s="2" t="str">
        <f>"电子信息与电气工程学院"</f>
        <v>电子信息与电气工程学院</v>
      </c>
    </row>
    <row r="9017" ht="13.5" hidden="1" spans="1:5">
      <c r="A9017" s="2" t="str">
        <f>"林琦瀚"</f>
        <v>林琦瀚</v>
      </c>
      <c r="B9017" s="2" t="str">
        <f>"B20201002424"</f>
        <v>B20201002424</v>
      </c>
      <c r="C9017" s="2" t="str">
        <f t="shared" si="2132"/>
        <v>男</v>
      </c>
      <c r="D9017" s="2" t="str">
        <f t="shared" si="2116"/>
        <v>1</v>
      </c>
      <c r="E9017" s="2" t="str">
        <f>"艺术设计学院"</f>
        <v>艺术设计学院</v>
      </c>
    </row>
    <row r="9018" ht="13.5" hidden="1" spans="1:5">
      <c r="A9018" s="2" t="str">
        <f>"程昕冉"</f>
        <v>程昕冉</v>
      </c>
      <c r="B9018" s="2" t="str">
        <f>"B20230704323"</f>
        <v>B20230704323</v>
      </c>
      <c r="C9018" s="2" t="str">
        <f>"女"</f>
        <v>女</v>
      </c>
      <c r="D9018" s="2" t="str">
        <f t="shared" si="2116"/>
        <v>1</v>
      </c>
      <c r="E9018" s="2" t="str">
        <f>"马栏山新媒体学院"</f>
        <v>马栏山新媒体学院</v>
      </c>
    </row>
    <row r="9019" ht="13.5" hidden="1" spans="1:5">
      <c r="A9019" s="2" t="str">
        <f>"谢依美"</f>
        <v>谢依美</v>
      </c>
      <c r="B9019" s="2" t="str">
        <f>"B20210901204"</f>
        <v>B20210901204</v>
      </c>
      <c r="C9019" s="2" t="str">
        <f>"女"</f>
        <v>女</v>
      </c>
      <c r="D9019" s="2" t="str">
        <f t="shared" si="2116"/>
        <v>1</v>
      </c>
      <c r="E9019" s="2" t="str">
        <f>"经济与管理学院"</f>
        <v>经济与管理学院</v>
      </c>
    </row>
    <row r="9020" ht="13.5" hidden="1" spans="1:5">
      <c r="A9020" s="2" t="str">
        <f>"朱道美"</f>
        <v>朱道美</v>
      </c>
      <c r="B9020" s="2" t="str">
        <f>"B20200203133"</f>
        <v>B20200203133</v>
      </c>
      <c r="C9020" s="2" t="str">
        <f t="shared" si="2132"/>
        <v>男</v>
      </c>
      <c r="D9020" s="2" t="str">
        <f t="shared" si="2116"/>
        <v>1</v>
      </c>
      <c r="E9020" s="2" t="str">
        <f>"机电工程学院"</f>
        <v>机电工程学院</v>
      </c>
    </row>
    <row r="9021" ht="13.5" hidden="1" spans="1:5">
      <c r="A9021" s="2" t="str">
        <f>"李林锦"</f>
        <v>李林锦</v>
      </c>
      <c r="B9021" s="2" t="str">
        <f>"B20200402113"</f>
        <v>B20200402113</v>
      </c>
      <c r="C9021" s="2" t="str">
        <f t="shared" si="2132"/>
        <v>男</v>
      </c>
      <c r="D9021" s="2" t="str">
        <f t="shared" si="2116"/>
        <v>1</v>
      </c>
      <c r="E9021" s="2" t="str">
        <f>"电子信息与电气工程学院"</f>
        <v>电子信息与电气工程学院</v>
      </c>
    </row>
    <row r="9022" ht="13.5" hidden="1" spans="1:5">
      <c r="A9022" s="2" t="str">
        <f>"蔡宇轩"</f>
        <v>蔡宇轩</v>
      </c>
      <c r="B9022" s="2" t="str">
        <f>"B20230101221"</f>
        <v>B20230101221</v>
      </c>
      <c r="C9022" s="2" t="str">
        <f t="shared" si="2132"/>
        <v>男</v>
      </c>
      <c r="D9022" s="2" t="str">
        <f t="shared" si="2116"/>
        <v>1</v>
      </c>
      <c r="E9022" s="2" t="str">
        <f>"土木工程学院"</f>
        <v>土木工程学院</v>
      </c>
    </row>
    <row r="9023" ht="13.5" hidden="1" spans="1:5">
      <c r="A9023" s="2" t="str">
        <f>"尹鹏杰"</f>
        <v>尹鹏杰</v>
      </c>
      <c r="B9023" s="2" t="str">
        <f>"B20220501226"</f>
        <v>B20220501226</v>
      </c>
      <c r="C9023" s="2" t="str">
        <f t="shared" si="2132"/>
        <v>男</v>
      </c>
      <c r="D9023" s="2" t="str">
        <f t="shared" si="2116"/>
        <v>1</v>
      </c>
      <c r="E9023" s="2" t="str">
        <f>"生物与化学工程学院"</f>
        <v>生物与化学工程学院</v>
      </c>
    </row>
    <row r="9024" ht="13.5" hidden="1" spans="1:5">
      <c r="A9024" s="2" t="str">
        <f>"李煌龙"</f>
        <v>李煌龙</v>
      </c>
      <c r="B9024" s="2" t="str">
        <f>"B20200601113"</f>
        <v>B20200601113</v>
      </c>
      <c r="C9024" s="2" t="str">
        <f t="shared" si="2132"/>
        <v>男</v>
      </c>
      <c r="D9024" s="2" t="str">
        <f t="shared" si="2116"/>
        <v>1</v>
      </c>
      <c r="E9024" s="2" t="str">
        <f>"法学院"</f>
        <v>法学院</v>
      </c>
    </row>
    <row r="9025" ht="13.5" hidden="1" spans="1:5">
      <c r="A9025" s="2" t="str">
        <f>"李秦"</f>
        <v>李秦</v>
      </c>
      <c r="B9025" s="2" t="str">
        <f>"B20231004103"</f>
        <v>B20231004103</v>
      </c>
      <c r="C9025" s="2" t="str">
        <f t="shared" ref="C9025:C9032" si="2133">"女"</f>
        <v>女</v>
      </c>
      <c r="D9025" s="2" t="str">
        <f t="shared" ref="D9025:D9088" si="2134">"1"</f>
        <v>1</v>
      </c>
      <c r="E9025" s="2" t="str">
        <f>"艺术设计学院"</f>
        <v>艺术设计学院</v>
      </c>
    </row>
    <row r="9026" ht="13.5" hidden="1" spans="1:5">
      <c r="A9026" s="2" t="str">
        <f>"刘玉"</f>
        <v>刘玉</v>
      </c>
      <c r="B9026" s="2" t="str">
        <f>"B20200902209"</f>
        <v>B20200902209</v>
      </c>
      <c r="C9026" s="2" t="str">
        <f>"男"</f>
        <v>男</v>
      </c>
      <c r="D9026" s="2" t="str">
        <f t="shared" si="2134"/>
        <v>1</v>
      </c>
      <c r="E9026" s="2" t="str">
        <f>"经济与管理学院"</f>
        <v>经济与管理学院</v>
      </c>
    </row>
    <row r="9027" ht="13.5" hidden="1" spans="1:5">
      <c r="A9027" s="2" t="str">
        <f>"尹博文"</f>
        <v>尹博文</v>
      </c>
      <c r="B9027" s="2" t="str">
        <f>"B20210601315"</f>
        <v>B20210601315</v>
      </c>
      <c r="C9027" s="2" t="str">
        <f>"男"</f>
        <v>男</v>
      </c>
      <c r="D9027" s="2" t="str">
        <f t="shared" si="2134"/>
        <v>1</v>
      </c>
      <c r="E9027" s="2" t="str">
        <f>"法学院"</f>
        <v>法学院</v>
      </c>
    </row>
    <row r="9028" ht="13.5" hidden="1" spans="1:5">
      <c r="A9028" s="2" t="str">
        <f>"吕甜甜"</f>
        <v>吕甜甜</v>
      </c>
      <c r="B9028" s="2" t="str">
        <f>"B20220701222"</f>
        <v>B20220701222</v>
      </c>
      <c r="C9028" s="2" t="str">
        <f t="shared" si="2133"/>
        <v>女</v>
      </c>
      <c r="D9028" s="2" t="str">
        <f t="shared" si="2134"/>
        <v>1</v>
      </c>
      <c r="E9028" s="2" t="str">
        <f>"马栏山新媒体学院"</f>
        <v>马栏山新媒体学院</v>
      </c>
    </row>
    <row r="9029" ht="13.5" hidden="1" spans="1:5">
      <c r="A9029" s="2" t="str">
        <f>"黎芝"</f>
        <v>黎芝</v>
      </c>
      <c r="B9029" s="2" t="str">
        <f>"B20210903229"</f>
        <v>B20210903229</v>
      </c>
      <c r="C9029" s="2" t="str">
        <f t="shared" si="2133"/>
        <v>女</v>
      </c>
      <c r="D9029" s="2" t="str">
        <f t="shared" si="2134"/>
        <v>1</v>
      </c>
      <c r="E9029" s="2" t="str">
        <f>"经济与管理学院"</f>
        <v>经济与管理学院</v>
      </c>
    </row>
    <row r="9030" ht="13.5" hidden="1" spans="1:5">
      <c r="A9030" s="2" t="str">
        <f>"郭惠惠"</f>
        <v>郭惠惠</v>
      </c>
      <c r="B9030" s="2" t="str">
        <f>"B20201001422"</f>
        <v>B20201001422</v>
      </c>
      <c r="C9030" s="2" t="str">
        <f t="shared" si="2133"/>
        <v>女</v>
      </c>
      <c r="D9030" s="2" t="str">
        <f t="shared" si="2134"/>
        <v>1</v>
      </c>
      <c r="E9030" s="2" t="str">
        <f t="shared" ref="E9030:E9033" si="2135">"艺术设计学院"</f>
        <v>艺术设计学院</v>
      </c>
    </row>
    <row r="9031" ht="13.5" hidden="1" spans="1:5">
      <c r="A9031" s="2" t="str">
        <f>"李卢晶"</f>
        <v>李卢晶</v>
      </c>
      <c r="B9031" s="2" t="str">
        <f>"B20231002402"</f>
        <v>B20231002402</v>
      </c>
      <c r="C9031" s="2" t="str">
        <f t="shared" si="2133"/>
        <v>女</v>
      </c>
      <c r="D9031" s="2" t="str">
        <f t="shared" si="2134"/>
        <v>1</v>
      </c>
      <c r="E9031" s="2" t="str">
        <f t="shared" si="2135"/>
        <v>艺术设计学院</v>
      </c>
    </row>
    <row r="9032" ht="13.5" hidden="1" spans="1:5">
      <c r="A9032" s="2" t="str">
        <f>"刘思朴"</f>
        <v>刘思朴</v>
      </c>
      <c r="B9032" s="2" t="str">
        <f>"B20210504213"</f>
        <v>B20210504213</v>
      </c>
      <c r="C9032" s="2" t="str">
        <f t="shared" si="2133"/>
        <v>女</v>
      </c>
      <c r="D9032" s="2" t="str">
        <f t="shared" si="2134"/>
        <v>1</v>
      </c>
      <c r="E9032" s="2" t="str">
        <f>"生物与化学工程学院"</f>
        <v>生物与化学工程学院</v>
      </c>
    </row>
    <row r="9033" ht="13.5" hidden="1" spans="1:5">
      <c r="A9033" s="2" t="str">
        <f>"赵江涛"</f>
        <v>赵江涛</v>
      </c>
      <c r="B9033" s="2" t="str">
        <f>"B20221002104"</f>
        <v>B20221002104</v>
      </c>
      <c r="C9033" s="2" t="str">
        <f t="shared" ref="C9033:C9036" si="2136">"男"</f>
        <v>男</v>
      </c>
      <c r="D9033" s="2" t="str">
        <f t="shared" si="2134"/>
        <v>1</v>
      </c>
      <c r="E9033" s="2" t="str">
        <f t="shared" si="2135"/>
        <v>艺术设计学院</v>
      </c>
    </row>
    <row r="9034" ht="13.5" hidden="1" spans="1:5">
      <c r="A9034" s="2" t="str">
        <f>"陈涛"</f>
        <v>陈涛</v>
      </c>
      <c r="B9034" s="2" t="str">
        <f>"B20220906105"</f>
        <v>B20220906105</v>
      </c>
      <c r="C9034" s="2" t="str">
        <f t="shared" si="2136"/>
        <v>男</v>
      </c>
      <c r="D9034" s="2" t="str">
        <f t="shared" si="2134"/>
        <v>1</v>
      </c>
      <c r="E9034" s="2" t="str">
        <f>"经济与管理学院"</f>
        <v>经济与管理学院</v>
      </c>
    </row>
    <row r="9035" ht="13.5" hidden="1" spans="1:5">
      <c r="A9035" s="2" t="str">
        <f>"姚佳庆"</f>
        <v>姚佳庆</v>
      </c>
      <c r="B9035" s="2" t="str">
        <f>"B20230705103"</f>
        <v>B20230705103</v>
      </c>
      <c r="C9035" s="2" t="str">
        <f t="shared" si="2136"/>
        <v>男</v>
      </c>
      <c r="D9035" s="2" t="str">
        <f t="shared" si="2134"/>
        <v>1</v>
      </c>
      <c r="E9035" s="2" t="str">
        <f>"马栏山新媒体学院"</f>
        <v>马栏山新媒体学院</v>
      </c>
    </row>
    <row r="9036" ht="13.5" hidden="1" spans="1:5">
      <c r="A9036" s="2" t="str">
        <f>"杨博"</f>
        <v>杨博</v>
      </c>
      <c r="B9036" s="2" t="str">
        <f>"B20200404114"</f>
        <v>B20200404114</v>
      </c>
      <c r="C9036" s="2" t="str">
        <f t="shared" si="2136"/>
        <v>男</v>
      </c>
      <c r="D9036" s="2" t="str">
        <f t="shared" si="2134"/>
        <v>1</v>
      </c>
      <c r="E9036" s="2" t="str">
        <f>"电子信息与电气工程学院"</f>
        <v>电子信息与电气工程学院</v>
      </c>
    </row>
    <row r="9037" ht="13.5" hidden="1" spans="1:5">
      <c r="A9037" s="2" t="str">
        <f>"朱湘蕾"</f>
        <v>朱湘蕾</v>
      </c>
      <c r="B9037" s="2" t="str">
        <f>"B20220705108"</f>
        <v>B20220705108</v>
      </c>
      <c r="C9037" s="2" t="str">
        <f t="shared" ref="C9037:C9039" si="2137">"女"</f>
        <v>女</v>
      </c>
      <c r="D9037" s="2" t="str">
        <f t="shared" si="2134"/>
        <v>1</v>
      </c>
      <c r="E9037" s="2" t="str">
        <f>"马栏山新媒体学院"</f>
        <v>马栏山新媒体学院</v>
      </c>
    </row>
    <row r="9038" ht="13.5" hidden="1" spans="1:5">
      <c r="A9038" s="2" t="str">
        <f>"李纪兴"</f>
        <v>李纪兴</v>
      </c>
      <c r="B9038" s="2" t="str">
        <f>"B20231202134"</f>
        <v>B20231202134</v>
      </c>
      <c r="C9038" s="2" t="str">
        <f>"男"</f>
        <v>男</v>
      </c>
      <c r="D9038" s="2" t="str">
        <f>"2"</f>
        <v>2</v>
      </c>
      <c r="E9038" s="2" t="str">
        <f>"数学学院"</f>
        <v>数学学院</v>
      </c>
    </row>
    <row r="9039" ht="13.5" hidden="1" spans="1:5">
      <c r="A9039" s="2" t="str">
        <f>"卿颖"</f>
        <v>卿颖</v>
      </c>
      <c r="B9039" s="2" t="str">
        <f>"B20200905108"</f>
        <v>B20200905108</v>
      </c>
      <c r="C9039" s="2" t="str">
        <f t="shared" si="2137"/>
        <v>女</v>
      </c>
      <c r="D9039" s="2" t="str">
        <f t="shared" si="2134"/>
        <v>1</v>
      </c>
      <c r="E9039" s="2" t="str">
        <f>"经济与管理学院"</f>
        <v>经济与管理学院</v>
      </c>
    </row>
    <row r="9040" ht="13.5" hidden="1" spans="1:5">
      <c r="A9040" s="2" t="str">
        <f>"葛智广"</f>
        <v>葛智广</v>
      </c>
      <c r="B9040" s="2" t="str">
        <f>"B20200505110"</f>
        <v>B20200505110</v>
      </c>
      <c r="C9040" s="2" t="str">
        <f t="shared" ref="C9040:C9047" si="2138">"男"</f>
        <v>男</v>
      </c>
      <c r="D9040" s="2" t="str">
        <f t="shared" si="2134"/>
        <v>1</v>
      </c>
      <c r="E9040" s="2" t="str">
        <f>"生物与环境工程学院"</f>
        <v>生物与环境工程学院</v>
      </c>
    </row>
    <row r="9041" ht="13.5" hidden="1" spans="1:5">
      <c r="A9041" s="2" t="str">
        <f>"卢灿"</f>
        <v>卢灿</v>
      </c>
      <c r="B9041" s="2" t="str">
        <f>"B20230405104"</f>
        <v>B20230405104</v>
      </c>
      <c r="C9041" s="2" t="str">
        <f t="shared" si="2138"/>
        <v>男</v>
      </c>
      <c r="D9041" s="2" t="str">
        <f t="shared" si="2134"/>
        <v>1</v>
      </c>
      <c r="E9041" s="2" t="str">
        <f>"电子信息与电气工程学院"</f>
        <v>电子信息与电气工程学院</v>
      </c>
    </row>
    <row r="9042" ht="13.5" hidden="1" spans="1:5">
      <c r="A9042" s="2" t="str">
        <f>"何映"</f>
        <v>何映</v>
      </c>
      <c r="B9042" s="2" t="str">
        <f>"B20230903122"</f>
        <v>B20230903122</v>
      </c>
      <c r="C9042" s="2" t="str">
        <f>"女"</f>
        <v>女</v>
      </c>
      <c r="D9042" s="2" t="str">
        <f t="shared" si="2134"/>
        <v>1</v>
      </c>
      <c r="E9042" s="2" t="str">
        <f>"经济与管理学院"</f>
        <v>经济与管理学院</v>
      </c>
    </row>
    <row r="9043" ht="13.5" hidden="1" spans="1:5">
      <c r="A9043" s="2" t="str">
        <f>"梁佳辉"</f>
        <v>梁佳辉</v>
      </c>
      <c r="B9043" s="2" t="str">
        <f>"B20200203232"</f>
        <v>B20200203232</v>
      </c>
      <c r="C9043" s="2" t="str">
        <f t="shared" si="2138"/>
        <v>男</v>
      </c>
      <c r="D9043" s="2" t="str">
        <f t="shared" si="2134"/>
        <v>1</v>
      </c>
      <c r="E9043" s="2" t="str">
        <f>"机电工程学院"</f>
        <v>机电工程学院</v>
      </c>
    </row>
    <row r="9044" ht="13.5" hidden="1" spans="1:5">
      <c r="A9044" s="2" t="str">
        <f>"邹光政"</f>
        <v>邹光政</v>
      </c>
      <c r="B9044" s="2" t="str">
        <f>"B20231202303"</f>
        <v>B20231202303</v>
      </c>
      <c r="C9044" s="2" t="str">
        <f t="shared" si="2138"/>
        <v>男</v>
      </c>
      <c r="D9044" s="2" t="str">
        <f>"4"</f>
        <v>4</v>
      </c>
      <c r="E9044" s="2" t="str">
        <f>"数学学院"</f>
        <v>数学学院</v>
      </c>
    </row>
    <row r="9045" ht="13.5" hidden="1" spans="1:5">
      <c r="A9045" s="2" t="str">
        <f>"吴洁涛"</f>
        <v>吴洁涛</v>
      </c>
      <c r="B9045" s="2" t="str">
        <f>"B20211003112"</f>
        <v>B20211003112</v>
      </c>
      <c r="C9045" s="2" t="str">
        <f t="shared" si="2138"/>
        <v>男</v>
      </c>
      <c r="D9045" s="2" t="str">
        <f t="shared" si="2134"/>
        <v>1</v>
      </c>
      <c r="E9045" s="2" t="str">
        <f>"艺术设计学院"</f>
        <v>艺术设计学院</v>
      </c>
    </row>
    <row r="9046" ht="13.5" hidden="1" spans="1:5">
      <c r="A9046" s="2" t="str">
        <f>"李帅"</f>
        <v>李帅</v>
      </c>
      <c r="B9046" s="2" t="str">
        <f>"B20200501131"</f>
        <v>B20200501131</v>
      </c>
      <c r="C9046" s="2" t="str">
        <f t="shared" si="2138"/>
        <v>男</v>
      </c>
      <c r="D9046" s="2" t="str">
        <f t="shared" si="2134"/>
        <v>1</v>
      </c>
      <c r="E9046" s="2" t="str">
        <f>"生物与环境工程学院"</f>
        <v>生物与环境工程学院</v>
      </c>
    </row>
    <row r="9047" ht="13.5" hidden="1" spans="1:5">
      <c r="A9047" s="2" t="str">
        <f>"周粲峰"</f>
        <v>周粲峰</v>
      </c>
      <c r="B9047" s="2" t="str">
        <f>"B20231202304"</f>
        <v>B20231202304</v>
      </c>
      <c r="C9047" s="2" t="str">
        <f t="shared" si="2138"/>
        <v>男</v>
      </c>
      <c r="D9047" s="2" t="str">
        <f>"3"</f>
        <v>3</v>
      </c>
      <c r="E9047" s="2" t="str">
        <f>"数学学院"</f>
        <v>数学学院</v>
      </c>
    </row>
    <row r="9048" ht="13.5" hidden="1" spans="1:5">
      <c r="A9048" s="2" t="str">
        <f>"曾振林"</f>
        <v>曾振林</v>
      </c>
      <c r="B9048" s="2" t="str">
        <f>"B20210101415"</f>
        <v>B20210101415</v>
      </c>
      <c r="C9048" s="2" t="str">
        <f t="shared" ref="C9048:C9050" si="2139">"男"</f>
        <v>男</v>
      </c>
      <c r="D9048" s="2" t="str">
        <f t="shared" si="2134"/>
        <v>1</v>
      </c>
      <c r="E9048" s="2" t="str">
        <f>"土木工程学院"</f>
        <v>土木工程学院</v>
      </c>
    </row>
    <row r="9049" ht="13.5" hidden="1" spans="1:5">
      <c r="A9049" s="2" t="str">
        <f>"王舟"</f>
        <v>王舟</v>
      </c>
      <c r="B9049" s="2" t="str">
        <f>"B20231202305"</f>
        <v>B20231202305</v>
      </c>
      <c r="C9049" s="2" t="str">
        <f t="shared" si="2139"/>
        <v>男</v>
      </c>
      <c r="D9049" s="2" t="str">
        <f>"3"</f>
        <v>3</v>
      </c>
      <c r="E9049" s="2" t="str">
        <f>"数学学院"</f>
        <v>数学学院</v>
      </c>
    </row>
    <row r="9050" ht="13.5" hidden="1" spans="1:5">
      <c r="A9050" s="2" t="str">
        <f>"黄轩宇"</f>
        <v>黄轩宇</v>
      </c>
      <c r="B9050" s="2" t="str">
        <f>"B20230404233"</f>
        <v>B20230404233</v>
      </c>
      <c r="C9050" s="2" t="str">
        <f t="shared" si="2139"/>
        <v>男</v>
      </c>
      <c r="D9050" s="2" t="str">
        <f t="shared" si="2134"/>
        <v>1</v>
      </c>
      <c r="E9050" s="2" t="str">
        <f>"电子信息与电气工程学院"</f>
        <v>电子信息与电气工程学院</v>
      </c>
    </row>
    <row r="9051" ht="13.5" hidden="1" spans="1:5">
      <c r="A9051" s="2" t="str">
        <f>"罗雨欣"</f>
        <v>罗雨欣</v>
      </c>
      <c r="B9051" s="2" t="str">
        <f>"B20200902425"</f>
        <v>B20200902425</v>
      </c>
      <c r="C9051" s="2" t="str">
        <f>"女"</f>
        <v>女</v>
      </c>
      <c r="D9051" s="2" t="str">
        <f t="shared" si="2134"/>
        <v>1</v>
      </c>
      <c r="E9051" s="2" t="str">
        <f>"经济与管理学院"</f>
        <v>经济与管理学院</v>
      </c>
    </row>
    <row r="9052" ht="13.5" hidden="1" spans="1:5">
      <c r="A9052" s="2" t="str">
        <f>"李鋆彦"</f>
        <v>李鋆彦</v>
      </c>
      <c r="B9052" s="2" t="str">
        <f>"B20231202306"</f>
        <v>B20231202306</v>
      </c>
      <c r="C9052" s="2" t="str">
        <f>"男"</f>
        <v>男</v>
      </c>
      <c r="D9052" s="2" t="str">
        <f>"3"</f>
        <v>3</v>
      </c>
      <c r="E9052" s="2" t="str">
        <f>"数学学院"</f>
        <v>数学学院</v>
      </c>
    </row>
    <row r="9053" ht="13.5" hidden="1" spans="1:5">
      <c r="A9053" s="2" t="str">
        <f>"艾博文"</f>
        <v>艾博文</v>
      </c>
      <c r="B9053" s="2" t="str">
        <f>"B20200802308"</f>
        <v>B20200802308</v>
      </c>
      <c r="C9053" s="2" t="str">
        <f t="shared" ref="C9052:C9055" si="2140">"男"</f>
        <v>男</v>
      </c>
      <c r="D9053" s="2" t="str">
        <f t="shared" si="2134"/>
        <v>1</v>
      </c>
      <c r="E9053" s="2" t="str">
        <f>"外国语学院"</f>
        <v>外国语学院</v>
      </c>
    </row>
    <row r="9054" ht="13.5" hidden="1" spans="1:5">
      <c r="A9054" s="2" t="str">
        <f>"毛鸿斌"</f>
        <v>毛鸿斌</v>
      </c>
      <c r="B9054" s="2" t="str">
        <f>"B20220101427"</f>
        <v>B20220101427</v>
      </c>
      <c r="C9054" s="2" t="str">
        <f t="shared" si="2140"/>
        <v>男</v>
      </c>
      <c r="D9054" s="2" t="str">
        <f t="shared" si="2134"/>
        <v>1</v>
      </c>
      <c r="E9054" s="2" t="str">
        <f>"土木工程学院"</f>
        <v>土木工程学院</v>
      </c>
    </row>
    <row r="9055" ht="13.5" hidden="1" spans="1:5">
      <c r="A9055" s="2" t="str">
        <f>"王焕鹏"</f>
        <v>王焕鹏</v>
      </c>
      <c r="B9055" s="2" t="str">
        <f>"B20230104121"</f>
        <v>B20230104121</v>
      </c>
      <c r="C9055" s="2" t="str">
        <f t="shared" si="2140"/>
        <v>男</v>
      </c>
      <c r="D9055" s="2" t="str">
        <f t="shared" si="2134"/>
        <v>1</v>
      </c>
      <c r="E9055" s="2" t="str">
        <f>"土木工程学院"</f>
        <v>土木工程学院</v>
      </c>
    </row>
    <row r="9056" ht="13.5" hidden="1" spans="1:5">
      <c r="A9056" s="2" t="str">
        <f>"欧阳琪"</f>
        <v>欧阳琪</v>
      </c>
      <c r="B9056" s="2" t="str">
        <f>"B20231003122"</f>
        <v>B20231003122</v>
      </c>
      <c r="C9056" s="2" t="str">
        <f t="shared" ref="C9056:C9059" si="2141">"女"</f>
        <v>女</v>
      </c>
      <c r="D9056" s="2" t="str">
        <f t="shared" si="2134"/>
        <v>1</v>
      </c>
      <c r="E9056" s="2" t="str">
        <f>"艺术设计学院"</f>
        <v>艺术设计学院</v>
      </c>
    </row>
    <row r="9057" ht="13.5" hidden="1" spans="1:5">
      <c r="A9057" s="2" t="str">
        <f>"罗新宇"</f>
        <v>罗新宇</v>
      </c>
      <c r="B9057" s="2" t="str">
        <f>"B20210501120"</f>
        <v>B20210501120</v>
      </c>
      <c r="C9057" s="2" t="str">
        <f t="shared" si="2141"/>
        <v>女</v>
      </c>
      <c r="D9057" s="2" t="str">
        <f t="shared" si="2134"/>
        <v>1</v>
      </c>
      <c r="E9057" s="2" t="str">
        <f>"生物与化学工程学院"</f>
        <v>生物与化学工程学院</v>
      </c>
    </row>
    <row r="9058" ht="13.5" hidden="1" spans="1:5">
      <c r="A9058" s="2" t="str">
        <f>"李彦霖"</f>
        <v>李彦霖</v>
      </c>
      <c r="B9058" s="2" t="str">
        <f>"B20200704415"</f>
        <v>B20200704415</v>
      </c>
      <c r="C9058" s="2" t="str">
        <f t="shared" si="2141"/>
        <v>女</v>
      </c>
      <c r="D9058" s="2" t="str">
        <f t="shared" si="2134"/>
        <v>1</v>
      </c>
      <c r="E9058" s="2" t="str">
        <f>"马栏山新媒体学院"</f>
        <v>马栏山新媒体学院</v>
      </c>
    </row>
    <row r="9059" ht="13.5" hidden="1" spans="1:5">
      <c r="A9059" s="2" t="str">
        <f>"李湘"</f>
        <v>李湘</v>
      </c>
      <c r="B9059" s="2" t="str">
        <f>"B20210601309"</f>
        <v>B20210601309</v>
      </c>
      <c r="C9059" s="2" t="str">
        <f t="shared" si="2141"/>
        <v>女</v>
      </c>
      <c r="D9059" s="2" t="str">
        <f t="shared" si="2134"/>
        <v>1</v>
      </c>
      <c r="E9059" s="2" t="str">
        <f>"法学院"</f>
        <v>法学院</v>
      </c>
    </row>
    <row r="9060" ht="13.5" hidden="1" spans="1:5">
      <c r="A9060" s="2" t="str">
        <f>"彭雪松"</f>
        <v>彭雪松</v>
      </c>
      <c r="B9060" s="2" t="str">
        <f>"B20231302332"</f>
        <v>B20231302332</v>
      </c>
      <c r="C9060" s="2" t="str">
        <f t="shared" ref="C9060:C9064" si="2142">"男"</f>
        <v>男</v>
      </c>
      <c r="D9060" s="2" t="str">
        <f t="shared" si="2134"/>
        <v>1</v>
      </c>
      <c r="E9060" s="2" t="str">
        <f>"材料与环境工程学院"</f>
        <v>材料与环境工程学院</v>
      </c>
    </row>
    <row r="9061" ht="13.5" hidden="1" spans="1:5">
      <c r="A9061" s="2" t="str">
        <f>"易宇臻"</f>
        <v>易宇臻</v>
      </c>
      <c r="B9061" s="2" t="str">
        <f>"B20220601119"</f>
        <v>B20220601119</v>
      </c>
      <c r="C9061" s="2" t="str">
        <f t="shared" si="2142"/>
        <v>男</v>
      </c>
      <c r="D9061" s="2" t="str">
        <f t="shared" si="2134"/>
        <v>1</v>
      </c>
      <c r="E9061" s="2" t="str">
        <f>"法学院"</f>
        <v>法学院</v>
      </c>
    </row>
    <row r="9062" ht="13.5" hidden="1" spans="1:5">
      <c r="A9062" s="2" t="str">
        <f>"欧阳芷言"</f>
        <v>欧阳芷言</v>
      </c>
      <c r="B9062" s="2" t="str">
        <f>"B20230705104"</f>
        <v>B20230705104</v>
      </c>
      <c r="C9062" s="2" t="str">
        <f t="shared" ref="C9062:C9067" si="2143">"女"</f>
        <v>女</v>
      </c>
      <c r="D9062" s="2" t="str">
        <f t="shared" si="2134"/>
        <v>1</v>
      </c>
      <c r="E9062" s="2" t="str">
        <f>"马栏山新媒体学院"</f>
        <v>马栏山新媒体学院</v>
      </c>
    </row>
    <row r="9063" ht="13.5" hidden="1" spans="1:5">
      <c r="A9063" s="2" t="str">
        <f>"黄志杰"</f>
        <v>黄志杰</v>
      </c>
      <c r="B9063" s="2" t="str">
        <f>"B20221002216"</f>
        <v>B20221002216</v>
      </c>
      <c r="C9063" s="2" t="str">
        <f t="shared" si="2142"/>
        <v>男</v>
      </c>
      <c r="D9063" s="2" t="str">
        <f t="shared" si="2134"/>
        <v>1</v>
      </c>
      <c r="E9063" s="2" t="str">
        <f>"艺术设计学院"</f>
        <v>艺术设计学院</v>
      </c>
    </row>
    <row r="9064" ht="13.5" hidden="1" spans="1:5">
      <c r="A9064" s="2" t="str">
        <f>"袁金龙"</f>
        <v>袁金龙</v>
      </c>
      <c r="B9064" s="2" t="str">
        <f>"B20200905122"</f>
        <v>B20200905122</v>
      </c>
      <c r="C9064" s="2" t="str">
        <f t="shared" si="2142"/>
        <v>男</v>
      </c>
      <c r="D9064" s="2" t="str">
        <f t="shared" si="2134"/>
        <v>1</v>
      </c>
      <c r="E9064" s="2" t="str">
        <f>"经济与管理学院"</f>
        <v>经济与管理学院</v>
      </c>
    </row>
    <row r="9065" ht="13.5" hidden="1" spans="1:5">
      <c r="A9065" s="2" t="str">
        <f>"陈偲"</f>
        <v>陈偲</v>
      </c>
      <c r="B9065" s="2" t="str">
        <f>"B20210801125"</f>
        <v>B20210801125</v>
      </c>
      <c r="C9065" s="2" t="str">
        <f t="shared" si="2143"/>
        <v>女</v>
      </c>
      <c r="D9065" s="2" t="str">
        <f t="shared" si="2134"/>
        <v>1</v>
      </c>
      <c r="E9065" s="2" t="str">
        <f>"外国语学院"</f>
        <v>外国语学院</v>
      </c>
    </row>
    <row r="9066" ht="13.5" hidden="1" spans="1:5">
      <c r="A9066" s="2" t="str">
        <f>"黄瑞阳"</f>
        <v>黄瑞阳</v>
      </c>
      <c r="B9066" s="2" t="str">
        <f>"B20220401409"</f>
        <v>B20220401409</v>
      </c>
      <c r="C9066" s="2" t="str">
        <f t="shared" ref="C9066:C9069" si="2144">"男"</f>
        <v>男</v>
      </c>
      <c r="D9066" s="2" t="str">
        <f t="shared" si="2134"/>
        <v>1</v>
      </c>
      <c r="E9066" s="2" t="str">
        <f>"电子信息与电气工程学院"</f>
        <v>电子信息与电气工程学院</v>
      </c>
    </row>
    <row r="9067" ht="13.5" hidden="1" spans="1:5">
      <c r="A9067" s="2" t="str">
        <f>"张晓艳"</f>
        <v>张晓艳</v>
      </c>
      <c r="B9067" s="2" t="str">
        <f>"B20201001112"</f>
        <v>B20201001112</v>
      </c>
      <c r="C9067" s="2" t="str">
        <f t="shared" si="2143"/>
        <v>女</v>
      </c>
      <c r="D9067" s="2" t="str">
        <f t="shared" si="2134"/>
        <v>1</v>
      </c>
      <c r="E9067" s="2" t="str">
        <f>"艺术设计学院"</f>
        <v>艺术设计学院</v>
      </c>
    </row>
    <row r="9068" ht="13.5" hidden="1" spans="1:5">
      <c r="A9068" s="2" t="str">
        <f>"吴博洋"</f>
        <v>吴博洋</v>
      </c>
      <c r="B9068" s="2" t="str">
        <f>"B20230703324"</f>
        <v>B20230703324</v>
      </c>
      <c r="C9068" s="2" t="str">
        <f t="shared" si="2144"/>
        <v>男</v>
      </c>
      <c r="D9068" s="2" t="str">
        <f t="shared" si="2134"/>
        <v>1</v>
      </c>
      <c r="E9068" s="2" t="str">
        <f>"马栏山新媒体学院"</f>
        <v>马栏山新媒体学院</v>
      </c>
    </row>
    <row r="9069" ht="13.5" hidden="1" spans="1:5">
      <c r="A9069" s="2" t="str">
        <f>"付继炜"</f>
        <v>付继炜</v>
      </c>
      <c r="B9069" s="2" t="str">
        <f>"B20230501228"</f>
        <v>B20230501228</v>
      </c>
      <c r="C9069" s="2" t="str">
        <f t="shared" si="2144"/>
        <v>男</v>
      </c>
      <c r="D9069" s="2" t="str">
        <f t="shared" si="2134"/>
        <v>1</v>
      </c>
      <c r="E9069" s="2" t="str">
        <f>"生物与化学工程学院"</f>
        <v>生物与化学工程学院</v>
      </c>
    </row>
    <row r="9070" ht="13.5" hidden="1" spans="1:5">
      <c r="A9070" s="2" t="str">
        <f>"李皖渝"</f>
        <v>李皖渝</v>
      </c>
      <c r="B9070" s="2" t="str">
        <f>"B20230705129"</f>
        <v>B20230705129</v>
      </c>
      <c r="C9070" s="2" t="str">
        <f>"女"</f>
        <v>女</v>
      </c>
      <c r="D9070" s="2" t="str">
        <f t="shared" si="2134"/>
        <v>1</v>
      </c>
      <c r="E9070" s="2" t="str">
        <f>"马栏山新媒体学院"</f>
        <v>马栏山新媒体学院</v>
      </c>
    </row>
    <row r="9071" ht="13.5" hidden="1" spans="1:5">
      <c r="A9071" s="2" t="str">
        <f>"刘锦洪"</f>
        <v>刘锦洪</v>
      </c>
      <c r="B9071" s="2" t="str">
        <f>"B20220204306"</f>
        <v>B20220204306</v>
      </c>
      <c r="C9071" s="2" t="str">
        <f t="shared" ref="C9071:C9078" si="2145">"男"</f>
        <v>男</v>
      </c>
      <c r="D9071" s="2" t="str">
        <f t="shared" si="2134"/>
        <v>1</v>
      </c>
      <c r="E9071" s="2" t="str">
        <f>"机电工程学院"</f>
        <v>机电工程学院</v>
      </c>
    </row>
    <row r="9072" ht="13.5" hidden="1" spans="1:5">
      <c r="A9072" s="2" t="str">
        <f>"吴浩"</f>
        <v>吴浩</v>
      </c>
      <c r="B9072" s="2" t="str">
        <f>"B20231202307"</f>
        <v>B20231202307</v>
      </c>
      <c r="C9072" s="2" t="str">
        <f t="shared" si="2145"/>
        <v>男</v>
      </c>
      <c r="D9072" s="2" t="str">
        <f>"12"</f>
        <v>12</v>
      </c>
      <c r="E9072" s="2" t="str">
        <f>"数学学院"</f>
        <v>数学学院</v>
      </c>
    </row>
    <row r="9073" ht="13.5" hidden="1" spans="1:5">
      <c r="A9073" s="2" t="str">
        <f>"郑静怡"</f>
        <v>郑静怡</v>
      </c>
      <c r="B9073" s="2" t="str">
        <f>"B20220601330"</f>
        <v>B20220601330</v>
      </c>
      <c r="C9073" s="2" t="str">
        <f>"女"</f>
        <v>女</v>
      </c>
      <c r="D9073" s="2" t="str">
        <f t="shared" si="2134"/>
        <v>1</v>
      </c>
      <c r="E9073" s="2" t="str">
        <f>"法学院"</f>
        <v>法学院</v>
      </c>
    </row>
    <row r="9074" ht="13.5" hidden="1" spans="1:5">
      <c r="A9074" s="2" t="str">
        <f>"陈琪"</f>
        <v>陈琪</v>
      </c>
      <c r="B9074" s="2" t="str">
        <f>"B20201101303"</f>
        <v>B20201101303</v>
      </c>
      <c r="C9074" s="2" t="str">
        <f t="shared" si="2145"/>
        <v>男</v>
      </c>
      <c r="D9074" s="2" t="str">
        <f t="shared" si="2134"/>
        <v>1</v>
      </c>
      <c r="E9074" s="2" t="str">
        <f>"音乐学院"</f>
        <v>音乐学院</v>
      </c>
    </row>
    <row r="9075" ht="13.5" hidden="1" spans="1:5">
      <c r="A9075" s="2" t="str">
        <f>"李佑"</f>
        <v>李佑</v>
      </c>
      <c r="B9075" s="2" t="str">
        <f>"B20221101229"</f>
        <v>B20221101229</v>
      </c>
      <c r="C9075" s="2" t="str">
        <f t="shared" si="2145"/>
        <v>男</v>
      </c>
      <c r="D9075" s="2" t="str">
        <f t="shared" si="2134"/>
        <v>1</v>
      </c>
      <c r="E9075" s="2" t="str">
        <f>"音乐学院"</f>
        <v>音乐学院</v>
      </c>
    </row>
    <row r="9076" ht="13.5" hidden="1" spans="1:5">
      <c r="A9076" s="2" t="str">
        <f>"詹耀龙"</f>
        <v>詹耀龙</v>
      </c>
      <c r="B9076" s="2" t="str">
        <f>"B20210403108"</f>
        <v>B20210403108</v>
      </c>
      <c r="C9076" s="2" t="str">
        <f t="shared" si="2145"/>
        <v>男</v>
      </c>
      <c r="D9076" s="2" t="str">
        <f t="shared" si="2134"/>
        <v>1</v>
      </c>
      <c r="E9076" s="2" t="str">
        <f>"电子信息与电气工程学院"</f>
        <v>电子信息与电气工程学院</v>
      </c>
    </row>
    <row r="9077" ht="13.5" hidden="1" spans="1:5">
      <c r="A9077" s="2" t="str">
        <f>"黄歆柯"</f>
        <v>黄歆柯</v>
      </c>
      <c r="B9077" s="2" t="str">
        <f>"B20230104234"</f>
        <v>B20230104234</v>
      </c>
      <c r="C9077" s="2" t="str">
        <f t="shared" si="2145"/>
        <v>男</v>
      </c>
      <c r="D9077" s="2" t="str">
        <f t="shared" si="2134"/>
        <v>1</v>
      </c>
      <c r="E9077" s="2" t="str">
        <f>"土木工程学院"</f>
        <v>土木工程学院</v>
      </c>
    </row>
    <row r="9078" ht="13.5" hidden="1" spans="1:5">
      <c r="A9078" s="2" t="str">
        <f>"赵科顺"</f>
        <v>赵科顺</v>
      </c>
      <c r="B9078" s="2" t="str">
        <f>"B20200403201"</f>
        <v>B20200403201</v>
      </c>
      <c r="C9078" s="2" t="str">
        <f t="shared" si="2145"/>
        <v>男</v>
      </c>
      <c r="D9078" s="2" t="str">
        <f t="shared" si="2134"/>
        <v>1</v>
      </c>
      <c r="E9078" s="2" t="str">
        <f>"电子信息与电气工程学院"</f>
        <v>电子信息与电气工程学院</v>
      </c>
    </row>
    <row r="9079" ht="13.5" hidden="1" spans="1:5">
      <c r="A9079" s="2" t="str">
        <f>"李静"</f>
        <v>李静</v>
      </c>
      <c r="B9079" s="2" t="str">
        <f>"B20220702102"</f>
        <v>B20220702102</v>
      </c>
      <c r="C9079" s="2" t="str">
        <f t="shared" ref="C9079:C9085" si="2146">"女"</f>
        <v>女</v>
      </c>
      <c r="D9079" s="2" t="str">
        <f t="shared" si="2134"/>
        <v>1</v>
      </c>
      <c r="E9079" s="2" t="str">
        <f>"马栏山新媒体学院"</f>
        <v>马栏山新媒体学院</v>
      </c>
    </row>
    <row r="9080" ht="13.5" hidden="1" spans="1:5">
      <c r="A9080" s="2" t="str">
        <f>"高宇权"</f>
        <v>高宇权</v>
      </c>
      <c r="B9080" s="2" t="str">
        <f>"B20231202308"</f>
        <v>B20231202308</v>
      </c>
      <c r="C9080" s="2" t="str">
        <f>"男"</f>
        <v>男</v>
      </c>
      <c r="D9080" s="2" t="str">
        <f t="shared" si="2134"/>
        <v>1</v>
      </c>
      <c r="E9080" s="2" t="str">
        <f>"数学学院"</f>
        <v>数学学院</v>
      </c>
    </row>
    <row r="9081" ht="13.5" hidden="1" spans="1:5">
      <c r="A9081" s="2" t="str">
        <f>"谭瑶瑶"</f>
        <v>谭瑶瑶</v>
      </c>
      <c r="B9081" s="2" t="str">
        <f>"B20231001405"</f>
        <v>B20231001405</v>
      </c>
      <c r="C9081" s="2" t="str">
        <f t="shared" si="2146"/>
        <v>女</v>
      </c>
      <c r="D9081" s="2" t="str">
        <f t="shared" si="2134"/>
        <v>1</v>
      </c>
      <c r="E9081" s="2" t="str">
        <f>"艺术设计学院"</f>
        <v>艺术设计学院</v>
      </c>
    </row>
    <row r="9082" ht="13.5" hidden="1" spans="1:5">
      <c r="A9082" s="2" t="str">
        <f>"陈婧琳"</f>
        <v>陈婧琳</v>
      </c>
      <c r="B9082" s="2" t="str">
        <f>"B20220702201"</f>
        <v>B20220702201</v>
      </c>
      <c r="C9082" s="2" t="str">
        <f t="shared" si="2146"/>
        <v>女</v>
      </c>
      <c r="D9082" s="2" t="str">
        <f t="shared" si="2134"/>
        <v>1</v>
      </c>
      <c r="E9082" s="2" t="str">
        <f>"马栏山新媒体学院"</f>
        <v>马栏山新媒体学院</v>
      </c>
    </row>
    <row r="9083" ht="13.5" hidden="1" spans="1:5">
      <c r="A9083" s="2" t="str">
        <f>"柳雨旋"</f>
        <v>柳雨旋</v>
      </c>
      <c r="B9083" s="2" t="str">
        <f>"B20231004213"</f>
        <v>B20231004213</v>
      </c>
      <c r="C9083" s="2" t="str">
        <f t="shared" si="2146"/>
        <v>女</v>
      </c>
      <c r="D9083" s="2" t="str">
        <f t="shared" si="2134"/>
        <v>1</v>
      </c>
      <c r="E9083" s="2" t="str">
        <f>"艺术设计学院"</f>
        <v>艺术设计学院</v>
      </c>
    </row>
    <row r="9084" ht="13.5" hidden="1" spans="1:5">
      <c r="A9084" s="2" t="str">
        <f>"欧冰倩"</f>
        <v>欧冰倩</v>
      </c>
      <c r="B9084" s="2" t="str">
        <f>"B20200801402"</f>
        <v>B20200801402</v>
      </c>
      <c r="C9084" s="2" t="str">
        <f t="shared" si="2146"/>
        <v>女</v>
      </c>
      <c r="D9084" s="2" t="str">
        <f t="shared" si="2134"/>
        <v>1</v>
      </c>
      <c r="E9084" s="2" t="str">
        <f>"外国语学院"</f>
        <v>外国语学院</v>
      </c>
    </row>
    <row r="9085" ht="13.5" hidden="1" spans="1:5">
      <c r="A9085" s="2" t="str">
        <f>"刘琬榕"</f>
        <v>刘琬榕</v>
      </c>
      <c r="B9085" s="2" t="str">
        <f>"B20231202309"</f>
        <v>B20231202309</v>
      </c>
      <c r="C9085" s="2" t="str">
        <f t="shared" si="2146"/>
        <v>女</v>
      </c>
      <c r="D9085" s="2" t="str">
        <f>"8"</f>
        <v>8</v>
      </c>
      <c r="E9085" s="2" t="str">
        <f>"数学学院"</f>
        <v>数学学院</v>
      </c>
    </row>
    <row r="9086" ht="13.5" hidden="1" spans="1:5">
      <c r="A9086" s="2" t="str">
        <f>"黄鸿康"</f>
        <v>黄鸿康</v>
      </c>
      <c r="B9086" s="2" t="str">
        <f>"B20231202310"</f>
        <v>B20231202310</v>
      </c>
      <c r="C9086" s="2" t="str">
        <f>"男"</f>
        <v>男</v>
      </c>
      <c r="D9086" s="2" t="str">
        <f>"8"</f>
        <v>8</v>
      </c>
      <c r="E9086" s="2" t="str">
        <f>"数学学院"</f>
        <v>数学学院</v>
      </c>
    </row>
    <row r="9087" ht="13.5" hidden="1" spans="1:5">
      <c r="A9087" s="2" t="str">
        <f>"张丛杰"</f>
        <v>张丛杰</v>
      </c>
      <c r="B9087" s="2" t="str">
        <f>"B20221302105"</f>
        <v>B20221302105</v>
      </c>
      <c r="C9087" s="2" t="str">
        <f t="shared" ref="C9085:C9090" si="2147">"男"</f>
        <v>男</v>
      </c>
      <c r="D9087" s="2" t="str">
        <f t="shared" si="2134"/>
        <v>1</v>
      </c>
      <c r="E9087" s="2" t="str">
        <f t="shared" ref="E9087:E9091" si="2148">"材料与环境工程学院"</f>
        <v>材料与环境工程学院</v>
      </c>
    </row>
    <row r="9088" ht="13.5" hidden="1" spans="1:5">
      <c r="A9088" s="2" t="str">
        <f>"谭凯洋"</f>
        <v>谭凯洋</v>
      </c>
      <c r="B9088" s="2" t="str">
        <f>"B20231302305"</f>
        <v>B20231302305</v>
      </c>
      <c r="C9088" s="2" t="str">
        <f t="shared" si="2147"/>
        <v>男</v>
      </c>
      <c r="D9088" s="2" t="str">
        <f t="shared" si="2134"/>
        <v>1</v>
      </c>
      <c r="E9088" s="2" t="str">
        <f t="shared" si="2148"/>
        <v>材料与环境工程学院</v>
      </c>
    </row>
    <row r="9089" ht="13.5" hidden="1" spans="1:5">
      <c r="A9089" s="2" t="str">
        <f>"姚黄宝"</f>
        <v>姚黄宝</v>
      </c>
      <c r="B9089" s="2" t="str">
        <f>"B20230402104"</f>
        <v>B20230402104</v>
      </c>
      <c r="C9089" s="2" t="str">
        <f t="shared" si="2147"/>
        <v>男</v>
      </c>
      <c r="D9089" s="2" t="str">
        <f t="shared" ref="D9089:D9152" si="2149">"1"</f>
        <v>1</v>
      </c>
      <c r="E9089" s="2" t="str">
        <f>"电子信息与电气工程学院"</f>
        <v>电子信息与电气工程学院</v>
      </c>
    </row>
    <row r="9090" ht="13.5" hidden="1" spans="1:5">
      <c r="A9090" s="2" t="str">
        <f>"周健"</f>
        <v>周健</v>
      </c>
      <c r="B9090" s="2" t="str">
        <f>"B20231202314"</f>
        <v>B20231202314</v>
      </c>
      <c r="C9090" s="2" t="str">
        <f t="shared" si="2147"/>
        <v>男</v>
      </c>
      <c r="D9090" s="2" t="str">
        <f>"11"</f>
        <v>11</v>
      </c>
      <c r="E9090" s="2" t="str">
        <f>"数学学院"</f>
        <v>数学学院</v>
      </c>
    </row>
    <row r="9091" ht="13.5" hidden="1" spans="1:5">
      <c r="A9091" s="2" t="str">
        <f>"胡珂源"</f>
        <v>胡珂源</v>
      </c>
      <c r="B9091" s="2" t="str">
        <f>"B20231301216"</f>
        <v>B20231301216</v>
      </c>
      <c r="C9091" s="2" t="str">
        <f t="shared" ref="C9091:C9094" si="2150">"男"</f>
        <v>男</v>
      </c>
      <c r="D9091" s="2" t="str">
        <f t="shared" si="2149"/>
        <v>1</v>
      </c>
      <c r="E9091" s="2" t="str">
        <f t="shared" si="2148"/>
        <v>材料与环境工程学院</v>
      </c>
    </row>
    <row r="9092" ht="13.5" hidden="1" spans="1:5">
      <c r="A9092" s="2" t="str">
        <f>"王艺霏"</f>
        <v>王艺霏</v>
      </c>
      <c r="B9092" s="2" t="str">
        <f>"B20230102218"</f>
        <v>B20230102218</v>
      </c>
      <c r="C9092" s="2" t="str">
        <f>"女"</f>
        <v>女</v>
      </c>
      <c r="D9092" s="2" t="str">
        <f t="shared" si="2149"/>
        <v>1</v>
      </c>
      <c r="E9092" s="2" t="str">
        <f>"土木工程学院"</f>
        <v>土木工程学院</v>
      </c>
    </row>
    <row r="9093" ht="13.5" hidden="1" spans="1:5">
      <c r="A9093" s="2" t="str">
        <f>"张洋"</f>
        <v>张洋</v>
      </c>
      <c r="B9093" s="2" t="str">
        <f>"B20210505122"</f>
        <v>B20210505122</v>
      </c>
      <c r="C9093" s="2" t="str">
        <f t="shared" si="2150"/>
        <v>男</v>
      </c>
      <c r="D9093" s="2" t="str">
        <f t="shared" si="2149"/>
        <v>1</v>
      </c>
      <c r="E9093" s="2" t="str">
        <f>"材料与环境工程学院"</f>
        <v>材料与环境工程学院</v>
      </c>
    </row>
    <row r="9094" ht="13.5" hidden="1" spans="1:5">
      <c r="A9094" s="2" t="str">
        <f>"高浩鹏"</f>
        <v>高浩鹏</v>
      </c>
      <c r="B9094" s="2" t="str">
        <f>"B20220403320"</f>
        <v>B20220403320</v>
      </c>
      <c r="C9094" s="2" t="str">
        <f t="shared" si="2150"/>
        <v>男</v>
      </c>
      <c r="D9094" s="2" t="str">
        <f t="shared" si="2149"/>
        <v>1</v>
      </c>
      <c r="E9094" s="2" t="str">
        <f>"电子信息与电气工程学院"</f>
        <v>电子信息与电气工程学院</v>
      </c>
    </row>
    <row r="9095" ht="13.5" hidden="1" spans="1:5">
      <c r="A9095" s="2" t="str">
        <f>"许梦佳"</f>
        <v>许梦佳</v>
      </c>
      <c r="B9095" s="2" t="str">
        <f>"B20230104134"</f>
        <v>B20230104134</v>
      </c>
      <c r="C9095" s="2" t="str">
        <f>"女"</f>
        <v>女</v>
      </c>
      <c r="D9095" s="2" t="str">
        <f t="shared" si="2149"/>
        <v>1</v>
      </c>
      <c r="E9095" s="2" t="str">
        <f>"土木工程学院"</f>
        <v>土木工程学院</v>
      </c>
    </row>
    <row r="9096" ht="13.5" hidden="1" spans="1:5">
      <c r="A9096" s="2" t="str">
        <f>"张准"</f>
        <v>张准</v>
      </c>
      <c r="B9096" s="2" t="str">
        <f>"B20231302433"</f>
        <v>B20231302433</v>
      </c>
      <c r="C9096" s="2" t="str">
        <f t="shared" ref="C9096:C9099" si="2151">"男"</f>
        <v>男</v>
      </c>
      <c r="D9096" s="2" t="str">
        <f t="shared" si="2149"/>
        <v>1</v>
      </c>
      <c r="E9096" s="2" t="str">
        <f>"材料与环境工程学院"</f>
        <v>材料与环境工程学院</v>
      </c>
    </row>
    <row r="9097" ht="13.5" hidden="1" spans="1:5">
      <c r="A9097" s="2" t="str">
        <f>"郭文杰"</f>
        <v>郭文杰</v>
      </c>
      <c r="B9097" s="2" t="str">
        <f>"B20231202315"</f>
        <v>B20231202315</v>
      </c>
      <c r="C9097" s="2" t="str">
        <f t="shared" si="2151"/>
        <v>男</v>
      </c>
      <c r="D9097" s="2" t="str">
        <f t="shared" si="2149"/>
        <v>1</v>
      </c>
      <c r="E9097" s="2" t="str">
        <f>"数学学院"</f>
        <v>数学学院</v>
      </c>
    </row>
    <row r="9098" ht="13.5" hidden="1" spans="1:5">
      <c r="A9098" s="2" t="str">
        <f>"龙卓宇"</f>
        <v>龙卓宇</v>
      </c>
      <c r="B9098" s="2" t="str">
        <f>"B20200202223"</f>
        <v>B20200202223</v>
      </c>
      <c r="C9098" s="2" t="str">
        <f t="shared" si="2151"/>
        <v>男</v>
      </c>
      <c r="D9098" s="2" t="str">
        <f t="shared" si="2149"/>
        <v>1</v>
      </c>
      <c r="E9098" s="2" t="str">
        <f>"机电工程学院"</f>
        <v>机电工程学院</v>
      </c>
    </row>
    <row r="9099" ht="13.5" hidden="1" spans="1:5">
      <c r="A9099" s="2" t="str">
        <f>"周超"</f>
        <v>周超</v>
      </c>
      <c r="B9099" s="2" t="str">
        <f>"B20210701105"</f>
        <v>B20210701105</v>
      </c>
      <c r="C9099" s="2" t="str">
        <f t="shared" si="2151"/>
        <v>男</v>
      </c>
      <c r="D9099" s="2" t="str">
        <f t="shared" si="2149"/>
        <v>1</v>
      </c>
      <c r="E9099" s="2" t="str">
        <f>"马栏山新媒体学院"</f>
        <v>马栏山新媒体学院</v>
      </c>
    </row>
    <row r="9100" ht="13.5" hidden="1" spans="1:5">
      <c r="A9100" s="2" t="str">
        <f>"王妮"</f>
        <v>王妮</v>
      </c>
      <c r="B9100" s="2" t="str">
        <f>"B20201002315"</f>
        <v>B20201002315</v>
      </c>
      <c r="C9100" s="2" t="str">
        <f>"女"</f>
        <v>女</v>
      </c>
      <c r="D9100" s="2" t="str">
        <f t="shared" si="2149"/>
        <v>1</v>
      </c>
      <c r="E9100" s="2" t="str">
        <f>"艺术设计学院"</f>
        <v>艺术设计学院</v>
      </c>
    </row>
    <row r="9101" ht="13.5" hidden="1" spans="1:5">
      <c r="A9101" s="2" t="str">
        <f>"袁士杰"</f>
        <v>袁士杰</v>
      </c>
      <c r="B9101" s="2" t="str">
        <f>"B20231302328"</f>
        <v>B20231302328</v>
      </c>
      <c r="C9101" s="2" t="str">
        <f t="shared" ref="C9101:C9106" si="2152">"男"</f>
        <v>男</v>
      </c>
      <c r="D9101" s="2" t="str">
        <f t="shared" si="2149"/>
        <v>1</v>
      </c>
      <c r="E9101" s="2" t="str">
        <f>"材料与环境工程学院"</f>
        <v>材料与环境工程学院</v>
      </c>
    </row>
    <row r="9102" ht="13.5" hidden="1" spans="1:5">
      <c r="A9102" s="2" t="str">
        <f>"隆斌"</f>
        <v>隆斌</v>
      </c>
      <c r="B9102" s="2" t="str">
        <f>"B20200202319"</f>
        <v>B20200202319</v>
      </c>
      <c r="C9102" s="2" t="str">
        <f t="shared" si="2152"/>
        <v>男</v>
      </c>
      <c r="D9102" s="2" t="str">
        <f t="shared" si="2149"/>
        <v>1</v>
      </c>
      <c r="E9102" s="2" t="str">
        <f>"机电工程学院"</f>
        <v>机电工程学院</v>
      </c>
    </row>
    <row r="9103" ht="13.5" hidden="1" spans="1:5">
      <c r="A9103" s="2" t="str">
        <f>"张靖"</f>
        <v>张靖</v>
      </c>
      <c r="B9103" s="2" t="str">
        <f>"B20200801327"</f>
        <v>B20200801327</v>
      </c>
      <c r="C9103" s="2" t="str">
        <f>"女"</f>
        <v>女</v>
      </c>
      <c r="D9103" s="2" t="str">
        <f t="shared" si="2149"/>
        <v>1</v>
      </c>
      <c r="E9103" s="2" t="str">
        <f>"外国语学院"</f>
        <v>外国语学院</v>
      </c>
    </row>
    <row r="9104" ht="13.5" hidden="1" spans="1:5">
      <c r="A9104" s="2" t="str">
        <f>"向正铭"</f>
        <v>向正铭</v>
      </c>
      <c r="B9104" s="2" t="str">
        <f>"B20220903208"</f>
        <v>B20220903208</v>
      </c>
      <c r="C9104" s="2" t="str">
        <f t="shared" si="2152"/>
        <v>男</v>
      </c>
      <c r="D9104" s="2" t="str">
        <f t="shared" si="2149"/>
        <v>1</v>
      </c>
      <c r="E9104" s="2" t="str">
        <f>"经济与管理学院"</f>
        <v>经济与管理学院</v>
      </c>
    </row>
    <row r="9105" ht="13.5" hidden="1" spans="1:5">
      <c r="A9105" s="2" t="str">
        <f>"吴劲松"</f>
        <v>吴劲松</v>
      </c>
      <c r="B9105" s="2" t="str">
        <f>"B20210702126"</f>
        <v>B20210702126</v>
      </c>
      <c r="C9105" s="2" t="str">
        <f t="shared" si="2152"/>
        <v>男</v>
      </c>
      <c r="D9105" s="2" t="str">
        <f t="shared" si="2149"/>
        <v>1</v>
      </c>
      <c r="E9105" s="2" t="str">
        <f>"马栏山新媒体学院"</f>
        <v>马栏山新媒体学院</v>
      </c>
    </row>
    <row r="9106" ht="13.5" hidden="1" spans="1:5">
      <c r="A9106" s="2" t="str">
        <f>"许柄梁"</f>
        <v>许柄梁</v>
      </c>
      <c r="B9106" s="2" t="str">
        <f>"B20231202316"</f>
        <v>B20231202316</v>
      </c>
      <c r="C9106" s="2" t="str">
        <f t="shared" si="2152"/>
        <v>男</v>
      </c>
      <c r="D9106" s="2" t="str">
        <f>"2"</f>
        <v>2</v>
      </c>
      <c r="E9106" s="2" t="str">
        <f>"数学学院"</f>
        <v>数学学院</v>
      </c>
    </row>
    <row r="9107" ht="13.5" hidden="1" spans="1:5">
      <c r="A9107" s="2" t="str">
        <f>"王心语"</f>
        <v>王心语</v>
      </c>
      <c r="B9107" s="2" t="str">
        <f>"B20201002401"</f>
        <v>B20201002401</v>
      </c>
      <c r="C9107" s="2" t="str">
        <f>"女"</f>
        <v>女</v>
      </c>
      <c r="D9107" s="2" t="str">
        <f t="shared" si="2149"/>
        <v>1</v>
      </c>
      <c r="E9107" s="2" t="str">
        <f>"艺术设计学院"</f>
        <v>艺术设计学院</v>
      </c>
    </row>
    <row r="9108" ht="13.5" hidden="1" spans="1:5">
      <c r="A9108" s="2" t="str">
        <f>"赵佳豪"</f>
        <v>赵佳豪</v>
      </c>
      <c r="B9108" s="2" t="str">
        <f>"B20220801422"</f>
        <v>B20220801422</v>
      </c>
      <c r="C9108" s="2" t="str">
        <f t="shared" ref="C9108:C9112" si="2153">"男"</f>
        <v>男</v>
      </c>
      <c r="D9108" s="2" t="str">
        <f t="shared" si="2149"/>
        <v>1</v>
      </c>
      <c r="E9108" s="2" t="str">
        <f>"外国语学院"</f>
        <v>外国语学院</v>
      </c>
    </row>
    <row r="9109" ht="13.5" hidden="1" spans="1:5">
      <c r="A9109" s="2" t="str">
        <f>"黄书尧"</f>
        <v>黄书尧</v>
      </c>
      <c r="B9109" s="2" t="str">
        <f>"B20200901137"</f>
        <v>B20200901137</v>
      </c>
      <c r="C9109" s="2" t="str">
        <f>"女"</f>
        <v>女</v>
      </c>
      <c r="D9109" s="2" t="str">
        <f t="shared" si="2149"/>
        <v>1</v>
      </c>
      <c r="E9109" s="2" t="str">
        <f t="shared" ref="E9109:E9113" si="2154">"经济与管理学院"</f>
        <v>经济与管理学院</v>
      </c>
    </row>
    <row r="9110" ht="13.5" hidden="1" spans="1:5">
      <c r="A9110" s="2" t="str">
        <f>"徐港眷"</f>
        <v>徐港眷</v>
      </c>
      <c r="B9110" s="2" t="str">
        <f>"B20200104127"</f>
        <v>B20200104127</v>
      </c>
      <c r="C9110" s="2" t="str">
        <f t="shared" si="2153"/>
        <v>男</v>
      </c>
      <c r="D9110" s="2" t="str">
        <f t="shared" si="2149"/>
        <v>1</v>
      </c>
      <c r="E9110" s="2" t="str">
        <f>"土木工程学院"</f>
        <v>土木工程学院</v>
      </c>
    </row>
    <row r="9111" ht="13.5" hidden="1" spans="1:5">
      <c r="A9111" s="2" t="str">
        <f>"包源海"</f>
        <v>包源海</v>
      </c>
      <c r="B9111" s="2" t="str">
        <f>"B20200906236"</f>
        <v>B20200906236</v>
      </c>
      <c r="C9111" s="2" t="str">
        <f t="shared" si="2153"/>
        <v>男</v>
      </c>
      <c r="D9111" s="2" t="str">
        <f t="shared" si="2149"/>
        <v>1</v>
      </c>
      <c r="E9111" s="2" t="str">
        <f t="shared" si="2154"/>
        <v>经济与管理学院</v>
      </c>
    </row>
    <row r="9112" ht="13.5" hidden="1" spans="1:5">
      <c r="A9112" s="2" t="str">
        <f>"欧阳文强"</f>
        <v>欧阳文强</v>
      </c>
      <c r="B9112" s="2" t="str">
        <f>"B20220504115"</f>
        <v>B20220504115</v>
      </c>
      <c r="C9112" s="2" t="str">
        <f t="shared" si="2153"/>
        <v>男</v>
      </c>
      <c r="D9112" s="2" t="str">
        <f t="shared" si="2149"/>
        <v>1</v>
      </c>
      <c r="E9112" s="2" t="str">
        <f>"生物与化学工程学院"</f>
        <v>生物与化学工程学院</v>
      </c>
    </row>
    <row r="9113" ht="13.5" hidden="1" spans="1:5">
      <c r="A9113" s="2" t="str">
        <f>"刘琼"</f>
        <v>刘琼</v>
      </c>
      <c r="B9113" s="2" t="str">
        <f>"B20210902211"</f>
        <v>B20210902211</v>
      </c>
      <c r="C9113" s="2" t="str">
        <f t="shared" ref="C9113:C9118" si="2155">"女"</f>
        <v>女</v>
      </c>
      <c r="D9113" s="2" t="str">
        <f t="shared" si="2149"/>
        <v>1</v>
      </c>
      <c r="E9113" s="2" t="str">
        <f t="shared" si="2154"/>
        <v>经济与管理学院</v>
      </c>
    </row>
    <row r="9114" ht="13.5" hidden="1" spans="1:5">
      <c r="A9114" s="2" t="str">
        <f>"裴天翔"</f>
        <v>裴天翔</v>
      </c>
      <c r="B9114" s="2" t="str">
        <f>"B20230101312"</f>
        <v>B20230101312</v>
      </c>
      <c r="C9114" s="2" t="str">
        <f t="shared" ref="C9114:C9117" si="2156">"男"</f>
        <v>男</v>
      </c>
      <c r="D9114" s="2" t="str">
        <f t="shared" si="2149"/>
        <v>1</v>
      </c>
      <c r="E9114" s="2" t="str">
        <f>"土木工程学院"</f>
        <v>土木工程学院</v>
      </c>
    </row>
    <row r="9115" ht="13.5" hidden="1" spans="1:5">
      <c r="A9115" s="2" t="str">
        <f>"郭望亲"</f>
        <v>郭望亲</v>
      </c>
      <c r="B9115" s="2" t="str">
        <f>"B20210701224"</f>
        <v>B20210701224</v>
      </c>
      <c r="C9115" s="2" t="str">
        <f t="shared" si="2155"/>
        <v>女</v>
      </c>
      <c r="D9115" s="2" t="str">
        <f t="shared" si="2149"/>
        <v>1</v>
      </c>
      <c r="E9115" s="2" t="str">
        <f>"马栏山新媒体学院"</f>
        <v>马栏山新媒体学院</v>
      </c>
    </row>
    <row r="9116" ht="13.5" hidden="1" spans="1:5">
      <c r="A9116" s="2" t="str">
        <f>"谢盟"</f>
        <v>谢盟</v>
      </c>
      <c r="B9116" s="2" t="str">
        <f>"B20231202319"</f>
        <v>B20231202319</v>
      </c>
      <c r="C9116" s="2" t="str">
        <f t="shared" si="2155"/>
        <v>女</v>
      </c>
      <c r="D9116" s="2" t="str">
        <f>"5"</f>
        <v>5</v>
      </c>
      <c r="E9116" s="2" t="str">
        <f>"数学学院"</f>
        <v>数学学院</v>
      </c>
    </row>
    <row r="9117" ht="13.5" hidden="1" spans="1:5">
      <c r="A9117" s="2" t="str">
        <f>"刘思强"</f>
        <v>刘思强</v>
      </c>
      <c r="B9117" s="2" t="str">
        <f>"B20200201410"</f>
        <v>B20200201410</v>
      </c>
      <c r="C9117" s="2" t="str">
        <f t="shared" si="2156"/>
        <v>男</v>
      </c>
      <c r="D9117" s="2" t="str">
        <f t="shared" si="2149"/>
        <v>1</v>
      </c>
      <c r="E9117" s="2" t="str">
        <f>"机电工程学院"</f>
        <v>机电工程学院</v>
      </c>
    </row>
    <row r="9118" ht="13.5" hidden="1" spans="1:5">
      <c r="A9118" s="2" t="str">
        <f>"杨旻裕"</f>
        <v>杨旻裕</v>
      </c>
      <c r="B9118" s="2" t="str">
        <f>"B20200103229"</f>
        <v>B20200103229</v>
      </c>
      <c r="C9118" s="2" t="str">
        <f t="shared" si="2155"/>
        <v>女</v>
      </c>
      <c r="D9118" s="2" t="str">
        <f t="shared" si="2149"/>
        <v>1</v>
      </c>
      <c r="E9118" s="2" t="str">
        <f>"土木工程学院"</f>
        <v>土木工程学院</v>
      </c>
    </row>
    <row r="9119" ht="13.5" hidden="1" spans="1:5">
      <c r="A9119" s="2" t="str">
        <f>"黎俊"</f>
        <v>黎俊</v>
      </c>
      <c r="B9119" s="2" t="str">
        <f>"B20231202320"</f>
        <v>B20231202320</v>
      </c>
      <c r="C9119" s="2" t="str">
        <f>"男"</f>
        <v>男</v>
      </c>
      <c r="D9119" s="2" t="str">
        <f>"4"</f>
        <v>4</v>
      </c>
      <c r="E9119" s="2" t="str">
        <f>"数学学院"</f>
        <v>数学学院</v>
      </c>
    </row>
    <row r="9120" ht="13.5" hidden="1" spans="1:5">
      <c r="A9120" s="2" t="str">
        <f>"李梦寻"</f>
        <v>李梦寻</v>
      </c>
      <c r="B9120" s="2" t="str">
        <f>"B20210505137"</f>
        <v>B20210505137</v>
      </c>
      <c r="C9120" s="2" t="str">
        <f t="shared" ref="C9120:C9123" si="2157">"女"</f>
        <v>女</v>
      </c>
      <c r="D9120" s="2" t="str">
        <f t="shared" si="2149"/>
        <v>1</v>
      </c>
      <c r="E9120" s="2" t="str">
        <f>"材料与环境工程学院"</f>
        <v>材料与环境工程学院</v>
      </c>
    </row>
    <row r="9121" ht="13.5" hidden="1" spans="1:5">
      <c r="A9121" s="2" t="str">
        <f>"何洲"</f>
        <v>何洲</v>
      </c>
      <c r="B9121" s="2" t="str">
        <f>"B20231202321"</f>
        <v>B20231202321</v>
      </c>
      <c r="C9121" s="2" t="str">
        <f>"男"</f>
        <v>男</v>
      </c>
      <c r="D9121" s="2" t="str">
        <f>"3"</f>
        <v>3</v>
      </c>
      <c r="E9121" s="2" t="str">
        <f>"数学学院"</f>
        <v>数学学院</v>
      </c>
    </row>
    <row r="9122" ht="13.5" hidden="1" spans="1:5">
      <c r="A9122" s="2" t="str">
        <f>"姜孜"</f>
        <v>姜孜</v>
      </c>
      <c r="B9122" s="2" t="str">
        <f>"B20231202322"</f>
        <v>B20231202322</v>
      </c>
      <c r="C9122" s="2" t="str">
        <f>"女"</f>
        <v>女</v>
      </c>
      <c r="D9122" s="2" t="str">
        <f>"7"</f>
        <v>7</v>
      </c>
      <c r="E9122" s="2" t="str">
        <f>"数学学院"</f>
        <v>数学学院</v>
      </c>
    </row>
    <row r="9123" ht="13.5" hidden="1" spans="1:5">
      <c r="A9123" s="2" t="str">
        <f>"张雅琪"</f>
        <v>张雅琪</v>
      </c>
      <c r="B9123" s="2" t="str">
        <f>"B20231101112"</f>
        <v>B20231101112</v>
      </c>
      <c r="C9123" s="2" t="str">
        <f t="shared" si="2157"/>
        <v>女</v>
      </c>
      <c r="D9123" s="2" t="str">
        <f t="shared" si="2149"/>
        <v>1</v>
      </c>
      <c r="E9123" s="2" t="str">
        <f>"音乐学院"</f>
        <v>音乐学院</v>
      </c>
    </row>
    <row r="9124" ht="13.5" hidden="1" spans="1:5">
      <c r="A9124" s="2" t="str">
        <f>"杨鸿杰"</f>
        <v>杨鸿杰</v>
      </c>
      <c r="B9124" s="2" t="str">
        <f>"B20220101430"</f>
        <v>B20220101430</v>
      </c>
      <c r="C9124" s="2" t="str">
        <f>"男"</f>
        <v>男</v>
      </c>
      <c r="D9124" s="2" t="str">
        <f t="shared" si="2149"/>
        <v>1</v>
      </c>
      <c r="E9124" s="2" t="str">
        <f>"土木工程学院"</f>
        <v>土木工程学院</v>
      </c>
    </row>
    <row r="9125" ht="13.5" hidden="1" spans="1:5">
      <c r="A9125" s="2" t="str">
        <f>"杨芊芊"</f>
        <v>杨芊芊</v>
      </c>
      <c r="B9125" s="2" t="str">
        <f>"B20220504213"</f>
        <v>B20220504213</v>
      </c>
      <c r="C9125" s="2" t="str">
        <f>"女"</f>
        <v>女</v>
      </c>
      <c r="D9125" s="2" t="str">
        <f t="shared" si="2149"/>
        <v>1</v>
      </c>
      <c r="E9125" s="2" t="str">
        <f>"生物与化学工程学院"</f>
        <v>生物与化学工程学院</v>
      </c>
    </row>
    <row r="9126" ht="13.5" hidden="1" spans="1:5">
      <c r="A9126" s="2" t="str">
        <f>"黄先雄"</f>
        <v>黄先雄</v>
      </c>
      <c r="B9126" s="2" t="str">
        <f>"B20220204107"</f>
        <v>B20220204107</v>
      </c>
      <c r="C9126" s="2" t="str">
        <f t="shared" ref="C9126:C9129" si="2158">"男"</f>
        <v>男</v>
      </c>
      <c r="D9126" s="2" t="str">
        <f t="shared" si="2149"/>
        <v>1</v>
      </c>
      <c r="E9126" s="2" t="str">
        <f>"机电工程学院"</f>
        <v>机电工程学院</v>
      </c>
    </row>
    <row r="9127" ht="13.5" hidden="1" spans="1:5">
      <c r="A9127" s="2" t="str">
        <f>"夏泽康"</f>
        <v>夏泽康</v>
      </c>
      <c r="B9127" s="2" t="str">
        <f>"B20220401304"</f>
        <v>B20220401304</v>
      </c>
      <c r="C9127" s="2" t="str">
        <f t="shared" si="2158"/>
        <v>男</v>
      </c>
      <c r="D9127" s="2" t="str">
        <f t="shared" si="2149"/>
        <v>1</v>
      </c>
      <c r="E9127" s="2" t="str">
        <f>"电子信息与电气工程学院"</f>
        <v>电子信息与电气工程学院</v>
      </c>
    </row>
    <row r="9128" ht="13.5" hidden="1" spans="1:5">
      <c r="A9128" s="2" t="str">
        <f>"封志富"</f>
        <v>封志富</v>
      </c>
      <c r="B9128" s="2" t="str">
        <f>"B20220104220"</f>
        <v>B20220104220</v>
      </c>
      <c r="C9128" s="2" t="str">
        <f t="shared" si="2158"/>
        <v>男</v>
      </c>
      <c r="D9128" s="2" t="str">
        <f t="shared" si="2149"/>
        <v>1</v>
      </c>
      <c r="E9128" s="2" t="str">
        <f>"土木工程学院"</f>
        <v>土木工程学院</v>
      </c>
    </row>
    <row r="9129" ht="13.5" hidden="1" spans="1:5">
      <c r="A9129" s="2" t="str">
        <f>"尹凯伦"</f>
        <v>尹凯伦</v>
      </c>
      <c r="B9129" s="2" t="str">
        <f>"B20230202429"</f>
        <v>B20230202429</v>
      </c>
      <c r="C9129" s="2" t="str">
        <f t="shared" si="2158"/>
        <v>男</v>
      </c>
      <c r="D9129" s="2" t="str">
        <f t="shared" si="2149"/>
        <v>1</v>
      </c>
      <c r="E9129" s="2" t="str">
        <f>"机电工程学院"</f>
        <v>机电工程学院</v>
      </c>
    </row>
    <row r="9130" ht="13.5" hidden="1" spans="1:5">
      <c r="A9130" s="2" t="str">
        <f>"李杨美"</f>
        <v>李杨美</v>
      </c>
      <c r="B9130" s="2" t="str">
        <f>"B20231002121"</f>
        <v>B20231002121</v>
      </c>
      <c r="C9130" s="2" t="str">
        <f t="shared" ref="C9130:C9133" si="2159">"女"</f>
        <v>女</v>
      </c>
      <c r="D9130" s="2" t="str">
        <f t="shared" si="2149"/>
        <v>1</v>
      </c>
      <c r="E9130" s="2" t="str">
        <f>"艺术设计学院"</f>
        <v>艺术设计学院</v>
      </c>
    </row>
    <row r="9131" ht="13.5" hidden="1" spans="1:5">
      <c r="A9131" s="2" t="str">
        <f>"徐建"</f>
        <v>徐建</v>
      </c>
      <c r="B9131" s="2" t="str">
        <f>"B20210501230"</f>
        <v>B20210501230</v>
      </c>
      <c r="C9131" s="2" t="str">
        <f t="shared" ref="C9131:C9135" si="2160">"男"</f>
        <v>男</v>
      </c>
      <c r="D9131" s="2" t="str">
        <f t="shared" si="2149"/>
        <v>1</v>
      </c>
      <c r="E9131" s="2" t="str">
        <f>"生物与化学工程学院"</f>
        <v>生物与化学工程学院</v>
      </c>
    </row>
    <row r="9132" ht="13.5" hidden="1" spans="1:5">
      <c r="A9132" s="2" t="str">
        <f>"刘小钰"</f>
        <v>刘小钰</v>
      </c>
      <c r="B9132" s="2" t="str">
        <f>"B20220704108"</f>
        <v>B20220704108</v>
      </c>
      <c r="C9132" s="2" t="str">
        <f t="shared" si="2159"/>
        <v>女</v>
      </c>
      <c r="D9132" s="2" t="str">
        <f t="shared" si="2149"/>
        <v>1</v>
      </c>
      <c r="E9132" s="2" t="str">
        <f>"马栏山新媒体学院"</f>
        <v>马栏山新媒体学院</v>
      </c>
    </row>
    <row r="9133" ht="13.5" hidden="1" spans="1:5">
      <c r="A9133" s="2" t="str">
        <f>"陈姝雯"</f>
        <v>陈姝雯</v>
      </c>
      <c r="B9133" s="2" t="str">
        <f>"B20200803210"</f>
        <v>B20200803210</v>
      </c>
      <c r="C9133" s="2" t="str">
        <f t="shared" si="2159"/>
        <v>女</v>
      </c>
      <c r="D9133" s="2" t="str">
        <f t="shared" si="2149"/>
        <v>1</v>
      </c>
      <c r="E9133" s="2" t="str">
        <f>"外国语学院"</f>
        <v>外国语学院</v>
      </c>
    </row>
    <row r="9134" ht="13.5" hidden="1" spans="1:5">
      <c r="A9134" s="2" t="str">
        <f>"何淇"</f>
        <v>何淇</v>
      </c>
      <c r="B9134" s="2" t="str">
        <f>"B20231301229"</f>
        <v>B20231301229</v>
      </c>
      <c r="C9134" s="2" t="str">
        <f t="shared" si="2160"/>
        <v>男</v>
      </c>
      <c r="D9134" s="2" t="str">
        <f t="shared" si="2149"/>
        <v>1</v>
      </c>
      <c r="E9134" s="2" t="str">
        <f>"材料与环境工程学院"</f>
        <v>材料与环境工程学院</v>
      </c>
    </row>
    <row r="9135" ht="13.5" hidden="1" spans="1:5">
      <c r="A9135" s="2" t="str">
        <f>"丁洪亮"</f>
        <v>丁洪亮</v>
      </c>
      <c r="B9135" s="2" t="str">
        <f>"B20230102123"</f>
        <v>B20230102123</v>
      </c>
      <c r="C9135" s="2" t="str">
        <f t="shared" si="2160"/>
        <v>男</v>
      </c>
      <c r="D9135" s="2" t="str">
        <f t="shared" si="2149"/>
        <v>1</v>
      </c>
      <c r="E9135" s="2" t="str">
        <f>"土木工程学院"</f>
        <v>土木工程学院</v>
      </c>
    </row>
    <row r="9136" ht="13.5" hidden="1" spans="1:5">
      <c r="A9136" s="2" t="str">
        <f>"罗美怡"</f>
        <v>罗美怡</v>
      </c>
      <c r="B9136" s="2" t="str">
        <f>"B20200802102"</f>
        <v>B20200802102</v>
      </c>
      <c r="C9136" s="2" t="str">
        <f>"女"</f>
        <v>女</v>
      </c>
      <c r="D9136" s="2" t="str">
        <f t="shared" si="2149"/>
        <v>1</v>
      </c>
      <c r="E9136" s="2" t="str">
        <f>"外国语学院"</f>
        <v>外国语学院</v>
      </c>
    </row>
    <row r="9137" ht="13.5" hidden="1" spans="1:5">
      <c r="A9137" s="2" t="str">
        <f>"谌晔山"</f>
        <v>谌晔山</v>
      </c>
      <c r="B9137" s="2" t="str">
        <f>"B20220904301"</f>
        <v>B20220904301</v>
      </c>
      <c r="C9137" s="2" t="str">
        <f t="shared" ref="C9137:C9143" si="2161">"男"</f>
        <v>男</v>
      </c>
      <c r="D9137" s="2" t="str">
        <f t="shared" si="2149"/>
        <v>1</v>
      </c>
      <c r="E9137" s="2" t="str">
        <f>"经济与管理学院"</f>
        <v>经济与管理学院</v>
      </c>
    </row>
    <row r="9138" ht="13.5" hidden="1" spans="1:5">
      <c r="A9138" s="2" t="str">
        <f>"龚毓敏"</f>
        <v>龚毓敏</v>
      </c>
      <c r="B9138" s="2" t="str">
        <f>"B20200401214"</f>
        <v>B20200401214</v>
      </c>
      <c r="C9138" s="2" t="str">
        <f>"女"</f>
        <v>女</v>
      </c>
      <c r="D9138" s="2" t="str">
        <f t="shared" si="2149"/>
        <v>1</v>
      </c>
      <c r="E9138" s="2" t="str">
        <f>"电子信息与电气工程学院"</f>
        <v>电子信息与电气工程学院</v>
      </c>
    </row>
    <row r="9139" ht="13.5" hidden="1" spans="1:5">
      <c r="A9139" s="2" t="str">
        <f>"李力"</f>
        <v>李力</v>
      </c>
      <c r="B9139" s="2" t="str">
        <f>"B20210505112"</f>
        <v>B20210505112</v>
      </c>
      <c r="C9139" s="2" t="str">
        <f t="shared" si="2161"/>
        <v>男</v>
      </c>
      <c r="D9139" s="2" t="str">
        <f t="shared" si="2149"/>
        <v>1</v>
      </c>
      <c r="E9139" s="2" t="str">
        <f>"材料与环境工程学院"</f>
        <v>材料与环境工程学院</v>
      </c>
    </row>
    <row r="9140" ht="13.5" hidden="1" spans="1:5">
      <c r="A9140" s="2" t="str">
        <f>"路顺超"</f>
        <v>路顺超</v>
      </c>
      <c r="B9140" s="2" t="str">
        <f>"B20231002209"</f>
        <v>B20231002209</v>
      </c>
      <c r="C9140" s="2" t="str">
        <f t="shared" si="2161"/>
        <v>男</v>
      </c>
      <c r="D9140" s="2" t="str">
        <f t="shared" si="2149"/>
        <v>1</v>
      </c>
      <c r="E9140" s="2" t="str">
        <f>"艺术设计学院"</f>
        <v>艺术设计学院</v>
      </c>
    </row>
    <row r="9141" ht="13.5" hidden="1" spans="1:5">
      <c r="A9141" s="2" t="str">
        <f>"蒋熠"</f>
        <v>蒋熠</v>
      </c>
      <c r="B9141" s="2" t="str">
        <f>"B20230205213"</f>
        <v>B20230205213</v>
      </c>
      <c r="C9141" s="2" t="str">
        <f t="shared" si="2161"/>
        <v>男</v>
      </c>
      <c r="D9141" s="2" t="str">
        <f t="shared" si="2149"/>
        <v>1</v>
      </c>
      <c r="E9141" s="2" t="str">
        <f>"机电工程学院"</f>
        <v>机电工程学院</v>
      </c>
    </row>
    <row r="9142" ht="13.5" hidden="1" spans="1:5">
      <c r="A9142" s="2" t="str">
        <f>"颜霖"</f>
        <v>颜霖</v>
      </c>
      <c r="B9142" s="2" t="str">
        <f>"B20231202324"</f>
        <v>B20231202324</v>
      </c>
      <c r="C9142" s="2" t="str">
        <f t="shared" si="2161"/>
        <v>男</v>
      </c>
      <c r="D9142" s="2" t="str">
        <f>"3"</f>
        <v>3</v>
      </c>
      <c r="E9142" s="2" t="str">
        <f>"数学学院"</f>
        <v>数学学院</v>
      </c>
    </row>
    <row r="9143" ht="13.5" hidden="1" spans="1:5">
      <c r="A9143" s="2" t="str">
        <f>"黄开亮"</f>
        <v>黄开亮</v>
      </c>
      <c r="B9143" s="2" t="str">
        <f>"B20220404127"</f>
        <v>B20220404127</v>
      </c>
      <c r="C9143" s="2" t="str">
        <f t="shared" si="2161"/>
        <v>男</v>
      </c>
      <c r="D9143" s="2" t="str">
        <f t="shared" si="2149"/>
        <v>1</v>
      </c>
      <c r="E9143" s="2" t="str">
        <f>"电子信息与电气工程学院"</f>
        <v>电子信息与电气工程学院</v>
      </c>
    </row>
    <row r="9144" ht="13.5" hidden="1" spans="1:5">
      <c r="A9144" s="2" t="str">
        <f>"熊佳灵"</f>
        <v>熊佳灵</v>
      </c>
      <c r="B9144" s="2" t="str">
        <f>"B20200801505"</f>
        <v>B20200801505</v>
      </c>
      <c r="C9144" s="2" t="str">
        <f t="shared" ref="C9144:C9152" si="2162">"女"</f>
        <v>女</v>
      </c>
      <c r="D9144" s="2" t="str">
        <f t="shared" si="2149"/>
        <v>1</v>
      </c>
      <c r="E9144" s="2" t="str">
        <f>"外国语学院"</f>
        <v>外国语学院</v>
      </c>
    </row>
    <row r="9145" ht="13.5" hidden="1" spans="1:5">
      <c r="A9145" s="2" t="str">
        <f>"胡银华"</f>
        <v>胡银华</v>
      </c>
      <c r="B9145" s="2" t="str">
        <f>"B20231202326"</f>
        <v>B20231202326</v>
      </c>
      <c r="C9145" s="2" t="str">
        <f>"男"</f>
        <v>男</v>
      </c>
      <c r="D9145" s="2" t="str">
        <f>"3"</f>
        <v>3</v>
      </c>
      <c r="E9145" s="2" t="str">
        <f>"数学学院"</f>
        <v>数学学院</v>
      </c>
    </row>
    <row r="9146" ht="13.5" hidden="1" spans="1:5">
      <c r="A9146" s="2" t="str">
        <f>"刘荆舟"</f>
        <v>刘荆舟</v>
      </c>
      <c r="B9146" s="2" t="str">
        <f>"B20210601101"</f>
        <v>B20210601101</v>
      </c>
      <c r="C9146" s="2" t="str">
        <f t="shared" ref="C9146:C9148" si="2163">"男"</f>
        <v>男</v>
      </c>
      <c r="D9146" s="2" t="str">
        <f t="shared" si="2149"/>
        <v>1</v>
      </c>
      <c r="E9146" s="2" t="str">
        <f>"法学院"</f>
        <v>法学院</v>
      </c>
    </row>
    <row r="9147" ht="13.5" hidden="1" spans="1:5">
      <c r="A9147" s="2" t="str">
        <f>"罗海龙"</f>
        <v>罗海龙</v>
      </c>
      <c r="B9147" s="2" t="str">
        <f>"B20231202327"</f>
        <v>B20231202327</v>
      </c>
      <c r="C9147" s="2" t="str">
        <f t="shared" si="2163"/>
        <v>男</v>
      </c>
      <c r="D9147" s="2" t="str">
        <f>"5"</f>
        <v>5</v>
      </c>
      <c r="E9147" s="2" t="str">
        <f>"数学学院"</f>
        <v>数学学院</v>
      </c>
    </row>
    <row r="9148" ht="13.5" hidden="1" spans="1:5">
      <c r="A9148" s="2" t="str">
        <f>"任紫阳"</f>
        <v>任紫阳</v>
      </c>
      <c r="B9148" s="2" t="str">
        <f>"B20210204119"</f>
        <v>B20210204119</v>
      </c>
      <c r="C9148" s="2" t="str">
        <f t="shared" si="2163"/>
        <v>男</v>
      </c>
      <c r="D9148" s="2" t="str">
        <f t="shared" si="2149"/>
        <v>1</v>
      </c>
      <c r="E9148" s="2" t="str">
        <f>"机电工程学院"</f>
        <v>机电工程学院</v>
      </c>
    </row>
    <row r="9149" ht="13.5" hidden="1" spans="1:5">
      <c r="A9149" s="2" t="str">
        <f>"厉欣欣"</f>
        <v>厉欣欣</v>
      </c>
      <c r="B9149" s="2" t="str">
        <f>"B20200203126"</f>
        <v>B20200203126</v>
      </c>
      <c r="C9149" s="2" t="str">
        <f t="shared" si="2162"/>
        <v>女</v>
      </c>
      <c r="D9149" s="2" t="str">
        <f t="shared" si="2149"/>
        <v>1</v>
      </c>
      <c r="E9149" s="2" t="str">
        <f>"机电工程学院"</f>
        <v>机电工程学院</v>
      </c>
    </row>
    <row r="9150" ht="13.5" hidden="1" spans="1:5">
      <c r="A9150" s="2" t="str">
        <f>"袁思宇"</f>
        <v>袁思宇</v>
      </c>
      <c r="B9150" s="2" t="str">
        <f>"B20200801324"</f>
        <v>B20200801324</v>
      </c>
      <c r="C9150" s="2" t="str">
        <f t="shared" si="2162"/>
        <v>女</v>
      </c>
      <c r="D9150" s="2" t="str">
        <f t="shared" si="2149"/>
        <v>1</v>
      </c>
      <c r="E9150" s="2" t="str">
        <f>"外国语学院"</f>
        <v>外国语学院</v>
      </c>
    </row>
    <row r="9151" ht="13.5" hidden="1" spans="1:5">
      <c r="A9151" s="2" t="str">
        <f>"吴凤凰"</f>
        <v>吴凤凰</v>
      </c>
      <c r="B9151" s="2" t="str">
        <f>"B20200906228"</f>
        <v>B20200906228</v>
      </c>
      <c r="C9151" s="2" t="str">
        <f t="shared" si="2162"/>
        <v>女</v>
      </c>
      <c r="D9151" s="2" t="str">
        <f t="shared" si="2149"/>
        <v>1</v>
      </c>
      <c r="E9151" s="2" t="str">
        <f>"经济与管理学院"</f>
        <v>经济与管理学院</v>
      </c>
    </row>
    <row r="9152" ht="13.5" hidden="1" spans="1:5">
      <c r="A9152" s="2" t="str">
        <f>"许灵芝"</f>
        <v>许灵芝</v>
      </c>
      <c r="B9152" s="2" t="str">
        <f>"B20200803224"</f>
        <v>B20200803224</v>
      </c>
      <c r="C9152" s="2" t="str">
        <f t="shared" si="2162"/>
        <v>女</v>
      </c>
      <c r="D9152" s="2" t="str">
        <f t="shared" si="2149"/>
        <v>1</v>
      </c>
      <c r="E9152" s="2" t="str">
        <f>"外国语学院"</f>
        <v>外国语学院</v>
      </c>
    </row>
    <row r="9153" ht="13.5" hidden="1" spans="1:5">
      <c r="A9153" s="2" t="str">
        <f>"杨陈"</f>
        <v>杨陈</v>
      </c>
      <c r="B9153" s="2" t="str">
        <f>"B20210402217"</f>
        <v>B20210402217</v>
      </c>
      <c r="C9153" s="2" t="str">
        <f t="shared" ref="C9153:C9156" si="2164">"男"</f>
        <v>男</v>
      </c>
      <c r="D9153" s="2" t="str">
        <f t="shared" ref="D9153:D9203" si="2165">"1"</f>
        <v>1</v>
      </c>
      <c r="E9153" s="2" t="str">
        <f>"电子信息与电气工程学院"</f>
        <v>电子信息与电气工程学院</v>
      </c>
    </row>
    <row r="9154" ht="13.5" hidden="1" spans="1:5">
      <c r="A9154" s="2" t="str">
        <f>"缪佳翔"</f>
        <v>缪佳翔</v>
      </c>
      <c r="B9154" s="2" t="str">
        <f>"B20220101132"</f>
        <v>B20220101132</v>
      </c>
      <c r="C9154" s="2" t="str">
        <f t="shared" si="2164"/>
        <v>男</v>
      </c>
      <c r="D9154" s="2" t="str">
        <f t="shared" si="2165"/>
        <v>1</v>
      </c>
      <c r="E9154" s="2" t="str">
        <f>"土木工程学院"</f>
        <v>土木工程学院</v>
      </c>
    </row>
    <row r="9155" ht="13.5" hidden="1" spans="1:5">
      <c r="A9155" s="2" t="str">
        <f>"曾志涵"</f>
        <v>曾志涵</v>
      </c>
      <c r="B9155" s="2" t="str">
        <f>"B20230101608"</f>
        <v>B20230101608</v>
      </c>
      <c r="C9155" s="2" t="str">
        <f t="shared" si="2164"/>
        <v>男</v>
      </c>
      <c r="D9155" s="2" t="str">
        <f t="shared" si="2165"/>
        <v>1</v>
      </c>
      <c r="E9155" s="2" t="str">
        <f>"土木工程学院"</f>
        <v>土木工程学院</v>
      </c>
    </row>
    <row r="9156" ht="13.5" hidden="1" spans="1:5">
      <c r="A9156" s="2" t="str">
        <f>"陆云烨"</f>
        <v>陆云烨</v>
      </c>
      <c r="B9156" s="2" t="str">
        <f>"B20230501218"</f>
        <v>B20230501218</v>
      </c>
      <c r="C9156" s="2" t="str">
        <f t="shared" si="2164"/>
        <v>男</v>
      </c>
      <c r="D9156" s="2" t="str">
        <f t="shared" si="2165"/>
        <v>1</v>
      </c>
      <c r="E9156" s="2" t="str">
        <f>"生物与化学工程学院"</f>
        <v>生物与化学工程学院</v>
      </c>
    </row>
    <row r="9157" ht="13.5" hidden="1" spans="1:5">
      <c r="A9157" s="2" t="str">
        <f>"康思京"</f>
        <v>康思京</v>
      </c>
      <c r="B9157" s="2" t="str">
        <f>"B20200505137"</f>
        <v>B20200505137</v>
      </c>
      <c r="C9157" s="2" t="str">
        <f t="shared" ref="C9157:C9160" si="2166">"女"</f>
        <v>女</v>
      </c>
      <c r="D9157" s="2" t="str">
        <f t="shared" si="2165"/>
        <v>1</v>
      </c>
      <c r="E9157" s="2" t="str">
        <f>"生物与环境工程学院"</f>
        <v>生物与环境工程学院</v>
      </c>
    </row>
    <row r="9158" ht="13.5" hidden="1" spans="1:5">
      <c r="A9158" s="2" t="str">
        <f>"罗祥宝"</f>
        <v>罗祥宝</v>
      </c>
      <c r="B9158" s="2" t="str">
        <f>"B20220802121"</f>
        <v>B20220802121</v>
      </c>
      <c r="C9158" s="2" t="str">
        <f t="shared" ref="C9158:C9164" si="2167">"男"</f>
        <v>男</v>
      </c>
      <c r="D9158" s="2" t="str">
        <f t="shared" si="2165"/>
        <v>1</v>
      </c>
      <c r="E9158" s="2" t="str">
        <f>"外国语学院"</f>
        <v>外国语学院</v>
      </c>
    </row>
    <row r="9159" ht="13.5" hidden="1" spans="1:5">
      <c r="A9159" s="2" t="str">
        <f>"黎越"</f>
        <v>黎越</v>
      </c>
      <c r="B9159" s="2" t="str">
        <f>"B20200901309"</f>
        <v>B20200901309</v>
      </c>
      <c r="C9159" s="2" t="str">
        <f t="shared" si="2166"/>
        <v>女</v>
      </c>
      <c r="D9159" s="2" t="str">
        <f t="shared" si="2165"/>
        <v>1</v>
      </c>
      <c r="E9159" s="2" t="str">
        <f>"经济与管理学院"</f>
        <v>经济与管理学院</v>
      </c>
    </row>
    <row r="9160" ht="13.5" hidden="1" spans="1:5">
      <c r="A9160" s="2" t="str">
        <f>"汪语桐"</f>
        <v>汪语桐</v>
      </c>
      <c r="B9160" s="2" t="str">
        <f>"B20200504217"</f>
        <v>B20200504217</v>
      </c>
      <c r="C9160" s="2" t="str">
        <f t="shared" si="2166"/>
        <v>女</v>
      </c>
      <c r="D9160" s="2" t="str">
        <f t="shared" si="2165"/>
        <v>1</v>
      </c>
      <c r="E9160" s="2" t="str">
        <f>"生物与环境工程学院"</f>
        <v>生物与环境工程学院</v>
      </c>
    </row>
    <row r="9161" ht="13.5" hidden="1" spans="1:5">
      <c r="A9161" s="2" t="str">
        <f>"郝星博"</f>
        <v>郝星博</v>
      </c>
      <c r="B9161" s="2" t="str">
        <f>"B20231202328"</f>
        <v>B20231202328</v>
      </c>
      <c r="C9161" s="2" t="str">
        <f>"男"</f>
        <v>男</v>
      </c>
      <c r="D9161" s="2" t="str">
        <f>"2"</f>
        <v>2</v>
      </c>
      <c r="E9161" s="2" t="str">
        <f>"数学学院"</f>
        <v>数学学院</v>
      </c>
    </row>
    <row r="9162" ht="13.5" hidden="1" spans="1:5">
      <c r="A9162" s="2" t="str">
        <f>"廖依婷"</f>
        <v>廖依婷</v>
      </c>
      <c r="B9162" s="2" t="str">
        <f>"B20230601510"</f>
        <v>B20230601510</v>
      </c>
      <c r="C9162" s="2" t="str">
        <f t="shared" ref="C9162:C9166" si="2168">"女"</f>
        <v>女</v>
      </c>
      <c r="D9162" s="2" t="str">
        <f t="shared" si="2165"/>
        <v>1</v>
      </c>
      <c r="E9162" s="2" t="str">
        <f>"法学院"</f>
        <v>法学院</v>
      </c>
    </row>
    <row r="9163" ht="13.5" hidden="1" spans="1:5">
      <c r="A9163" s="2" t="str">
        <f>"陈义德"</f>
        <v>陈义德</v>
      </c>
      <c r="B9163" s="2" t="str">
        <f>"B20230101501"</f>
        <v>B20230101501</v>
      </c>
      <c r="C9163" s="2" t="str">
        <f t="shared" si="2167"/>
        <v>男</v>
      </c>
      <c r="D9163" s="2" t="str">
        <f t="shared" si="2165"/>
        <v>1</v>
      </c>
      <c r="E9163" s="2" t="str">
        <f>"土木工程学院"</f>
        <v>土木工程学院</v>
      </c>
    </row>
    <row r="9164" ht="13.5" hidden="1" spans="1:5">
      <c r="A9164" s="2" t="str">
        <f>"范帅"</f>
        <v>范帅</v>
      </c>
      <c r="B9164" s="2" t="str">
        <f>"B20230701101"</f>
        <v>B20230701101</v>
      </c>
      <c r="C9164" s="2" t="str">
        <f t="shared" si="2167"/>
        <v>男</v>
      </c>
      <c r="D9164" s="2" t="str">
        <f t="shared" si="2165"/>
        <v>1</v>
      </c>
      <c r="E9164" s="2" t="str">
        <f>"马栏山新媒体学院"</f>
        <v>马栏山新媒体学院</v>
      </c>
    </row>
    <row r="9165" ht="13.5" hidden="1" spans="1:5">
      <c r="A9165" s="2" t="str">
        <f>"戴婧蕊"</f>
        <v>戴婧蕊</v>
      </c>
      <c r="B9165" s="2" t="str">
        <f>"B20220702116"</f>
        <v>B20220702116</v>
      </c>
      <c r="C9165" s="2" t="str">
        <f t="shared" si="2168"/>
        <v>女</v>
      </c>
      <c r="D9165" s="2" t="str">
        <f t="shared" si="2165"/>
        <v>1</v>
      </c>
      <c r="E9165" s="2" t="str">
        <f>"马栏山新媒体学院"</f>
        <v>马栏山新媒体学院</v>
      </c>
    </row>
    <row r="9166" ht="13.5" hidden="1" spans="1:5">
      <c r="A9166" s="2" t="str">
        <f>"宋文洋"</f>
        <v>宋文洋</v>
      </c>
      <c r="B9166" s="2" t="str">
        <f>"B20231002320"</f>
        <v>B20231002320</v>
      </c>
      <c r="C9166" s="2" t="str">
        <f t="shared" si="2168"/>
        <v>女</v>
      </c>
      <c r="D9166" s="2" t="str">
        <f t="shared" si="2165"/>
        <v>1</v>
      </c>
      <c r="E9166" s="2" t="str">
        <f>"艺术设计学院"</f>
        <v>艺术设计学院</v>
      </c>
    </row>
    <row r="9167" ht="13.5" hidden="1" spans="1:5">
      <c r="A9167" s="2" t="str">
        <f>"蔡家奇"</f>
        <v>蔡家奇</v>
      </c>
      <c r="B9167" s="2" t="str">
        <f>"B20231004212"</f>
        <v>B20231004212</v>
      </c>
      <c r="C9167" s="2" t="str">
        <f t="shared" ref="C9167:C9169" si="2169">"男"</f>
        <v>男</v>
      </c>
      <c r="D9167" s="2" t="str">
        <f t="shared" si="2165"/>
        <v>1</v>
      </c>
      <c r="E9167" s="2" t="str">
        <f>"艺术设计学院"</f>
        <v>艺术设计学院</v>
      </c>
    </row>
    <row r="9168" ht="13.5" hidden="1" spans="1:5">
      <c r="A9168" s="2" t="str">
        <f>"刘鑫鹏"</f>
        <v>刘鑫鹏</v>
      </c>
      <c r="B9168" s="2" t="str">
        <f>"B20210501224"</f>
        <v>B20210501224</v>
      </c>
      <c r="C9168" s="2" t="str">
        <f t="shared" si="2169"/>
        <v>男</v>
      </c>
      <c r="D9168" s="2" t="str">
        <f t="shared" si="2165"/>
        <v>1</v>
      </c>
      <c r="E9168" s="2" t="str">
        <f>"生物与化学工程学院"</f>
        <v>生物与化学工程学院</v>
      </c>
    </row>
    <row r="9169" ht="13.5" hidden="1" spans="1:5">
      <c r="A9169" s="2" t="str">
        <f>"刘权"</f>
        <v>刘权</v>
      </c>
      <c r="B9169" s="2" t="str">
        <f>"B20231302415"</f>
        <v>B20231302415</v>
      </c>
      <c r="C9169" s="2" t="str">
        <f t="shared" si="2169"/>
        <v>男</v>
      </c>
      <c r="D9169" s="2" t="str">
        <f t="shared" si="2165"/>
        <v>1</v>
      </c>
      <c r="E9169" s="2" t="str">
        <f t="shared" ref="E9169:E9171" si="2170">"材料与环境工程学院"</f>
        <v>材料与环境工程学院</v>
      </c>
    </row>
    <row r="9170" ht="13.5" hidden="1" spans="1:5">
      <c r="A9170" s="2" t="str">
        <f>"茹盼"</f>
        <v>茹盼</v>
      </c>
      <c r="B9170" s="2" t="str">
        <f>"B20210503135"</f>
        <v>B20210503135</v>
      </c>
      <c r="C9170" s="2" t="str">
        <f>"女"</f>
        <v>女</v>
      </c>
      <c r="D9170" s="2" t="str">
        <f t="shared" si="2165"/>
        <v>1</v>
      </c>
      <c r="E9170" s="2" t="str">
        <f t="shared" si="2170"/>
        <v>材料与环境工程学院</v>
      </c>
    </row>
    <row r="9171" ht="13.5" hidden="1" spans="1:5">
      <c r="A9171" s="2" t="str">
        <f>"赵梽伟"</f>
        <v>赵梽伟</v>
      </c>
      <c r="B9171" s="2" t="str">
        <f>"B20210505114"</f>
        <v>B20210505114</v>
      </c>
      <c r="C9171" s="2" t="str">
        <f t="shared" ref="C9171:C9177" si="2171">"男"</f>
        <v>男</v>
      </c>
      <c r="D9171" s="2" t="str">
        <f t="shared" si="2165"/>
        <v>1</v>
      </c>
      <c r="E9171" s="2" t="str">
        <f t="shared" si="2170"/>
        <v>材料与环境工程学院</v>
      </c>
    </row>
    <row r="9172" ht="13.5" hidden="1" spans="1:5">
      <c r="A9172" s="2" t="str">
        <f>"陈光"</f>
        <v>陈光</v>
      </c>
      <c r="B9172" s="2" t="str">
        <f>"B20231202329"</f>
        <v>B20231202329</v>
      </c>
      <c r="C9172" s="2" t="str">
        <f t="shared" si="2171"/>
        <v>男</v>
      </c>
      <c r="D9172" s="2" t="str">
        <f>"4"</f>
        <v>4</v>
      </c>
      <c r="E9172" s="2" t="str">
        <f>"数学学院"</f>
        <v>数学学院</v>
      </c>
    </row>
    <row r="9173" ht="13.5" hidden="1" spans="1:5">
      <c r="A9173" s="2" t="str">
        <f>"孙铭远"</f>
        <v>孙铭远</v>
      </c>
      <c r="B9173" s="2" t="str">
        <f>"B20231202330"</f>
        <v>B20231202330</v>
      </c>
      <c r="C9173" s="2" t="str">
        <f t="shared" si="2171"/>
        <v>男</v>
      </c>
      <c r="D9173" s="2" t="str">
        <f>"11"</f>
        <v>11</v>
      </c>
      <c r="E9173" s="2" t="str">
        <f>"数学学院"</f>
        <v>数学学院</v>
      </c>
    </row>
    <row r="9174" ht="13.5" hidden="1" spans="1:5">
      <c r="A9174" s="2" t="str">
        <f>"张宇"</f>
        <v>张宇</v>
      </c>
      <c r="B9174" s="2" t="str">
        <f>"B20231202331"</f>
        <v>B20231202331</v>
      </c>
      <c r="C9174" s="2" t="str">
        <f t="shared" si="2171"/>
        <v>男</v>
      </c>
      <c r="D9174" s="2" t="str">
        <f>"3"</f>
        <v>3</v>
      </c>
      <c r="E9174" s="2" t="str">
        <f>"数学学院"</f>
        <v>数学学院</v>
      </c>
    </row>
    <row r="9175" ht="13.5" hidden="1" spans="1:5">
      <c r="A9175" s="2" t="str">
        <f>"李超"</f>
        <v>李超</v>
      </c>
      <c r="B9175" s="2" t="str">
        <f>"B20231202332"</f>
        <v>B20231202332</v>
      </c>
      <c r="C9175" s="2" t="str">
        <f t="shared" si="2171"/>
        <v>男</v>
      </c>
      <c r="D9175" s="2" t="str">
        <f>"10"</f>
        <v>10</v>
      </c>
      <c r="E9175" s="2" t="str">
        <f>"数学学院"</f>
        <v>数学学院</v>
      </c>
    </row>
    <row r="9176" ht="13.5" hidden="1" spans="1:5">
      <c r="A9176" s="2" t="str">
        <f>"王华鑫"</f>
        <v>王华鑫</v>
      </c>
      <c r="B9176" s="2" t="str">
        <f>"B20200401130"</f>
        <v>B20200401130</v>
      </c>
      <c r="C9176" s="2" t="str">
        <f t="shared" si="2171"/>
        <v>男</v>
      </c>
      <c r="D9176" s="2" t="str">
        <f t="shared" si="2165"/>
        <v>1</v>
      </c>
      <c r="E9176" s="2" t="str">
        <f>"电子信息与电气工程学院"</f>
        <v>电子信息与电气工程学院</v>
      </c>
    </row>
    <row r="9177" ht="13.5" hidden="1" spans="1:5">
      <c r="A9177" s="2" t="str">
        <f>"曾梁羽"</f>
        <v>曾梁羽</v>
      </c>
      <c r="B9177" s="2" t="str">
        <f>"B20230205318"</f>
        <v>B20230205318</v>
      </c>
      <c r="C9177" s="2" t="str">
        <f t="shared" si="2171"/>
        <v>男</v>
      </c>
      <c r="D9177" s="2" t="str">
        <f t="shared" si="2165"/>
        <v>1</v>
      </c>
      <c r="E9177" s="2" t="str">
        <f>"机电工程学院"</f>
        <v>机电工程学院</v>
      </c>
    </row>
    <row r="9178" ht="13.5" hidden="1" spans="1:5">
      <c r="A9178" s="2" t="str">
        <f>"刘文雅"</f>
        <v>刘文雅</v>
      </c>
      <c r="B9178" s="2" t="str">
        <f>"B20231202333"</f>
        <v>B20231202333</v>
      </c>
      <c r="C9178" s="2" t="str">
        <f>"女"</f>
        <v>女</v>
      </c>
      <c r="D9178" s="2" t="str">
        <f>"14"</f>
        <v>14</v>
      </c>
      <c r="E9178" s="2" t="str">
        <f>"数学学院"</f>
        <v>数学学院</v>
      </c>
    </row>
    <row r="9179" ht="13.5" hidden="1" spans="1:5">
      <c r="A9179" s="2" t="str">
        <f>"曹姝萍"</f>
        <v>曹姝萍</v>
      </c>
      <c r="B9179" s="2" t="str">
        <f>"B20200901129"</f>
        <v>B20200901129</v>
      </c>
      <c r="C9179" s="2" t="str">
        <f t="shared" ref="C9178:C9180" si="2172">"女"</f>
        <v>女</v>
      </c>
      <c r="D9179" s="2" t="str">
        <f t="shared" si="2165"/>
        <v>1</v>
      </c>
      <c r="E9179" s="2" t="str">
        <f>"经济与管理学院"</f>
        <v>经济与管理学院</v>
      </c>
    </row>
    <row r="9180" ht="13.5" hidden="1" spans="1:5">
      <c r="A9180" s="2" t="str">
        <f>"刘淑姣"</f>
        <v>刘淑姣</v>
      </c>
      <c r="B9180" s="2" t="str">
        <f>"B20200901316"</f>
        <v>B20200901316</v>
      </c>
      <c r="C9180" s="2" t="str">
        <f t="shared" si="2172"/>
        <v>女</v>
      </c>
      <c r="D9180" s="2" t="str">
        <f t="shared" si="2165"/>
        <v>1</v>
      </c>
      <c r="E9180" s="2" t="str">
        <f>"经济与管理学院"</f>
        <v>经济与管理学院</v>
      </c>
    </row>
    <row r="9181" ht="13.5" hidden="1" spans="1:5">
      <c r="A9181" s="2" t="str">
        <f>"范萧博文"</f>
        <v>范萧博文</v>
      </c>
      <c r="B9181" s="2" t="str">
        <f>"B20210704407"</f>
        <v>B20210704407</v>
      </c>
      <c r="C9181" s="2" t="str">
        <f t="shared" ref="C9181:C9184" si="2173">"男"</f>
        <v>男</v>
      </c>
      <c r="D9181" s="2" t="str">
        <f t="shared" si="2165"/>
        <v>1</v>
      </c>
      <c r="E9181" s="2" t="str">
        <f>"马栏山新媒体学院"</f>
        <v>马栏山新媒体学院</v>
      </c>
    </row>
    <row r="9182" ht="13.5" hidden="1" spans="1:5">
      <c r="A9182" s="2" t="str">
        <f>"张焓"</f>
        <v>张焓</v>
      </c>
      <c r="B9182" s="2" t="str">
        <f>"B20230501129"</f>
        <v>B20230501129</v>
      </c>
      <c r="C9182" s="2" t="str">
        <f t="shared" ref="C9182:C9187" si="2174">"女"</f>
        <v>女</v>
      </c>
      <c r="D9182" s="2" t="str">
        <f t="shared" si="2165"/>
        <v>1</v>
      </c>
      <c r="E9182" s="2" t="str">
        <f>"生物与化学工程学院"</f>
        <v>生物与化学工程学院</v>
      </c>
    </row>
    <row r="9183" ht="13.5" hidden="1" spans="1:5">
      <c r="A9183" s="2" t="str">
        <f>"魏子川"</f>
        <v>魏子川</v>
      </c>
      <c r="B9183" s="2" t="str">
        <f>"B20231202334"</f>
        <v>B20231202334</v>
      </c>
      <c r="C9183" s="2" t="str">
        <f>"男"</f>
        <v>男</v>
      </c>
      <c r="D9183" s="2" t="str">
        <f>"5"</f>
        <v>5</v>
      </c>
      <c r="E9183" s="2" t="str">
        <f>"数学学院"</f>
        <v>数学学院</v>
      </c>
    </row>
    <row r="9184" ht="13.5" hidden="1" spans="1:5">
      <c r="A9184" s="2" t="str">
        <f>"刘灏原"</f>
        <v>刘灏原</v>
      </c>
      <c r="B9184" s="2" t="str">
        <f>"B20210701113"</f>
        <v>B20210701113</v>
      </c>
      <c r="C9184" s="2" t="str">
        <f t="shared" si="2173"/>
        <v>男</v>
      </c>
      <c r="D9184" s="2" t="str">
        <f t="shared" si="2165"/>
        <v>1</v>
      </c>
      <c r="E9184" s="2" t="str">
        <f>"马栏山新媒体学院"</f>
        <v>马栏山新媒体学院</v>
      </c>
    </row>
    <row r="9185" ht="13.5" hidden="1" spans="1:5">
      <c r="A9185" s="2" t="str">
        <f>"陈明霞"</f>
        <v>陈明霞</v>
      </c>
      <c r="B9185" s="2" t="str">
        <f>"B20210901147"</f>
        <v>B20210901147</v>
      </c>
      <c r="C9185" s="2" t="str">
        <f t="shared" si="2174"/>
        <v>女</v>
      </c>
      <c r="D9185" s="2" t="str">
        <f t="shared" si="2165"/>
        <v>1</v>
      </c>
      <c r="E9185" s="2" t="str">
        <f>"经济与管理学院"</f>
        <v>经济与管理学院</v>
      </c>
    </row>
    <row r="9186" ht="13.5" hidden="1" spans="1:5">
      <c r="A9186" s="2" t="str">
        <f>"邓成刚"</f>
        <v>邓成刚</v>
      </c>
      <c r="B9186" s="2" t="str">
        <f>"B20230101618"</f>
        <v>B20230101618</v>
      </c>
      <c r="C9186" s="2" t="str">
        <f t="shared" ref="C9186:C9192" si="2175">"男"</f>
        <v>男</v>
      </c>
      <c r="D9186" s="2" t="str">
        <f t="shared" si="2165"/>
        <v>1</v>
      </c>
      <c r="E9186" s="2" t="str">
        <f t="shared" ref="E9186:E9189" si="2176">"土木工程学院"</f>
        <v>土木工程学院</v>
      </c>
    </row>
    <row r="9187" ht="13.5" hidden="1" spans="1:5">
      <c r="A9187" s="2" t="str">
        <f>"谭郁文"</f>
        <v>谭郁文</v>
      </c>
      <c r="B9187" s="2" t="str">
        <f>"B20200802214"</f>
        <v>B20200802214</v>
      </c>
      <c r="C9187" s="2" t="str">
        <f t="shared" si="2174"/>
        <v>女</v>
      </c>
      <c r="D9187" s="2" t="str">
        <f t="shared" si="2165"/>
        <v>1</v>
      </c>
      <c r="E9187" s="2" t="str">
        <f>"外国语学院"</f>
        <v>外国语学院</v>
      </c>
    </row>
    <row r="9188" ht="13.5" hidden="1" spans="1:5">
      <c r="A9188" s="2" t="str">
        <f>"史迪文"</f>
        <v>史迪文</v>
      </c>
      <c r="B9188" s="2" t="str">
        <f>"B20230101613"</f>
        <v>B20230101613</v>
      </c>
      <c r="C9188" s="2" t="str">
        <f t="shared" si="2175"/>
        <v>男</v>
      </c>
      <c r="D9188" s="2" t="str">
        <f t="shared" si="2165"/>
        <v>1</v>
      </c>
      <c r="E9188" s="2" t="str">
        <f t="shared" si="2176"/>
        <v>土木工程学院</v>
      </c>
    </row>
    <row r="9189" ht="13.5" hidden="1" spans="1:5">
      <c r="A9189" s="2" t="str">
        <f>"何云龙"</f>
        <v>何云龙</v>
      </c>
      <c r="B9189" s="2" t="str">
        <f>"B20230102220"</f>
        <v>B20230102220</v>
      </c>
      <c r="C9189" s="2" t="str">
        <f t="shared" si="2175"/>
        <v>男</v>
      </c>
      <c r="D9189" s="2" t="str">
        <f t="shared" si="2165"/>
        <v>1</v>
      </c>
      <c r="E9189" s="2" t="str">
        <f t="shared" si="2176"/>
        <v>土木工程学院</v>
      </c>
    </row>
    <row r="9190" ht="13.5" hidden="1" spans="1:5">
      <c r="A9190" s="2" t="str">
        <f>"杨有利"</f>
        <v>杨有利</v>
      </c>
      <c r="B9190" s="2" t="str">
        <f>"B20200201427"</f>
        <v>B20200201427</v>
      </c>
      <c r="C9190" s="2" t="str">
        <f t="shared" si="2175"/>
        <v>男</v>
      </c>
      <c r="D9190" s="2" t="str">
        <f t="shared" si="2165"/>
        <v>1</v>
      </c>
      <c r="E9190" s="2" t="str">
        <f>"机电工程学院"</f>
        <v>机电工程学院</v>
      </c>
    </row>
    <row r="9191" ht="13.5" hidden="1" spans="1:5">
      <c r="A9191" s="2" t="str">
        <f>"顾嘉豪"</f>
        <v>顾嘉豪</v>
      </c>
      <c r="B9191" s="2" t="str">
        <f>"B20230102122"</f>
        <v>B20230102122</v>
      </c>
      <c r="C9191" s="2" t="str">
        <f t="shared" si="2175"/>
        <v>男</v>
      </c>
      <c r="D9191" s="2" t="str">
        <f t="shared" si="2165"/>
        <v>1</v>
      </c>
      <c r="E9191" s="2" t="str">
        <f>"土木工程学院"</f>
        <v>土木工程学院</v>
      </c>
    </row>
    <row r="9192" ht="13.5" hidden="1" spans="1:5">
      <c r="A9192" s="2" t="str">
        <f>"黄广鸿"</f>
        <v>黄广鸿</v>
      </c>
      <c r="B9192" s="2" t="str">
        <f>"B20210101604"</f>
        <v>B20210101604</v>
      </c>
      <c r="C9192" s="2" t="str">
        <f t="shared" si="2175"/>
        <v>男</v>
      </c>
      <c r="D9192" s="2" t="str">
        <f t="shared" si="2165"/>
        <v>1</v>
      </c>
      <c r="E9192" s="2" t="str">
        <f>"土木工程学院"</f>
        <v>土木工程学院</v>
      </c>
    </row>
    <row r="9193" ht="13.5" hidden="1" spans="1:5">
      <c r="A9193" s="2" t="str">
        <f>"宋欣仪"</f>
        <v>宋欣仪</v>
      </c>
      <c r="B9193" s="2" t="str">
        <f>"B20231301115"</f>
        <v>B20231301115</v>
      </c>
      <c r="C9193" s="2" t="str">
        <f t="shared" ref="C9193:C9197" si="2177">"女"</f>
        <v>女</v>
      </c>
      <c r="D9193" s="2" t="str">
        <f t="shared" si="2165"/>
        <v>1</v>
      </c>
      <c r="E9193" s="2" t="str">
        <f>"材料与环境工程学院"</f>
        <v>材料与环境工程学院</v>
      </c>
    </row>
    <row r="9194" ht="13.5" hidden="1" spans="1:5">
      <c r="A9194" s="2" t="str">
        <f>"肖欣婷"</f>
        <v>肖欣婷</v>
      </c>
      <c r="B9194" s="2" t="str">
        <f>"B20220701304"</f>
        <v>B20220701304</v>
      </c>
      <c r="C9194" s="2" t="str">
        <f t="shared" si="2177"/>
        <v>女</v>
      </c>
      <c r="D9194" s="2" t="str">
        <f t="shared" si="2165"/>
        <v>1</v>
      </c>
      <c r="E9194" s="2" t="str">
        <f>"马栏山新媒体学院"</f>
        <v>马栏山新媒体学院</v>
      </c>
    </row>
    <row r="9195" ht="13.5" hidden="1" spans="1:5">
      <c r="A9195" s="2" t="str">
        <f>"杨舒媛"</f>
        <v>杨舒媛</v>
      </c>
      <c r="B9195" s="2" t="str">
        <f>"B20231202335"</f>
        <v>B20231202335</v>
      </c>
      <c r="C9195" s="2" t="str">
        <f t="shared" si="2177"/>
        <v>女</v>
      </c>
      <c r="D9195" s="2" t="str">
        <f>"10"</f>
        <v>10</v>
      </c>
      <c r="E9195" s="2" t="str">
        <f>"数学学院"</f>
        <v>数学学院</v>
      </c>
    </row>
    <row r="9196" ht="13.5" hidden="1" spans="1:5">
      <c r="A9196" s="2" t="str">
        <f>"杨熠"</f>
        <v>杨熠</v>
      </c>
      <c r="B9196" s="2" t="str">
        <f>"B20231101208"</f>
        <v>B20231101208</v>
      </c>
      <c r="C9196" s="2" t="str">
        <f t="shared" ref="C9195:C9200" si="2178">"男"</f>
        <v>男</v>
      </c>
      <c r="D9196" s="2" t="str">
        <f t="shared" si="2165"/>
        <v>1</v>
      </c>
      <c r="E9196" s="2" t="str">
        <f>"音乐学院"</f>
        <v>音乐学院</v>
      </c>
    </row>
    <row r="9197" ht="13.5" hidden="1" spans="1:5">
      <c r="A9197" s="2" t="str">
        <f>"袁小晴"</f>
        <v>袁小晴</v>
      </c>
      <c r="B9197" s="2" t="str">
        <f>"B20201003225"</f>
        <v>B20201003225</v>
      </c>
      <c r="C9197" s="2" t="str">
        <f t="shared" si="2177"/>
        <v>女</v>
      </c>
      <c r="D9197" s="2" t="str">
        <f t="shared" si="2165"/>
        <v>1</v>
      </c>
      <c r="E9197" s="2" t="str">
        <f>"艺术设计学院"</f>
        <v>艺术设计学院</v>
      </c>
    </row>
    <row r="9198" ht="13.5" hidden="1" spans="1:5">
      <c r="A9198" s="2" t="str">
        <f>"易祎庆"</f>
        <v>易祎庆</v>
      </c>
      <c r="B9198" s="2" t="str">
        <f>"B20210503109"</f>
        <v>B20210503109</v>
      </c>
      <c r="C9198" s="2" t="str">
        <f t="shared" si="2178"/>
        <v>男</v>
      </c>
      <c r="D9198" s="2" t="str">
        <f t="shared" si="2165"/>
        <v>1</v>
      </c>
      <c r="E9198" s="2" t="str">
        <f>"材料与环境工程学院"</f>
        <v>材料与环境工程学院</v>
      </c>
    </row>
    <row r="9199" ht="13.5" hidden="1" spans="1:5">
      <c r="A9199" s="2" t="str">
        <f>"李佳佳"</f>
        <v>李佳佳</v>
      </c>
      <c r="B9199" s="2" t="str">
        <f>"B20220104101"</f>
        <v>B20220104101</v>
      </c>
      <c r="C9199" s="2" t="str">
        <f t="shared" si="2178"/>
        <v>男</v>
      </c>
      <c r="D9199" s="2" t="str">
        <f t="shared" si="2165"/>
        <v>1</v>
      </c>
      <c r="E9199" s="2" t="str">
        <f>"土木工程学院"</f>
        <v>土木工程学院</v>
      </c>
    </row>
    <row r="9200" ht="13.5" hidden="1" spans="1:5">
      <c r="A9200" s="2" t="str">
        <f>"李宇昕"</f>
        <v>李宇昕</v>
      </c>
      <c r="B9200" s="2" t="str">
        <f>"B20200101218"</f>
        <v>B20200101218</v>
      </c>
      <c r="C9200" s="2" t="str">
        <f t="shared" si="2178"/>
        <v>男</v>
      </c>
      <c r="D9200" s="2" t="str">
        <f t="shared" si="2165"/>
        <v>1</v>
      </c>
      <c r="E9200" s="2" t="str">
        <f>"土木工程学院"</f>
        <v>土木工程学院</v>
      </c>
    </row>
    <row r="9201" ht="13.5" hidden="1" spans="1:5">
      <c r="A9201" s="2" t="str">
        <f>"张佳玲"</f>
        <v>张佳玲</v>
      </c>
      <c r="B9201" s="2" t="str">
        <f>"B20220202113"</f>
        <v>B20220202113</v>
      </c>
      <c r="C9201" s="2" t="str">
        <f>"女"</f>
        <v>女</v>
      </c>
      <c r="D9201" s="2" t="str">
        <f t="shared" si="2165"/>
        <v>1</v>
      </c>
      <c r="E9201" s="2" t="str">
        <f>"机电工程学院"</f>
        <v>机电工程学院</v>
      </c>
    </row>
    <row r="9202" ht="13.5" hidden="1" spans="1:5">
      <c r="A9202" s="2" t="str">
        <f>"吕涛"</f>
        <v>吕涛</v>
      </c>
      <c r="B9202" s="2" t="str">
        <f>"B20200801609"</f>
        <v>B20200801609</v>
      </c>
      <c r="C9202" s="2" t="str">
        <f>"男"</f>
        <v>男</v>
      </c>
      <c r="D9202" s="2" t="str">
        <f t="shared" si="2165"/>
        <v>1</v>
      </c>
      <c r="E9202" s="2" t="str">
        <f>"外国语学院"</f>
        <v>外国语学院</v>
      </c>
    </row>
    <row r="9203" ht="13.5" hidden="1" spans="1:5">
      <c r="A9203" s="2" t="str">
        <f>"陈文辉"</f>
        <v>陈文辉</v>
      </c>
      <c r="B9203" s="2" t="str">
        <f>"B20210201225"</f>
        <v>B20210201225</v>
      </c>
      <c r="C9203" s="2" t="str">
        <f>"男"</f>
        <v>男</v>
      </c>
      <c r="D9203" s="2" t="str">
        <f t="shared" si="2165"/>
        <v>1</v>
      </c>
      <c r="E9203" s="2" t="str">
        <f>"机电工程学院"</f>
        <v>机电工程学院</v>
      </c>
    </row>
  </sheetData>
  <autoFilter ref="A1:E9203">
    <filterColumn colId="4">
      <customFilters>
        <customFilter operator="equal" val="计算机科学与工程学院"/>
      </customFilters>
    </filterColumn>
    <sortState ref="A1:E9203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汤汤</cp:lastModifiedBy>
  <dcterms:created xsi:type="dcterms:W3CDTF">2024-03-27T06:43:00Z</dcterms:created>
  <dcterms:modified xsi:type="dcterms:W3CDTF">2024-03-27T07:16:00Z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AF72954B8B7640DC898DE185BF355A1F_13</vt:lpwstr>
  </property>
  <property fmtid="{D5CDD505-2E9C-101B-9397-08002B2CF9AE}" pid="3" name="KSOProductBuildVer">
    <vt:lpwstr>2052-12.1.0.16417</vt:lpwstr>
  </property>
</Properties>
</file>