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Y:\Recursos Humanos\FOLHA\2023\09 2023\CONFERENCIA ENCARGOS\"/>
    </mc:Choice>
  </mc:AlternateContent>
  <xr:revisionPtr revIDLastSave="0" documentId="13_ncr:1_{52F8076C-99E0-4643-B2DF-4CECB4FE6B07}" xr6:coauthVersionLast="47" xr6:coauthVersionMax="47" xr10:uidLastSave="{00000000-0000-0000-0000-000000000000}"/>
  <bookViews>
    <workbookView xWindow="28680" yWindow="1440" windowWidth="20730" windowHeight="11160" xr2:uid="{E5AE352A-8175-4A3B-A0F0-8618E8BC07D9}"/>
  </bookViews>
  <sheets>
    <sheet name="RESUMO" sheetId="6" r:id="rId1"/>
    <sheet name="DCTF-Web" sheetId="7" r:id="rId2"/>
  </sheets>
  <definedNames>
    <definedName name="_xlnm.Print_Area" localSheetId="0">RESUMO!$A$1:$J$34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5" i="6" l="1"/>
  <c r="J10" i="6"/>
  <c r="J16" i="6"/>
  <c r="J14" i="6"/>
  <c r="J13" i="6"/>
  <c r="J8" i="6"/>
  <c r="J30" i="6" l="1"/>
  <c r="J25" i="6"/>
  <c r="J15" i="6"/>
  <c r="J12" i="6"/>
  <c r="J11" i="6"/>
  <c r="J7" i="6"/>
  <c r="F5" i="6"/>
  <c r="C7" i="6"/>
  <c r="D7" i="6"/>
  <c r="E7" i="6"/>
  <c r="F7" i="6"/>
  <c r="G7" i="6"/>
  <c r="H7" i="6"/>
  <c r="C8" i="6"/>
  <c r="D8" i="6"/>
  <c r="E8" i="6"/>
  <c r="F8" i="6"/>
  <c r="G8" i="6"/>
  <c r="H8" i="6"/>
  <c r="C11" i="6"/>
  <c r="D11" i="6"/>
  <c r="E11" i="6"/>
  <c r="F11" i="6"/>
  <c r="G11" i="6"/>
  <c r="H11" i="6"/>
  <c r="C12" i="6"/>
  <c r="D12" i="6"/>
  <c r="E12" i="6"/>
  <c r="F12" i="6"/>
  <c r="G12" i="6"/>
  <c r="H12" i="6"/>
  <c r="C13" i="6"/>
  <c r="D13" i="6"/>
  <c r="E13" i="6"/>
  <c r="F13" i="6"/>
  <c r="G13" i="6"/>
  <c r="H13" i="6"/>
  <c r="C14" i="6"/>
  <c r="D14" i="6"/>
  <c r="E14" i="6"/>
  <c r="F14" i="6"/>
  <c r="G14" i="6"/>
  <c r="H14" i="6"/>
  <c r="C15" i="6"/>
  <c r="D15" i="6"/>
  <c r="E15" i="6"/>
  <c r="F15" i="6"/>
  <c r="G15" i="6"/>
  <c r="H15" i="6"/>
  <c r="C16" i="6"/>
  <c r="D16" i="6"/>
  <c r="E16" i="6"/>
  <c r="F16" i="6"/>
  <c r="G16" i="6"/>
  <c r="H16" i="6"/>
  <c r="G25" i="6"/>
  <c r="H25" i="6"/>
  <c r="I15" i="6"/>
  <c r="I12" i="6"/>
  <c r="I11" i="6"/>
  <c r="F4" i="7"/>
  <c r="J33" i="6" l="1"/>
  <c r="J17" i="6"/>
  <c r="J19" i="6" s="1"/>
  <c r="C23" i="7"/>
  <c r="I25" i="6"/>
  <c r="I8" i="6"/>
  <c r="H30" i="6"/>
  <c r="H6" i="6" s="1"/>
  <c r="H10" i="6" s="1"/>
  <c r="H17" i="6" s="1"/>
  <c r="H19" i="6" s="1"/>
  <c r="G30" i="6"/>
  <c r="G6" i="6" s="1"/>
  <c r="G10" i="6" s="1"/>
  <c r="G17" i="6" s="1"/>
  <c r="G19" i="6" s="1"/>
  <c r="F30" i="6"/>
  <c r="F6" i="6" s="1"/>
  <c r="F10" i="6" s="1"/>
  <c r="F17" i="6" s="1"/>
  <c r="F19" i="6" s="1"/>
  <c r="E30" i="6"/>
  <c r="E6" i="6" s="1"/>
  <c r="E10" i="6" s="1"/>
  <c r="E17" i="6" s="1"/>
  <c r="D30" i="6"/>
  <c r="D6" i="6" s="1"/>
  <c r="D10" i="6" s="1"/>
  <c r="D17" i="6" s="1"/>
  <c r="D34" i="6" s="1"/>
  <c r="C30" i="6"/>
  <c r="C6" i="6" s="1"/>
  <c r="C10" i="6" s="1"/>
  <c r="C17" i="6" s="1"/>
  <c r="H33" i="6"/>
  <c r="F33" i="6"/>
  <c r="E33" i="6"/>
  <c r="D33" i="6"/>
  <c r="I7" i="6"/>
  <c r="I13" i="6"/>
  <c r="I14" i="6"/>
  <c r="I16" i="6"/>
  <c r="I30" i="6"/>
  <c r="I6" i="6" s="1"/>
  <c r="C16" i="7"/>
  <c r="C17" i="7"/>
  <c r="L21" i="6" l="1"/>
  <c r="L23" i="6" s="1"/>
  <c r="K21" i="6"/>
  <c r="J32" i="6"/>
  <c r="J34" i="6" s="1"/>
  <c r="I33" i="6"/>
  <c r="I10" i="6"/>
  <c r="I17" i="6" s="1"/>
  <c r="I19" i="6" s="1"/>
  <c r="D32" i="6"/>
  <c r="H32" i="6"/>
  <c r="H34" i="6" s="1"/>
  <c r="C34" i="6"/>
  <c r="C33" i="6"/>
  <c r="G33" i="6"/>
  <c r="F32" i="6"/>
  <c r="F34" i="6" s="1"/>
  <c r="E34" i="6"/>
  <c r="E32" i="6" s="1"/>
  <c r="C20" i="7"/>
  <c r="C5" i="7"/>
  <c r="C32" i="6" l="1"/>
  <c r="I32" i="6"/>
  <c r="I34" i="6" s="1"/>
  <c r="G32" i="6"/>
  <c r="G34" i="6" s="1"/>
  <c r="G19" i="7"/>
  <c r="G20" i="7"/>
  <c r="B20" i="7"/>
  <c r="B19" i="7"/>
  <c r="B17" i="6"/>
  <c r="C24" i="7" l="1"/>
  <c r="C14" i="7" l="1"/>
  <c r="C18" i="7" l="1"/>
  <c r="B26" i="7" l="1"/>
  <c r="C8" i="7"/>
  <c r="C15" i="7"/>
  <c r="C13" i="7" s="1"/>
  <c r="C12" i="7"/>
  <c r="G12" i="7" s="1"/>
  <c r="C25" i="7"/>
  <c r="C26" i="7" s="1"/>
  <c r="E23" i="7" s="1"/>
  <c r="C7" i="7" l="1"/>
  <c r="C4" i="7" s="1"/>
  <c r="G8" i="7"/>
  <c r="F8" i="7" s="1"/>
  <c r="D23" i="7" l="1"/>
  <c r="F23" i="7" s="1"/>
  <c r="F7" i="7"/>
  <c r="G7" i="7" s="1"/>
  <c r="F11" i="7"/>
  <c r="F10" i="7"/>
  <c r="F9" i="7"/>
  <c r="E6" i="7"/>
  <c r="D6" i="7"/>
  <c r="B16" i="7"/>
  <c r="B18" i="7"/>
  <c r="B17" i="7"/>
  <c r="B15" i="7"/>
  <c r="B14" i="7"/>
  <c r="B13" i="7"/>
  <c r="B12" i="7"/>
  <c r="B11" i="7"/>
  <c r="B10" i="7"/>
  <c r="B9" i="7"/>
  <c r="B8" i="7"/>
  <c r="F6" i="7" l="1"/>
  <c r="F5" i="7" s="1"/>
  <c r="E5" i="7"/>
  <c r="E4" i="7" s="1"/>
  <c r="G6" i="7" l="1"/>
  <c r="G18" i="7"/>
  <c r="G17" i="7"/>
  <c r="G16" i="7"/>
  <c r="G15" i="7"/>
  <c r="G14" i="7"/>
  <c r="G11" i="7"/>
  <c r="G10" i="7"/>
  <c r="G9" i="7"/>
  <c r="E7" i="7"/>
  <c r="D7" i="7"/>
  <c r="D5" i="7"/>
  <c r="D4" i="7" s="1"/>
  <c r="G5" i="7" l="1"/>
  <c r="G4" i="7" l="1"/>
  <c r="G13" i="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Djair Patricio</author>
  </authors>
  <commentList>
    <comment ref="C6" authorId="0" shapeId="0" xr:uid="{CA1C7596-977D-4FBE-9618-742627240C4E}">
      <text>
        <r>
          <rPr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9" authorId="0" shapeId="0" xr:uid="{02644CA4-148C-4EB0-97FE-03966F709146}">
      <text>
        <r>
          <rPr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0" authorId="0" shapeId="0" xr:uid="{13FAF8E5-24F2-4155-AF84-29535E3709E5}">
      <text>
        <r>
          <rPr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1" authorId="0" shapeId="0" xr:uid="{037E3F4C-9D66-453C-986B-3E59FF893CEF}">
      <text>
        <r>
          <rPr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C19" authorId="0" shapeId="0" xr:uid="{23F58769-817A-4731-A6CE-CB1668430042}">
      <text>
        <r>
          <rPr>
            <b/>
            <sz val="9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23" authorId="0" shapeId="0" xr:uid="{B93EAF12-AD05-4F85-93BF-1A38D280623E}">
      <text>
        <r>
          <rPr>
            <b/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24" authorId="0" shapeId="0" xr:uid="{B9470CE9-0585-422B-ADD2-33B594BB9057}">
      <text>
        <r>
          <rPr>
            <b/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25" authorId="0" shapeId="0" xr:uid="{73C7D8BD-6EB4-43DB-A5FF-DBA95F48B472}">
      <text>
        <r>
          <rPr>
            <b/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B28" authorId="0" shapeId="0" xr:uid="{A416D783-0E05-48D9-9B73-77BF13EB0F39}">
      <text>
        <r>
          <rPr>
            <b/>
            <sz val="14"/>
            <color indexed="81"/>
            <rFont val="Segoe UI"/>
            <family val="2"/>
          </rPr>
          <t>PREENCHER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<sst xmlns="http://schemas.openxmlformats.org/spreadsheetml/2006/main" count="78" uniqueCount="73">
  <si>
    <t>DESCRIÇÃO</t>
  </si>
  <si>
    <t>CP TERCEIROS SALARIO EDUCAÇÃO</t>
  </si>
  <si>
    <t>CP TERCEIROS INCRA</t>
  </si>
  <si>
    <t>CP TERCEIROS SENAC</t>
  </si>
  <si>
    <t>CP TERCEIROS SESC</t>
  </si>
  <si>
    <t>CP TERCEIROS SEBRAE</t>
  </si>
  <si>
    <t>GIL PATRONAL RAT AJUSTADO - GILRAT AJUSTADO</t>
  </si>
  <si>
    <t>BASE FOLHA DE PAGAMENTO</t>
  </si>
  <si>
    <t>PERC. %</t>
  </si>
  <si>
    <t>CONTRIB PREVIDENCIÁRIA EMPRESA/EMPREGADOR</t>
  </si>
  <si>
    <t>INSS RETIDO DO COLABORADOR (+)</t>
  </si>
  <si>
    <t>INSS RETIDO DO PJ (+)</t>
  </si>
  <si>
    <t>CP PATRONAL EMPREGADOS AVULSOS (+)</t>
  </si>
  <si>
    <t>RETENÇÕES NOTA AMLURB + SAL FAM + SAL MAT (-)</t>
  </si>
  <si>
    <t>VALOR - INSS</t>
  </si>
  <si>
    <t>VALOR RETENÇÃO</t>
  </si>
  <si>
    <t>VALOR TOTAL DCTF-WEB</t>
  </si>
  <si>
    <t>DEBITOS APURADOS</t>
  </si>
  <si>
    <t>TRIBUTOS/CODIGOS DE RECEITA</t>
  </si>
  <si>
    <t>PA DEBITO</t>
  </si>
  <si>
    <t>DEBITO APURADO</t>
  </si>
  <si>
    <t>TOTAL APURADO EMPRESA 33.572.312/0001-29</t>
  </si>
  <si>
    <t>CREDITOS VINCULADOS</t>
  </si>
  <si>
    <t>DEDUÇÕES</t>
  </si>
  <si>
    <t>SALARIO-FAMILIA</t>
  </si>
  <si>
    <t>SALARIO-MATERNIDADE</t>
  </si>
  <si>
    <t>RETENÇÃO LEI 9.711/98</t>
  </si>
  <si>
    <t>SALDO A PAGAR</t>
  </si>
  <si>
    <t>TOTAL CONTRIBUIÇÃO PREVIDENCIARIA SEGURADOS</t>
  </si>
  <si>
    <t>1082-01 - CP SEGURADOS - EMPREGADOS AVULSOS</t>
  </si>
  <si>
    <t>TOTAL DA CONTRIBUIÇÃO PREVIDENCIARIA PATRONAL</t>
  </si>
  <si>
    <t>1138-01 - CP PATRONAL  - EMPREGADOS AVULSOS</t>
  </si>
  <si>
    <t>1162-01 - CP PATRONAL - RETENÇÃO LEI 9.711/98 - PRESTAÇÃO DE SERVIÇO: 01.645.408/0001-83</t>
  </si>
  <si>
    <t>1162-01 - CP PATRONAL - RETENÇÃO LEI 9.711/98 - PRESTAÇÃO DE SERVIÇO: 13.728.171/0001-83</t>
  </si>
  <si>
    <t>1162-01 - CP PATRONAL - RETENÇÃO LEI 9.711/98 - PRESTAÇÃO DE SERVIÇO: 37.732.430/0001-08</t>
  </si>
  <si>
    <t>1646-01 - CP PATRONAL GILRAT AJUSTADO</t>
  </si>
  <si>
    <t>TOTAL CONTRIBUIÇÃO PARA OUTRA ENTIDADES E FUNDOS</t>
  </si>
  <si>
    <t>11701-01 CP TERCEIROS - SALARIO EDUCAÇÃO</t>
  </si>
  <si>
    <t>1176-01 CP TERCEIROS - INCRA</t>
  </si>
  <si>
    <t>1191-01 CP TERCEIROS - SENAC</t>
  </si>
  <si>
    <t>1196-01 CP TERCEIROS - SESC</t>
  </si>
  <si>
    <t>1200-01 CP TERCEIROS - SEBRAE</t>
  </si>
  <si>
    <t>CRÉDITOS VINCULÁVEIS</t>
  </si>
  <si>
    <t>BASE DE CÁLCULO GUIA DA GPS / DCTF Web</t>
  </si>
  <si>
    <t>DISPONIVEL</t>
  </si>
  <si>
    <t>VINCULO</t>
  </si>
  <si>
    <t>RESUMO DA SITUAÇÃO</t>
  </si>
  <si>
    <t>VALOR BASE FOLHA</t>
  </si>
  <si>
    <t>TOTAL</t>
  </si>
  <si>
    <t>TOTAL DE DEBITO APURADOS</t>
  </si>
  <si>
    <t>TOTAL DE CREDITOS VINCULADOS</t>
  </si>
  <si>
    <t>BASE FOLHA 02/2023</t>
  </si>
  <si>
    <t>BASE FOLHA 03/2023</t>
  </si>
  <si>
    <t>BASE FOLHA 04/2023</t>
  </si>
  <si>
    <t>BASE FOLHA 05/2023</t>
  </si>
  <si>
    <t>TOTAL IRRF</t>
  </si>
  <si>
    <t>0561-07 - IRRF - RD TRB ASSAL PAÍS/AUS NO EXT A  SERV PAÍS</t>
  </si>
  <si>
    <t>TOTAL DE ENCARGOS - INSS</t>
  </si>
  <si>
    <t>TOTAL DE ENCARGOS - IRRF</t>
  </si>
  <si>
    <t>INSS</t>
  </si>
  <si>
    <t>DCTF WEB</t>
  </si>
  <si>
    <t>BASE FOLHA 06/2023</t>
  </si>
  <si>
    <t xml:space="preserve"> IRRF - FOLHA MENSAL</t>
  </si>
  <si>
    <t xml:space="preserve"> IRRF - RESCISÕES</t>
  </si>
  <si>
    <t xml:space="preserve"> IRRF - FÉRIAS</t>
  </si>
  <si>
    <t>TOTAL - IRRF</t>
  </si>
  <si>
    <t>BASE FOLHA 07/2023</t>
  </si>
  <si>
    <t>BASE FOLHA 08/2023</t>
  </si>
  <si>
    <t>NF 7729 &gt; ATUAL GESTAO DE SERVICOS TERCEIRIZADOS  INSS Ret. R$ 1.170,71</t>
  </si>
  <si>
    <t>NF 7729 &gt; ATUAL GESTAO DE SERVICOS TERCEIRIZADOS</t>
  </si>
  <si>
    <t>08/2023</t>
  </si>
  <si>
    <t>BASE FOLHA 09/2023</t>
  </si>
  <si>
    <t>$ 1.394,35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</si>
</sst>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[$R$-416]\ * #,##0.00_-;\-[$R$-416]\ * #,##0.00_-;_-[$R$-416]\ 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sz val="20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sz val="14"/>
      <color indexed="81"/>
      <name val="Segoe UI"/>
      <family val="2"/>
    </font>
    <font>
      <b/>
      <sz val="14"/>
      <color indexed="81"/>
      <name val="Segoe UI"/>
      <family val="2"/>
    </font>
    <font>
      <b/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20"/>
      <color rgb="FF0070C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9"/>
      <color indexed="81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</cellStyleXfs>
  <cellXfs count="104">
    <xf numFmtId="0" fontId="0" fillId="0" borderId="0" xfId="0"/>
    <xf numFmtId="4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3" fillId="3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/>
    </xf>
    <xf numFmtId="10" fontId="4" fillId="2" borderId="5" xfId="0" applyNumberFormat="1" applyFont="1" applyFill="1" applyBorder="1" applyAlignment="1">
      <alignment horizontal="center" vertical="center"/>
    </xf>
    <xf numFmtId="44" fontId="9" fillId="4" borderId="2" xfId="1" applyFont="1" applyFill="1" applyBorder="1" applyAlignment="1">
      <alignment vertical="center"/>
    </xf>
    <xf numFmtId="44" fontId="8" fillId="2" borderId="6" xfId="1" applyFont="1" applyFill="1" applyBorder="1" applyAlignment="1">
      <alignment vertical="center"/>
    </xf>
    <xf numFmtId="44" fontId="8" fillId="3" borderId="8" xfId="1" applyFont="1" applyFill="1" applyBorder="1" applyAlignment="1">
      <alignment horizontal="center" vertical="center"/>
    </xf>
    <xf numFmtId="44" fontId="9" fillId="6" borderId="9" xfId="1" applyFont="1" applyFill="1" applyBorder="1" applyAlignment="1">
      <alignment vertical="center"/>
    </xf>
    <xf numFmtId="44" fontId="9" fillId="6" borderId="7" xfId="1" applyFont="1" applyFill="1" applyBorder="1" applyAlignment="1">
      <alignment vertical="center"/>
    </xf>
    <xf numFmtId="44" fontId="9" fillId="6" borderId="10" xfId="1" applyFont="1" applyFill="1" applyBorder="1" applyAlignment="1">
      <alignment vertical="center"/>
    </xf>
    <xf numFmtId="44" fontId="10" fillId="6" borderId="11" xfId="1" applyFont="1" applyFill="1" applyBorder="1" applyAlignment="1">
      <alignment vertical="center"/>
    </xf>
    <xf numFmtId="0" fontId="12" fillId="8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12" fillId="7" borderId="1" xfId="0" applyFont="1" applyFill="1" applyBorder="1" applyAlignment="1">
      <alignment vertical="center"/>
    </xf>
    <xf numFmtId="49" fontId="12" fillId="8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vertical="center"/>
    </xf>
    <xf numFmtId="49" fontId="12" fillId="7" borderId="1" xfId="0" applyNumberFormat="1" applyFont="1" applyFill="1" applyBorder="1" applyAlignment="1">
      <alignment vertical="center"/>
    </xf>
    <xf numFmtId="44" fontId="12" fillId="7" borderId="1" xfId="1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44" fontId="12" fillId="0" borderId="1" xfId="1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164" fontId="12" fillId="0" borderId="1" xfId="0" applyNumberFormat="1" applyFont="1" applyBorder="1" applyAlignment="1">
      <alignment vertical="center"/>
    </xf>
    <xf numFmtId="164" fontId="12" fillId="10" borderId="1" xfId="1" applyNumberFormat="1" applyFont="1" applyFill="1" applyBorder="1" applyAlignment="1">
      <alignment vertical="center"/>
    </xf>
    <xf numFmtId="44" fontId="12" fillId="10" borderId="1" xfId="1" applyFont="1" applyFill="1" applyBorder="1" applyAlignment="1">
      <alignment vertical="center"/>
    </xf>
    <xf numFmtId="0" fontId="11" fillId="0" borderId="12" xfId="0" applyFont="1" applyBorder="1" applyAlignment="1">
      <alignment horizontal="centerContinuous" vertical="center"/>
    </xf>
    <xf numFmtId="0" fontId="11" fillId="0" borderId="13" xfId="0" applyFont="1" applyBorder="1" applyAlignment="1">
      <alignment horizontal="centerContinuous" vertical="center"/>
    </xf>
    <xf numFmtId="0" fontId="11" fillId="0" borderId="14" xfId="0" applyFont="1" applyBorder="1" applyAlignment="1">
      <alignment horizontal="centerContinuous" vertical="center"/>
    </xf>
    <xf numFmtId="0" fontId="12" fillId="7" borderId="1" xfId="0" applyFont="1" applyFill="1" applyBorder="1" applyAlignment="1">
      <alignment horizontal="center" vertical="center"/>
    </xf>
    <xf numFmtId="0" fontId="0" fillId="0" borderId="14" xfId="0" applyBorder="1" applyAlignment="1">
      <alignment horizontal="centerContinuous"/>
    </xf>
    <xf numFmtId="0" fontId="17" fillId="2" borderId="4" xfId="0" applyFont="1" applyFill="1" applyBorder="1" applyAlignment="1">
      <alignment vertical="center"/>
    </xf>
    <xf numFmtId="0" fontId="17" fillId="10" borderId="4" xfId="0" applyFont="1" applyFill="1" applyBorder="1" applyAlignment="1">
      <alignment vertical="center"/>
    </xf>
    <xf numFmtId="43" fontId="17" fillId="2" borderId="4" xfId="5" applyFont="1" applyFill="1" applyBorder="1" applyAlignment="1">
      <alignment vertical="center"/>
    </xf>
    <xf numFmtId="44" fontId="12" fillId="8" borderId="1" xfId="1" applyFont="1" applyFill="1" applyBorder="1" applyAlignment="1">
      <alignment vertical="center"/>
    </xf>
    <xf numFmtId="44" fontId="0" fillId="0" borderId="0" xfId="1" applyFont="1" applyAlignment="1">
      <alignment vertical="center"/>
    </xf>
    <xf numFmtId="49" fontId="12" fillId="0" borderId="1" xfId="0" applyNumberFormat="1" applyFont="1" applyBorder="1" applyAlignment="1">
      <alignment vertical="center"/>
    </xf>
    <xf numFmtId="44" fontId="0" fillId="10" borderId="1" xfId="1" applyFont="1" applyFill="1" applyBorder="1" applyAlignment="1">
      <alignment vertical="center"/>
    </xf>
    <xf numFmtId="44" fontId="0" fillId="0" borderId="1" xfId="1" applyFont="1" applyBorder="1" applyAlignment="1">
      <alignment vertical="center"/>
    </xf>
    <xf numFmtId="43" fontId="12" fillId="8" borderId="1" xfId="5" applyFont="1" applyFill="1" applyBorder="1" applyAlignment="1">
      <alignment vertical="center"/>
    </xf>
    <xf numFmtId="43" fontId="0" fillId="0" borderId="1" xfId="5" applyFont="1" applyBorder="1" applyAlignment="1">
      <alignment vertical="center"/>
    </xf>
    <xf numFmtId="43" fontId="0" fillId="0" borderId="0" xfId="0" applyNumberFormat="1" applyAlignment="1">
      <alignment vertical="center"/>
    </xf>
    <xf numFmtId="44" fontId="0" fillId="0" borderId="0" xfId="0" applyNumberFormat="1" applyAlignment="1">
      <alignment vertical="center"/>
    </xf>
    <xf numFmtId="49" fontId="12" fillId="9" borderId="1" xfId="0" applyNumberFormat="1" applyFont="1" applyFill="1" applyBorder="1" applyAlignment="1">
      <alignment vertical="center"/>
    </xf>
    <xf numFmtId="43" fontId="12" fillId="9" borderId="1" xfId="5" applyFont="1" applyFill="1" applyBorder="1" applyAlignment="1">
      <alignment vertical="center"/>
    </xf>
    <xf numFmtId="44" fontId="16" fillId="0" borderId="0" xfId="1" applyFont="1" applyAlignment="1">
      <alignment vertical="center"/>
    </xf>
    <xf numFmtId="49" fontId="0" fillId="0" borderId="0" xfId="0" applyNumberFormat="1" applyAlignment="1">
      <alignment vertical="center"/>
    </xf>
    <xf numFmtId="44" fontId="18" fillId="5" borderId="16" xfId="0" applyNumberFormat="1" applyFont="1" applyFill="1" applyBorder="1" applyAlignment="1">
      <alignment vertical="center"/>
    </xf>
    <xf numFmtId="0" fontId="19" fillId="2" borderId="12" xfId="0" applyFont="1" applyFill="1" applyBorder="1" applyAlignment="1">
      <alignment vertical="center"/>
    </xf>
    <xf numFmtId="43" fontId="17" fillId="2" borderId="12" xfId="5" applyFont="1" applyFill="1" applyBorder="1" applyAlignment="1">
      <alignment vertical="center"/>
    </xf>
    <xf numFmtId="0" fontId="20" fillId="0" borderId="17" xfId="0" applyFont="1" applyBorder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9" xfId="0" applyFont="1" applyBorder="1" applyAlignment="1">
      <alignment horizontal="center"/>
    </xf>
    <xf numFmtId="44" fontId="9" fillId="0" borderId="3" xfId="1" applyFont="1" applyFill="1" applyBorder="1" applyAlignment="1">
      <alignment vertical="center"/>
    </xf>
    <xf numFmtId="44" fontId="9" fillId="4" borderId="20" xfId="1" applyFont="1" applyFill="1" applyBorder="1" applyAlignment="1">
      <alignment vertical="center"/>
    </xf>
    <xf numFmtId="0" fontId="3" fillId="3" borderId="21" xfId="0" applyFont="1" applyFill="1" applyBorder="1" applyAlignment="1">
      <alignment horizontal="center" vertical="center"/>
    </xf>
    <xf numFmtId="44" fontId="4" fillId="3" borderId="22" xfId="1" applyFont="1" applyFill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10" fontId="5" fillId="0" borderId="23" xfId="0" applyNumberFormat="1" applyFont="1" applyBorder="1" applyAlignment="1">
      <alignment horizontal="center" vertical="center"/>
    </xf>
    <xf numFmtId="0" fontId="6" fillId="4" borderId="22" xfId="0" applyFont="1" applyFill="1" applyBorder="1" applyAlignment="1">
      <alignment horizontal="center" vertical="center"/>
    </xf>
    <xf numFmtId="0" fontId="7" fillId="4" borderId="25" xfId="0" applyFont="1" applyFill="1" applyBorder="1" applyAlignment="1">
      <alignment horizontal="center" vertical="center"/>
    </xf>
    <xf numFmtId="10" fontId="5" fillId="0" borderId="21" xfId="0" applyNumberFormat="1" applyFont="1" applyBorder="1" applyAlignment="1">
      <alignment horizontal="center" vertical="center"/>
    </xf>
    <xf numFmtId="10" fontId="5" fillId="0" borderId="24" xfId="0" applyNumberFormat="1" applyFont="1" applyBorder="1" applyAlignment="1">
      <alignment horizontal="center" vertical="center"/>
    </xf>
    <xf numFmtId="10" fontId="5" fillId="0" borderId="22" xfId="0" applyNumberFormat="1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5" fillId="0" borderId="26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6" fillId="4" borderId="11" xfId="0" applyFont="1" applyFill="1" applyBorder="1" applyAlignment="1">
      <alignment vertical="center"/>
    </xf>
    <xf numFmtId="0" fontId="7" fillId="4" borderId="18" xfId="0" applyFont="1" applyFill="1" applyBorder="1" applyAlignment="1">
      <alignment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4" fillId="2" borderId="28" xfId="0" applyFont="1" applyFill="1" applyBorder="1" applyAlignment="1">
      <alignment vertical="center"/>
    </xf>
    <xf numFmtId="44" fontId="8" fillId="2" borderId="3" xfId="1" applyFont="1" applyFill="1" applyBorder="1" applyAlignment="1">
      <alignment vertical="center"/>
    </xf>
    <xf numFmtId="0" fontId="4" fillId="2" borderId="29" xfId="0" applyFont="1" applyFill="1" applyBorder="1" applyAlignment="1">
      <alignment vertical="center"/>
    </xf>
    <xf numFmtId="44" fontId="8" fillId="2" borderId="2" xfId="1" applyFont="1" applyFill="1" applyBorder="1" applyAlignment="1">
      <alignment vertical="center"/>
    </xf>
    <xf numFmtId="0" fontId="4" fillId="2" borderId="30" xfId="0" applyFont="1" applyFill="1" applyBorder="1" applyAlignment="1">
      <alignment vertical="center"/>
    </xf>
    <xf numFmtId="44" fontId="18" fillId="5" borderId="20" xfId="0" applyNumberFormat="1" applyFont="1" applyFill="1" applyBorder="1" applyAlignment="1">
      <alignment vertical="center"/>
    </xf>
    <xf numFmtId="43" fontId="0" fillId="10" borderId="1" xfId="5" applyFont="1" applyFill="1" applyBorder="1" applyAlignment="1">
      <alignment vertical="center"/>
    </xf>
    <xf numFmtId="0" fontId="3" fillId="11" borderId="3" xfId="0" applyFont="1" applyFill="1" applyBorder="1" applyAlignment="1">
      <alignment horizontal="center" vertical="center" wrapText="1"/>
    </xf>
    <xf numFmtId="44" fontId="8" fillId="11" borderId="8" xfId="1" applyFont="1" applyFill="1" applyBorder="1" applyAlignment="1">
      <alignment horizontal="center" vertical="center"/>
    </xf>
    <xf numFmtId="44" fontId="9" fillId="11" borderId="9" xfId="1" applyFont="1" applyFill="1" applyBorder="1" applyAlignment="1">
      <alignment vertical="center"/>
    </xf>
    <xf numFmtId="44" fontId="9" fillId="11" borderId="7" xfId="1" applyFont="1" applyFill="1" applyBorder="1" applyAlignment="1">
      <alignment vertical="center"/>
    </xf>
    <xf numFmtId="44" fontId="9" fillId="11" borderId="10" xfId="1" applyFont="1" applyFill="1" applyBorder="1" applyAlignment="1">
      <alignment vertical="center"/>
    </xf>
    <xf numFmtId="44" fontId="10" fillId="11" borderId="11" xfId="1" applyFont="1" applyFill="1" applyBorder="1" applyAlignment="1">
      <alignment vertical="center"/>
    </xf>
    <xf numFmtId="0" fontId="0" fillId="11" borderId="27" xfId="0" applyFill="1" applyBorder="1" applyAlignment="1">
      <alignment vertical="center"/>
    </xf>
    <xf numFmtId="44" fontId="9" fillId="11" borderId="3" xfId="1" applyFont="1" applyFill="1" applyBorder="1" applyAlignment="1">
      <alignment vertical="center"/>
    </xf>
    <xf numFmtId="44" fontId="9" fillId="11" borderId="2" xfId="1" applyFont="1" applyFill="1" applyBorder="1" applyAlignment="1">
      <alignment vertical="center"/>
    </xf>
    <xf numFmtId="44" fontId="9" fillId="11" borderId="20" xfId="1" applyFont="1" applyFill="1" applyBorder="1" applyAlignment="1">
      <alignment vertical="center"/>
    </xf>
    <xf numFmtId="44" fontId="8" fillId="11" borderId="6" xfId="1" applyFont="1" applyFill="1" applyBorder="1" applyAlignment="1">
      <alignment vertical="center"/>
    </xf>
    <xf numFmtId="44" fontId="8" fillId="11" borderId="3" xfId="1" applyFont="1" applyFill="1" applyBorder="1" applyAlignment="1">
      <alignment vertical="center"/>
    </xf>
    <xf numFmtId="44" fontId="8" fillId="11" borderId="2" xfId="1" applyFont="1" applyFill="1" applyBorder="1" applyAlignment="1">
      <alignment vertical="center"/>
    </xf>
    <xf numFmtId="43" fontId="17" fillId="11" borderId="12" xfId="5" applyFont="1" applyFill="1" applyBorder="1" applyAlignment="1">
      <alignment vertical="center"/>
    </xf>
    <xf numFmtId="44" fontId="4" fillId="0" borderId="1" xfId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4" fontId="12" fillId="0" borderId="1" xfId="1" applyFont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49" fontId="12" fillId="7" borderId="1" xfId="0" applyNumberFormat="1" applyFont="1" applyFill="1" applyBorder="1" applyAlignment="1">
      <alignment horizontal="center" vertical="center"/>
    </xf>
    <xf numFmtId="44" fontId="8" fillId="2" borderId="0" xfId="1" applyFont="1" applyFill="1" applyBorder="1" applyAlignment="1">
      <alignment vertical="center"/>
    </xf>
  </cellXfs>
  <cellStyles count="6">
    <cellStyle name="Moeda" xfId="1" builtinId="4"/>
    <cellStyle name="Moeda 2" xfId="3" xr:uid="{EB976995-0D09-4C7A-9B50-50D51F72D820}"/>
    <cellStyle name="Normal" xfId="0" builtinId="0"/>
    <cellStyle name="Normal 2" xfId="4" xr:uid="{C9E602AF-666D-407A-A77C-9FB06758217E}"/>
    <cellStyle name="Vírgula" xfId="5" builtinId="3"/>
    <cellStyle name="Vírgula 2" xfId="2" xr:uid="{A31C41B6-938C-489B-B232-30ACC9CBA2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66937</xdr:rowOff>
    </xdr:from>
    <xdr:to>
      <xdr:col>0</xdr:col>
      <xdr:colOff>2205103</xdr:colOff>
      <xdr:row>0</xdr:row>
      <xdr:rowOff>594995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7F3C1847-7A83-4BF7-BA8E-3C417BA5C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duotone>
            <a:prstClr val="black"/>
            <a:schemeClr val="accent6">
              <a:tint val="45000"/>
              <a:satMod val="400000"/>
            </a:schemeClr>
          </a:duotone>
        </a:blip>
        <a:stretch>
          <a:fillRect/>
        </a:stretch>
      </xdr:blipFill>
      <xdr:spPr>
        <a:xfrm>
          <a:off x="0" y="66937"/>
          <a:ext cx="2205103" cy="5280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7393-AF4B-4E4E-822E-11851915D222}">
  <sheetPr codeName="Planilha1">
    <pageSetUpPr fitToPage="1"/>
  </sheetPr>
  <dimension ref="A1:L42"/>
  <sheetViews>
    <sheetView tabSelected="1" view="pageBreakPreview" topLeftCell="F16" zoomScale="73" zoomScaleNormal="73" zoomScaleSheetLayoutView="73" workbookViewId="0">
      <selection activeCell="L26" sqref="L26"/>
    </sheetView>
  </sheetViews>
  <sheetFormatPr defaultRowHeight="15" x14ac:dyDescent="0.25"/>
  <cols>
    <col min="1" max="1" width="63" bestFit="1" customWidth="1"/>
    <col min="2" max="2" width="12" bestFit="1" customWidth="1"/>
    <col min="3" max="9" width="29.28515625" bestFit="1" customWidth="1"/>
    <col min="10" max="10" width="38.140625" style="3" customWidth="1"/>
    <col min="11" max="11" width="17.7109375" bestFit="1" customWidth="1"/>
    <col min="12" max="12" width="18.5703125" bestFit="1" customWidth="1"/>
  </cols>
  <sheetData>
    <row r="1" spans="1:11" ht="48.75" customHeight="1" thickBot="1" x14ac:dyDescent="0.3">
      <c r="A1" s="75"/>
      <c r="B1" s="75"/>
      <c r="C1" s="75"/>
      <c r="D1" s="75"/>
      <c r="E1" s="75"/>
      <c r="F1" s="75"/>
      <c r="G1" s="75"/>
      <c r="J1"/>
    </row>
    <row r="2" spans="1:11" ht="27.75" customHeight="1" thickBot="1" x14ac:dyDescent="0.3">
      <c r="A2" s="27" t="s">
        <v>43</v>
      </c>
      <c r="B2" s="28"/>
      <c r="C2" s="28"/>
      <c r="D2" s="28"/>
      <c r="E2" s="29"/>
      <c r="F2" s="28"/>
      <c r="G2" s="31"/>
      <c r="H2" s="31"/>
      <c r="I2" s="31"/>
      <c r="J2" s="31"/>
    </row>
    <row r="3" spans="1:11" ht="27.75" customHeight="1" x14ac:dyDescent="0.25">
      <c r="A3" s="66" t="s">
        <v>0</v>
      </c>
      <c r="B3" s="56"/>
      <c r="C3" s="4" t="s">
        <v>51</v>
      </c>
      <c r="D3" s="4" t="s">
        <v>52</v>
      </c>
      <c r="E3" s="4" t="s">
        <v>53</v>
      </c>
      <c r="F3" s="4" t="s">
        <v>54</v>
      </c>
      <c r="G3" s="4" t="s">
        <v>61</v>
      </c>
      <c r="H3" s="4" t="s">
        <v>66</v>
      </c>
      <c r="I3" s="4" t="s">
        <v>67</v>
      </c>
      <c r="J3" s="83" t="s">
        <v>71</v>
      </c>
    </row>
    <row r="4" spans="1:11" s="2" customFormat="1" ht="23.25" customHeight="1" thickBot="1" x14ac:dyDescent="0.3">
      <c r="A4" s="67" t="s">
        <v>7</v>
      </c>
      <c r="B4" s="57" t="s">
        <v>8</v>
      </c>
      <c r="C4" s="9">
        <v>3348460.64</v>
      </c>
      <c r="D4" s="9">
        <v>3327105.68</v>
      </c>
      <c r="E4" s="9">
        <v>3340037.82</v>
      </c>
      <c r="F4" s="9">
        <v>3445363.48</v>
      </c>
      <c r="G4" s="9">
        <v>3316275.88</v>
      </c>
      <c r="H4" s="9">
        <v>3349364.67</v>
      </c>
      <c r="I4" s="9">
        <v>3413826.82</v>
      </c>
      <c r="J4" s="84">
        <v>3392472.48</v>
      </c>
      <c r="K4" s="43"/>
    </row>
    <row r="5" spans="1:11" s="2" customFormat="1" ht="23.25" customHeight="1" x14ac:dyDescent="0.25">
      <c r="A5" s="68" t="s">
        <v>10</v>
      </c>
      <c r="B5" s="58"/>
      <c r="C5" s="10">
        <v>284397.31</v>
      </c>
      <c r="D5" s="10">
        <v>283867</v>
      </c>
      <c r="E5" s="10">
        <v>284760.49</v>
      </c>
      <c r="F5" s="10">
        <f>293313.04-5.48</f>
        <v>293307.56</v>
      </c>
      <c r="G5" s="10">
        <v>281421.53000000003</v>
      </c>
      <c r="H5" s="10">
        <v>285592.90999999881</v>
      </c>
      <c r="I5" s="10">
        <v>293138.90000000002</v>
      </c>
      <c r="J5" s="85">
        <v>289213.87</v>
      </c>
      <c r="K5" s="43"/>
    </row>
    <row r="6" spans="1:11" s="2" customFormat="1" ht="23.25" customHeight="1" x14ac:dyDescent="0.25">
      <c r="A6" s="69" t="s">
        <v>11</v>
      </c>
      <c r="B6" s="59"/>
      <c r="C6" s="11">
        <f t="shared" ref="C6:H6" si="0">C30</f>
        <v>5828.38</v>
      </c>
      <c r="D6" s="11">
        <f t="shared" si="0"/>
        <v>5970.5</v>
      </c>
      <c r="E6" s="11">
        <f t="shared" si="0"/>
        <v>1421.15</v>
      </c>
      <c r="F6" s="11">
        <f t="shared" si="0"/>
        <v>1602.02</v>
      </c>
      <c r="G6" s="11">
        <f t="shared" si="0"/>
        <v>1602.02</v>
      </c>
      <c r="H6" s="11">
        <f t="shared" si="0"/>
        <v>1602.02</v>
      </c>
      <c r="I6" s="11">
        <f t="shared" ref="I6" si="1">I30</f>
        <v>1170.71</v>
      </c>
      <c r="J6" s="86">
        <v>1394.35</v>
      </c>
    </row>
    <row r="7" spans="1:11" s="2" customFormat="1" ht="23.25" customHeight="1" x14ac:dyDescent="0.25">
      <c r="A7" s="68" t="s">
        <v>12</v>
      </c>
      <c r="B7" s="60">
        <v>0.2</v>
      </c>
      <c r="C7" s="12">
        <f t="shared" ref="C7:H7" si="2">C4*20%</f>
        <v>669692.12800000003</v>
      </c>
      <c r="D7" s="12">
        <f t="shared" si="2"/>
        <v>665421.13600000006</v>
      </c>
      <c r="E7" s="12">
        <f t="shared" si="2"/>
        <v>668007.56400000001</v>
      </c>
      <c r="F7" s="12">
        <f t="shared" si="2"/>
        <v>689072.696</v>
      </c>
      <c r="G7" s="12">
        <f t="shared" si="2"/>
        <v>663255.17599999998</v>
      </c>
      <c r="H7" s="12">
        <f t="shared" si="2"/>
        <v>669872.93400000001</v>
      </c>
      <c r="I7" s="12">
        <f t="shared" ref="I7" si="3">I4*20%</f>
        <v>682765.36400000006</v>
      </c>
      <c r="J7" s="87">
        <f t="shared" ref="J7" si="4">J4*20%</f>
        <v>678494.49600000004</v>
      </c>
      <c r="K7" s="43"/>
    </row>
    <row r="8" spans="1:11" s="2" customFormat="1" ht="23.25" customHeight="1" thickBot="1" x14ac:dyDescent="0.3">
      <c r="A8" s="70" t="s">
        <v>13</v>
      </c>
      <c r="B8" s="61"/>
      <c r="C8" s="13">
        <f>12580.15+233.49+601494.18</f>
        <v>614307.82000000007</v>
      </c>
      <c r="D8" s="13">
        <f>635380.92+12446.56</f>
        <v>647827.4800000001</v>
      </c>
      <c r="E8" s="13">
        <f>598050.37+12606.18</f>
        <v>610656.55000000005</v>
      </c>
      <c r="F8" s="13">
        <f>601482.58+4434.84</f>
        <v>605917.41999999993</v>
      </c>
      <c r="G8" s="13">
        <f>598051.91+15441.76</f>
        <v>613493.67000000004</v>
      </c>
      <c r="H8" s="13">
        <f>598386.08+15338.04</f>
        <v>613724.12</v>
      </c>
      <c r="I8" s="13">
        <f>596887.53+14262.82</f>
        <v>611150.35</v>
      </c>
      <c r="J8" s="88">
        <f>593335.68+11926.11</f>
        <v>605261.79</v>
      </c>
      <c r="K8" s="43"/>
    </row>
    <row r="9" spans="1:11" s="2" customFormat="1" ht="23.25" customHeight="1" thickBot="1" x14ac:dyDescent="0.3">
      <c r="A9" s="71"/>
      <c r="B9" s="62"/>
      <c r="G9" s="74"/>
      <c r="H9" s="74"/>
      <c r="I9" s="74"/>
      <c r="J9" s="89"/>
    </row>
    <row r="10" spans="1:11" s="2" customFormat="1" ht="23.25" customHeight="1" x14ac:dyDescent="0.25">
      <c r="A10" s="72" t="s">
        <v>9</v>
      </c>
      <c r="B10" s="63"/>
      <c r="C10" s="54">
        <f t="shared" ref="C10:D10" si="5">C5+C6+C7-C8</f>
        <v>345609.99799999991</v>
      </c>
      <c r="D10" s="54">
        <f t="shared" si="5"/>
        <v>307431.15599999996</v>
      </c>
      <c r="E10" s="54">
        <f>E5+E6+E7-E8-3.59</f>
        <v>343529.06399999995</v>
      </c>
      <c r="F10" s="54">
        <f>F5+F6+F7-F8</f>
        <v>378064.85600000015</v>
      </c>
      <c r="G10" s="54">
        <f>G5+G6+G7-G8</f>
        <v>332785.05599999998</v>
      </c>
      <c r="H10" s="54">
        <f>H5+H6+H7-H8+0.02</f>
        <v>343343.76399999892</v>
      </c>
      <c r="I10" s="54">
        <f>I5+I6+I7-I8</f>
        <v>365924.62400000019</v>
      </c>
      <c r="J10" s="90">
        <f>J5+J6+J7-J8-0.01</f>
        <v>363840.91599999997</v>
      </c>
      <c r="K10" s="43"/>
    </row>
    <row r="11" spans="1:11" s="2" customFormat="1" ht="23.25" customHeight="1" x14ac:dyDescent="0.25">
      <c r="A11" s="69" t="s">
        <v>1</v>
      </c>
      <c r="B11" s="64">
        <v>2.5000000000000001E-2</v>
      </c>
      <c r="C11" s="7">
        <f>C4*2.5%-0.01</f>
        <v>83711.506000000008</v>
      </c>
      <c r="D11" s="7">
        <f>D4*2.5%-0.01</f>
        <v>83177.632000000012</v>
      </c>
      <c r="E11" s="7">
        <f>E4*2.5%</f>
        <v>83500.945500000002</v>
      </c>
      <c r="F11" s="7">
        <f>F4*2.5%</f>
        <v>86134.087</v>
      </c>
      <c r="G11" s="7">
        <f>G4*2.5%</f>
        <v>82906.896999999997</v>
      </c>
      <c r="H11" s="7">
        <f>H4*2.5%-0.01</f>
        <v>83734.106750000006</v>
      </c>
      <c r="I11" s="7">
        <f>I4*2.5%</f>
        <v>85345.670500000007</v>
      </c>
      <c r="J11" s="91">
        <f>J4*2.5%</f>
        <v>84811.812000000005</v>
      </c>
    </row>
    <row r="12" spans="1:11" s="2" customFormat="1" ht="23.25" customHeight="1" x14ac:dyDescent="0.25">
      <c r="A12" s="69" t="s">
        <v>2</v>
      </c>
      <c r="B12" s="64">
        <v>2E-3</v>
      </c>
      <c r="C12" s="7">
        <f>C4*0.2%</f>
        <v>6696.9212800000005</v>
      </c>
      <c r="D12" s="7">
        <f>D4*0.2%</f>
        <v>6654.2113600000002</v>
      </c>
      <c r="E12" s="7">
        <f>E4*0.2%-0.01</f>
        <v>6680.0656399999998</v>
      </c>
      <c r="F12" s="7">
        <f>F4*0.2%-0.01</f>
        <v>6890.7169599999997</v>
      </c>
      <c r="G12" s="7">
        <f>G4*0.2%-0.01</f>
        <v>6632.5417600000001</v>
      </c>
      <c r="H12" s="7">
        <f>H4*0.2%-0.01</f>
        <v>6698.7193399999996</v>
      </c>
      <c r="I12" s="7">
        <f>I4*0.2%</f>
        <v>6827.6536399999995</v>
      </c>
      <c r="J12" s="91">
        <f>J4*0.2%</f>
        <v>6784.9449599999998</v>
      </c>
    </row>
    <row r="13" spans="1:11" s="2" customFormat="1" ht="23.25" customHeight="1" x14ac:dyDescent="0.25">
      <c r="A13" s="69" t="s">
        <v>3</v>
      </c>
      <c r="B13" s="64">
        <v>0.01</v>
      </c>
      <c r="C13" s="7">
        <f t="shared" ref="C13:H13" si="6">C4*1%-0.01</f>
        <v>33484.596400000002</v>
      </c>
      <c r="D13" s="7">
        <f t="shared" si="6"/>
        <v>33271.046800000004</v>
      </c>
      <c r="E13" s="7">
        <f t="shared" si="6"/>
        <v>33400.368199999997</v>
      </c>
      <c r="F13" s="7">
        <f t="shared" si="6"/>
        <v>34453.624799999998</v>
      </c>
      <c r="G13" s="7">
        <f t="shared" si="6"/>
        <v>33162.748799999994</v>
      </c>
      <c r="H13" s="7">
        <f t="shared" si="6"/>
        <v>33493.636699999995</v>
      </c>
      <c r="I13" s="7">
        <f t="shared" ref="I13" si="7">I4*1%-0.01</f>
        <v>34138.258199999997</v>
      </c>
      <c r="J13" s="91">
        <f>J4*1%</f>
        <v>33924.724800000004</v>
      </c>
    </row>
    <row r="14" spans="1:11" s="2" customFormat="1" ht="23.25" customHeight="1" x14ac:dyDescent="0.25">
      <c r="A14" s="69" t="s">
        <v>4</v>
      </c>
      <c r="B14" s="64">
        <v>1.4999999999999999E-2</v>
      </c>
      <c r="C14" s="7">
        <f t="shared" ref="C14:G14" si="8">C4*1.5%-0.01</f>
        <v>50226.899599999997</v>
      </c>
      <c r="D14" s="7">
        <f t="shared" si="8"/>
        <v>49906.575199999999</v>
      </c>
      <c r="E14" s="7">
        <f t="shared" si="8"/>
        <v>50100.557299999993</v>
      </c>
      <c r="F14" s="7">
        <f t="shared" si="8"/>
        <v>51680.442199999998</v>
      </c>
      <c r="G14" s="7">
        <f t="shared" si="8"/>
        <v>49744.128199999992</v>
      </c>
      <c r="H14" s="7">
        <f>H4*1.5%</f>
        <v>50240.470049999996</v>
      </c>
      <c r="I14" s="7">
        <f>I4*1.5%</f>
        <v>51207.402299999994</v>
      </c>
      <c r="J14" s="91">
        <f>J4*1.5%-0.01</f>
        <v>50887.077199999992</v>
      </c>
    </row>
    <row r="15" spans="1:11" s="2" customFormat="1" ht="23.25" customHeight="1" x14ac:dyDescent="0.25">
      <c r="A15" s="69" t="s">
        <v>5</v>
      </c>
      <c r="B15" s="64">
        <v>6.0000000000000001E-3</v>
      </c>
      <c r="C15" s="7">
        <f>C4*0.6%</f>
        <v>20090.76384</v>
      </c>
      <c r="D15" s="7">
        <f>D4*0.6%</f>
        <v>19962.63408</v>
      </c>
      <c r="E15" s="7">
        <f>E4*0.6%-0.01</f>
        <v>20040.216920000003</v>
      </c>
      <c r="F15" s="7">
        <f>F4*0.6%-0.01</f>
        <v>20672.170880000001</v>
      </c>
      <c r="G15" s="7">
        <f>G4*0.6%-0.01</f>
        <v>19897.645280000001</v>
      </c>
      <c r="H15" s="7">
        <f>H4*0.6%-0.01</f>
        <v>20096.178020000003</v>
      </c>
      <c r="I15" s="7">
        <f>I4*0.6%</f>
        <v>20482.960919999998</v>
      </c>
      <c r="J15" s="91">
        <f>J4*0.6%</f>
        <v>20354.834879999999</v>
      </c>
    </row>
    <row r="16" spans="1:11" s="2" customFormat="1" ht="23.25" customHeight="1" thickBot="1" x14ac:dyDescent="0.3">
      <c r="A16" s="73" t="s">
        <v>6</v>
      </c>
      <c r="B16" s="65">
        <v>0.03</v>
      </c>
      <c r="C16" s="55">
        <f t="shared" ref="C16:H16" si="9">C4*3.1854%</f>
        <v>106661.86522656001</v>
      </c>
      <c r="D16" s="55">
        <f t="shared" si="9"/>
        <v>105981.62433072001</v>
      </c>
      <c r="E16" s="55">
        <f t="shared" si="9"/>
        <v>106393.56471828</v>
      </c>
      <c r="F16" s="55">
        <f t="shared" si="9"/>
        <v>109748.60829192</v>
      </c>
      <c r="G16" s="55">
        <f t="shared" si="9"/>
        <v>105636.65188152</v>
      </c>
      <c r="H16" s="55">
        <f t="shared" si="9"/>
        <v>106690.66219818</v>
      </c>
      <c r="I16" s="55">
        <f t="shared" ref="I16" si="10">I4*3.1854%</f>
        <v>108744.03952428</v>
      </c>
      <c r="J16" s="92">
        <f>J4*3.1854%-0.01</f>
        <v>108063.80837792001</v>
      </c>
    </row>
    <row r="17" spans="1:12" ht="21.75" thickBot="1" x14ac:dyDescent="0.3">
      <c r="A17" s="5" t="s">
        <v>57</v>
      </c>
      <c r="B17" s="6">
        <f>SUM(B11:B15)</f>
        <v>5.8000000000000003E-2</v>
      </c>
      <c r="C17" s="8">
        <f t="shared" ref="C17:D17" si="11">SUM(C10:C16)</f>
        <v>646482.55034655996</v>
      </c>
      <c r="D17" s="8">
        <f t="shared" si="11"/>
        <v>606384.87977072003</v>
      </c>
      <c r="E17" s="8">
        <f t="shared" ref="E17:J17" si="12">SUM(E10:E16)</f>
        <v>643644.78227827989</v>
      </c>
      <c r="F17" s="8">
        <f t="shared" si="12"/>
        <v>687644.50613192015</v>
      </c>
      <c r="G17" s="8">
        <f t="shared" si="12"/>
        <v>630765.66892152</v>
      </c>
      <c r="H17" s="8">
        <f t="shared" si="12"/>
        <v>644297.53705817892</v>
      </c>
      <c r="I17" s="8">
        <f t="shared" si="12"/>
        <v>672670.60908428009</v>
      </c>
      <c r="J17" s="93">
        <f t="shared" si="12"/>
        <v>668668.11821791995</v>
      </c>
      <c r="K17" s="2" t="s">
        <v>72</v>
      </c>
    </row>
    <row r="18" spans="1:12" ht="21.75" thickBot="1" x14ac:dyDescent="0.3">
      <c r="A18" s="5" t="s">
        <v>58</v>
      </c>
      <c r="B18" s="6"/>
      <c r="C18" s="8">
        <v>0</v>
      </c>
      <c r="D18" s="8">
        <v>0</v>
      </c>
      <c r="E18" s="8">
        <v>0</v>
      </c>
      <c r="F18" s="8">
        <v>44297.87</v>
      </c>
      <c r="G18" s="8">
        <v>45452.2</v>
      </c>
      <c r="H18" s="8">
        <v>41770.89</v>
      </c>
      <c r="I18" s="8">
        <v>41502.61</v>
      </c>
      <c r="J18" s="93">
        <v>43494.080000000002</v>
      </c>
    </row>
    <row r="19" spans="1:12" ht="33.75" customHeight="1" thickBot="1" x14ac:dyDescent="0.3">
      <c r="B19" s="3"/>
      <c r="E19" s="49" t="s">
        <v>48</v>
      </c>
      <c r="F19" s="8">
        <f>F17+F18</f>
        <v>731942.37613192014</v>
      </c>
      <c r="G19" s="48">
        <f>G17+G18</f>
        <v>676217.86892151996</v>
      </c>
      <c r="H19" s="48">
        <f>H17+H18</f>
        <v>686068.42705817893</v>
      </c>
      <c r="I19" s="48">
        <f>I17+I18</f>
        <v>714173.21908428008</v>
      </c>
      <c r="J19" s="48">
        <f>J17+J18</f>
        <v>712162.19821791991</v>
      </c>
    </row>
    <row r="20" spans="1:12" x14ac:dyDescent="0.25">
      <c r="B20" s="3"/>
      <c r="F20" s="1"/>
      <c r="G20" s="1"/>
      <c r="H20" s="1"/>
      <c r="I20" s="1"/>
      <c r="J20" s="1"/>
      <c r="L20" s="1"/>
    </row>
    <row r="21" spans="1:12" ht="15.75" thickBot="1" x14ac:dyDescent="0.3">
      <c r="B21" s="3"/>
      <c r="F21" s="1"/>
      <c r="G21" s="1"/>
      <c r="H21" s="1"/>
      <c r="I21" s="1"/>
      <c r="J21" s="1"/>
      <c r="K21" s="1">
        <f>J19-J25-J33</f>
        <v>667273.76821791998</v>
      </c>
      <c r="L21" s="1">
        <f>J19-J25</f>
        <v>668668.11821791995</v>
      </c>
    </row>
    <row r="22" spans="1:12" ht="21" x14ac:dyDescent="0.25">
      <c r="B22" s="3"/>
      <c r="F22" s="76" t="s">
        <v>62</v>
      </c>
      <c r="G22" s="77">
        <v>33792.980000000003</v>
      </c>
      <c r="H22" s="77">
        <v>32751.66</v>
      </c>
      <c r="I22" s="77">
        <v>33213.25</v>
      </c>
      <c r="J22" s="94">
        <v>36770.129999999997</v>
      </c>
      <c r="L22" s="103">
        <v>1394.35</v>
      </c>
    </row>
    <row r="23" spans="1:12" ht="21" x14ac:dyDescent="0.25">
      <c r="B23" s="3"/>
      <c r="F23" s="78" t="s">
        <v>64</v>
      </c>
      <c r="G23" s="79">
        <v>11113.539999999999</v>
      </c>
      <c r="H23" s="79">
        <v>8887.0300000000007</v>
      </c>
      <c r="I23" s="79">
        <v>7615.46</v>
      </c>
      <c r="J23" s="95">
        <v>6518.2</v>
      </c>
      <c r="L23" s="1">
        <f>L21-L22</f>
        <v>667273.76821791998</v>
      </c>
    </row>
    <row r="24" spans="1:12" ht="21" x14ac:dyDescent="0.25">
      <c r="B24" s="3"/>
      <c r="F24" s="78" t="s">
        <v>63</v>
      </c>
      <c r="G24" s="79">
        <v>545.67999999999995</v>
      </c>
      <c r="H24" s="79">
        <v>132.19999999999999</v>
      </c>
      <c r="I24" s="79">
        <v>673.9</v>
      </c>
      <c r="J24" s="95">
        <v>205.75</v>
      </c>
    </row>
    <row r="25" spans="1:12" ht="27" thickBot="1" x14ac:dyDescent="0.3">
      <c r="B25" s="3"/>
      <c r="F25" s="80" t="s">
        <v>65</v>
      </c>
      <c r="G25" s="81">
        <f>SUM(G22:G24)</f>
        <v>45452.200000000004</v>
      </c>
      <c r="H25" s="81">
        <f>SUM(H22:H24)</f>
        <v>41770.89</v>
      </c>
      <c r="I25" s="81">
        <f>SUM(I22:I24)</f>
        <v>41502.61</v>
      </c>
      <c r="J25" s="81">
        <f>SUM(J22:J24)</f>
        <v>43494.079999999994</v>
      </c>
      <c r="L25" s="1">
        <f>J19-J25-J28</f>
        <v>667273.76821791998</v>
      </c>
    </row>
    <row r="26" spans="1:12" x14ac:dyDescent="0.25">
      <c r="B26" s="3"/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</row>
    <row r="27" spans="1:12" x14ac:dyDescent="0.25">
      <c r="B27" s="3"/>
      <c r="C27" s="1">
        <v>4549.3500000000004</v>
      </c>
      <c r="D27" s="1">
        <v>4549.3500000000004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</row>
    <row r="28" spans="1:12" x14ac:dyDescent="0.25">
      <c r="A28" s="2" t="s">
        <v>69</v>
      </c>
      <c r="B28" s="3"/>
      <c r="C28" s="1">
        <v>1279.03</v>
      </c>
      <c r="D28" s="1">
        <v>1421.15</v>
      </c>
      <c r="E28" s="1">
        <v>1421.15</v>
      </c>
      <c r="F28" s="1">
        <v>1602.02</v>
      </c>
      <c r="G28" s="1">
        <v>1602.02</v>
      </c>
      <c r="H28" s="1">
        <v>1602.02</v>
      </c>
      <c r="I28" s="1">
        <v>1170.71</v>
      </c>
      <c r="J28" s="1">
        <v>1394.35</v>
      </c>
    </row>
    <row r="29" spans="1:12" x14ac:dyDescent="0.25">
      <c r="B29" s="3"/>
      <c r="J29"/>
    </row>
    <row r="30" spans="1:12" x14ac:dyDescent="0.25">
      <c r="B30" s="3"/>
      <c r="C30" s="1">
        <f t="shared" ref="C30" si="13">SUM(C26:C29)</f>
        <v>5828.38</v>
      </c>
      <c r="D30" s="1">
        <f t="shared" ref="D30:I30" si="14">SUM(D26:D29)</f>
        <v>5970.5</v>
      </c>
      <c r="E30" s="1">
        <f t="shared" si="14"/>
        <v>1421.15</v>
      </c>
      <c r="F30" s="1">
        <f t="shared" si="14"/>
        <v>1602.02</v>
      </c>
      <c r="G30" s="1">
        <f t="shared" si="14"/>
        <v>1602.02</v>
      </c>
      <c r="H30" s="1">
        <f t="shared" si="14"/>
        <v>1602.02</v>
      </c>
      <c r="I30" s="1">
        <f t="shared" si="14"/>
        <v>1170.71</v>
      </c>
      <c r="J30" s="1">
        <f t="shared" ref="J30" si="15">SUM(J26:J29)</f>
        <v>1394.35</v>
      </c>
    </row>
    <row r="31" spans="1:12" ht="15.75" thickBot="1" x14ac:dyDescent="0.3">
      <c r="B31" s="3"/>
      <c r="J31"/>
    </row>
    <row r="32" spans="1:12" ht="19.5" thickBot="1" x14ac:dyDescent="0.35">
      <c r="A32" s="32" t="s">
        <v>14</v>
      </c>
      <c r="B32" s="33"/>
      <c r="C32" s="34">
        <f>C34-C33</f>
        <v>640654.17034655996</v>
      </c>
      <c r="D32" s="34">
        <f>D34-D33</f>
        <v>600414.37977072003</v>
      </c>
      <c r="E32" s="34">
        <f>E34-E33</f>
        <v>642223.63227827987</v>
      </c>
      <c r="F32" s="34">
        <f>F17-F30</f>
        <v>686042.48613192013</v>
      </c>
      <c r="G32" s="50">
        <f>G17-G30</f>
        <v>629163.64892151998</v>
      </c>
      <c r="H32" s="50">
        <f>H17-H30</f>
        <v>642695.5170581789</v>
      </c>
      <c r="I32" s="50">
        <f>I17-I30</f>
        <v>671499.89908428013</v>
      </c>
      <c r="J32" s="96">
        <f>J17-J30</f>
        <v>667273.76821791998</v>
      </c>
      <c r="K32" s="51" t="s">
        <v>59</v>
      </c>
    </row>
    <row r="33" spans="1:11" ht="19.5" thickBot="1" x14ac:dyDescent="0.35">
      <c r="A33" s="32" t="s">
        <v>15</v>
      </c>
      <c r="B33" s="33"/>
      <c r="C33" s="34">
        <f t="shared" ref="C33:H33" si="16">C6</f>
        <v>5828.38</v>
      </c>
      <c r="D33" s="34">
        <f t="shared" si="16"/>
        <v>5970.5</v>
      </c>
      <c r="E33" s="34">
        <f t="shared" si="16"/>
        <v>1421.15</v>
      </c>
      <c r="F33" s="34">
        <f t="shared" si="16"/>
        <v>1602.02</v>
      </c>
      <c r="G33" s="50">
        <f t="shared" si="16"/>
        <v>1602.02</v>
      </c>
      <c r="H33" s="50">
        <f t="shared" si="16"/>
        <v>1602.02</v>
      </c>
      <c r="I33" s="50">
        <f t="shared" ref="I33:J33" si="17">I6</f>
        <v>1170.71</v>
      </c>
      <c r="J33" s="96">
        <f t="shared" si="17"/>
        <v>1394.35</v>
      </c>
      <c r="K33" s="52"/>
    </row>
    <row r="34" spans="1:11" ht="19.5" thickBot="1" x14ac:dyDescent="0.35">
      <c r="A34" s="32" t="s">
        <v>16</v>
      </c>
      <c r="B34" s="33"/>
      <c r="C34" s="34">
        <f t="shared" ref="C34:E34" si="18">C17</f>
        <v>646482.55034655996</v>
      </c>
      <c r="D34" s="34">
        <f t="shared" si="18"/>
        <v>606384.87977072003</v>
      </c>
      <c r="E34" s="34">
        <f t="shared" si="18"/>
        <v>643644.78227827989</v>
      </c>
      <c r="F34" s="34">
        <f>F32+F33</f>
        <v>687644.50613192015</v>
      </c>
      <c r="G34" s="50">
        <f>G32+G33</f>
        <v>630765.66892152</v>
      </c>
      <c r="H34" s="50">
        <f>H32+H33</f>
        <v>644297.53705817892</v>
      </c>
      <c r="I34" s="50">
        <f>I32+I33</f>
        <v>672670.60908428009</v>
      </c>
      <c r="J34" s="96">
        <f>J32+J33</f>
        <v>668668.11821791995</v>
      </c>
      <c r="K34" s="53" t="s">
        <v>60</v>
      </c>
    </row>
    <row r="41" spans="1:11" x14ac:dyDescent="0.25">
      <c r="E41" s="2" t="s">
        <v>68</v>
      </c>
    </row>
    <row r="42" spans="1:11" x14ac:dyDescent="0.25">
      <c r="E42" s="2"/>
    </row>
  </sheetData>
  <pageMargins left="0.511811024" right="0.511811024" top="0.78740157499999996" bottom="0.78740157499999996" header="0.31496062000000002" footer="0.31496062000000002"/>
  <pageSetup paperSize="9" scale="4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05E1C-3276-4DC1-9262-0894786D0123}">
  <sheetPr codeName="Planilha2"/>
  <dimension ref="A1:L29"/>
  <sheetViews>
    <sheetView zoomScale="90" zoomScaleNormal="90" workbookViewId="0">
      <selection activeCell="K7" sqref="K7"/>
    </sheetView>
  </sheetViews>
  <sheetFormatPr defaultRowHeight="15" x14ac:dyDescent="0.25"/>
  <cols>
    <col min="1" max="1" width="86.28515625" style="2" bestFit="1" customWidth="1"/>
    <col min="2" max="2" width="17.7109375" style="47" bestFit="1" customWidth="1"/>
    <col min="3" max="3" width="16.85546875" style="2" bestFit="1" customWidth="1"/>
    <col min="4" max="4" width="27" style="2" bestFit="1" customWidth="1"/>
    <col min="5" max="5" width="31" style="2" bestFit="1" customWidth="1"/>
    <col min="6" max="6" width="21.5703125" style="2" bestFit="1" customWidth="1"/>
    <col min="7" max="7" width="15.28515625" style="2" bestFit="1" customWidth="1"/>
    <col min="8" max="8" width="12.140625" style="2" bestFit="1" customWidth="1"/>
    <col min="9" max="10" width="9.140625" style="2"/>
    <col min="11" max="11" width="15.85546875" style="2" bestFit="1" customWidth="1"/>
    <col min="12" max="12" width="11.5703125" style="2" bestFit="1" customWidth="1"/>
    <col min="13" max="16384" width="9.140625" style="2"/>
  </cols>
  <sheetData>
    <row r="1" spans="1:12" ht="22.5" customHeight="1" x14ac:dyDescent="0.25">
      <c r="A1" s="101" t="s">
        <v>17</v>
      </c>
      <c r="B1" s="101"/>
      <c r="C1" s="101"/>
      <c r="D1" s="101" t="s">
        <v>22</v>
      </c>
      <c r="E1" s="101"/>
      <c r="F1" s="101"/>
      <c r="G1" s="101" t="s">
        <v>27</v>
      </c>
    </row>
    <row r="2" spans="1:12" x14ac:dyDescent="0.25">
      <c r="A2" s="101" t="s">
        <v>18</v>
      </c>
      <c r="B2" s="102" t="s">
        <v>19</v>
      </c>
      <c r="C2" s="101" t="s">
        <v>20</v>
      </c>
      <c r="D2" s="101" t="s">
        <v>23</v>
      </c>
      <c r="E2" s="101"/>
      <c r="F2" s="101"/>
      <c r="G2" s="101"/>
    </row>
    <row r="3" spans="1:12" x14ac:dyDescent="0.25">
      <c r="A3" s="101"/>
      <c r="B3" s="102"/>
      <c r="C3" s="101"/>
      <c r="D3" s="30" t="s">
        <v>24</v>
      </c>
      <c r="E3" s="30" t="s">
        <v>25</v>
      </c>
      <c r="F3" s="30" t="s">
        <v>26</v>
      </c>
      <c r="G3" s="101"/>
    </row>
    <row r="4" spans="1:12" ht="27.75" customHeight="1" x14ac:dyDescent="0.25">
      <c r="A4" s="16" t="s">
        <v>21</v>
      </c>
      <c r="B4" s="19"/>
      <c r="C4" s="20">
        <f>C5+C7+C13+C19-0.01</f>
        <v>1317423.9982179201</v>
      </c>
      <c r="D4" s="20">
        <f>D5</f>
        <v>11926.11</v>
      </c>
      <c r="E4" s="20">
        <f>E5</f>
        <v>0</v>
      </c>
      <c r="F4" s="20">
        <f>B25</f>
        <v>593335.68000000005</v>
      </c>
      <c r="G4" s="20">
        <f>C4-D4-E4-F4</f>
        <v>712162.20821791992</v>
      </c>
    </row>
    <row r="5" spans="1:12" ht="27.75" customHeight="1" x14ac:dyDescent="0.25">
      <c r="A5" s="14" t="s">
        <v>28</v>
      </c>
      <c r="B5" s="17"/>
      <c r="C5" s="35">
        <f>C6</f>
        <v>289213.87</v>
      </c>
      <c r="D5" s="35">
        <f>D6</f>
        <v>11926.11</v>
      </c>
      <c r="E5" s="35">
        <f>E6</f>
        <v>0</v>
      </c>
      <c r="F5" s="35">
        <f>F6</f>
        <v>277287.76</v>
      </c>
      <c r="G5" s="35">
        <f>C5-D5-E5-F5</f>
        <v>0</v>
      </c>
      <c r="K5" s="36"/>
    </row>
    <row r="6" spans="1:12" ht="27.75" customHeight="1" x14ac:dyDescent="0.25">
      <c r="A6" s="15" t="s">
        <v>29</v>
      </c>
      <c r="B6" s="37" t="s">
        <v>70</v>
      </c>
      <c r="C6" s="38">
        <v>289213.87</v>
      </c>
      <c r="D6" s="39">
        <f>B23</f>
        <v>11926.11</v>
      </c>
      <c r="E6" s="39">
        <f>B24</f>
        <v>0</v>
      </c>
      <c r="F6" s="39">
        <f>C6-D6-E6</f>
        <v>277287.76</v>
      </c>
      <c r="G6" s="39">
        <f>C6-D6-E6-F6</f>
        <v>0</v>
      </c>
      <c r="K6" s="36"/>
    </row>
    <row r="7" spans="1:12" ht="27.75" customHeight="1" x14ac:dyDescent="0.25">
      <c r="A7" s="14" t="s">
        <v>30</v>
      </c>
      <c r="B7" s="17"/>
      <c r="C7" s="40">
        <f>SUM(C8:C12)-0.01</f>
        <v>787952.65437791997</v>
      </c>
      <c r="D7" s="40">
        <f t="shared" ref="D7:E7" si="0">SUM(D8:D12)</f>
        <v>0</v>
      </c>
      <c r="E7" s="40">
        <f t="shared" si="0"/>
        <v>0</v>
      </c>
      <c r="F7" s="40">
        <f>SUM(F8:F12)+G20</f>
        <v>359542.00000000006</v>
      </c>
      <c r="G7" s="40">
        <f>C7-D7-E7-F7</f>
        <v>428410.65437791991</v>
      </c>
      <c r="H7" s="42"/>
      <c r="K7" s="36"/>
    </row>
    <row r="8" spans="1:12" ht="27.75" customHeight="1" x14ac:dyDescent="0.25">
      <c r="A8" s="15" t="s">
        <v>31</v>
      </c>
      <c r="B8" s="37" t="str">
        <f t="shared" ref="B8:B20" si="1">$B$6</f>
        <v>08/2023</v>
      </c>
      <c r="C8" s="41">
        <f>B28*20%</f>
        <v>678494.49600000004</v>
      </c>
      <c r="D8" s="41"/>
      <c r="E8" s="41"/>
      <c r="F8" s="41">
        <f>C8-G8</f>
        <v>314653.57000000007</v>
      </c>
      <c r="G8" s="41">
        <f>C6+C8+C9+C10+C11-B26</f>
        <v>363840.92599999998</v>
      </c>
      <c r="H8" s="42"/>
      <c r="K8" s="36"/>
    </row>
    <row r="9" spans="1:12" ht="27.75" customHeight="1" x14ac:dyDescent="0.25">
      <c r="A9" s="15" t="s">
        <v>32</v>
      </c>
      <c r="B9" s="37" t="str">
        <f t="shared" si="1"/>
        <v>08/2023</v>
      </c>
      <c r="C9" s="38">
        <v>1394.35</v>
      </c>
      <c r="D9" s="41"/>
      <c r="E9" s="41"/>
      <c r="F9" s="41">
        <f>C9</f>
        <v>1394.35</v>
      </c>
      <c r="G9" s="41">
        <f t="shared" ref="G9:G20" si="2">C9-D9-E9-F9</f>
        <v>0</v>
      </c>
      <c r="K9" s="36"/>
      <c r="L9" s="42"/>
    </row>
    <row r="10" spans="1:12" ht="27.75" customHeight="1" x14ac:dyDescent="0.25">
      <c r="A10" s="15" t="s">
        <v>33</v>
      </c>
      <c r="B10" s="37" t="str">
        <f t="shared" si="1"/>
        <v>08/2023</v>
      </c>
      <c r="C10" s="38">
        <v>0</v>
      </c>
      <c r="D10" s="41"/>
      <c r="E10" s="41"/>
      <c r="F10" s="41">
        <f>C10</f>
        <v>0</v>
      </c>
      <c r="G10" s="41">
        <f t="shared" si="2"/>
        <v>0</v>
      </c>
      <c r="K10" s="43"/>
    </row>
    <row r="11" spans="1:12" ht="27.75" customHeight="1" x14ac:dyDescent="0.25">
      <c r="A11" s="15" t="s">
        <v>34</v>
      </c>
      <c r="B11" s="37" t="str">
        <f t="shared" si="1"/>
        <v>08/2023</v>
      </c>
      <c r="C11" s="38">
        <v>0</v>
      </c>
      <c r="D11" s="41"/>
      <c r="E11" s="41"/>
      <c r="F11" s="41">
        <f>C11</f>
        <v>0</v>
      </c>
      <c r="G11" s="41">
        <f t="shared" si="2"/>
        <v>0</v>
      </c>
      <c r="K11" s="43"/>
    </row>
    <row r="12" spans="1:12" ht="27.75" customHeight="1" x14ac:dyDescent="0.25">
      <c r="A12" s="15" t="s">
        <v>35</v>
      </c>
      <c r="B12" s="37" t="str">
        <f t="shared" si="1"/>
        <v>08/2023</v>
      </c>
      <c r="C12" s="41">
        <f>B28*3.1854%</f>
        <v>108063.81837792</v>
      </c>
      <c r="D12" s="41"/>
      <c r="E12" s="41"/>
      <c r="F12" s="41"/>
      <c r="G12" s="41">
        <f>C12-D12-E12-F12</f>
        <v>108063.81837792</v>
      </c>
    </row>
    <row r="13" spans="1:12" ht="27.75" customHeight="1" x14ac:dyDescent="0.25">
      <c r="A13" s="18" t="s">
        <v>36</v>
      </c>
      <c r="B13" s="44" t="str">
        <f t="shared" si="1"/>
        <v>08/2023</v>
      </c>
      <c r="C13" s="45">
        <f>SUM(C14:C18)</f>
        <v>196763.40384000001</v>
      </c>
      <c r="D13" s="45"/>
      <c r="E13" s="45"/>
      <c r="F13" s="45"/>
      <c r="G13" s="45">
        <f>C13-D13-E13-F13</f>
        <v>196763.40384000001</v>
      </c>
    </row>
    <row r="14" spans="1:12" ht="27.75" customHeight="1" x14ac:dyDescent="0.25">
      <c r="A14" s="15" t="s">
        <v>37</v>
      </c>
      <c r="B14" s="37" t="str">
        <f t="shared" si="1"/>
        <v>08/2023</v>
      </c>
      <c r="C14" s="41">
        <f>B28*2.5%</f>
        <v>84811.812000000005</v>
      </c>
      <c r="D14" s="41"/>
      <c r="E14" s="41"/>
      <c r="F14" s="41"/>
      <c r="G14" s="41">
        <f t="shared" si="2"/>
        <v>84811.812000000005</v>
      </c>
    </row>
    <row r="15" spans="1:12" ht="27.75" customHeight="1" x14ac:dyDescent="0.25">
      <c r="A15" s="15" t="s">
        <v>38</v>
      </c>
      <c r="B15" s="37" t="str">
        <f t="shared" si="1"/>
        <v>08/2023</v>
      </c>
      <c r="C15" s="41">
        <f>B28*0.2%</f>
        <v>6784.9449599999998</v>
      </c>
      <c r="D15" s="41"/>
      <c r="E15" s="41"/>
      <c r="F15" s="41"/>
      <c r="G15" s="41">
        <f t="shared" si="2"/>
        <v>6784.9449599999998</v>
      </c>
    </row>
    <row r="16" spans="1:12" ht="27.75" customHeight="1" x14ac:dyDescent="0.25">
      <c r="A16" s="15" t="s">
        <v>39</v>
      </c>
      <c r="B16" s="37" t="str">
        <f t="shared" si="1"/>
        <v>08/2023</v>
      </c>
      <c r="C16" s="41">
        <f>B28*1%</f>
        <v>33924.724800000004</v>
      </c>
      <c r="D16" s="41"/>
      <c r="E16" s="41"/>
      <c r="F16" s="41"/>
      <c r="G16" s="41">
        <f t="shared" si="2"/>
        <v>33924.724800000004</v>
      </c>
    </row>
    <row r="17" spans="1:7" ht="27.75" customHeight="1" x14ac:dyDescent="0.25">
      <c r="A17" s="15" t="s">
        <v>40</v>
      </c>
      <c r="B17" s="37" t="str">
        <f t="shared" si="1"/>
        <v>08/2023</v>
      </c>
      <c r="C17" s="41">
        <f>B28*1.5%</f>
        <v>50887.087199999994</v>
      </c>
      <c r="D17" s="41"/>
      <c r="E17" s="41"/>
      <c r="F17" s="41"/>
      <c r="G17" s="41">
        <f t="shared" si="2"/>
        <v>50887.087199999994</v>
      </c>
    </row>
    <row r="18" spans="1:7" ht="27.75" customHeight="1" x14ac:dyDescent="0.25">
      <c r="A18" s="15" t="s">
        <v>41</v>
      </c>
      <c r="B18" s="37" t="str">
        <f t="shared" si="1"/>
        <v>08/2023</v>
      </c>
      <c r="C18" s="41">
        <f>B28*0.6%</f>
        <v>20354.834879999999</v>
      </c>
      <c r="D18" s="41"/>
      <c r="E18" s="41"/>
      <c r="F18" s="41"/>
      <c r="G18" s="41">
        <f t="shared" si="2"/>
        <v>20354.834879999999</v>
      </c>
    </row>
    <row r="19" spans="1:7" ht="27.75" customHeight="1" x14ac:dyDescent="0.25">
      <c r="A19" s="15" t="s">
        <v>55</v>
      </c>
      <c r="B19" s="37" t="str">
        <f t="shared" si="1"/>
        <v>08/2023</v>
      </c>
      <c r="C19" s="82">
        <v>43494.080000000002</v>
      </c>
      <c r="D19" s="41"/>
      <c r="E19" s="41"/>
      <c r="F19" s="41"/>
      <c r="G19" s="41">
        <f t="shared" si="2"/>
        <v>43494.080000000002</v>
      </c>
    </row>
    <row r="20" spans="1:7" ht="27.75" customHeight="1" x14ac:dyDescent="0.25">
      <c r="A20" s="15" t="s">
        <v>56</v>
      </c>
      <c r="B20" s="37" t="str">
        <f t="shared" si="1"/>
        <v>08/2023</v>
      </c>
      <c r="C20" s="41">
        <f>C19</f>
        <v>43494.080000000002</v>
      </c>
      <c r="D20" s="41"/>
      <c r="E20" s="41"/>
      <c r="F20" s="41"/>
      <c r="G20" s="41">
        <f t="shared" si="2"/>
        <v>43494.080000000002</v>
      </c>
    </row>
    <row r="21" spans="1:7" x14ac:dyDescent="0.25">
      <c r="A21" s="98" t="s">
        <v>42</v>
      </c>
      <c r="B21" s="99" t="s">
        <v>44</v>
      </c>
      <c r="C21" s="100" t="s">
        <v>45</v>
      </c>
      <c r="D21" s="98" t="s">
        <v>46</v>
      </c>
      <c r="E21" s="98"/>
      <c r="F21" s="98"/>
    </row>
    <row r="22" spans="1:7" x14ac:dyDescent="0.25">
      <c r="A22" s="98"/>
      <c r="B22" s="99"/>
      <c r="C22" s="100"/>
      <c r="D22" s="23" t="s">
        <v>49</v>
      </c>
      <c r="E22" s="23" t="s">
        <v>50</v>
      </c>
      <c r="F22" s="23" t="s">
        <v>27</v>
      </c>
    </row>
    <row r="23" spans="1:7" x14ac:dyDescent="0.25">
      <c r="A23" s="21" t="s">
        <v>24</v>
      </c>
      <c r="B23" s="25">
        <v>11926.11</v>
      </c>
      <c r="C23" s="22">
        <f>B23</f>
        <v>11926.11</v>
      </c>
      <c r="D23" s="97">
        <f>C13+C7+C5+C19</f>
        <v>1317424.0082179201</v>
      </c>
      <c r="E23" s="97">
        <f>C26</f>
        <v>605261.79</v>
      </c>
      <c r="F23" s="97">
        <f>D23-E23</f>
        <v>712162.21821792005</v>
      </c>
    </row>
    <row r="24" spans="1:7" x14ac:dyDescent="0.25">
      <c r="A24" s="21" t="s">
        <v>25</v>
      </c>
      <c r="B24" s="25">
        <v>0</v>
      </c>
      <c r="C24" s="22">
        <f>B24</f>
        <v>0</v>
      </c>
      <c r="D24" s="97"/>
      <c r="E24" s="97"/>
      <c r="F24" s="97"/>
    </row>
    <row r="25" spans="1:7" x14ac:dyDescent="0.25">
      <c r="A25" s="21" t="s">
        <v>26</v>
      </c>
      <c r="B25" s="25">
        <v>593335.68000000005</v>
      </c>
      <c r="C25" s="24">
        <f>B25</f>
        <v>593335.68000000005</v>
      </c>
      <c r="D25" s="97"/>
      <c r="E25" s="97"/>
      <c r="F25" s="97"/>
    </row>
    <row r="26" spans="1:7" x14ac:dyDescent="0.25">
      <c r="A26" s="21" t="s">
        <v>48</v>
      </c>
      <c r="B26" s="26">
        <f>SUM(B23:B25)</f>
        <v>605261.79</v>
      </c>
      <c r="C26" s="22">
        <f>SUM(C23:C25)</f>
        <v>605261.79</v>
      </c>
      <c r="D26" s="97"/>
      <c r="E26" s="97"/>
      <c r="F26" s="97"/>
    </row>
    <row r="28" spans="1:7" ht="15.75" x14ac:dyDescent="0.25">
      <c r="A28" s="2" t="s">
        <v>47</v>
      </c>
      <c r="B28" s="46">
        <v>3392472.48</v>
      </c>
    </row>
    <row r="29" spans="1:7" x14ac:dyDescent="0.25">
      <c r="F29" s="43"/>
    </row>
  </sheetData>
  <mergeCells count="14">
    <mergeCell ref="G1:G3"/>
    <mergeCell ref="A1:C1"/>
    <mergeCell ref="D1:F1"/>
    <mergeCell ref="D2:F2"/>
    <mergeCell ref="A2:A3"/>
    <mergeCell ref="B2:B3"/>
    <mergeCell ref="C2:C3"/>
    <mergeCell ref="D23:D26"/>
    <mergeCell ref="E23:E26"/>
    <mergeCell ref="F23:F26"/>
    <mergeCell ref="D21:F21"/>
    <mergeCell ref="A21:A22"/>
    <mergeCell ref="B21:B22"/>
    <mergeCell ref="C21:C22"/>
  </mergeCells>
  <pageMargins left="0.511811024" right="0.511811024" top="0.78740157499999996" bottom="0.78740157499999996" header="0.31496062000000002" footer="0.31496062000000002"/>
  <pageSetup paperSize="9" scale="63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RESUMO</vt:lpstr>
      <vt:lpstr>DCTF-Web</vt:lpstr>
      <vt:lpstr>RESUMO!Area_de_impressao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Djair Patricio</dc:creator>
  <cp:lastModifiedBy>Antonio Neto</cp:lastModifiedBy>
  <cp:lastPrinted>2023-10-16T10:41:56Z</cp:lastPrinted>
  <dcterms:created xsi:type="dcterms:W3CDTF">2021-11-16T18:57:01Z</dcterms:created>
  <dcterms:modified xsi:type="dcterms:W3CDTF">2023-10-20T13:53:41Z</dcterms:modified>
</cp:coreProperties>
</file>