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\Downloads\"/>
    </mc:Choice>
  </mc:AlternateContent>
  <xr:revisionPtr revIDLastSave="0" documentId="13_ncr:1_{137C90EF-A95C-4B91-9547-553DFF71B352}" xr6:coauthVersionLast="47" xr6:coauthVersionMax="47" xr10:uidLastSave="{00000000-0000-0000-0000-000000000000}"/>
  <bookViews>
    <workbookView xWindow="-120" yWindow="-120" windowWidth="29040" windowHeight="15720" firstSheet="1" activeTab="10" xr2:uid="{0DEB1B60-8FE6-4E7D-BEBF-318EC7FCEA5A}"/>
  </bookViews>
  <sheets>
    <sheet name="KOMVosMind (KM)" sheetId="12" r:id="rId1"/>
    <sheet name="Jaqueline" sheetId="4" r:id="rId2"/>
    <sheet name="Carlos (KM)" sheetId="10" r:id="rId3"/>
    <sheet name="José (KM)" sheetId="11" r:id="rId4"/>
    <sheet name="Ricardo" sheetId="6" r:id="rId5"/>
    <sheet name="Gustavo" sheetId="7" r:id="rId6"/>
    <sheet name="Pedro" sheetId="8" r:id="rId7"/>
    <sheet name="KOMSales" sheetId="13" r:id="rId8"/>
    <sheet name="Jose (KS)" sheetId="1" r:id="rId9"/>
    <sheet name="Carlos (KS)" sheetId="2" r:id="rId10"/>
    <sheet name="Jhonatas" sheetId="3" r:id="rId11"/>
  </sheets>
  <externalReferences>
    <externalReference r:id="rId12"/>
  </externalReferences>
  <definedNames>
    <definedName name="DadosExternos_1" localSheetId="7" hidden="1">KOMSales!#REF!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4" l="1"/>
  <c r="H48" i="4" s="1"/>
  <c r="C47" i="4"/>
  <c r="H47" i="4" s="1"/>
  <c r="H36" i="10"/>
  <c r="H37" i="10"/>
  <c r="H38" i="10"/>
  <c r="H39" i="10"/>
  <c r="C38" i="10"/>
  <c r="C39" i="10"/>
  <c r="C37" i="10"/>
  <c r="C36" i="10"/>
  <c r="C34" i="10"/>
  <c r="C35" i="10"/>
  <c r="C33" i="10"/>
  <c r="H35" i="10" s="1"/>
  <c r="C32" i="10"/>
  <c r="H34" i="10" s="1"/>
  <c r="C31" i="10"/>
  <c r="H32" i="10" s="1"/>
  <c r="C30" i="10"/>
  <c r="H30" i="10" s="1"/>
  <c r="C29" i="10"/>
  <c r="H29" i="10" s="1"/>
  <c r="J29" i="10" s="1"/>
  <c r="I30" i="10" s="1"/>
  <c r="C22" i="11"/>
  <c r="H22" i="11" s="1"/>
  <c r="C21" i="11"/>
  <c r="H21" i="11" s="1"/>
  <c r="C20" i="11"/>
  <c r="H20" i="11" s="1"/>
  <c r="C19" i="11"/>
  <c r="H19" i="11" s="1"/>
  <c r="C18" i="11"/>
  <c r="H18" i="11" s="1"/>
  <c r="C17" i="11"/>
  <c r="H17" i="11" s="1"/>
  <c r="C16" i="11"/>
  <c r="H16" i="11" s="1"/>
  <c r="C15" i="11"/>
  <c r="H15" i="11" s="1"/>
  <c r="C14" i="11"/>
  <c r="H14" i="11" s="1"/>
  <c r="C13" i="11"/>
  <c r="H13" i="11" s="1"/>
  <c r="C12" i="11"/>
  <c r="C18" i="10"/>
  <c r="H18" i="10" s="1"/>
  <c r="C19" i="10"/>
  <c r="H19" i="10" s="1"/>
  <c r="C20" i="10"/>
  <c r="H20" i="10" s="1"/>
  <c r="C21" i="10"/>
  <c r="H21" i="10" s="1"/>
  <c r="C17" i="10"/>
  <c r="H17" i="10" s="1"/>
  <c r="C16" i="10"/>
  <c r="H16" i="10" s="1"/>
  <c r="C15" i="10"/>
  <c r="H15" i="10" s="1"/>
  <c r="J15" i="10" s="1"/>
  <c r="I16" i="10" s="1"/>
  <c r="J16" i="10" s="1"/>
  <c r="I17" i="10" s="1"/>
  <c r="C29" i="4"/>
  <c r="H29" i="4" s="1"/>
  <c r="C30" i="4"/>
  <c r="C31" i="4"/>
  <c r="C32" i="4"/>
  <c r="C33" i="4"/>
  <c r="C34" i="4"/>
  <c r="C35" i="4"/>
  <c r="C36" i="4"/>
  <c r="H35" i="4" s="1"/>
  <c r="C37" i="4"/>
  <c r="C38" i="4"/>
  <c r="C39" i="4"/>
  <c r="H39" i="4" s="1"/>
  <c r="C28" i="4"/>
  <c r="C18" i="8"/>
  <c r="H18" i="8" s="1"/>
  <c r="C17" i="8"/>
  <c r="H17" i="8" s="1"/>
  <c r="C16" i="8"/>
  <c r="H16" i="8" s="1"/>
  <c r="C15" i="8"/>
  <c r="C20" i="8" s="1"/>
  <c r="C17" i="7"/>
  <c r="H17" i="7" s="1"/>
  <c r="C16" i="7"/>
  <c r="H16" i="7" s="1"/>
  <c r="C15" i="7"/>
  <c r="H15" i="7" s="1"/>
  <c r="C14" i="7"/>
  <c r="C19" i="7" s="1"/>
  <c r="C5" i="11"/>
  <c r="H5" i="11" s="1"/>
  <c r="C4" i="11"/>
  <c r="H4" i="11" s="1"/>
  <c r="C3" i="11"/>
  <c r="C7" i="8"/>
  <c r="H7" i="8" s="1"/>
  <c r="C6" i="8"/>
  <c r="H6" i="8" s="1"/>
  <c r="C5" i="8"/>
  <c r="H5" i="8" s="1"/>
  <c r="C4" i="8"/>
  <c r="H4" i="8" s="1"/>
  <c r="C3" i="8"/>
  <c r="H3" i="8" s="1"/>
  <c r="C9" i="8"/>
  <c r="C6" i="7"/>
  <c r="H6" i="7" s="1"/>
  <c r="C5" i="7"/>
  <c r="H5" i="7" s="1"/>
  <c r="C4" i="7"/>
  <c r="H4" i="7" s="1"/>
  <c r="C3" i="7"/>
  <c r="C3" i="10"/>
  <c r="H3" i="10" s="1"/>
  <c r="J3" i="10" s="1"/>
  <c r="I4" i="10" s="1"/>
  <c r="C7" i="10"/>
  <c r="H7" i="10" s="1"/>
  <c r="C6" i="10"/>
  <c r="C5" i="10"/>
  <c r="C4" i="10"/>
  <c r="C20" i="4"/>
  <c r="C19" i="4"/>
  <c r="C18" i="4"/>
  <c r="C13" i="6"/>
  <c r="C14" i="6"/>
  <c r="C12" i="6"/>
  <c r="C11" i="6"/>
  <c r="C10" i="6"/>
  <c r="C9" i="6"/>
  <c r="C8" i="6"/>
  <c r="C7" i="6"/>
  <c r="C6" i="6"/>
  <c r="C5" i="6"/>
  <c r="H5" i="6" s="1"/>
  <c r="C4" i="6"/>
  <c r="H4" i="6" s="1"/>
  <c r="C3" i="6"/>
  <c r="H3" i="6" s="1"/>
  <c r="J3" i="6" s="1"/>
  <c r="I4" i="6" s="1"/>
  <c r="C4" i="4"/>
  <c r="H4" i="4" s="1"/>
  <c r="C5" i="4"/>
  <c r="H5" i="4" s="1"/>
  <c r="C6" i="4"/>
  <c r="H6" i="4" s="1"/>
  <c r="C7" i="4"/>
  <c r="H7" i="4" s="1"/>
  <c r="C8" i="4"/>
  <c r="H8" i="4" s="1"/>
  <c r="C9" i="4"/>
  <c r="H9" i="4" s="1"/>
  <c r="C10" i="4"/>
  <c r="H10" i="4" s="1"/>
  <c r="C3" i="4"/>
  <c r="H3" i="4" s="1"/>
  <c r="H33" i="10" l="1"/>
  <c r="C49" i="4"/>
  <c r="C7" i="11"/>
  <c r="H30" i="4"/>
  <c r="H36" i="4"/>
  <c r="H37" i="4"/>
  <c r="J47" i="4"/>
  <c r="I48" i="4" s="1"/>
  <c r="J48" i="4" s="1"/>
  <c r="H31" i="10"/>
  <c r="J17" i="10"/>
  <c r="I18" i="10" s="1"/>
  <c r="J18" i="10" s="1"/>
  <c r="I19" i="10" s="1"/>
  <c r="J19" i="10" s="1"/>
  <c r="I20" i="10" s="1"/>
  <c r="J20" i="10" s="1"/>
  <c r="I21" i="10" s="1"/>
  <c r="J21" i="10" s="1"/>
  <c r="C41" i="10"/>
  <c r="J30" i="10"/>
  <c r="I31" i="10" s="1"/>
  <c r="J31" i="10" s="1"/>
  <c r="I32" i="10" s="1"/>
  <c r="J32" i="10" s="1"/>
  <c r="I33" i="10" s="1"/>
  <c r="J33" i="10" s="1"/>
  <c r="I34" i="10" s="1"/>
  <c r="J34" i="10" s="1"/>
  <c r="I35" i="10" s="1"/>
  <c r="J35" i="10" s="1"/>
  <c r="I36" i="10" s="1"/>
  <c r="J36" i="10" s="1"/>
  <c r="I37" i="10" s="1"/>
  <c r="J37" i="10" s="1"/>
  <c r="I38" i="10" s="1"/>
  <c r="J38" i="10" s="1"/>
  <c r="I39" i="10" s="1"/>
  <c r="J39" i="10" s="1"/>
  <c r="H33" i="4"/>
  <c r="H34" i="4"/>
  <c r="H32" i="4"/>
  <c r="H31" i="4"/>
  <c r="C24" i="11"/>
  <c r="H12" i="11"/>
  <c r="J12" i="11" s="1"/>
  <c r="I13" i="11" s="1"/>
  <c r="J13" i="11" s="1"/>
  <c r="I14" i="11" s="1"/>
  <c r="J14" i="11" s="1"/>
  <c r="I15" i="11" s="1"/>
  <c r="J15" i="11" s="1"/>
  <c r="I16" i="11" s="1"/>
  <c r="J16" i="11" s="1"/>
  <c r="I17" i="11" s="1"/>
  <c r="J17" i="11" s="1"/>
  <c r="I18" i="11" s="1"/>
  <c r="J18" i="11" s="1"/>
  <c r="I19" i="11" s="1"/>
  <c r="J19" i="11" s="1"/>
  <c r="I20" i="11" s="1"/>
  <c r="J20" i="11" s="1"/>
  <c r="I21" i="11" s="1"/>
  <c r="J21" i="11" s="1"/>
  <c r="I22" i="11" s="1"/>
  <c r="J22" i="11" s="1"/>
  <c r="H5" i="10"/>
  <c r="C23" i="10"/>
  <c r="C9" i="10"/>
  <c r="H38" i="4"/>
  <c r="C41" i="4"/>
  <c r="H28" i="4"/>
  <c r="H14" i="7"/>
  <c r="J14" i="7" s="1"/>
  <c r="I15" i="7" s="1"/>
  <c r="J15" i="7" s="1"/>
  <c r="I16" i="7" s="1"/>
  <c r="J16" i="7" s="1"/>
  <c r="I17" i="7" s="1"/>
  <c r="J17" i="7" s="1"/>
  <c r="H15" i="8"/>
  <c r="J15" i="8" s="1"/>
  <c r="I16" i="8" s="1"/>
  <c r="J16" i="8" s="1"/>
  <c r="I17" i="8" s="1"/>
  <c r="J17" i="8" s="1"/>
  <c r="I18" i="8" s="1"/>
  <c r="J18" i="8" s="1"/>
  <c r="H3" i="11"/>
  <c r="J3" i="11" s="1"/>
  <c r="I4" i="11" s="1"/>
  <c r="J4" i="11" s="1"/>
  <c r="C8" i="7"/>
  <c r="J3" i="8"/>
  <c r="I4" i="8" s="1"/>
  <c r="J4" i="8" s="1"/>
  <c r="I5" i="8" s="1"/>
  <c r="J5" i="8" s="1"/>
  <c r="I6" i="8" s="1"/>
  <c r="J6" i="8" s="1"/>
  <c r="I7" i="8" s="1"/>
  <c r="J7" i="8" s="1"/>
  <c r="H3" i="7"/>
  <c r="J3" i="7" s="1"/>
  <c r="I4" i="7" s="1"/>
  <c r="J4" i="7" s="1"/>
  <c r="I5" i="7" s="1"/>
  <c r="J5" i="7" s="1"/>
  <c r="I6" i="7" s="1"/>
  <c r="J6" i="7" s="1"/>
  <c r="H4" i="10"/>
  <c r="J4" i="10" s="1"/>
  <c r="I5" i="10" s="1"/>
  <c r="J5" i="10" s="1"/>
  <c r="I6" i="10" s="1"/>
  <c r="H6" i="10"/>
  <c r="C22" i="4"/>
  <c r="H20" i="4"/>
  <c r="H18" i="4"/>
  <c r="H19" i="4"/>
  <c r="H11" i="6"/>
  <c r="H10" i="6"/>
  <c r="H7" i="6"/>
  <c r="H13" i="6"/>
  <c r="H6" i="6"/>
  <c r="H8" i="6"/>
  <c r="H14" i="6"/>
  <c r="H9" i="6"/>
  <c r="H12" i="6"/>
  <c r="J4" i="6"/>
  <c r="I5" i="6" s="1"/>
  <c r="J5" i="6" s="1"/>
  <c r="I6" i="6" s="1"/>
  <c r="J6" i="6" s="1"/>
  <c r="I7" i="6" s="1"/>
  <c r="J7" i="6" s="1"/>
  <c r="I8" i="6" s="1"/>
  <c r="J8" i="6" s="1"/>
  <c r="I9" i="6" s="1"/>
  <c r="J9" i="6" s="1"/>
  <c r="I10" i="6" s="1"/>
  <c r="J10" i="6" s="1"/>
  <c r="I11" i="6" s="1"/>
  <c r="J11" i="6" s="1"/>
  <c r="I12" i="6" s="1"/>
  <c r="J12" i="6" s="1"/>
  <c r="I13" i="6" s="1"/>
  <c r="J13" i="6" s="1"/>
  <c r="I14" i="6" s="1"/>
  <c r="J14" i="6" s="1"/>
  <c r="C16" i="6"/>
  <c r="J3" i="4"/>
  <c r="I4" i="4" s="1"/>
  <c r="C9" i="3"/>
  <c r="H9" i="3" s="1"/>
  <c r="C10" i="3"/>
  <c r="H10" i="3" s="1"/>
  <c r="C11" i="3"/>
  <c r="H11" i="3" s="1"/>
  <c r="C12" i="3"/>
  <c r="C13" i="3"/>
  <c r="C14" i="3"/>
  <c r="H14" i="3" s="1"/>
  <c r="C4" i="2"/>
  <c r="H4" i="2" s="1"/>
  <c r="C5" i="2"/>
  <c r="H5" i="2" s="1"/>
  <c r="C6" i="2"/>
  <c r="H6" i="2" s="1"/>
  <c r="C7" i="2"/>
  <c r="H7" i="2" s="1"/>
  <c r="C3" i="2"/>
  <c r="H3" i="2" s="1"/>
  <c r="J3" i="2" s="1"/>
  <c r="I4" i="2" s="1"/>
  <c r="C3" i="1"/>
  <c r="H3" i="1" s="1"/>
  <c r="J3" i="1" s="1"/>
  <c r="I4" i="1" s="1"/>
  <c r="J4" i="1" s="1"/>
  <c r="C4" i="1"/>
  <c r="H4" i="1" s="1"/>
  <c r="C5" i="1"/>
  <c r="H5" i="1"/>
  <c r="C6" i="1"/>
  <c r="H6" i="1" s="1"/>
  <c r="C7" i="1"/>
  <c r="H7" i="1" s="1"/>
  <c r="C8" i="1"/>
  <c r="H8" i="1" s="1"/>
  <c r="C9" i="1"/>
  <c r="H9" i="1" s="1"/>
  <c r="C10" i="1"/>
  <c r="H10" i="1" s="1"/>
  <c r="C11" i="1"/>
  <c r="H11" i="1" s="1"/>
  <c r="C12" i="1"/>
  <c r="H12" i="1" s="1"/>
  <c r="C13" i="1"/>
  <c r="H13" i="1" s="1"/>
  <c r="C14" i="1"/>
  <c r="H14" i="1" s="1"/>
  <c r="C8" i="3"/>
  <c r="H8" i="3" s="1"/>
  <c r="C7" i="3"/>
  <c r="H7" i="3" s="1"/>
  <c r="C6" i="3"/>
  <c r="H6" i="3" s="1"/>
  <c r="C5" i="3"/>
  <c r="H5" i="3" s="1"/>
  <c r="C4" i="3"/>
  <c r="H4" i="3" s="1"/>
  <c r="C3" i="3"/>
  <c r="H3" i="3" s="1"/>
  <c r="J6" i="10" l="1"/>
  <c r="I7" i="10" s="1"/>
  <c r="J7" i="10" s="1"/>
  <c r="I5" i="11"/>
  <c r="J5" i="11" s="1"/>
  <c r="J4" i="4"/>
  <c r="I5" i="4" s="1"/>
  <c r="J5" i="4" s="1"/>
  <c r="I6" i="4" s="1"/>
  <c r="J6" i="4" s="1"/>
  <c r="I7" i="4" s="1"/>
  <c r="J7" i="4" s="1"/>
  <c r="I8" i="4" s="1"/>
  <c r="J8" i="4" s="1"/>
  <c r="I9" i="4" s="1"/>
  <c r="J9" i="4" s="1"/>
  <c r="I10" i="4" s="1"/>
  <c r="J10" i="4" s="1"/>
  <c r="I18" i="4" s="1"/>
  <c r="J18" i="4" s="1"/>
  <c r="I19" i="4" s="1"/>
  <c r="C12" i="4"/>
  <c r="H13" i="3"/>
  <c r="H12" i="3"/>
  <c r="I5" i="1"/>
  <c r="J5" i="1" s="1"/>
  <c r="I6" i="1" s="1"/>
  <c r="J6" i="1" s="1"/>
  <c r="I7" i="1" s="1"/>
  <c r="J7" i="1" s="1"/>
  <c r="I8" i="1" s="1"/>
  <c r="J8" i="1" s="1"/>
  <c r="I9" i="1" s="1"/>
  <c r="J9" i="1" s="1"/>
  <c r="I10" i="1" s="1"/>
  <c r="J10" i="1" s="1"/>
  <c r="I11" i="1" s="1"/>
  <c r="J11" i="1" s="1"/>
  <c r="I12" i="1" s="1"/>
  <c r="J12" i="1" s="1"/>
  <c r="I13" i="1" s="1"/>
  <c r="J13" i="1" s="1"/>
  <c r="I14" i="1" s="1"/>
  <c r="J14" i="1" s="1"/>
  <c r="C9" i="2"/>
  <c r="J4" i="2"/>
  <c r="I5" i="2" s="1"/>
  <c r="J5" i="2" s="1"/>
  <c r="I6" i="2" s="1"/>
  <c r="J6" i="2" s="1"/>
  <c r="I7" i="2" s="1"/>
  <c r="J7" i="2" s="1"/>
  <c r="J3" i="3"/>
  <c r="I4" i="3" s="1"/>
  <c r="J4" i="3" s="1"/>
  <c r="I5" i="3" s="1"/>
  <c r="J5" i="3" s="1"/>
  <c r="I6" i="3" s="1"/>
  <c r="J6" i="3" s="1"/>
  <c r="I7" i="3" s="1"/>
  <c r="J7" i="3" s="1"/>
  <c r="I8" i="3" s="1"/>
  <c r="J8" i="3" s="1"/>
  <c r="I9" i="3" s="1"/>
  <c r="J9" i="3" s="1"/>
  <c r="I10" i="3" s="1"/>
  <c r="J10" i="3" s="1"/>
  <c r="I11" i="3" s="1"/>
  <c r="J11" i="3" s="1"/>
  <c r="I12" i="3" s="1"/>
  <c r="J12" i="3" s="1"/>
  <c r="I13" i="3" s="1"/>
  <c r="J13" i="3" s="1"/>
  <c r="I14" i="3" s="1"/>
  <c r="J14" i="3" s="1"/>
  <c r="C16" i="3"/>
  <c r="J19" i="4" l="1"/>
  <c r="I20" i="4" s="1"/>
  <c r="C18" i="1"/>
  <c r="C16" i="1"/>
  <c r="J20" i="4" l="1"/>
  <c r="I28" i="4" l="1"/>
  <c r="J28" i="4" s="1"/>
  <c r="I29" i="4" l="1"/>
  <c r="J29" i="4" s="1"/>
  <c r="I30" i="4" s="1"/>
  <c r="J30" i="4" s="1"/>
  <c r="I31" i="4" s="1"/>
  <c r="J31" i="4" l="1"/>
  <c r="I32" i="4" s="1"/>
  <c r="J32" i="4" l="1"/>
  <c r="I33" i="4" s="1"/>
  <c r="J33" i="4" l="1"/>
  <c r="I34" i="4" s="1"/>
  <c r="J34" i="4" l="1"/>
  <c r="I35" i="4" s="1"/>
  <c r="J35" i="4" l="1"/>
  <c r="I36" i="4" s="1"/>
  <c r="J36" i="4" l="1"/>
  <c r="I37" i="4" s="1"/>
  <c r="J37" i="4" l="1"/>
  <c r="I38" i="4" s="1"/>
  <c r="J38" i="4" l="1"/>
  <c r="I39" i="4" s="1"/>
  <c r="J39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91B677-0596-485C-B4B6-989C22F1396D}" keepAlive="1" name="Consulta - Tabela_de_Esfor_o" description="Conexão com a consulta 'Tabela_de_Esfor_o' na pasta de trabalho." type="5" refreshedVersion="7" background="1" saveData="1">
    <dbPr connection="Provider=Microsoft.Mashup.OleDb.1;Data Source=$Workbook$;Location=Tabela_de_Esfor_o;Extended Properties=&quot;&quot;" command="SELECT * FROM [Tabela_de_Esfor_o]"/>
  </connection>
</connections>
</file>

<file path=xl/sharedStrings.xml><?xml version="1.0" encoding="utf-8"?>
<sst xmlns="http://schemas.openxmlformats.org/spreadsheetml/2006/main" count="1005" uniqueCount="142">
  <si>
    <t>Cronograma</t>
  </si>
  <si>
    <t>Tempo em horas do projeto</t>
  </si>
  <si>
    <t>Tarefa</t>
  </si>
  <si>
    <t>Complexidade</t>
  </si>
  <si>
    <t>Total Horas</t>
  </si>
  <si>
    <t>Soma Total de Horas</t>
  </si>
  <si>
    <t>Gerenciar usuários</t>
  </si>
  <si>
    <t>KAI</t>
  </si>
  <si>
    <t>Estoque</t>
  </si>
  <si>
    <t>Solicitação de pedido</t>
  </si>
  <si>
    <t>Avaliação do ultimo pedido de venda</t>
  </si>
  <si>
    <t>Chatbot e funcionamento da KAI</t>
  </si>
  <si>
    <t>Listar todos os pedidos (histórico)</t>
  </si>
  <si>
    <t>Avaliação gestor</t>
  </si>
  <si>
    <t>Avaliação vendedor</t>
  </si>
  <si>
    <t>Rotas dos vendedores</t>
  </si>
  <si>
    <t>Estoque de produtos</t>
  </si>
  <si>
    <t>Clientes próximos</t>
  </si>
  <si>
    <t>Atendimento do CheckIn CheckOut</t>
  </si>
  <si>
    <t>Login na plataforma</t>
  </si>
  <si>
    <t>Data Inicio</t>
  </si>
  <si>
    <t>Data Fim</t>
  </si>
  <si>
    <t>Qtd dias</t>
  </si>
  <si>
    <t>Tempo em Horas</t>
  </si>
  <si>
    <t>Avaliação gestor e Avaliação vendedor</t>
  </si>
  <si>
    <t>CRUD e gestão dos clientes/empresas</t>
  </si>
  <si>
    <t>CRUD e gestão dos usuários</t>
  </si>
  <si>
    <t>Gestão de permissões com base no cargo do usuário</t>
  </si>
  <si>
    <t>Gestão das permissões com base nos módulos</t>
  </si>
  <si>
    <t xml:space="preserve">Configurar ambiente do keycloak </t>
  </si>
  <si>
    <t xml:space="preserve">Configurar permissões no keycloak </t>
  </si>
  <si>
    <t xml:space="preserve">Configurar / documentar API Dog </t>
  </si>
  <si>
    <t>Gestão do perfil da conta/usuário logado</t>
  </si>
  <si>
    <t>Gestão da aparência</t>
  </si>
  <si>
    <t>Gestão e configuração do acesso aos bancos de dados e blob</t>
  </si>
  <si>
    <t>CRUD e gestão dos agentes</t>
  </si>
  <si>
    <t>Consumo e ferramentas dos chats do modelo de agente para análise de dados</t>
  </si>
  <si>
    <t>Consumo e ferramentas dos chats do modelo de agente para interagir com os colaboradores via Twilio/WhatsApp</t>
  </si>
  <si>
    <t>Configuração e seleção dos knowledge usados no chat</t>
  </si>
  <si>
    <t>Configuração e seleção dos arquivos utilizados no chat</t>
  </si>
  <si>
    <t>Controle e configuração da integração com o Twilio/WhatsApp</t>
  </si>
  <si>
    <t>Gestão de sessões/histórico dos chats Web e WhatsApp  do agente</t>
  </si>
  <si>
    <t>Chat retornando gráficos</t>
  </si>
  <si>
    <t>CRUD para gerenciar os arquivos enviados</t>
  </si>
  <si>
    <t>Converter os arquivos em dados no banco de dados IA</t>
  </si>
  <si>
    <t>Importação dos dados via Excel</t>
  </si>
  <si>
    <t>Configuração e importação dos dados via Sênior</t>
  </si>
  <si>
    <t>Converter banco de dados relacional para o banco de dados IA</t>
  </si>
  <si>
    <t xml:space="preserve">CRUD tabelas knowledge </t>
  </si>
  <si>
    <t>Dashboard para os dados das tabelas dos knowledge</t>
  </si>
  <si>
    <t>Dashboards base dos agentes e outras informações básicas</t>
  </si>
  <si>
    <t>Gestão e monitoramento dos custos usando IA</t>
  </si>
  <si>
    <t>Gestão e log de erros</t>
  </si>
  <si>
    <t xml:space="preserve">- </t>
  </si>
  <si>
    <t>Gestão e configuração do acesso aos bancos de dados e blob &amp; CRUD e gestão dos agentes</t>
  </si>
  <si>
    <t>Configuração e seleção dos arquivos utilizados no chat &amp; Controle e configuração da integração com o Twilio/WhatsApp</t>
  </si>
  <si>
    <t>CRUD para gerenciar os arquivos enviados &amp; Importação dos dados via Excel</t>
  </si>
  <si>
    <t>Configuração e importação dos dados via Sênior &amp; Dashboards base dos agentes e outras informações básicas</t>
  </si>
  <si>
    <t>Gestão de permissões com base no cargo do usuário &amp; Gestão das permissões com base nos módulos</t>
  </si>
  <si>
    <t>Módulo</t>
  </si>
  <si>
    <t>Compx Front</t>
  </si>
  <si>
    <t>Compx Back</t>
  </si>
  <si>
    <t>Compx IA</t>
  </si>
  <si>
    <t xml:space="preserve">Compx Auth </t>
  </si>
  <si>
    <t>Feature</t>
  </si>
  <si>
    <t>User Story</t>
  </si>
  <si>
    <t>Obs</t>
  </si>
  <si>
    <t>People</t>
  </si>
  <si>
    <t>Gestão dos usuários/clientes e permissões</t>
  </si>
  <si>
    <t>Somente gestor/admin por enquanto</t>
  </si>
  <si>
    <t>Somente Konvos Mind People</t>
  </si>
  <si>
    <t>Configuração keycloak</t>
  </si>
  <si>
    <t>Ambiente local Usuários, empresas, clients</t>
  </si>
  <si>
    <t>Ambiente remoto Usuários, empresas, clients</t>
  </si>
  <si>
    <t>Somente o modulo People</t>
  </si>
  <si>
    <t>Gestão das configurações do módulo</t>
  </si>
  <si>
    <t>Gestão de agentes</t>
  </si>
  <si>
    <t>Será necessário dedicar mais tempo após a primeira entrega para refinamento</t>
  </si>
  <si>
    <t>Exemplo no codeGPT</t>
  </si>
  <si>
    <t>Gestão dos arquivos de texto</t>
  </si>
  <si>
    <t>Gestão dos dados importados referente a RH (knowledge)</t>
  </si>
  <si>
    <t>Algo que permita a gente possuir grupos de dados importados de diferentes formas (Tabela principal, colaboradores, hist salário e dados financeiros )</t>
  </si>
  <si>
    <t>Dashboards e BI</t>
  </si>
  <si>
    <t>Monitoramento e gestão de consumo</t>
  </si>
  <si>
    <t>Gestão de log</t>
  </si>
  <si>
    <t>Finance</t>
  </si>
  <si>
    <t>Adicionando o módulo Finance</t>
  </si>
  <si>
    <t>-</t>
  </si>
  <si>
    <t>Somente o modulo Finance</t>
  </si>
  <si>
    <t>Gestão de sessões/histórico dos chats Web do agente</t>
  </si>
  <si>
    <t>Gestão dos dados importados referente ao Financeiro (knowledge)</t>
  </si>
  <si>
    <t xml:space="preserve">Algo que permita a gente possuir grupos de dados importados de diferentes formas </t>
  </si>
  <si>
    <t>Sales</t>
  </si>
  <si>
    <t>Adicionando o módulo Sales</t>
  </si>
  <si>
    <t>Somente o modulo Sales</t>
  </si>
  <si>
    <t>Gestão dos dados importados referente ao Comercial (knowledge)</t>
  </si>
  <si>
    <t>Ricardo</t>
  </si>
  <si>
    <t>Responsável Auth</t>
  </si>
  <si>
    <t>Responsável IA</t>
  </si>
  <si>
    <t>Responsável Back</t>
  </si>
  <si>
    <t>Responsável Front</t>
  </si>
  <si>
    <t>Tempo em horas do projeto FRONT PEOPLE</t>
  </si>
  <si>
    <t>Tempo em horas do projeto BACK PEOPLE</t>
  </si>
  <si>
    <t>Cronograma  PEOPLE</t>
  </si>
  <si>
    <t>Cronograma PEOPLE</t>
  </si>
  <si>
    <t>Tempo em horas do projeto PYTHON PEOPLE</t>
  </si>
  <si>
    <t>Tempo em horas do projeto PYTHON FINANCE</t>
  </si>
  <si>
    <t>Cronograma FINANCE</t>
  </si>
  <si>
    <t>Tempo em horas do projeto PYTHON SALES</t>
  </si>
  <si>
    <t>Cronograma SALES</t>
  </si>
  <si>
    <t>Tempo em horas do projeto BACK FINANCE</t>
  </si>
  <si>
    <t>Gestão do perfil da conta/usuário logado &amp; Gestão e configuração do acesso aos bancos de dados e blob</t>
  </si>
  <si>
    <t>CRUD e gestão dos agentes &amp; Consumo e ferramentas dos chats do modelo de agente para análise de dados</t>
  </si>
  <si>
    <t>Configuração e seleção dos arquivos utilizados no chat &amp; Gestão de sessões/histórico dos chats Web do agente</t>
  </si>
  <si>
    <t>Tempo em horas do projeto FRONT FINANCE</t>
  </si>
  <si>
    <t>Tempo em horas do projeto BACK SALES</t>
  </si>
  <si>
    <t>Gestão das permissões com base nos módulos &amp; Configurar permissões no keycloak</t>
  </si>
  <si>
    <t>Configurar / documentar API Dog &amp; Gestão do perfil da conta/usuário logado</t>
  </si>
  <si>
    <t>Consumo e ferramentas dos chats do modelo de agente para análise de dados &amp; Configuração e seleção dos arquivos utilizados no chat</t>
  </si>
  <si>
    <t>Configuração e seleção dos knowledge usados no chat &amp; Configuração e seleção dos arquivos utilizados no chat</t>
  </si>
  <si>
    <t>Gestão de sessões/histórico dos chats Web do agente &amp; Chat retornando gráficos</t>
  </si>
  <si>
    <t>Configuração e importação dos dados via Sênior &amp; CRUD tabelas knowledge</t>
  </si>
  <si>
    <t>Dashboard para os dados das tabelas dos knowledge &amp; Dashboards base dos agentes e outras informações básicas</t>
  </si>
  <si>
    <t xml:space="preserve">Gestão das permissões com base nos módulos &amp; Configurar permissões no keycloak </t>
  </si>
  <si>
    <t>Tempo em horas do projeto FRONT SALES</t>
  </si>
  <si>
    <t>Inicio / Fim</t>
  </si>
  <si>
    <t>Adonis</t>
  </si>
  <si>
    <t>Jaqueline</t>
  </si>
  <si>
    <t>Gustavo</t>
  </si>
  <si>
    <t>Carlos</t>
  </si>
  <si>
    <t>José</t>
  </si>
  <si>
    <t>Pedro</t>
  </si>
  <si>
    <t>Pai Feature</t>
  </si>
  <si>
    <t>Work Item Type</t>
  </si>
  <si>
    <t>Semaforo de clientes</t>
  </si>
  <si>
    <t>Histórico de pedidos</t>
  </si>
  <si>
    <t>Check-in &amp; Check-out</t>
  </si>
  <si>
    <t>Autenticação</t>
  </si>
  <si>
    <t>Compx Mobile</t>
  </si>
  <si>
    <t>Responsável Mobile</t>
  </si>
  <si>
    <t>User History</t>
  </si>
  <si>
    <t>Jhonatas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</si>
</sst>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666666"/>
      <name val="Verdana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8" fillId="6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9" xfId="0" applyFont="1" applyBorder="1"/>
    <xf numFmtId="164" fontId="0" fillId="0" borderId="10" xfId="0" applyNumberFormat="1" applyBorder="1"/>
    <xf numFmtId="14" fontId="0" fillId="5" borderId="11" xfId="0" applyNumberFormat="1" applyFill="1" applyBorder="1"/>
    <xf numFmtId="0" fontId="0" fillId="0" borderId="9" xfId="0" applyBorder="1"/>
    <xf numFmtId="0" fontId="0" fillId="0" borderId="10" xfId="0" applyBorder="1"/>
    <xf numFmtId="0" fontId="1" fillId="2" borderId="0" xfId="1"/>
    <xf numFmtId="0" fontId="0" fillId="0" borderId="0" xfId="0" applyAlignment="1">
      <alignment horizontal="left" vertical="center" indent="3"/>
    </xf>
    <xf numFmtId="164" fontId="0" fillId="0" borderId="0" xfId="0" applyNumberFormat="1"/>
    <xf numFmtId="14" fontId="0" fillId="0" borderId="0" xfId="0" applyNumberFormat="1"/>
    <xf numFmtId="0" fontId="2" fillId="3" borderId="0" xfId="2"/>
    <xf numFmtId="0" fontId="0" fillId="0" borderId="0" xfId="0" applyAlignment="1">
      <alignment horizontal="left" indent="3"/>
    </xf>
    <xf numFmtId="0" fontId="6" fillId="0" borderId="9" xfId="0" applyFont="1" applyBorder="1" applyAlignment="1">
      <alignment wrapText="1"/>
    </xf>
    <xf numFmtId="14" fontId="0" fillId="5" borderId="10" xfId="0" applyNumberFormat="1" applyFill="1" applyBorder="1"/>
    <xf numFmtId="164" fontId="0" fillId="0" borderId="12" xfId="0" applyNumberFormat="1" applyBorder="1"/>
    <xf numFmtId="164" fontId="0" fillId="0" borderId="9" xfId="0" applyNumberFormat="1" applyBorder="1"/>
    <xf numFmtId="0" fontId="5" fillId="0" borderId="0" xfId="0" applyFont="1" applyAlignment="1">
      <alignment horizontal="left" vertical="center" wrapText="1" indent="1"/>
    </xf>
    <xf numFmtId="0" fontId="3" fillId="0" borderId="0" xfId="0" applyFont="1"/>
    <xf numFmtId="0" fontId="0" fillId="0" borderId="0" xfId="0" applyAlignment="1">
      <alignment horizontal="center" vertical="center"/>
    </xf>
    <xf numFmtId="14" fontId="5" fillId="0" borderId="0" xfId="0" applyNumberFormat="1" applyFont="1" applyAlignment="1">
      <alignment horizontal="left" vertical="center" wrapText="1" indent="1"/>
    </xf>
    <xf numFmtId="14" fontId="0" fillId="5" borderId="9" xfId="0" applyNumberFormat="1" applyFill="1" applyBorder="1"/>
    <xf numFmtId="0" fontId="0" fillId="0" borderId="9" xfId="0" quotePrefix="1" applyBorder="1" applyAlignment="1">
      <alignment horizontal="center" vertical="center"/>
    </xf>
    <xf numFmtId="14" fontId="0" fillId="5" borderId="3" xfId="0" applyNumberFormat="1" applyFill="1" applyBorder="1"/>
    <xf numFmtId="0" fontId="0" fillId="0" borderId="9" xfId="0" quotePrefix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9" xfId="0" applyBorder="1" applyAlignment="1">
      <alignment horizontal="center" vertical="center"/>
    </xf>
    <xf numFmtId="0" fontId="9" fillId="5" borderId="14" xfId="0" applyFont="1" applyFill="1" applyBorder="1" applyAlignment="1">
      <alignment horizontal="left" vertical="center"/>
    </xf>
    <xf numFmtId="0" fontId="9" fillId="7" borderId="14" xfId="0" applyFont="1" applyFill="1" applyBorder="1" applyAlignment="1">
      <alignment horizontal="left" vertical="center"/>
    </xf>
    <xf numFmtId="0" fontId="9" fillId="5" borderId="14" xfId="0" applyFont="1" applyFill="1" applyBorder="1" applyAlignment="1">
      <alignment horizontal="center" vertical="center"/>
    </xf>
    <xf numFmtId="0" fontId="0" fillId="0" borderId="13" xfId="0" applyBorder="1"/>
    <xf numFmtId="0" fontId="0" fillId="0" borderId="9" xfId="0" applyBorder="1" applyAlignment="1">
      <alignment horizontal="left"/>
    </xf>
    <xf numFmtId="0" fontId="8" fillId="6" borderId="9" xfId="3" applyBorder="1"/>
    <xf numFmtId="0" fontId="8" fillId="6" borderId="9" xfId="3" quotePrefix="1" applyBorder="1" applyAlignment="1">
      <alignment horizontal="center" vertical="center"/>
    </xf>
    <xf numFmtId="0" fontId="8" fillId="6" borderId="9" xfId="3" applyBorder="1" applyAlignment="1">
      <alignment horizontal="left"/>
    </xf>
    <xf numFmtId="0" fontId="0" fillId="8" borderId="0" xfId="0" applyFill="1"/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center" vertical="center"/>
    </xf>
    <xf numFmtId="14" fontId="0" fillId="0" borderId="9" xfId="0" quotePrefix="1" applyNumberForma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</cellXfs>
  <cellStyles count="4">
    <cellStyle name="Bom" xfId="1" builtinId="26"/>
    <cellStyle name="Neutro" xfId="2" builtinId="28"/>
    <cellStyle name="Normal" xfId="0" builtinId="0"/>
    <cellStyle name="Ruim" xfId="3" builtinId="27"/>
  </cellStyles>
  <dxfs count="238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0.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0.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uzaseniornoroestecom.sharepoint.com/sites/StatumDesenvolvimento/Documentos%20Compartilhados/General/Clientes/Jumil/Cronograma/CronogramaJumilVers&#227;o2.9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end"/>
      <sheetName val="Frontend"/>
      <sheetName val="Mobile"/>
      <sheetName val="Planilha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EF9474-F390-4F18-A949-193F7A505F6A}" name="Tabela26" displayName="Tabela26" ref="A2:C10" totalsRowShown="0" headerRowBorderDxfId="237" tableBorderDxfId="236" totalsRowBorderDxfId="235">
  <autoFilter ref="A2:C10" xr:uid="{D4EF9474-F390-4F18-A949-193F7A505F6A}"/>
  <tableColumns count="3">
    <tableColumn id="1" xr3:uid="{51F9CD21-DE8E-4119-B04D-5A0659402CDD}" name="Tarefa" dataDxfId="234"/>
    <tableColumn id="4" xr3:uid="{947A25E6-8290-4A50-8735-7D053DBE48E4}" name="Complexidade" dataDxfId="233"/>
    <tableColumn id="2" xr3:uid="{5CEE9F11-E5FB-488F-992A-E752F5CB5298}" name="Tempo em Horas" dataDxfId="232">
      <calculatedColumnFormula>IF(B3=1,4,IF(B3=2,7,IF(B3=3,14,IF(B3=5,21,IF(B3=8,35,IF(B3=13,42,IF(B3=21,49,IF(B3=34,70,IF(B3=55,105,"")))))))))</calculatedColumnFormula>
    </tableColumn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61D98D8-495A-479D-BB6F-DE0F817886FB}" name="Tabela5725" displayName="Tabela5725" ref="G2:J7" totalsRowShown="0" headerRowDxfId="175" headerRowBorderDxfId="174" tableBorderDxfId="173" totalsRowBorderDxfId="172">
  <autoFilter ref="G2:J7" xr:uid="{B61D98D8-495A-479D-BB6F-DE0F817886FB}"/>
  <tableColumns count="4">
    <tableColumn id="1" xr3:uid="{03885130-5764-4C0A-962B-D9F1B2741539}" name="Tarefa" dataDxfId="171"/>
    <tableColumn id="2" xr3:uid="{F595ABDF-2DB0-4DC6-B5E2-BEF84245CFC9}" name="Qtd dias" dataDxfId="170">
      <calculatedColumnFormula>(Tabela2624[[#This Row],[Tempo em Horas]]/7)</calculatedColumnFormula>
    </tableColumn>
    <tableColumn id="5" xr3:uid="{1FCC1D52-1114-4D01-AFC7-BFCD89E3E861}" name="Data Inicio" dataDxfId="169">
      <calculatedColumnFormula>WORKDAY.INTL(J2, 1)</calculatedColumnFormula>
    </tableColumn>
    <tableColumn id="6" xr3:uid="{DF24715E-6898-42D0-A8DF-0C1EBCAD94A5}" name="Data Fim" dataDxfId="168">
      <calculatedColumnFormula>IF(H3&gt;=1, WORKDAY.INTL(I3,H3 -1, 1), WORKDAY.INTL(I3,H3, 1))</calculatedColumnFormula>
    </tableColumn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E4D4458F-9367-40EC-B7EE-30E6633DC30B}" name="Tabela262438" displayName="Tabela262438" ref="A14:C21" totalsRowShown="0" headerRowBorderDxfId="167" tableBorderDxfId="166" totalsRowBorderDxfId="165">
  <autoFilter ref="A14:C21" xr:uid="{E4D4458F-9367-40EC-B7EE-30E6633DC30B}"/>
  <tableColumns count="3">
    <tableColumn id="1" xr3:uid="{04C60972-53C9-4967-A2FD-C4FE753B3743}" name="Tarefa" dataDxfId="164"/>
    <tableColumn id="4" xr3:uid="{23520B25-9E35-4673-996B-64AC9A6BD23B}" name="Complexidade" dataDxfId="163"/>
    <tableColumn id="2" xr3:uid="{25AFA589-1F97-4B8A-A6A2-D64AECCEBC80}" name="Tempo em Horas" dataDxfId="162">
      <calculatedColumnFormula>IF(B15=1,4,IF(B15=2,7,IF(B15=3,14,IF(B15=5,21,IF(B15=8,35,IF(B15=13,42,IF(B15=21,49,IF(B15=34,70,IF(B15=55,105,"")))))))))</calculatedColumnFormula>
    </tableColumn>
  </tableColumns>
  <tableStyleInfo name="TableStyleMedium2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6827F0D-88B7-43BD-B286-46C3B449E9F4}" name="Tabela572539" displayName="Tabela572539" ref="G14:J21" totalsRowShown="0" headerRowDxfId="161" headerRowBorderDxfId="160" tableBorderDxfId="159" totalsRowBorderDxfId="158">
  <autoFilter ref="G14:J21" xr:uid="{06827F0D-88B7-43BD-B286-46C3B449E9F4}"/>
  <tableColumns count="4">
    <tableColumn id="1" xr3:uid="{6786000B-3117-4F26-A9A5-4083359F0B1A}" name="Tarefa" dataDxfId="157"/>
    <tableColumn id="2" xr3:uid="{14B1A12F-256B-42C2-B470-207DAEAD8492}" name="Qtd dias" dataDxfId="156">
      <calculatedColumnFormula>(Tabela262438[[#This Row],[Tempo em Horas]]/7)</calculatedColumnFormula>
    </tableColumn>
    <tableColumn id="5" xr3:uid="{61114C12-2BD1-474D-B250-C9B4967B8B7D}" name="Data Inicio" dataDxfId="155">
      <calculatedColumnFormula>WORKDAY.INTL(J14, 1)</calculatedColumnFormula>
    </tableColumn>
    <tableColumn id="6" xr3:uid="{02B4F15D-6782-4D06-9E5C-684D82FC606F}" name="Data Fim" dataDxfId="154">
      <calculatedColumnFormula>IF(H15&gt;=1, WORKDAY.INTL(I15,H15 -1, 1), WORKDAY.INTL(I15,H15, 1))</calculatedColumnFormula>
    </tableColumn>
  </tableColumns>
  <tableStyleInfo name="TableStyleMedium2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23341F5-D3D2-49F5-A6E9-57643EE249AE}" name="Tabela26243842" displayName="Tabela26243842" ref="A28:C39" totalsRowShown="0" headerRowBorderDxfId="153" tableBorderDxfId="152" totalsRowBorderDxfId="151">
  <autoFilter ref="A28:C39" xr:uid="{223341F5-D3D2-49F5-A6E9-57643EE249AE}"/>
  <tableColumns count="3">
    <tableColumn id="1" xr3:uid="{86E19D24-34FA-409A-883D-5E74C8CB0521}" name="Tarefa" dataDxfId="150"/>
    <tableColumn id="4" xr3:uid="{9DDA9114-3095-42A1-BABE-A9ADA3F46A56}" name="Complexidade" dataDxfId="149"/>
    <tableColumn id="2" xr3:uid="{5B3FE193-C17B-4916-897C-4D163CC2EB42}" name="Tempo em Horas" dataDxfId="148">
      <calculatedColumnFormula>IF(B29=1,4,IF(B29=2,7,IF(B29=3,14,IF(B29=5,21,IF(B29=8,35,IF(B29=13,42,IF(B29=21,49,IF(B29=34,70,IF(B29=55,105,"")))))))))</calculatedColumnFormula>
    </tableColumn>
  </tableColumns>
  <tableStyleInfo name="TableStyleMedium2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369D0797-206C-4A94-982C-A9BF9511CA96}" name="Tabela57253943" displayName="Tabela57253943" ref="G28:J39" totalsRowShown="0" headerRowDxfId="147" headerRowBorderDxfId="146" tableBorderDxfId="145" totalsRowBorderDxfId="144">
  <autoFilter ref="G28:J39" xr:uid="{369D0797-206C-4A94-982C-A9BF9511CA96}"/>
  <tableColumns count="4">
    <tableColumn id="1" xr3:uid="{2C7DCBE1-3CD6-4BE8-AA01-C78ACC02F309}" name="Tarefa" dataDxfId="143"/>
    <tableColumn id="2" xr3:uid="{9AEAA997-76DC-4082-B9FC-7478AEACCD15}" name="Qtd dias" dataDxfId="142">
      <calculatedColumnFormula>(Tabela26243842[[#This Row],[Tempo em Horas]]/7)</calculatedColumnFormula>
    </tableColumn>
    <tableColumn id="5" xr3:uid="{9AA8E102-9AA3-4AF3-9C91-6C732336CECD}" name="Data Inicio" dataDxfId="141">
      <calculatedColumnFormula>WORKDAY.INTL(J28, 1)</calculatedColumnFormula>
    </tableColumn>
    <tableColumn id="6" xr3:uid="{EE48E246-5E3B-419A-B3B4-96A5F0ECAEDA}" name="Data Fim" dataDxfId="140">
      <calculatedColumnFormula>IF(H29&gt;=1, WORKDAY.INTL(I29,H29 -1, 1), WORKDAY.INTL(I29,H29, 1))</calculatedColumnFormula>
    </tableColumn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9AB28705-355F-43FE-A99E-CC6CF9266508}" name="Tabela26202230" displayName="Tabela26202230" ref="A2:C5" totalsRowShown="0" headerRowBorderDxfId="139" tableBorderDxfId="138" totalsRowBorderDxfId="137">
  <autoFilter ref="A2:C5" xr:uid="{9AB28705-355F-43FE-A99E-CC6CF9266508}"/>
  <tableColumns count="3">
    <tableColumn id="1" xr3:uid="{6F0FA2F9-369F-475D-9C12-9E2FC5C222D3}" name="Tarefa" dataDxfId="136"/>
    <tableColumn id="4" xr3:uid="{BD96F104-8C0C-4238-90AB-4B3E7C9A4DF9}" name="Complexidade" dataDxfId="135"/>
    <tableColumn id="2" xr3:uid="{F249C13F-D1DC-4C2D-98A8-CEB9430FA542}" name="Tempo em Horas" dataDxfId="134">
      <calculatedColumnFormula>IF(B3=1,4,IF(B3=2,7,IF(B3=3,14,IF(B3=5,21,IF(B3=8,35,IF(B3=13,42,IF(B3=21,49,IF(B3=34,70,IF(B3=55,105,"")))))))))</calculatedColumnFormula>
    </tableColumn>
  </tableColumns>
  <tableStyleInfo name="TableStyleMedium2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F2568EE-8206-4B1E-B6E8-2F81BFE9075A}" name="Tabela57212331" displayName="Tabela57212331" ref="G2:J5" totalsRowShown="0" headerRowDxfId="133" headerRowBorderDxfId="132" tableBorderDxfId="131" totalsRowBorderDxfId="130">
  <autoFilter ref="G2:J5" xr:uid="{3F2568EE-8206-4B1E-B6E8-2F81BFE9075A}"/>
  <tableColumns count="4">
    <tableColumn id="1" xr3:uid="{1EDCA96C-7140-4530-81B7-A0E2D117D6C5}" name="Tarefa" dataDxfId="129"/>
    <tableColumn id="2" xr3:uid="{B3A3DB35-3459-4AFA-9013-74ADAB17C6CC}" name="Qtd dias" dataDxfId="128">
      <calculatedColumnFormula>(Tabela26202230[[#This Row],[Tempo em Horas]]/7)</calculatedColumnFormula>
    </tableColumn>
    <tableColumn id="5" xr3:uid="{6577E581-AB24-4A96-B27A-5377A6644D30}" name="Data Inicio" dataDxfId="127">
      <calculatedColumnFormula>WORKDAY.INTL(J2, 1)</calculatedColumnFormula>
    </tableColumn>
    <tableColumn id="6" xr3:uid="{473602F7-79E3-4B96-A857-C980721B823D}" name="Data Fim" dataDxfId="126">
      <calculatedColumnFormula>IF(H3&gt;=1, WORKDAY.INTL(I3,H3 -1, 1), WORKDAY.INTL(I3,H3, 1))</calculatedColumnFormula>
    </tableColumn>
  </tableColumns>
  <tableStyleInfo name="TableStyleMedium2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02B6C04-67ED-467F-865C-C78C0FF9A85C}" name="Tabela2620223640" displayName="Tabela2620223640" ref="A11:C22" totalsRowShown="0" headerRowBorderDxfId="125" tableBorderDxfId="124" totalsRowBorderDxfId="123">
  <autoFilter ref="A11:C22" xr:uid="{E02B6C04-67ED-467F-865C-C78C0FF9A85C}"/>
  <tableColumns count="3">
    <tableColumn id="1" xr3:uid="{D13DF470-16E8-4B34-9CC9-56517363AACC}" name="Tarefa" dataDxfId="122"/>
    <tableColumn id="4" xr3:uid="{B7C6B105-EC82-4A0D-A2FB-E221B31B99C2}" name="Complexidade" dataDxfId="121"/>
    <tableColumn id="2" xr3:uid="{8082FBE3-DD77-4327-82FC-9B21B5B4C5B3}" name="Tempo em Horas" dataDxfId="120">
      <calculatedColumnFormula>IF(B12=1,4,IF(B12=2,7,IF(B12=3,14,IF(B12=5,21,IF(B12=8,35,IF(B12=13,42,IF(B12=21,49,IF(B12=34,70,IF(B12=55,105,"")))))))))</calculatedColumnFormula>
    </tableColumn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F4AFCA5-8159-43B6-936C-A3DBD89EF94C}" name="Tabela5721233741" displayName="Tabela5721233741" ref="G11:J22" totalsRowShown="0" headerRowDxfId="119" headerRowBorderDxfId="118" tableBorderDxfId="117" totalsRowBorderDxfId="116">
  <autoFilter ref="G11:J22" xr:uid="{6F4AFCA5-8159-43B6-936C-A3DBD89EF94C}"/>
  <tableColumns count="4">
    <tableColumn id="1" xr3:uid="{3E213273-0A4D-4245-9D3E-0ED62DC9D405}" name="Tarefa" dataDxfId="115"/>
    <tableColumn id="2" xr3:uid="{BD244334-FE12-4DFB-B6A6-1CE8AE0F5F01}" name="Qtd dias" dataDxfId="114">
      <calculatedColumnFormula>(Tabela2620223640[[#This Row],[Tempo em Horas]]/7)</calculatedColumnFormula>
    </tableColumn>
    <tableColumn id="5" xr3:uid="{B83494EE-8C19-4CEC-82F4-85F699B652C9}" name="Data Inicio" dataDxfId="113">
      <calculatedColumnFormula>WORKDAY.INTL(J11, 1)</calculatedColumnFormula>
    </tableColumn>
    <tableColumn id="6" xr3:uid="{F1B99800-C933-4116-A8C8-DEDFFDAE9D80}" name="Data Fim" dataDxfId="112">
      <calculatedColumnFormula>IF(H12&gt;=1, WORKDAY.INTL(I12,H12 -1, 1), WORKDAY.INTL(I12,H12, 1))</calculatedColumnFormula>
    </tableColumn>
  </tableColumns>
  <tableStyleInfo name="TableStyleMedium2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01E65E6-2D87-4D3E-938F-880AC84C52E7}" name="Tabela2612" displayName="Tabela2612" ref="A2:C14" totalsRowShown="0" headerRowBorderDxfId="111" tableBorderDxfId="110" totalsRowBorderDxfId="109">
  <autoFilter ref="A2:C14" xr:uid="{501E65E6-2D87-4D3E-938F-880AC84C52E7}"/>
  <tableColumns count="3">
    <tableColumn id="1" xr3:uid="{58AFC981-A7B5-40B8-B792-CB796ADA68E3}" name="Tarefa" dataDxfId="108"/>
    <tableColumn id="4" xr3:uid="{DCFCE069-9798-4E54-9010-B9FAE4950784}" name="Complexidade" dataDxfId="107"/>
    <tableColumn id="2" xr3:uid="{8EF4EFE8-0B78-4519-9865-866098D76664}" name="Tempo em Horas" dataDxfId="106">
      <calculatedColumnFormula>IF(B3=1,4,IF(B3=2,7,IF(B3=3,14,IF(B3=5,21,IF(B3=8,35,IF(B3=13,42,IF(B3=21,49,IF(B3=34,70,IF(B3=55,105,"")))))))))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8F44C9-638A-44B1-AD35-EFBF945AC77F}" name="Tabela57" displayName="Tabela57" ref="G2:J10" totalsRowShown="0" headerRowDxfId="231" headerRowBorderDxfId="230" tableBorderDxfId="229" totalsRowBorderDxfId="228">
  <autoFilter ref="G2:J10" xr:uid="{238F44C9-638A-44B1-AD35-EFBF945AC77F}"/>
  <tableColumns count="4">
    <tableColumn id="1" xr3:uid="{AC09DE2D-6C95-4AA1-AE77-F892867EA555}" name="Tarefa" dataDxfId="227"/>
    <tableColumn id="2" xr3:uid="{CE2050B5-B013-45E9-8232-65EA60B90AAB}" name="Qtd dias" dataDxfId="226">
      <calculatedColumnFormula>(Tabela26[[#This Row],[Tempo em Horas]]/7)</calculatedColumnFormula>
    </tableColumn>
    <tableColumn id="5" xr3:uid="{9B3A04D3-276F-4888-8AFB-3BB1D5EB6111}" name="Data Inicio" dataDxfId="225">
      <calculatedColumnFormula>WORKDAY.INTL(J2, 1)</calculatedColumnFormula>
    </tableColumn>
    <tableColumn id="6" xr3:uid="{E50F9F25-454F-4FC9-A3A0-2BB620925F56}" name="Data Fim" dataDxfId="224">
      <calculatedColumnFormula>IF(H3&gt;=1, WORKDAY.INTL(I3,H3 -1, 1), WORKDAY.INTL(I3,H3, 1))</calculatedColumnFormula>
    </tableColumn>
  </tableColumns>
  <tableStyleInfo name="TableStyleMedium2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2D51EAB-7CAC-4694-B2EC-7B363679DC02}" name="Tabela5713" displayName="Tabela5713" ref="G2:J14" totalsRowShown="0" headerRowDxfId="105" headerRowBorderDxfId="104" tableBorderDxfId="103" totalsRowBorderDxfId="102">
  <autoFilter ref="G2:J14" xr:uid="{A2D51EAB-7CAC-4694-B2EC-7B363679DC02}"/>
  <tableColumns count="4">
    <tableColumn id="1" xr3:uid="{6C988026-D1B8-45CA-9A0F-C8C5ACDED429}" name="Tarefa" dataDxfId="101"/>
    <tableColumn id="2" xr3:uid="{9A5BF553-4903-4592-91F6-2A7BC585A6DA}" name="Qtd dias" dataDxfId="100">
      <calculatedColumnFormula>(Tabela2612[[#This Row],[Tempo em Horas]]/7)</calculatedColumnFormula>
    </tableColumn>
    <tableColumn id="5" xr3:uid="{C531F808-3FFB-441B-A259-A4D74986148D}" name="Data Inicio" dataDxfId="99">
      <calculatedColumnFormula>WORKDAY.INTL(J2, 1)</calculatedColumnFormula>
    </tableColumn>
    <tableColumn id="6" xr3:uid="{F048692F-D59E-4DF6-B299-7D492E38B802}" name="Data Fim" dataDxfId="98">
      <calculatedColumnFormula>IF(H3&gt;=1, WORKDAY.INTL(I3,H3 -1, 1), WORKDAY.INTL(I3,H3, 1))</calculatedColumnFormula>
    </tableColumn>
  </tableColumns>
  <tableStyleInfo name="TableStyleMedium2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C569E94-DE72-4A56-BA46-6AB6155F9AF6}" name="Tabela26121426" displayName="Tabela26121426" ref="A2:C6" totalsRowShown="0" headerRowBorderDxfId="97" tableBorderDxfId="96" totalsRowBorderDxfId="95">
  <autoFilter ref="A2:C6" xr:uid="{5C569E94-DE72-4A56-BA46-6AB6155F9AF6}"/>
  <tableColumns count="3">
    <tableColumn id="1" xr3:uid="{68421D76-D24D-4F50-895C-2FF62FD13CE6}" name="Tarefa" dataDxfId="94"/>
    <tableColumn id="4" xr3:uid="{AE371DBA-6091-4B18-BF3A-50E2EBED452F}" name="Complexidade" dataDxfId="93"/>
    <tableColumn id="2" xr3:uid="{D0607A10-EF0A-49BD-8B08-286D6F3A221A}" name="Tempo em Horas" dataDxfId="92">
      <calculatedColumnFormula>IF(B3=1,4,IF(B3=2,7,IF(B3=3,14,IF(B3=5,21,IF(B3=8,35,IF(B3=13,42,IF(B3=21,49,IF(B3=34,70,IF(B3=55,105,"")))))))))</calculatedColumnFormula>
    </tableColumn>
  </tableColumns>
  <tableStyleInfo name="TableStyleMedium2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8C15209-EE74-4FC9-8078-D7D545F88676}" name="Tabela57131527" displayName="Tabela57131527" ref="G2:J6" totalsRowShown="0" headerRowDxfId="91" headerRowBorderDxfId="90" tableBorderDxfId="89" totalsRowBorderDxfId="88">
  <autoFilter ref="G2:J6" xr:uid="{28C15209-EE74-4FC9-8078-D7D545F88676}"/>
  <tableColumns count="4">
    <tableColumn id="1" xr3:uid="{C6F945B8-A8A0-461B-B9B7-73EBB270AE31}" name="Tarefa" dataDxfId="87"/>
    <tableColumn id="2" xr3:uid="{7907A80C-99AB-434F-B901-A24A7FC91362}" name="Qtd dias" dataDxfId="86">
      <calculatedColumnFormula>(Tabela26121426[[#This Row],[Tempo em Horas]]/7)</calculatedColumnFormula>
    </tableColumn>
    <tableColumn id="5" xr3:uid="{792D7395-2BF6-49B6-ACD1-8C32B069A1AF}" name="Data Inicio" dataDxfId="85">
      <calculatedColumnFormula>WORKDAY.INTL(J2, 1)</calculatedColumnFormula>
    </tableColumn>
    <tableColumn id="6" xr3:uid="{3676E885-752B-4772-8A01-DB4AF175229B}" name="Data Fim" dataDxfId="84">
      <calculatedColumnFormula>IF(H3&gt;=1, WORKDAY.INTL(I3,H3 -1, 1), WORKDAY.INTL(I3,H3, 1))</calculatedColumnFormula>
    </tableColumn>
  </tableColumns>
  <tableStyleInfo name="TableStyleMedium2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E275FB0-DDFD-480C-A2E3-CFA3186A3F74}" name="Tabela2612142632" displayName="Tabela2612142632" ref="A13:C17" totalsRowShown="0" headerRowBorderDxfId="83" tableBorderDxfId="82" totalsRowBorderDxfId="81">
  <autoFilter ref="A13:C17" xr:uid="{9E275FB0-DDFD-480C-A2E3-CFA3186A3F74}"/>
  <tableColumns count="3">
    <tableColumn id="1" xr3:uid="{47C5A074-6116-435E-B839-D8DEB4C49D3F}" name="Tarefa" dataDxfId="80"/>
    <tableColumn id="4" xr3:uid="{25AD47F7-0B8D-4962-8D42-933EB79400B4}" name="Complexidade" dataDxfId="79"/>
    <tableColumn id="2" xr3:uid="{80A4B6E2-380D-4167-A8EC-F4C5F51E5CBE}" name="Tempo em Horas" dataDxfId="78">
      <calculatedColumnFormula>IF(B14=1,4,IF(B14=2,7,IF(B14=3,14,IF(B14=5,21,IF(B14=8,35,IF(B14=13,42,IF(B14=21,49,IF(B14=34,70,IF(B14=55,105,"")))))))))</calculatedColumnFormula>
    </tableColumn>
  </tableColumns>
  <tableStyleInfo name="TableStyleMedium2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5842233-EDFD-47BF-B7A0-612F3746B9AB}" name="Tabela5713152733" displayName="Tabela5713152733" ref="G13:J17" totalsRowShown="0" headerRowDxfId="77" headerRowBorderDxfId="76" tableBorderDxfId="75" totalsRowBorderDxfId="74">
  <autoFilter ref="G13:J17" xr:uid="{75842233-EDFD-47BF-B7A0-612F3746B9AB}"/>
  <tableColumns count="4">
    <tableColumn id="1" xr3:uid="{DC323613-725A-45B9-AB23-D0F297CFC43D}" name="Tarefa" dataDxfId="73"/>
    <tableColumn id="2" xr3:uid="{7B261E5F-DBDA-447D-9D82-C591E9EC8FC4}" name="Qtd dias" dataDxfId="72">
      <calculatedColumnFormula>(Tabela2612142632[[#This Row],[Tempo em Horas]]/7)</calculatedColumnFormula>
    </tableColumn>
    <tableColumn id="5" xr3:uid="{73DBB38F-DA25-4DAE-AD16-A228BD9EE673}" name="Data Inicio" dataDxfId="71">
      <calculatedColumnFormula>WORKDAY.INTL(J13, 1)</calculatedColumnFormula>
    </tableColumn>
    <tableColumn id="6" xr3:uid="{35B9B1A8-AF49-48BD-B1AA-F7FC8E6A6E31}" name="Data Fim" dataDxfId="70">
      <calculatedColumnFormula>IF(H14&gt;=1, WORKDAY.INTL(I14,H14 -1, 1), WORKDAY.INTL(I14,H14, 1))</calculatedColumnFormula>
    </tableColumn>
  </tableColumns>
  <tableStyleInfo name="TableStyleMedium2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759B5A-5C4A-4B59-ADAA-A287B13FA40A}" name="Tabela2612142628" displayName="Tabela2612142628" ref="A2:C7" totalsRowShown="0" headerRowBorderDxfId="69" tableBorderDxfId="68" totalsRowBorderDxfId="67">
  <autoFilter ref="A2:C7" xr:uid="{13759B5A-5C4A-4B59-ADAA-A287B13FA40A}"/>
  <tableColumns count="3">
    <tableColumn id="1" xr3:uid="{CFD08F99-6347-46E4-8FFA-01196EEE14A3}" name="Tarefa" dataDxfId="66"/>
    <tableColumn id="4" xr3:uid="{EB34D840-5389-4494-86E4-23850FDD3DE9}" name="Complexidade" dataDxfId="65"/>
    <tableColumn id="2" xr3:uid="{61E27DBE-16C1-4923-B9FF-E1B456B62588}" name="Tempo em Horas" dataDxfId="64">
      <calculatedColumnFormula>IF(B3=1,4,IF(B3=2,7,IF(B3=3,14,IF(B3=5,21,IF(B3=8,35,IF(B3=13,42,IF(B3=21,49,IF(B3=34,70,IF(B3=55,105,"")))))))))</calculatedColumnFormula>
    </tableColumn>
  </tableColumns>
  <tableStyleInfo name="TableStyleMedium2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131BBE4-7324-4D88-9877-D9AE7453B6E8}" name="Tabela5713152729" displayName="Tabela5713152729" ref="G2:J7" totalsRowShown="0" headerRowDxfId="63" headerRowBorderDxfId="62" tableBorderDxfId="61" totalsRowBorderDxfId="60">
  <autoFilter ref="G2:J7" xr:uid="{3131BBE4-7324-4D88-9877-D9AE7453B6E8}"/>
  <tableColumns count="4">
    <tableColumn id="1" xr3:uid="{7E6BFD9D-7C74-47AA-A425-CD55CA5CEE29}" name="Tarefa" dataDxfId="59"/>
    <tableColumn id="2" xr3:uid="{60A47694-8F87-4E24-8339-90BBFDA943C9}" name="Qtd dias" dataDxfId="58">
      <calculatedColumnFormula>(Tabela2612142628[[#This Row],[Tempo em Horas]]/7)</calculatedColumnFormula>
    </tableColumn>
    <tableColumn id="5" xr3:uid="{798EFA43-E2B1-4A81-8203-309A3971CF0D}" name="Data Inicio" dataDxfId="57">
      <calculatedColumnFormula>WORKDAY.INTL(J2, 1)</calculatedColumnFormula>
    </tableColumn>
    <tableColumn id="6" xr3:uid="{9F917FD8-C55F-4662-AFC5-55987AC663A3}" name="Data Fim" dataDxfId="56">
      <calculatedColumnFormula>IF(H3&gt;=1, WORKDAY.INTL(I3,H3 -1, 1), WORKDAY.INTL(I3,H3, 1))</calculatedColumnFormula>
    </tableColumn>
  </tableColumns>
  <tableStyleInfo name="TableStyleMedium2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BBE3AE5-0C45-4B65-9450-7576B9EF428A}" name="Tabela261214263234" displayName="Tabela261214263234" ref="A14:C18" totalsRowShown="0" headerRowBorderDxfId="55" tableBorderDxfId="54" totalsRowBorderDxfId="53">
  <autoFilter ref="A14:C18" xr:uid="{7BBE3AE5-0C45-4B65-9450-7576B9EF428A}"/>
  <tableColumns count="3">
    <tableColumn id="1" xr3:uid="{1D6D91EC-4AD6-4A8F-84E2-0086242133B5}" name="Tarefa" dataDxfId="52"/>
    <tableColumn id="4" xr3:uid="{9382604D-0DB6-45B2-8A35-53981A69D6E6}" name="Complexidade" dataDxfId="51"/>
    <tableColumn id="2" xr3:uid="{D9A5B50A-C17A-4420-B6FB-33EEFC56B690}" name="Tempo em Horas" dataDxfId="50">
      <calculatedColumnFormula>IF(B15=1,4,IF(B15=2,7,IF(B15=3,14,IF(B15=5,21,IF(B15=8,35,IF(B15=13,42,IF(B15=21,49,IF(B15=34,70,IF(B15=55,105,"")))))))))</calculatedColumnFormula>
    </tableColumn>
  </tableColumns>
  <tableStyleInfo name="TableStyleMedium2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025CD2D-706F-40DA-B6FA-BD6364A2A668}" name="Tabela571315273335" displayName="Tabela571315273335" ref="G14:J18" totalsRowShown="0" headerRowDxfId="49" headerRowBorderDxfId="48" tableBorderDxfId="47" totalsRowBorderDxfId="46">
  <autoFilter ref="G14:J18" xr:uid="{2025CD2D-706F-40DA-B6FA-BD6364A2A668}"/>
  <tableColumns count="4">
    <tableColumn id="1" xr3:uid="{831D1ED2-1FAB-4CE3-8E3E-CA67BA369FA4}" name="Tarefa" dataDxfId="45"/>
    <tableColumn id="2" xr3:uid="{825FB7FA-4A34-450A-ADB4-185D0E19AF5B}" name="Qtd dias" dataDxfId="44">
      <calculatedColumnFormula>(Tabela261214263234[[#This Row],[Tempo em Horas]]/7)</calculatedColumnFormula>
    </tableColumn>
    <tableColumn id="5" xr3:uid="{EA5BD55D-8AD3-4F68-9411-281A726F40E8}" name="Data Inicio" dataDxfId="43">
      <calculatedColumnFormula>WORKDAY.INTL(J14, 1)</calculatedColumnFormula>
    </tableColumn>
    <tableColumn id="6" xr3:uid="{6882C3AF-0A00-4B07-8E3C-E59760F3F06B}" name="Data Fim" dataDxfId="42">
      <calculatedColumnFormula>IF(H15&gt;=1, WORKDAY.INTL(I15,H15 -1, 1), WORKDAY.INTL(I15,H15, 1))</calculatedColumnFormula>
    </tableColumn>
  </tableColumns>
  <tableStyleInfo name="TableStyleMedium20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EAB444-B554-469E-8BDE-DBB2E22F2BE1}" name="Tabela2" displayName="Tabela2" ref="A2:C14" totalsRowShown="0" headerRowBorderDxfId="41" tableBorderDxfId="40" totalsRowBorderDxfId="39">
  <autoFilter ref="A2:C14" xr:uid="{7DEAB444-B554-469E-8BDE-DBB2E22F2BE1}"/>
  <tableColumns count="3">
    <tableColumn id="1" xr3:uid="{F2900B14-F714-42DF-8170-DA2F8DA26F69}" name="Tarefa" dataDxfId="38"/>
    <tableColumn id="4" xr3:uid="{53B7C481-4620-424B-9686-9F74C360EFCC}" name="Complexidade" dataDxfId="37">
      <calculatedColumnFormula>VLOOKUP(#REF!,[1]Planilha1!A2:E73,3,FALSE)</calculatedColumnFormula>
    </tableColumn>
    <tableColumn id="2" xr3:uid="{F31A2991-1D8A-4F85-B6F5-5DB36F598AA3}" name="Tempo em Horas" dataDxfId="36">
      <calculatedColumnFormula>IF(B3=1,4,IF(B3=2,7,IF(B3=3,14,IF(B3=5,21,IF(B3=8,35,IF(B3=13,42,IF(B3=21,49,IF(B3=34,70,IF(B3=55,105,"")))))))))</calculatedColumnFormula>
    </tableColumn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E96D76-CDAD-4E4A-B643-FE29EA952E35}" name="Tabela262022" displayName="Tabela262022" ref="A17:C20" totalsRowShown="0" headerRowBorderDxfId="223" tableBorderDxfId="222" totalsRowBorderDxfId="221">
  <autoFilter ref="A17:C20" xr:uid="{0AE96D76-CDAD-4E4A-B643-FE29EA952E35}"/>
  <tableColumns count="3">
    <tableColumn id="1" xr3:uid="{55E4F646-0DDC-4986-9EE0-ECA4C79CEBE6}" name="Tarefa" dataDxfId="220"/>
    <tableColumn id="4" xr3:uid="{14A620A0-57C7-4040-B308-B7D27E3DBA4E}" name="Complexidade" dataDxfId="219"/>
    <tableColumn id="2" xr3:uid="{76EEE3F1-4137-4319-837F-363C60D11C3B}" name="Tempo em Horas" dataDxfId="218">
      <calculatedColumnFormula>IF(B18=1,4,IF(B18=2,7,IF(B18=3,14,IF(B18=5,21,IF(B18=8,35,IF(B18=13,42,IF(B18=21,49,IF(B18=34,70,IF(B18=55,105,"")))))))))</calculatedColumnFormula>
    </tableColumn>
  </tableColumns>
  <tableStyleInfo name="TableStyleMedium20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4904ED-DFA1-440E-AFCF-C099400CF99C}" name="Tabela5" displayName="Tabela5" ref="G2:J14" totalsRowShown="0" headerRowDxfId="35" headerRowBorderDxfId="34" tableBorderDxfId="33" totalsRowBorderDxfId="32">
  <autoFilter ref="G2:J14" xr:uid="{0E4904ED-DFA1-440E-AFCF-C099400CF99C}"/>
  <tableColumns count="4">
    <tableColumn id="1" xr3:uid="{A29E1315-4B4E-448F-94F3-2FA0769AD2A1}" name="Tarefa" dataDxfId="31"/>
    <tableColumn id="2" xr3:uid="{9FA5F084-0E6F-4035-8C9F-FD3007177D34}" name="Qtd dias" dataDxfId="30">
      <calculatedColumnFormula>(C3/7)</calculatedColumnFormula>
    </tableColumn>
    <tableColumn id="5" xr3:uid="{FE3B1DD4-9DFC-426B-A01A-1A76119B7722}" name="Data Inicio" dataDxfId="29">
      <calculatedColumnFormula>WORKDAY.INTL(J2, 1)</calculatedColumnFormula>
    </tableColumn>
    <tableColumn id="6" xr3:uid="{74B9E456-32C7-404F-BDA2-9224C2AA1628}" name="Data Fim" dataDxfId="28">
      <calculatedColumnFormula>IF(H3&gt;=1, WORKDAY.INTL(I3,H3 -1, 1), WORKDAY.INTL(I3,H3, 1))</calculatedColumnFormula>
    </tableColumn>
  </tableColumns>
  <tableStyleInfo name="TableStyleMedium20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E600AEF-144C-4222-8975-030F535A4BA8}" name="Tabela59" displayName="Tabela59" ref="G2:J7" totalsRowShown="0" headerRowDxfId="27" headerRowBorderDxfId="26" tableBorderDxfId="25" totalsRowBorderDxfId="24">
  <autoFilter ref="G2:J7" xr:uid="{1E600AEF-144C-4222-8975-030F535A4BA8}"/>
  <tableColumns count="4">
    <tableColumn id="1" xr3:uid="{8FDCE5EC-B662-42EE-9DB4-1C160489DDAA}" name="Tarefa" dataDxfId="23"/>
    <tableColumn id="2" xr3:uid="{B49BE898-B292-4B07-95E3-0C73FF085D63}" name="Qtd dias" dataDxfId="22">
      <calculatedColumnFormula>(C3/7)</calculatedColumnFormula>
    </tableColumn>
    <tableColumn id="5" xr3:uid="{86EB8C3B-E018-4B88-9F5E-4152821EBED9}" name="Data Inicio" dataDxfId="21">
      <calculatedColumnFormula>WORKDAY.INTL(J2, 1)</calculatedColumnFormula>
    </tableColumn>
    <tableColumn id="6" xr3:uid="{0CBBA955-06DD-4515-BCA9-CD225EF0820B}" name="Data Fim" dataDxfId="20">
      <calculatedColumnFormula>IF(H3&gt;=1, WORKDAY.INTL(I3,H3 -1, 1), WORKDAY.INTL(I3,H3, 1))</calculatedColumnFormula>
    </tableColumn>
  </tableColumns>
  <tableStyleInfo name="TableStyleMedium20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4A915B-1CF0-4DA8-8985-D91A97554EED}" name="Tabela28" displayName="Tabela28" ref="A2:C7" totalsRowShown="0" headerRowBorderDxfId="19" tableBorderDxfId="18" totalsRowBorderDxfId="17">
  <autoFilter ref="A2:C7" xr:uid="{0A4A915B-1CF0-4DA8-8985-D91A97554EED}"/>
  <tableColumns count="3">
    <tableColumn id="1" xr3:uid="{9DD8C9CA-8F40-4540-BA16-CC2E44E4643B}" name="Tarefa" dataDxfId="16"/>
    <tableColumn id="4" xr3:uid="{0435FA16-DE8E-43A2-B2D5-6E2B0D9CCAE1}" name="Complexidade" dataDxfId="15">
      <calculatedColumnFormula>VLOOKUP(#REF!,[1]Planilha1!A2:E73,3,FALSE)</calculatedColumnFormula>
    </tableColumn>
    <tableColumn id="2" xr3:uid="{9CFF7E6B-47A1-493D-89FF-4204EA44B66E}" name="Tempo em Horas" dataDxfId="14">
      <calculatedColumnFormula>IF(B3=1,4,IF(B3=2,7,IF(B3=3,14,IF(B3=5,21,IF(B3=8,35,IF(B3=13,42,IF(B3=21,49,IF(B3=34,70,IF(B3=55,105,"")))))))))</calculatedColumnFormula>
    </tableColumn>
  </tableColumns>
  <tableStyleInfo name="TableStyleMedium20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19A6D0-DFE1-41FD-9DEA-6DE3F88A1D77}" name="Tabela5910" displayName="Tabela5910" ref="G2:J14" totalsRowShown="0" headerRowDxfId="13" headerRowBorderDxfId="12" tableBorderDxfId="11" totalsRowBorderDxfId="10">
  <autoFilter ref="G2:J14" xr:uid="{5E19A6D0-DFE1-41FD-9DEA-6DE3F88A1D77}"/>
  <tableColumns count="4">
    <tableColumn id="1" xr3:uid="{04D75B08-9D70-4F7A-92AE-00AA5B678FEB}" name="Tarefa" dataDxfId="9"/>
    <tableColumn id="2" xr3:uid="{08D7993A-3677-44D8-978E-8F1E9EB1B53C}" name="Qtd dias" dataDxfId="8">
      <calculatedColumnFormula>(C3/7)</calculatedColumnFormula>
    </tableColumn>
    <tableColumn id="5" xr3:uid="{C757C030-DF7C-4A08-B1D5-F58542549D23}" name="Data Inicio" dataDxfId="7">
      <calculatedColumnFormula>WORKDAY.INTL(J2, 1)</calculatedColumnFormula>
    </tableColumn>
    <tableColumn id="6" xr3:uid="{FDD3F995-5EF0-4CC4-B498-4F0FEA54391D}" name="Data Fim" dataDxfId="6">
      <calculatedColumnFormula>IF(H3&gt;=1, WORKDAY.INTL(I3,H3 -1, 1), WORKDAY.INTL(I3,H3, 1))</calculatedColumnFormula>
    </tableColumn>
  </tableColumns>
  <tableStyleInfo name="TableStyleMedium20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088515-5BDC-4EA0-A5DD-12E55060D8B4}" name="Tabela2811" displayName="Tabela2811" ref="A2:C14" totalsRowShown="0" headerRowBorderDxfId="5" tableBorderDxfId="4" totalsRowBorderDxfId="3">
  <autoFilter ref="A2:C14" xr:uid="{C1088515-5BDC-4EA0-A5DD-12E55060D8B4}"/>
  <tableColumns count="3">
    <tableColumn id="1" xr3:uid="{5B5C92E7-0E5E-4D00-8FA6-56C65C543DE5}" name="Tarefa" dataDxfId="2"/>
    <tableColumn id="4" xr3:uid="{1F26122D-CD01-4FCF-A2AB-7CC8BF616E53}" name="Complexidade" dataDxfId="1"/>
    <tableColumn id="2" xr3:uid="{65F801A1-D4BF-406F-84B0-ECC2B6E05168}" name="Tempo em Horas" dataDxfId="0">
      <calculatedColumnFormula>IF(B3=1,1,IF(B3=2,7,IF(B3=3,21,IF(B3=5,35,IF(B3=8,42,IF(B3=13,49,IF(B3=21,77,IF(B3=34,98,IF(B3=55,105,"")))))))))</calculatedColumnFormula>
    </tableColumn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71E3CA4-6F5D-4B6F-972A-A0B010546AC9}" name="Tabela572123" displayName="Tabela572123" ref="G17:J20" totalsRowShown="0" headerRowDxfId="217" headerRowBorderDxfId="216" tableBorderDxfId="215" totalsRowBorderDxfId="214">
  <autoFilter ref="G17:J20" xr:uid="{171E3CA4-6F5D-4B6F-972A-A0B010546AC9}"/>
  <tableColumns count="4">
    <tableColumn id="1" xr3:uid="{D5F2706D-526E-40E6-9037-D6D7D30AFBC0}" name="Tarefa" dataDxfId="213"/>
    <tableColumn id="2" xr3:uid="{52A5B921-8FCC-4BDF-A7A4-481F50FE8B08}" name="Qtd dias" dataDxfId="212">
      <calculatedColumnFormula>(Tabela262022[[#This Row],[Tempo em Horas]]/7)</calculatedColumnFormula>
    </tableColumn>
    <tableColumn id="5" xr3:uid="{64422F1F-95B0-4A96-A6CB-E193BCC6FE84}" name="Data Inicio" dataDxfId="211">
      <calculatedColumnFormula>WORKDAY.INTL(J17, 1)</calculatedColumnFormula>
    </tableColumn>
    <tableColumn id="6" xr3:uid="{BF05B81A-CF26-4F12-A793-0A43CF4CF33D}" name="Data Fim" dataDxfId="210">
      <calculatedColumnFormula>IF(H18&gt;=1, WORKDAY.INTL(I18,H18 -1, 1), WORKDAY.INTL(I18,H18, 1))</calculatedColumnFormula>
    </tableColumn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6EC184D-2E07-456A-80D0-D989D6456EAC}" name="Tabela26202236" displayName="Tabela26202236" ref="A27:C39" totalsRowShown="0" headerRowBorderDxfId="209" tableBorderDxfId="208" totalsRowBorderDxfId="207">
  <autoFilter ref="A27:C39" xr:uid="{C6EC184D-2E07-456A-80D0-D989D6456EAC}"/>
  <tableColumns count="3">
    <tableColumn id="1" xr3:uid="{258EE71F-7D7B-47DA-B2F3-3448BB0ADF4A}" name="Tarefa" dataDxfId="206"/>
    <tableColumn id="4" xr3:uid="{1DCA8F98-3686-4350-850D-87E42C32FC31}" name="Complexidade" dataDxfId="205"/>
    <tableColumn id="2" xr3:uid="{8B2333C2-3E6A-43C2-8228-18795D02305B}" name="Tempo em Horas" dataDxfId="204">
      <calculatedColumnFormula>IF(B28=1,4,IF(B28=2,7,IF(B28=3,14,IF(B28=5,21,IF(B28=8,35,IF(B28=13,42,IF(B28=21,49,IF(B28=34,70,IF(B28=55,105,"")))))))))</calculatedColumnFormula>
    </tableColumn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925D27E-0701-4AF8-A850-36CE90E7A5AB}" name="Tabela57212337" displayName="Tabela57212337" ref="G27:J39" totalsRowShown="0" headerRowDxfId="203" headerRowBorderDxfId="202" tableBorderDxfId="201" totalsRowBorderDxfId="200">
  <autoFilter ref="G27:J39" xr:uid="{7925D27E-0701-4AF8-A850-36CE90E7A5AB}"/>
  <tableColumns count="4">
    <tableColumn id="1" xr3:uid="{87FAE318-5D07-4C3D-A58A-29B2AE6D589E}" name="Tarefa" dataDxfId="199"/>
    <tableColumn id="2" xr3:uid="{122F39CD-743D-4EB7-88DE-B555D06314C9}" name="Qtd dias" dataDxfId="198">
      <calculatedColumnFormula>(Tabela26202236[[#This Row],[Tempo em Horas]]/7)</calculatedColumnFormula>
    </tableColumn>
    <tableColumn id="5" xr3:uid="{F8CE199B-7BAB-4371-80DA-30E05A2F812C}" name="Data Inicio" dataDxfId="197">
      <calculatedColumnFormula>WORKDAY.INTL(J27, 1)</calculatedColumnFormula>
    </tableColumn>
    <tableColumn id="6" xr3:uid="{790EDE13-A04F-4938-98A7-03C4054B880D}" name="Data Fim" dataDxfId="196">
      <calculatedColumnFormula>IF(H28&gt;=1, WORKDAY.INTL(I28,H28 -1, 1), WORKDAY.INTL(I28,H28, 1))</calculatedColumnFormula>
    </tableColumn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3E4D6E0-3B1E-4866-985C-35B611F83D36}" name="Tabela262022364044" displayName="Tabela262022364044" ref="A46:C48" totalsRowShown="0" headerRowBorderDxfId="195" tableBorderDxfId="194" totalsRowBorderDxfId="193">
  <autoFilter ref="A46:C48" xr:uid="{D3E4D6E0-3B1E-4866-985C-35B611F83D36}"/>
  <tableColumns count="3">
    <tableColumn id="1" xr3:uid="{8CC9367D-316C-4B07-92C3-3D5690F10828}" name="Tarefa" dataDxfId="192"/>
    <tableColumn id="4" xr3:uid="{EC25A4BC-2142-494C-9B0E-7B3CA4311739}" name="Complexidade" dataDxfId="191"/>
    <tableColumn id="2" xr3:uid="{F459F9E4-F695-4865-ACFA-448EE9FF40C1}" name="Tempo em Horas" dataDxfId="190">
      <calculatedColumnFormula>IF(B47=1,4,IF(B47=2,7,IF(B47=3,14,IF(B47=5,21,IF(B47=8,35,IF(B47=13,42,IF(B47=21,49,IF(B47=34,70,IF(B47=55,105,"")))))))))</calculatedColumnFormula>
    </tableColumn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F0E95F93-56CB-4528-B32E-F27131E34375}" name="Tabela572123374145" displayName="Tabela572123374145" ref="G46:J48" totalsRowShown="0" headerRowDxfId="189" headerRowBorderDxfId="188" tableBorderDxfId="187" totalsRowBorderDxfId="186">
  <autoFilter ref="G46:J48" xr:uid="{F0E95F93-56CB-4528-B32E-F27131E34375}"/>
  <tableColumns count="4">
    <tableColumn id="1" xr3:uid="{882A9AFF-2086-49D7-9168-1E9B8AD4C753}" name="Tarefa" dataDxfId="185"/>
    <tableColumn id="2" xr3:uid="{9C6E0155-BB52-469D-A6B6-6361D7DB806E}" name="Qtd dias" dataDxfId="184">
      <calculatedColumnFormula>(Tabela262022364044[[#This Row],[Tempo em Horas]]/7)</calculatedColumnFormula>
    </tableColumn>
    <tableColumn id="5" xr3:uid="{186796EF-0583-49CB-A34B-18557894BFF0}" name="Data Inicio" dataDxfId="183">
      <calculatedColumnFormula>WORKDAY.INTL(J46, 1)</calculatedColumnFormula>
    </tableColumn>
    <tableColumn id="6" xr3:uid="{27E88CB8-3CD4-4D4F-B22B-600310734598}" name="Data Fim" dataDxfId="182">
      <calculatedColumnFormula>IF(H47&gt;=1, WORKDAY.INTL(I47,H47 -1, 1), WORKDAY.INTL(I47,H47, 1))</calculatedColumnFormula>
    </tableColumn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84B0EAD-FA3C-44A5-8278-C9AC703CEE1D}" name="Tabela2624" displayName="Tabela2624" ref="A2:C7" totalsRowShown="0" headerRowBorderDxfId="181" tableBorderDxfId="180" totalsRowBorderDxfId="179">
  <autoFilter ref="A2:C7" xr:uid="{C84B0EAD-FA3C-44A5-8278-C9AC703CEE1D}"/>
  <tableColumns count="3">
    <tableColumn id="1" xr3:uid="{057D7B1D-1755-47D5-95F7-03028412AFF4}" name="Tarefa" dataDxfId="178"/>
    <tableColumn id="4" xr3:uid="{A3992C4D-9823-4E9A-A27F-20B60735A86D}" name="Complexidade" dataDxfId="177"/>
    <tableColumn id="2" xr3:uid="{42ADA659-8BB1-4202-AB2B-AA928048B8DE}" name="Tempo em Horas" dataDxfId="176">
      <calculatedColumnFormula>IF(B3=1,4,IF(B3=2,7,IF(B3=3,14,IF(B3=5,21,IF(B3=8,35,IF(B3=13,42,IF(B3=21,49,IF(B3=34,70,IF(B3=55,105,"")))))))))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4" Type="http://schemas.openxmlformats.org/officeDocument/2006/relationships/table" Target="../tables/table2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09D2-45B1-46FF-B209-D8A7535AAEED}">
  <sheetPr>
    <tabColor rgb="FFC00000"/>
  </sheetPr>
  <dimension ref="A1:M69"/>
  <sheetViews>
    <sheetView topLeftCell="A16" workbookViewId="0">
      <selection activeCell="O1" sqref="O1"/>
    </sheetView>
  </sheetViews>
  <sheetFormatPr defaultRowHeight="15"/>
  <cols>
    <col min="1" max="1" width="9.28515625" bestFit="1" customWidth="1"/>
    <col min="2" max="2" width="13.7109375" bestFit="1" customWidth="1"/>
    <col min="3" max="3" width="17.5703125" bestFit="1" customWidth="1"/>
    <col min="4" max="4" width="13.5703125" bestFit="1" customWidth="1"/>
    <col min="5" max="5" width="16.7109375" bestFit="1" customWidth="1"/>
    <col min="6" max="6" width="11.140625" bestFit="1" customWidth="1"/>
    <col min="7" max="7" width="14.5703125" bestFit="1" customWidth="1"/>
    <col min="8" max="8" width="13.5703125" bestFit="1" customWidth="1"/>
    <col min="9" max="9" width="17" bestFit="1" customWidth="1"/>
    <col min="10" max="10" width="17" customWidth="1"/>
    <col min="11" max="11" width="37.28515625" bestFit="1" customWidth="1"/>
    <col min="12" max="12" width="92.7109375" bestFit="1" customWidth="1"/>
    <col min="13" max="13" width="121.7109375" bestFit="1" customWidth="1"/>
  </cols>
  <sheetData>
    <row r="1" spans="1:13">
      <c r="A1" s="32" t="s">
        <v>59</v>
      </c>
      <c r="B1" s="33" t="s">
        <v>60</v>
      </c>
      <c r="C1" s="33" t="s">
        <v>100</v>
      </c>
      <c r="D1" s="33" t="s">
        <v>61</v>
      </c>
      <c r="E1" s="33" t="s">
        <v>99</v>
      </c>
      <c r="F1" s="33" t="s">
        <v>62</v>
      </c>
      <c r="G1" s="33" t="s">
        <v>98</v>
      </c>
      <c r="H1" s="33" t="s">
        <v>63</v>
      </c>
      <c r="I1" s="33" t="s">
        <v>97</v>
      </c>
      <c r="J1" s="34" t="s">
        <v>125</v>
      </c>
      <c r="K1" s="34" t="s">
        <v>64</v>
      </c>
      <c r="L1" s="34" t="s">
        <v>65</v>
      </c>
      <c r="M1" s="34" t="s">
        <v>66</v>
      </c>
    </row>
    <row r="2" spans="1:13">
      <c r="A2" s="10" t="s">
        <v>67</v>
      </c>
      <c r="B2" s="27" t="s">
        <v>53</v>
      </c>
      <c r="C2" s="27"/>
      <c r="D2" s="27" t="s">
        <v>53</v>
      </c>
      <c r="E2" s="27"/>
      <c r="F2" s="27" t="s">
        <v>53</v>
      </c>
      <c r="G2" s="27"/>
      <c r="H2" s="27">
        <v>2</v>
      </c>
      <c r="I2" s="27" t="s">
        <v>96</v>
      </c>
      <c r="J2" s="43">
        <v>45840</v>
      </c>
      <c r="K2" s="10" t="s">
        <v>68</v>
      </c>
      <c r="L2" s="10" t="s">
        <v>25</v>
      </c>
      <c r="M2" s="35"/>
    </row>
    <row r="3" spans="1:13">
      <c r="A3" s="10" t="s">
        <v>67</v>
      </c>
      <c r="B3" s="27" t="s">
        <v>53</v>
      </c>
      <c r="C3" s="27"/>
      <c r="D3" s="27" t="s">
        <v>53</v>
      </c>
      <c r="E3" s="27"/>
      <c r="F3" s="27" t="s">
        <v>53</v>
      </c>
      <c r="G3" s="27"/>
      <c r="H3" s="27">
        <v>2</v>
      </c>
      <c r="I3" s="27" t="s">
        <v>96</v>
      </c>
      <c r="J3" s="27"/>
      <c r="K3" s="10" t="s">
        <v>68</v>
      </c>
      <c r="L3" s="10" t="s">
        <v>26</v>
      </c>
      <c r="M3" s="35"/>
    </row>
    <row r="4" spans="1:13">
      <c r="A4" s="10" t="s">
        <v>67</v>
      </c>
      <c r="B4" s="27" t="s">
        <v>53</v>
      </c>
      <c r="C4" s="27"/>
      <c r="D4" s="27" t="s">
        <v>53</v>
      </c>
      <c r="E4" s="27"/>
      <c r="F4" s="27" t="s">
        <v>53</v>
      </c>
      <c r="G4" s="27"/>
      <c r="H4" s="27">
        <v>1</v>
      </c>
      <c r="I4" s="27" t="s">
        <v>96</v>
      </c>
      <c r="J4" s="27"/>
      <c r="K4" s="10" t="s">
        <v>68</v>
      </c>
      <c r="L4" s="10" t="s">
        <v>27</v>
      </c>
      <c r="M4" s="36" t="s">
        <v>69</v>
      </c>
    </row>
    <row r="5" spans="1:13">
      <c r="A5" s="10" t="s">
        <v>67</v>
      </c>
      <c r="B5" s="27" t="s">
        <v>53</v>
      </c>
      <c r="C5" s="27"/>
      <c r="D5" s="27" t="s">
        <v>53</v>
      </c>
      <c r="E5" s="27"/>
      <c r="F5" s="27" t="s">
        <v>53</v>
      </c>
      <c r="G5" s="27"/>
      <c r="H5" s="27">
        <v>1</v>
      </c>
      <c r="I5" s="27" t="s">
        <v>96</v>
      </c>
      <c r="J5" s="27"/>
      <c r="K5" s="10" t="s">
        <v>68</v>
      </c>
      <c r="L5" s="10" t="s">
        <v>28</v>
      </c>
      <c r="M5" s="36" t="s">
        <v>70</v>
      </c>
    </row>
    <row r="6" spans="1:13">
      <c r="A6" s="37" t="s">
        <v>67</v>
      </c>
      <c r="B6" s="38" t="s">
        <v>53</v>
      </c>
      <c r="C6" s="38"/>
      <c r="D6" s="38" t="s">
        <v>53</v>
      </c>
      <c r="E6" s="38"/>
      <c r="F6" s="38" t="s">
        <v>53</v>
      </c>
      <c r="G6" s="38"/>
      <c r="H6" s="38">
        <v>2</v>
      </c>
      <c r="I6" s="38"/>
      <c r="J6" s="38"/>
      <c r="K6" s="37" t="s">
        <v>71</v>
      </c>
      <c r="L6" s="37" t="s">
        <v>29</v>
      </c>
      <c r="M6" s="39" t="s">
        <v>72</v>
      </c>
    </row>
    <row r="7" spans="1:13">
      <c r="A7" s="37" t="s">
        <v>67</v>
      </c>
      <c r="B7" s="38" t="s">
        <v>53</v>
      </c>
      <c r="C7" s="38"/>
      <c r="D7" s="38" t="s">
        <v>53</v>
      </c>
      <c r="E7" s="38"/>
      <c r="F7" s="38" t="s">
        <v>53</v>
      </c>
      <c r="G7" s="38"/>
      <c r="H7" s="38">
        <v>2</v>
      </c>
      <c r="I7" s="38"/>
      <c r="J7" s="38"/>
      <c r="K7" s="37" t="s">
        <v>71</v>
      </c>
      <c r="L7" s="37" t="s">
        <v>30</v>
      </c>
      <c r="M7" s="39" t="s">
        <v>73</v>
      </c>
    </row>
    <row r="8" spans="1:13">
      <c r="A8" s="10" t="s">
        <v>67</v>
      </c>
      <c r="B8" s="27" t="s">
        <v>53</v>
      </c>
      <c r="C8" s="27"/>
      <c r="D8" s="27">
        <v>2</v>
      </c>
      <c r="E8" s="27" t="s">
        <v>126</v>
      </c>
      <c r="F8" s="27">
        <v>1</v>
      </c>
      <c r="G8" s="27" t="s">
        <v>126</v>
      </c>
      <c r="H8" s="27">
        <v>1</v>
      </c>
      <c r="I8" s="27" t="s">
        <v>126</v>
      </c>
      <c r="J8" s="27"/>
      <c r="K8" s="10" t="s">
        <v>31</v>
      </c>
      <c r="L8" s="10" t="s">
        <v>31</v>
      </c>
      <c r="M8" s="36" t="s">
        <v>74</v>
      </c>
    </row>
    <row r="9" spans="1:13">
      <c r="A9" s="10" t="s">
        <v>67</v>
      </c>
      <c r="B9" s="27">
        <v>2</v>
      </c>
      <c r="C9" s="27" t="s">
        <v>127</v>
      </c>
      <c r="D9" s="27">
        <v>2</v>
      </c>
      <c r="E9" s="27" t="s">
        <v>96</v>
      </c>
      <c r="F9" s="27" t="s">
        <v>53</v>
      </c>
      <c r="G9" s="27"/>
      <c r="H9" s="27" t="s">
        <v>53</v>
      </c>
      <c r="I9" s="10"/>
      <c r="J9" s="10"/>
      <c r="K9" s="10" t="s">
        <v>75</v>
      </c>
      <c r="L9" s="10" t="s">
        <v>32</v>
      </c>
      <c r="M9" s="36"/>
    </row>
    <row r="10" spans="1:13">
      <c r="A10" s="10" t="s">
        <v>67</v>
      </c>
      <c r="B10" s="27">
        <v>8</v>
      </c>
      <c r="C10" s="27" t="s">
        <v>127</v>
      </c>
      <c r="D10" s="27" t="s">
        <v>53</v>
      </c>
      <c r="E10" s="27"/>
      <c r="F10" s="27" t="s">
        <v>53</v>
      </c>
      <c r="G10" s="27"/>
      <c r="H10" s="27" t="s">
        <v>53</v>
      </c>
      <c r="I10" s="10"/>
      <c r="J10" s="10"/>
      <c r="K10" s="10" t="s">
        <v>75</v>
      </c>
      <c r="L10" s="10" t="s">
        <v>33</v>
      </c>
      <c r="M10" s="10"/>
    </row>
    <row r="11" spans="1:13">
      <c r="A11" s="10" t="s">
        <v>67</v>
      </c>
      <c r="B11" s="27">
        <v>1</v>
      </c>
      <c r="C11" s="27" t="s">
        <v>127</v>
      </c>
      <c r="D11" s="27">
        <v>3</v>
      </c>
      <c r="E11" s="27" t="s">
        <v>96</v>
      </c>
      <c r="F11" s="27" t="s">
        <v>53</v>
      </c>
      <c r="G11" s="27"/>
      <c r="H11" s="27" t="s">
        <v>53</v>
      </c>
      <c r="I11" s="10"/>
      <c r="J11" s="10"/>
      <c r="K11" s="10" t="s">
        <v>75</v>
      </c>
      <c r="L11" s="10" t="s">
        <v>34</v>
      </c>
      <c r="M11" s="10"/>
    </row>
    <row r="12" spans="1:13">
      <c r="A12" s="10" t="s">
        <v>67</v>
      </c>
      <c r="B12" s="27">
        <v>1</v>
      </c>
      <c r="C12" s="27" t="s">
        <v>127</v>
      </c>
      <c r="D12" s="27">
        <v>2</v>
      </c>
      <c r="E12" s="27" t="s">
        <v>96</v>
      </c>
      <c r="F12" s="27" t="s">
        <v>53</v>
      </c>
      <c r="G12" s="27"/>
      <c r="H12" s="27" t="s">
        <v>53</v>
      </c>
      <c r="I12" s="27"/>
      <c r="J12" s="27"/>
      <c r="K12" s="10" t="s">
        <v>76</v>
      </c>
      <c r="L12" s="10" t="s">
        <v>35</v>
      </c>
      <c r="M12" s="10"/>
    </row>
    <row r="13" spans="1:13">
      <c r="A13" s="10" t="s">
        <v>67</v>
      </c>
      <c r="B13" s="27">
        <v>2</v>
      </c>
      <c r="C13" s="27" t="s">
        <v>127</v>
      </c>
      <c r="D13" s="27">
        <v>1</v>
      </c>
      <c r="E13" s="27" t="s">
        <v>96</v>
      </c>
      <c r="F13" s="27">
        <v>5</v>
      </c>
      <c r="G13" s="27" t="s">
        <v>128</v>
      </c>
      <c r="H13" s="27" t="s">
        <v>53</v>
      </c>
      <c r="I13" s="27"/>
      <c r="J13" s="27"/>
      <c r="K13" s="10" t="s">
        <v>76</v>
      </c>
      <c r="L13" s="10" t="s">
        <v>36</v>
      </c>
      <c r="M13" s="10" t="s">
        <v>77</v>
      </c>
    </row>
    <row r="14" spans="1:13">
      <c r="A14" s="10" t="s">
        <v>67</v>
      </c>
      <c r="B14" s="27">
        <v>1</v>
      </c>
      <c r="C14" s="27" t="s">
        <v>127</v>
      </c>
      <c r="D14" s="27">
        <v>2</v>
      </c>
      <c r="E14" s="27" t="s">
        <v>96</v>
      </c>
      <c r="F14" s="27">
        <v>3</v>
      </c>
      <c r="G14" s="27" t="s">
        <v>128</v>
      </c>
      <c r="H14" s="27" t="s">
        <v>53</v>
      </c>
      <c r="I14" s="27"/>
      <c r="J14" s="27"/>
      <c r="K14" s="10" t="s">
        <v>76</v>
      </c>
      <c r="L14" s="10" t="s">
        <v>37</v>
      </c>
      <c r="M14" s="10" t="s">
        <v>77</v>
      </c>
    </row>
    <row r="15" spans="1:13">
      <c r="A15" s="10" t="s">
        <v>67</v>
      </c>
      <c r="B15" s="27">
        <v>5</v>
      </c>
      <c r="C15" s="27" t="s">
        <v>127</v>
      </c>
      <c r="D15" s="27">
        <v>3</v>
      </c>
      <c r="E15" s="27" t="s">
        <v>96</v>
      </c>
      <c r="F15" s="27" t="s">
        <v>53</v>
      </c>
      <c r="G15" s="27"/>
      <c r="H15" s="27" t="s">
        <v>53</v>
      </c>
      <c r="I15" s="27"/>
      <c r="J15" s="27"/>
      <c r="K15" s="10" t="s">
        <v>76</v>
      </c>
      <c r="L15" s="10" t="s">
        <v>38</v>
      </c>
      <c r="M15" s="10" t="s">
        <v>78</v>
      </c>
    </row>
    <row r="16" spans="1:13">
      <c r="A16" s="10" t="s">
        <v>67</v>
      </c>
      <c r="B16" s="27">
        <v>1</v>
      </c>
      <c r="C16" s="27" t="s">
        <v>127</v>
      </c>
      <c r="D16" s="27">
        <v>1</v>
      </c>
      <c r="E16" s="27" t="s">
        <v>96</v>
      </c>
      <c r="F16" s="27" t="s">
        <v>53</v>
      </c>
      <c r="G16" s="27"/>
      <c r="H16" s="27" t="s">
        <v>53</v>
      </c>
      <c r="I16" s="27"/>
      <c r="J16" s="27"/>
      <c r="K16" s="10" t="s">
        <v>76</v>
      </c>
      <c r="L16" s="10" t="s">
        <v>39</v>
      </c>
      <c r="M16" s="10" t="s">
        <v>78</v>
      </c>
    </row>
    <row r="17" spans="1:13">
      <c r="A17" s="10" t="s">
        <v>67</v>
      </c>
      <c r="B17" s="27">
        <v>1</v>
      </c>
      <c r="C17" s="27" t="s">
        <v>127</v>
      </c>
      <c r="D17" s="27">
        <v>1</v>
      </c>
      <c r="E17" s="27" t="s">
        <v>96</v>
      </c>
      <c r="F17" s="27" t="s">
        <v>53</v>
      </c>
      <c r="G17" s="27"/>
      <c r="H17" s="27" t="s">
        <v>53</v>
      </c>
      <c r="I17" s="27"/>
      <c r="J17" s="27"/>
      <c r="K17" s="10" t="s">
        <v>76</v>
      </c>
      <c r="L17" s="10" t="s">
        <v>40</v>
      </c>
      <c r="M17" s="10"/>
    </row>
    <row r="18" spans="1:13">
      <c r="A18" s="10" t="s">
        <v>67</v>
      </c>
      <c r="B18" s="27">
        <v>3</v>
      </c>
      <c r="C18" s="27" t="s">
        <v>127</v>
      </c>
      <c r="D18" s="27">
        <v>5</v>
      </c>
      <c r="E18" s="27" t="s">
        <v>96</v>
      </c>
      <c r="F18" s="27" t="s">
        <v>53</v>
      </c>
      <c r="G18" s="27"/>
      <c r="H18" s="27" t="s">
        <v>53</v>
      </c>
      <c r="I18" s="27"/>
      <c r="J18" s="27"/>
      <c r="K18" s="10" t="s">
        <v>76</v>
      </c>
      <c r="L18" s="10" t="s">
        <v>41</v>
      </c>
      <c r="M18" s="10"/>
    </row>
    <row r="19" spans="1:13">
      <c r="A19" s="10" t="s">
        <v>67</v>
      </c>
      <c r="B19" s="27">
        <v>5</v>
      </c>
      <c r="C19" s="27" t="s">
        <v>129</v>
      </c>
      <c r="D19" s="27">
        <v>2</v>
      </c>
      <c r="E19" s="27" t="s">
        <v>130</v>
      </c>
      <c r="F19" s="27">
        <v>5</v>
      </c>
      <c r="G19" s="27" t="s">
        <v>128</v>
      </c>
      <c r="H19" s="27" t="s">
        <v>53</v>
      </c>
      <c r="I19" s="27"/>
      <c r="J19" s="27"/>
      <c r="K19" s="10" t="s">
        <v>76</v>
      </c>
      <c r="L19" s="10" t="s">
        <v>42</v>
      </c>
      <c r="M19" s="10"/>
    </row>
    <row r="20" spans="1:13">
      <c r="A20" s="10" t="s">
        <v>67</v>
      </c>
      <c r="B20" s="27">
        <v>1</v>
      </c>
      <c r="C20" s="27" t="s">
        <v>129</v>
      </c>
      <c r="D20" s="27">
        <v>1</v>
      </c>
      <c r="E20" s="27" t="s">
        <v>130</v>
      </c>
      <c r="F20" s="27" t="s">
        <v>53</v>
      </c>
      <c r="G20" s="27"/>
      <c r="H20" s="27" t="s">
        <v>53</v>
      </c>
      <c r="I20" s="27"/>
      <c r="J20" s="27"/>
      <c r="K20" s="10" t="s">
        <v>79</v>
      </c>
      <c r="L20" s="10" t="s">
        <v>43</v>
      </c>
      <c r="M20" s="10"/>
    </row>
    <row r="21" spans="1:13">
      <c r="A21" s="10" t="s">
        <v>67</v>
      </c>
      <c r="B21" s="27" t="s">
        <v>53</v>
      </c>
      <c r="C21" s="27"/>
      <c r="D21" s="27" t="s">
        <v>53</v>
      </c>
      <c r="E21" s="27"/>
      <c r="F21" s="27">
        <v>5</v>
      </c>
      <c r="G21" s="27" t="s">
        <v>131</v>
      </c>
      <c r="H21" s="27" t="s">
        <v>53</v>
      </c>
      <c r="I21" s="27"/>
      <c r="J21" s="27"/>
      <c r="K21" s="10" t="s">
        <v>79</v>
      </c>
      <c r="L21" s="10" t="s">
        <v>44</v>
      </c>
      <c r="M21" s="10" t="s">
        <v>77</v>
      </c>
    </row>
    <row r="22" spans="1:13">
      <c r="A22" s="10" t="s">
        <v>67</v>
      </c>
      <c r="B22" s="27">
        <v>1</v>
      </c>
      <c r="C22" s="27" t="s">
        <v>129</v>
      </c>
      <c r="D22" s="27">
        <v>1</v>
      </c>
      <c r="E22" s="27" t="s">
        <v>130</v>
      </c>
      <c r="F22" s="27" t="s">
        <v>53</v>
      </c>
      <c r="G22" s="27"/>
      <c r="H22" s="27" t="s">
        <v>53</v>
      </c>
      <c r="I22" s="27"/>
      <c r="J22" s="27"/>
      <c r="K22" s="10" t="s">
        <v>80</v>
      </c>
      <c r="L22" s="10" t="s">
        <v>45</v>
      </c>
      <c r="M22" s="10"/>
    </row>
    <row r="23" spans="1:13">
      <c r="A23" s="10" t="s">
        <v>67</v>
      </c>
      <c r="B23" s="27">
        <v>1</v>
      </c>
      <c r="C23" s="27" t="s">
        <v>129</v>
      </c>
      <c r="D23" s="27">
        <v>2</v>
      </c>
      <c r="E23" s="27" t="s">
        <v>130</v>
      </c>
      <c r="F23" s="27">
        <v>1</v>
      </c>
      <c r="G23" s="27" t="s">
        <v>131</v>
      </c>
      <c r="H23" s="27" t="s">
        <v>53</v>
      </c>
      <c r="I23" s="27"/>
      <c r="J23" s="27"/>
      <c r="K23" s="10" t="s">
        <v>80</v>
      </c>
      <c r="L23" s="10" t="s">
        <v>46</v>
      </c>
      <c r="M23" s="10"/>
    </row>
    <row r="24" spans="1:13">
      <c r="A24" s="10" t="s">
        <v>67</v>
      </c>
      <c r="B24" s="27" t="s">
        <v>53</v>
      </c>
      <c r="C24" s="27"/>
      <c r="D24" s="27" t="s">
        <v>53</v>
      </c>
      <c r="E24" s="27"/>
      <c r="F24" s="27">
        <v>5</v>
      </c>
      <c r="G24" s="27" t="s">
        <v>131</v>
      </c>
      <c r="H24" s="27" t="s">
        <v>53</v>
      </c>
      <c r="I24" s="27"/>
      <c r="J24" s="27"/>
      <c r="K24" s="10" t="s">
        <v>80</v>
      </c>
      <c r="L24" s="10" t="s">
        <v>47</v>
      </c>
      <c r="M24" s="10" t="s">
        <v>77</v>
      </c>
    </row>
    <row r="25" spans="1:13">
      <c r="A25" s="10" t="s">
        <v>67</v>
      </c>
      <c r="B25" s="27">
        <v>3</v>
      </c>
      <c r="C25" s="27" t="s">
        <v>129</v>
      </c>
      <c r="D25" s="27">
        <v>3</v>
      </c>
      <c r="E25" s="27" t="s">
        <v>127</v>
      </c>
      <c r="F25" s="27" t="s">
        <v>53</v>
      </c>
      <c r="G25" s="27"/>
      <c r="H25" s="27" t="s">
        <v>53</v>
      </c>
      <c r="I25" s="27"/>
      <c r="J25" s="27"/>
      <c r="K25" s="10" t="s">
        <v>80</v>
      </c>
      <c r="L25" s="10" t="s">
        <v>48</v>
      </c>
      <c r="M25" s="10" t="s">
        <v>81</v>
      </c>
    </row>
    <row r="26" spans="1:13">
      <c r="A26" s="10" t="s">
        <v>67</v>
      </c>
      <c r="B26" s="27">
        <v>3</v>
      </c>
      <c r="C26" s="27" t="s">
        <v>129</v>
      </c>
      <c r="D26" s="27">
        <v>5</v>
      </c>
      <c r="E26" s="27" t="s">
        <v>127</v>
      </c>
      <c r="F26" s="27" t="s">
        <v>53</v>
      </c>
      <c r="G26" s="27"/>
      <c r="H26" s="27" t="s">
        <v>53</v>
      </c>
      <c r="I26" s="27"/>
      <c r="J26" s="27"/>
      <c r="K26" s="10" t="s">
        <v>82</v>
      </c>
      <c r="L26" s="10" t="s">
        <v>49</v>
      </c>
      <c r="M26" s="10"/>
    </row>
    <row r="27" spans="1:13">
      <c r="A27" s="10" t="s">
        <v>67</v>
      </c>
      <c r="B27" s="27">
        <v>1</v>
      </c>
      <c r="C27" s="27" t="s">
        <v>129</v>
      </c>
      <c r="D27" s="27">
        <v>1</v>
      </c>
      <c r="E27" s="27" t="s">
        <v>127</v>
      </c>
      <c r="F27" s="27" t="s">
        <v>53</v>
      </c>
      <c r="G27" s="27"/>
      <c r="H27" s="27" t="s">
        <v>53</v>
      </c>
      <c r="I27" s="27"/>
      <c r="J27" s="27"/>
      <c r="K27" s="10" t="s">
        <v>82</v>
      </c>
      <c r="L27" s="10" t="s">
        <v>50</v>
      </c>
      <c r="M27" s="10"/>
    </row>
    <row r="28" spans="1:13">
      <c r="A28" s="10" t="s">
        <v>67</v>
      </c>
      <c r="B28" s="27" t="s">
        <v>53</v>
      </c>
      <c r="C28" s="27"/>
      <c r="D28" s="27" t="s">
        <v>53</v>
      </c>
      <c r="E28" s="27"/>
      <c r="F28" s="27">
        <v>3</v>
      </c>
      <c r="G28" s="27" t="s">
        <v>131</v>
      </c>
      <c r="H28" s="27" t="s">
        <v>53</v>
      </c>
      <c r="I28" s="27"/>
      <c r="J28" s="27"/>
      <c r="K28" s="10" t="s">
        <v>83</v>
      </c>
      <c r="L28" s="10" t="s">
        <v>51</v>
      </c>
      <c r="M28" s="10"/>
    </row>
    <row r="29" spans="1:13">
      <c r="A29" s="10" t="s">
        <v>67</v>
      </c>
      <c r="B29" s="27" t="s">
        <v>53</v>
      </c>
      <c r="C29" s="27"/>
      <c r="D29" s="27" t="s">
        <v>53</v>
      </c>
      <c r="E29" s="27"/>
      <c r="F29" s="27">
        <v>3</v>
      </c>
      <c r="G29" s="27" t="s">
        <v>131</v>
      </c>
      <c r="H29" s="27" t="s">
        <v>53</v>
      </c>
      <c r="I29" s="27"/>
      <c r="J29" s="43">
        <v>45875</v>
      </c>
      <c r="K29" s="10" t="s">
        <v>84</v>
      </c>
      <c r="L29" s="10" t="s">
        <v>52</v>
      </c>
      <c r="M29" s="10"/>
    </row>
    <row r="30" spans="1:13">
      <c r="A30" s="10" t="s">
        <v>85</v>
      </c>
      <c r="B30" s="44" t="s">
        <v>53</v>
      </c>
      <c r="C30" s="27"/>
      <c r="D30" s="27" t="s">
        <v>53</v>
      </c>
      <c r="E30" s="27"/>
      <c r="F30" s="27" t="s">
        <v>53</v>
      </c>
      <c r="G30" s="27"/>
      <c r="H30" s="27">
        <v>1</v>
      </c>
      <c r="I30" s="27" t="s">
        <v>127</v>
      </c>
      <c r="J30" s="43">
        <v>45853</v>
      </c>
      <c r="K30" s="10" t="s">
        <v>68</v>
      </c>
      <c r="L30" s="10" t="s">
        <v>28</v>
      </c>
      <c r="M30" s="36" t="s">
        <v>86</v>
      </c>
    </row>
    <row r="31" spans="1:13">
      <c r="A31" s="10" t="s">
        <v>85</v>
      </c>
      <c r="B31" s="44" t="s">
        <v>53</v>
      </c>
      <c r="C31" s="27"/>
      <c r="D31" s="27" t="s">
        <v>53</v>
      </c>
      <c r="E31" s="27"/>
      <c r="F31" s="27" t="s">
        <v>53</v>
      </c>
      <c r="G31" s="27"/>
      <c r="H31" s="27">
        <v>1</v>
      </c>
      <c r="I31" s="27" t="s">
        <v>127</v>
      </c>
      <c r="J31" s="27"/>
      <c r="K31" s="10" t="s">
        <v>71</v>
      </c>
      <c r="L31" s="10" t="s">
        <v>30</v>
      </c>
      <c r="M31" s="36" t="s">
        <v>86</v>
      </c>
    </row>
    <row r="32" spans="1:13">
      <c r="A32" s="10" t="s">
        <v>85</v>
      </c>
      <c r="B32" s="44" t="s">
        <v>53</v>
      </c>
      <c r="C32" s="27"/>
      <c r="D32" s="27">
        <v>1</v>
      </c>
      <c r="E32" s="27" t="s">
        <v>127</v>
      </c>
      <c r="F32" s="27" t="s">
        <v>87</v>
      </c>
      <c r="G32" s="27"/>
      <c r="H32" s="27" t="s">
        <v>53</v>
      </c>
      <c r="I32" s="27"/>
      <c r="J32" s="27"/>
      <c r="K32" s="10" t="s">
        <v>31</v>
      </c>
      <c r="L32" s="10" t="s">
        <v>31</v>
      </c>
      <c r="M32" s="36" t="s">
        <v>88</v>
      </c>
    </row>
    <row r="33" spans="1:13">
      <c r="A33" s="10" t="s">
        <v>85</v>
      </c>
      <c r="B33" s="44">
        <v>1</v>
      </c>
      <c r="C33" s="27" t="s">
        <v>129</v>
      </c>
      <c r="D33" s="27">
        <v>1</v>
      </c>
      <c r="E33" s="27" t="s">
        <v>127</v>
      </c>
      <c r="F33" s="27" t="s">
        <v>53</v>
      </c>
      <c r="G33" s="27"/>
      <c r="H33" s="27" t="s">
        <v>53</v>
      </c>
      <c r="I33" s="27"/>
      <c r="J33" s="27"/>
      <c r="K33" s="10" t="s">
        <v>75</v>
      </c>
      <c r="L33" s="10" t="s">
        <v>32</v>
      </c>
      <c r="M33" s="36"/>
    </row>
    <row r="34" spans="1:13">
      <c r="A34" s="10" t="s">
        <v>85</v>
      </c>
      <c r="B34" s="44" t="s">
        <v>53</v>
      </c>
      <c r="C34" s="27"/>
      <c r="D34" s="27" t="s">
        <v>53</v>
      </c>
      <c r="E34" s="27"/>
      <c r="F34" s="27" t="s">
        <v>53</v>
      </c>
      <c r="G34" s="27"/>
      <c r="H34" s="27" t="s">
        <v>53</v>
      </c>
      <c r="I34" s="27"/>
      <c r="J34" s="27"/>
      <c r="K34" s="10" t="s">
        <v>75</v>
      </c>
      <c r="L34" s="10" t="s">
        <v>33</v>
      </c>
      <c r="M34" s="10"/>
    </row>
    <row r="35" spans="1:13">
      <c r="A35" s="10" t="s">
        <v>85</v>
      </c>
      <c r="B35" s="44">
        <v>1</v>
      </c>
      <c r="C35" s="27" t="s">
        <v>129</v>
      </c>
      <c r="D35" s="27">
        <v>1</v>
      </c>
      <c r="E35" s="27" t="s">
        <v>127</v>
      </c>
      <c r="F35" s="27" t="s">
        <v>53</v>
      </c>
      <c r="G35" s="27"/>
      <c r="H35" s="27" t="s">
        <v>53</v>
      </c>
      <c r="I35" s="27"/>
      <c r="J35" s="27"/>
      <c r="K35" s="10" t="s">
        <v>75</v>
      </c>
      <c r="L35" s="10" t="s">
        <v>34</v>
      </c>
      <c r="M35" s="10"/>
    </row>
    <row r="36" spans="1:13">
      <c r="A36" s="10" t="s">
        <v>85</v>
      </c>
      <c r="B36" s="44">
        <v>1</v>
      </c>
      <c r="C36" s="27" t="s">
        <v>129</v>
      </c>
      <c r="D36" s="27">
        <v>1</v>
      </c>
      <c r="E36" s="27" t="s">
        <v>127</v>
      </c>
      <c r="F36" s="27" t="s">
        <v>53</v>
      </c>
      <c r="G36" s="27"/>
      <c r="H36" s="27" t="s">
        <v>53</v>
      </c>
      <c r="I36" s="27"/>
      <c r="J36" s="27"/>
      <c r="K36" s="10" t="s">
        <v>76</v>
      </c>
      <c r="L36" s="10" t="s">
        <v>35</v>
      </c>
      <c r="M36" s="10"/>
    </row>
    <row r="37" spans="1:13">
      <c r="A37" s="10" t="s">
        <v>85</v>
      </c>
      <c r="B37" s="44">
        <v>1</v>
      </c>
      <c r="C37" s="27" t="s">
        <v>129</v>
      </c>
      <c r="D37" s="27">
        <v>1</v>
      </c>
      <c r="E37" s="27" t="s">
        <v>127</v>
      </c>
      <c r="F37" s="27">
        <v>3</v>
      </c>
      <c r="G37" s="27" t="s">
        <v>128</v>
      </c>
      <c r="H37" s="27" t="s">
        <v>53</v>
      </c>
      <c r="I37" s="27"/>
      <c r="J37" s="27"/>
      <c r="K37" s="10" t="s">
        <v>76</v>
      </c>
      <c r="L37" s="10" t="s">
        <v>36</v>
      </c>
      <c r="M37" s="10" t="s">
        <v>77</v>
      </c>
    </row>
    <row r="38" spans="1:13">
      <c r="A38" s="10" t="s">
        <v>85</v>
      </c>
      <c r="B38" s="44">
        <v>1</v>
      </c>
      <c r="C38" s="27" t="s">
        <v>129</v>
      </c>
      <c r="D38" s="27">
        <v>2</v>
      </c>
      <c r="E38" s="27" t="s">
        <v>127</v>
      </c>
      <c r="F38" s="27" t="s">
        <v>53</v>
      </c>
      <c r="G38" s="27"/>
      <c r="H38" s="27" t="s">
        <v>53</v>
      </c>
      <c r="I38" s="27"/>
      <c r="J38" s="27"/>
      <c r="K38" s="10" t="s">
        <v>76</v>
      </c>
      <c r="L38" s="10" t="s">
        <v>38</v>
      </c>
      <c r="M38" s="10" t="s">
        <v>78</v>
      </c>
    </row>
    <row r="39" spans="1:13">
      <c r="A39" s="10" t="s">
        <v>85</v>
      </c>
      <c r="B39" s="44">
        <v>1</v>
      </c>
      <c r="C39" s="27" t="s">
        <v>129</v>
      </c>
      <c r="D39" s="27">
        <v>1</v>
      </c>
      <c r="E39" s="27" t="s">
        <v>127</v>
      </c>
      <c r="F39" s="27" t="s">
        <v>53</v>
      </c>
      <c r="G39" s="27"/>
      <c r="H39" s="27" t="s">
        <v>53</v>
      </c>
      <c r="I39" s="27"/>
      <c r="J39" s="27"/>
      <c r="K39" s="10" t="s">
        <v>76</v>
      </c>
      <c r="L39" s="10" t="s">
        <v>39</v>
      </c>
      <c r="M39" s="10" t="s">
        <v>78</v>
      </c>
    </row>
    <row r="40" spans="1:13">
      <c r="A40" s="10" t="s">
        <v>85</v>
      </c>
      <c r="B40" s="44">
        <v>1</v>
      </c>
      <c r="C40" s="27" t="s">
        <v>129</v>
      </c>
      <c r="D40" s="27">
        <v>2</v>
      </c>
      <c r="E40" s="27" t="s">
        <v>127</v>
      </c>
      <c r="F40" s="27" t="s">
        <v>53</v>
      </c>
      <c r="G40" s="27"/>
      <c r="H40" s="27" t="s">
        <v>53</v>
      </c>
      <c r="I40" s="27"/>
      <c r="J40" s="27"/>
      <c r="K40" s="10" t="s">
        <v>76</v>
      </c>
      <c r="L40" s="10" t="s">
        <v>89</v>
      </c>
      <c r="M40" s="10"/>
    </row>
    <row r="41" spans="1:13">
      <c r="A41" s="10" t="s">
        <v>85</v>
      </c>
      <c r="B41" s="44">
        <v>1</v>
      </c>
      <c r="C41" s="27" t="s">
        <v>129</v>
      </c>
      <c r="D41" s="27">
        <v>2</v>
      </c>
      <c r="E41" s="27" t="s">
        <v>127</v>
      </c>
      <c r="F41" s="27">
        <v>5</v>
      </c>
      <c r="G41" s="27" t="s">
        <v>128</v>
      </c>
      <c r="H41" s="27" t="s">
        <v>53</v>
      </c>
      <c r="I41" s="27"/>
      <c r="J41" s="27"/>
      <c r="K41" s="10" t="s">
        <v>76</v>
      </c>
      <c r="L41" s="10" t="s">
        <v>42</v>
      </c>
      <c r="M41" s="10"/>
    </row>
    <row r="42" spans="1:13">
      <c r="A42" s="10" t="s">
        <v>85</v>
      </c>
      <c r="B42" s="44">
        <v>1</v>
      </c>
      <c r="C42" s="27" t="s">
        <v>129</v>
      </c>
      <c r="D42" s="27">
        <v>1</v>
      </c>
      <c r="E42" s="27" t="s">
        <v>127</v>
      </c>
      <c r="F42" s="27" t="s">
        <v>53</v>
      </c>
      <c r="G42" s="27"/>
      <c r="H42" s="27" t="s">
        <v>53</v>
      </c>
      <c r="I42" s="27"/>
      <c r="J42" s="27"/>
      <c r="K42" s="10" t="s">
        <v>79</v>
      </c>
      <c r="L42" s="10" t="s">
        <v>43</v>
      </c>
      <c r="M42" s="10"/>
    </row>
    <row r="43" spans="1:13">
      <c r="A43" s="10" t="s">
        <v>85</v>
      </c>
      <c r="B43" s="44" t="s">
        <v>53</v>
      </c>
      <c r="C43" s="27"/>
      <c r="D43" s="27" t="s">
        <v>53</v>
      </c>
      <c r="E43" s="27"/>
      <c r="F43" s="27">
        <v>3</v>
      </c>
      <c r="G43" s="27" t="s">
        <v>128</v>
      </c>
      <c r="H43" s="27" t="s">
        <v>53</v>
      </c>
      <c r="I43" s="27"/>
      <c r="J43" s="27"/>
      <c r="K43" s="10" t="s">
        <v>79</v>
      </c>
      <c r="L43" s="10" t="s">
        <v>44</v>
      </c>
      <c r="M43" s="10" t="s">
        <v>77</v>
      </c>
    </row>
    <row r="44" spans="1:13">
      <c r="A44" s="10" t="s">
        <v>85</v>
      </c>
      <c r="B44" s="44">
        <v>1</v>
      </c>
      <c r="C44" s="27" t="s">
        <v>129</v>
      </c>
      <c r="D44" s="27">
        <v>1</v>
      </c>
      <c r="E44" s="27" t="s">
        <v>127</v>
      </c>
      <c r="F44" s="27" t="s">
        <v>53</v>
      </c>
      <c r="G44" s="27"/>
      <c r="H44" s="27" t="s">
        <v>53</v>
      </c>
      <c r="I44" s="27"/>
      <c r="J44" s="27"/>
      <c r="K44" s="10" t="s">
        <v>90</v>
      </c>
      <c r="L44" s="10" t="s">
        <v>45</v>
      </c>
      <c r="M44" s="10"/>
    </row>
    <row r="45" spans="1:13">
      <c r="A45" s="10" t="s">
        <v>85</v>
      </c>
      <c r="B45" s="44">
        <v>1</v>
      </c>
      <c r="C45" s="27" t="s">
        <v>129</v>
      </c>
      <c r="D45" s="27">
        <v>3</v>
      </c>
      <c r="E45" s="27" t="s">
        <v>127</v>
      </c>
      <c r="F45" s="27" t="s">
        <v>53</v>
      </c>
      <c r="G45" s="27"/>
      <c r="H45" s="27" t="s">
        <v>53</v>
      </c>
      <c r="I45" s="27"/>
      <c r="J45" s="27"/>
      <c r="K45" s="10" t="s">
        <v>90</v>
      </c>
      <c r="L45" s="10" t="s">
        <v>46</v>
      </c>
      <c r="M45" s="10"/>
    </row>
    <row r="46" spans="1:13">
      <c r="A46" s="10" t="s">
        <v>85</v>
      </c>
      <c r="B46" s="44" t="s">
        <v>53</v>
      </c>
      <c r="C46" s="27"/>
      <c r="D46" s="27" t="s">
        <v>53</v>
      </c>
      <c r="E46" s="27"/>
      <c r="F46" s="27">
        <v>3</v>
      </c>
      <c r="G46" s="27" t="s">
        <v>128</v>
      </c>
      <c r="H46" s="27" t="s">
        <v>53</v>
      </c>
      <c r="I46" s="27"/>
      <c r="J46" s="27"/>
      <c r="K46" s="10" t="s">
        <v>90</v>
      </c>
      <c r="L46" s="10" t="s">
        <v>47</v>
      </c>
      <c r="M46" s="10" t="s">
        <v>77</v>
      </c>
    </row>
    <row r="47" spans="1:13">
      <c r="A47" s="10" t="s">
        <v>85</v>
      </c>
      <c r="B47" s="44">
        <v>1</v>
      </c>
      <c r="C47" s="27" t="s">
        <v>129</v>
      </c>
      <c r="D47" s="27">
        <v>2</v>
      </c>
      <c r="E47" s="27" t="s">
        <v>127</v>
      </c>
      <c r="F47" s="27" t="s">
        <v>53</v>
      </c>
      <c r="G47" s="27"/>
      <c r="H47" s="27" t="s">
        <v>53</v>
      </c>
      <c r="I47" s="27"/>
      <c r="J47" s="27"/>
      <c r="K47" s="10" t="s">
        <v>90</v>
      </c>
      <c r="L47" s="10" t="s">
        <v>48</v>
      </c>
      <c r="M47" s="10" t="s">
        <v>91</v>
      </c>
    </row>
    <row r="48" spans="1:13">
      <c r="A48" s="10" t="s">
        <v>85</v>
      </c>
      <c r="B48" s="44">
        <v>1</v>
      </c>
      <c r="C48" s="27" t="s">
        <v>129</v>
      </c>
      <c r="D48" s="27">
        <v>5</v>
      </c>
      <c r="E48" s="27" t="s">
        <v>127</v>
      </c>
      <c r="F48" s="27" t="s">
        <v>53</v>
      </c>
      <c r="G48" s="27"/>
      <c r="H48" s="27" t="s">
        <v>53</v>
      </c>
      <c r="I48" s="27"/>
      <c r="J48" s="27"/>
      <c r="K48" s="10" t="s">
        <v>82</v>
      </c>
      <c r="L48" s="10" t="s">
        <v>49</v>
      </c>
      <c r="M48" s="10"/>
    </row>
    <row r="49" spans="1:13">
      <c r="A49" s="10" t="s">
        <v>85</v>
      </c>
      <c r="B49" s="44">
        <v>1</v>
      </c>
      <c r="C49" s="27" t="s">
        <v>129</v>
      </c>
      <c r="D49" s="27">
        <v>1</v>
      </c>
      <c r="E49" s="27" t="s">
        <v>127</v>
      </c>
      <c r="F49" s="27" t="s">
        <v>53</v>
      </c>
      <c r="G49" s="27"/>
      <c r="H49" s="27" t="s">
        <v>53</v>
      </c>
      <c r="I49" s="27"/>
      <c r="J49" s="43">
        <v>45889</v>
      </c>
      <c r="K49" s="10" t="s">
        <v>82</v>
      </c>
      <c r="L49" s="10" t="s">
        <v>50</v>
      </c>
      <c r="M49" s="10"/>
    </row>
    <row r="50" spans="1:13">
      <c r="A50" s="10" t="s">
        <v>92</v>
      </c>
      <c r="B50" s="27" t="s">
        <v>53</v>
      </c>
      <c r="C50" s="27"/>
      <c r="D50" s="27" t="s">
        <v>53</v>
      </c>
      <c r="E50" s="27"/>
      <c r="F50" s="27" t="s">
        <v>53</v>
      </c>
      <c r="G50" s="27"/>
      <c r="H50" s="27">
        <v>1</v>
      </c>
      <c r="I50" s="27" t="s">
        <v>130</v>
      </c>
      <c r="J50" s="43">
        <v>45855</v>
      </c>
      <c r="K50" s="10" t="s">
        <v>68</v>
      </c>
      <c r="L50" s="10" t="s">
        <v>28</v>
      </c>
      <c r="M50" s="36" t="s">
        <v>93</v>
      </c>
    </row>
    <row r="51" spans="1:13">
      <c r="A51" s="10" t="s">
        <v>92</v>
      </c>
      <c r="B51" s="27" t="s">
        <v>53</v>
      </c>
      <c r="C51" s="27"/>
      <c r="D51" s="27" t="s">
        <v>53</v>
      </c>
      <c r="E51" s="27"/>
      <c r="F51" s="27" t="s">
        <v>53</v>
      </c>
      <c r="G51" s="27"/>
      <c r="H51" s="27">
        <v>1</v>
      </c>
      <c r="I51" s="27" t="s">
        <v>130</v>
      </c>
      <c r="J51" s="27"/>
      <c r="K51" s="10" t="s">
        <v>71</v>
      </c>
      <c r="L51" s="10" t="s">
        <v>30</v>
      </c>
      <c r="M51" s="36" t="s">
        <v>93</v>
      </c>
    </row>
    <row r="52" spans="1:13">
      <c r="A52" s="10" t="s">
        <v>92</v>
      </c>
      <c r="B52" s="27" t="s">
        <v>53</v>
      </c>
      <c r="C52" s="27"/>
      <c r="D52" s="27">
        <v>1</v>
      </c>
      <c r="E52" s="27" t="s">
        <v>130</v>
      </c>
      <c r="F52" s="27" t="s">
        <v>87</v>
      </c>
      <c r="G52" s="27"/>
      <c r="H52" s="27" t="s">
        <v>53</v>
      </c>
      <c r="I52" s="27"/>
      <c r="J52" s="27"/>
      <c r="K52" s="10" t="s">
        <v>31</v>
      </c>
      <c r="L52" s="10" t="s">
        <v>31</v>
      </c>
      <c r="M52" s="36" t="s">
        <v>94</v>
      </c>
    </row>
    <row r="53" spans="1:13">
      <c r="A53" s="10" t="s">
        <v>92</v>
      </c>
      <c r="B53" s="27">
        <v>1</v>
      </c>
      <c r="C53" s="27" t="s">
        <v>129</v>
      </c>
      <c r="D53" s="27">
        <v>1</v>
      </c>
      <c r="E53" s="27" t="s">
        <v>130</v>
      </c>
      <c r="F53" s="27" t="s">
        <v>53</v>
      </c>
      <c r="G53" s="27"/>
      <c r="H53" s="27" t="s">
        <v>53</v>
      </c>
      <c r="I53" s="27"/>
      <c r="J53" s="27"/>
      <c r="K53" s="10" t="s">
        <v>75</v>
      </c>
      <c r="L53" s="10" t="s">
        <v>32</v>
      </c>
      <c r="M53" s="36"/>
    </row>
    <row r="54" spans="1:13">
      <c r="A54" s="10" t="s">
        <v>92</v>
      </c>
      <c r="B54" s="27">
        <v>3</v>
      </c>
      <c r="C54" s="27" t="s">
        <v>129</v>
      </c>
      <c r="D54" s="27" t="s">
        <v>53</v>
      </c>
      <c r="E54" s="27"/>
      <c r="F54" s="27" t="s">
        <v>53</v>
      </c>
      <c r="G54" s="27"/>
      <c r="H54" s="27" t="s">
        <v>53</v>
      </c>
      <c r="I54" s="27"/>
      <c r="J54" s="27"/>
      <c r="K54" s="10" t="s">
        <v>75</v>
      </c>
      <c r="L54" s="10" t="s">
        <v>33</v>
      </c>
      <c r="M54" s="10"/>
    </row>
    <row r="55" spans="1:13">
      <c r="A55" s="10" t="s">
        <v>92</v>
      </c>
      <c r="B55" s="27">
        <v>1</v>
      </c>
      <c r="C55" s="27" t="s">
        <v>129</v>
      </c>
      <c r="D55" s="27">
        <v>1</v>
      </c>
      <c r="E55" s="27" t="s">
        <v>130</v>
      </c>
      <c r="F55" s="27" t="s">
        <v>53</v>
      </c>
      <c r="G55" s="27"/>
      <c r="H55" s="27" t="s">
        <v>53</v>
      </c>
      <c r="I55" s="27"/>
      <c r="J55" s="27"/>
      <c r="K55" s="10" t="s">
        <v>75</v>
      </c>
      <c r="L55" s="10" t="s">
        <v>34</v>
      </c>
      <c r="M55" s="10"/>
    </row>
    <row r="56" spans="1:13">
      <c r="A56" s="10" t="s">
        <v>92</v>
      </c>
      <c r="B56" s="27">
        <v>1</v>
      </c>
      <c r="C56" s="27" t="s">
        <v>129</v>
      </c>
      <c r="D56" s="27">
        <v>1</v>
      </c>
      <c r="E56" s="27" t="s">
        <v>130</v>
      </c>
      <c r="F56" s="27" t="s">
        <v>53</v>
      </c>
      <c r="G56" s="27"/>
      <c r="H56" s="27" t="s">
        <v>53</v>
      </c>
      <c r="I56" s="27"/>
      <c r="J56" s="27"/>
      <c r="K56" s="10" t="s">
        <v>76</v>
      </c>
      <c r="L56" s="10" t="s">
        <v>35</v>
      </c>
      <c r="M56" s="10"/>
    </row>
    <row r="57" spans="1:13">
      <c r="A57" s="10" t="s">
        <v>92</v>
      </c>
      <c r="B57" s="27">
        <v>1</v>
      </c>
      <c r="C57" s="27" t="s">
        <v>129</v>
      </c>
      <c r="D57" s="27">
        <v>1</v>
      </c>
      <c r="E57" s="27" t="s">
        <v>130</v>
      </c>
      <c r="F57" s="27">
        <v>3</v>
      </c>
      <c r="G57" s="27" t="s">
        <v>131</v>
      </c>
      <c r="H57" s="27" t="s">
        <v>53</v>
      </c>
      <c r="I57" s="27"/>
      <c r="J57" s="27"/>
      <c r="K57" s="10" t="s">
        <v>76</v>
      </c>
      <c r="L57" s="10" t="s">
        <v>36</v>
      </c>
      <c r="M57" s="10" t="s">
        <v>77</v>
      </c>
    </row>
    <row r="58" spans="1:13">
      <c r="A58" s="10" t="s">
        <v>92</v>
      </c>
      <c r="B58" s="27">
        <v>2</v>
      </c>
      <c r="C58" s="27" t="s">
        <v>129</v>
      </c>
      <c r="D58" s="27">
        <v>2</v>
      </c>
      <c r="E58" s="27" t="s">
        <v>130</v>
      </c>
      <c r="F58" s="27" t="s">
        <v>53</v>
      </c>
      <c r="G58" s="27"/>
      <c r="H58" s="27" t="s">
        <v>53</v>
      </c>
      <c r="I58" s="27"/>
      <c r="J58" s="27"/>
      <c r="K58" s="10" t="s">
        <v>76</v>
      </c>
      <c r="L58" s="10" t="s">
        <v>38</v>
      </c>
      <c r="M58" s="10" t="s">
        <v>78</v>
      </c>
    </row>
    <row r="59" spans="1:13">
      <c r="A59" s="10" t="s">
        <v>92</v>
      </c>
      <c r="B59" s="27">
        <v>1</v>
      </c>
      <c r="C59" s="27" t="s">
        <v>129</v>
      </c>
      <c r="D59" s="27">
        <v>1</v>
      </c>
      <c r="E59" s="27" t="s">
        <v>130</v>
      </c>
      <c r="F59" s="27" t="s">
        <v>53</v>
      </c>
      <c r="G59" s="27"/>
      <c r="H59" s="27" t="s">
        <v>53</v>
      </c>
      <c r="I59" s="27"/>
      <c r="J59" s="27"/>
      <c r="K59" s="10" t="s">
        <v>76</v>
      </c>
      <c r="L59" s="10" t="s">
        <v>39</v>
      </c>
      <c r="M59" s="10" t="s">
        <v>78</v>
      </c>
    </row>
    <row r="60" spans="1:13">
      <c r="A60" s="10" t="s">
        <v>92</v>
      </c>
      <c r="B60" s="27">
        <v>1</v>
      </c>
      <c r="C60" s="27" t="s">
        <v>129</v>
      </c>
      <c r="D60" s="27">
        <v>2</v>
      </c>
      <c r="E60" s="27" t="s">
        <v>130</v>
      </c>
      <c r="F60" s="27" t="s">
        <v>53</v>
      </c>
      <c r="G60" s="27"/>
      <c r="H60" s="27" t="s">
        <v>53</v>
      </c>
      <c r="I60" s="27"/>
      <c r="J60" s="27"/>
      <c r="K60" s="10" t="s">
        <v>76</v>
      </c>
      <c r="L60" s="10" t="s">
        <v>89</v>
      </c>
      <c r="M60" s="10"/>
    </row>
    <row r="61" spans="1:13">
      <c r="A61" s="10" t="s">
        <v>92</v>
      </c>
      <c r="B61" s="27">
        <v>2</v>
      </c>
      <c r="C61" s="27" t="s">
        <v>129</v>
      </c>
      <c r="D61" s="27">
        <v>2</v>
      </c>
      <c r="E61" s="27" t="s">
        <v>130</v>
      </c>
      <c r="F61" s="27">
        <v>5</v>
      </c>
      <c r="G61" s="27" t="s">
        <v>131</v>
      </c>
      <c r="H61" s="27" t="s">
        <v>53</v>
      </c>
      <c r="I61" s="27"/>
      <c r="J61" s="27"/>
      <c r="K61" s="10" t="s">
        <v>76</v>
      </c>
      <c r="L61" s="10" t="s">
        <v>42</v>
      </c>
      <c r="M61" s="10"/>
    </row>
    <row r="62" spans="1:13">
      <c r="A62" s="10" t="s">
        <v>92</v>
      </c>
      <c r="B62" s="27">
        <v>1</v>
      </c>
      <c r="C62" s="27" t="s">
        <v>129</v>
      </c>
      <c r="D62" s="27">
        <v>1</v>
      </c>
      <c r="E62" s="27" t="s">
        <v>130</v>
      </c>
      <c r="F62" s="27" t="s">
        <v>53</v>
      </c>
      <c r="G62" s="27"/>
      <c r="H62" s="27" t="s">
        <v>53</v>
      </c>
      <c r="I62" s="27"/>
      <c r="J62" s="27"/>
      <c r="K62" s="10" t="s">
        <v>79</v>
      </c>
      <c r="L62" s="10" t="s">
        <v>43</v>
      </c>
      <c r="M62" s="10"/>
    </row>
    <row r="63" spans="1:13">
      <c r="A63" s="10" t="s">
        <v>92</v>
      </c>
      <c r="B63" s="27" t="s">
        <v>53</v>
      </c>
      <c r="C63" s="27"/>
      <c r="D63" s="27" t="s">
        <v>53</v>
      </c>
      <c r="E63" s="27"/>
      <c r="F63" s="27">
        <v>3</v>
      </c>
      <c r="G63" s="27" t="s">
        <v>131</v>
      </c>
      <c r="H63" s="27" t="s">
        <v>53</v>
      </c>
      <c r="I63" s="27"/>
      <c r="J63" s="27"/>
      <c r="K63" s="10" t="s">
        <v>79</v>
      </c>
      <c r="L63" s="10" t="s">
        <v>44</v>
      </c>
      <c r="M63" s="10" t="s">
        <v>77</v>
      </c>
    </row>
    <row r="64" spans="1:13">
      <c r="A64" s="10" t="s">
        <v>92</v>
      </c>
      <c r="B64" s="27">
        <v>1</v>
      </c>
      <c r="C64" s="27" t="s">
        <v>129</v>
      </c>
      <c r="D64" s="27">
        <v>1</v>
      </c>
      <c r="E64" s="27" t="s">
        <v>130</v>
      </c>
      <c r="F64" s="27" t="s">
        <v>53</v>
      </c>
      <c r="G64" s="27"/>
      <c r="H64" s="27" t="s">
        <v>53</v>
      </c>
      <c r="I64" s="27"/>
      <c r="J64" s="27"/>
      <c r="K64" s="10" t="s">
        <v>95</v>
      </c>
      <c r="L64" s="10" t="s">
        <v>45</v>
      </c>
      <c r="M64" s="10"/>
    </row>
    <row r="65" spans="1:13">
      <c r="A65" s="10" t="s">
        <v>92</v>
      </c>
      <c r="B65" s="27">
        <v>1</v>
      </c>
      <c r="C65" s="27" t="s">
        <v>129</v>
      </c>
      <c r="D65" s="27">
        <v>3</v>
      </c>
      <c r="E65" s="27" t="s">
        <v>130</v>
      </c>
      <c r="F65" s="27" t="s">
        <v>53</v>
      </c>
      <c r="G65" s="27"/>
      <c r="H65" s="27" t="s">
        <v>53</v>
      </c>
      <c r="I65" s="27"/>
      <c r="J65" s="27"/>
      <c r="K65" s="10" t="s">
        <v>95</v>
      </c>
      <c r="L65" s="10" t="s">
        <v>46</v>
      </c>
      <c r="M65" s="10"/>
    </row>
    <row r="66" spans="1:13">
      <c r="A66" s="10" t="s">
        <v>92</v>
      </c>
      <c r="B66" s="27" t="s">
        <v>53</v>
      </c>
      <c r="C66" s="27"/>
      <c r="D66" s="27" t="s">
        <v>53</v>
      </c>
      <c r="E66" s="27"/>
      <c r="F66" s="27">
        <v>5</v>
      </c>
      <c r="G66" s="27" t="s">
        <v>131</v>
      </c>
      <c r="H66" s="27" t="s">
        <v>53</v>
      </c>
      <c r="I66" s="27"/>
      <c r="J66" s="27"/>
      <c r="K66" s="10" t="s">
        <v>95</v>
      </c>
      <c r="L66" s="10" t="s">
        <v>47</v>
      </c>
      <c r="M66" s="10" t="s">
        <v>77</v>
      </c>
    </row>
    <row r="67" spans="1:13">
      <c r="A67" s="10" t="s">
        <v>92</v>
      </c>
      <c r="B67" s="27">
        <v>3</v>
      </c>
      <c r="C67" s="27" t="s">
        <v>129</v>
      </c>
      <c r="D67" s="27">
        <v>2</v>
      </c>
      <c r="E67" s="27" t="s">
        <v>130</v>
      </c>
      <c r="F67" s="27" t="s">
        <v>53</v>
      </c>
      <c r="G67" s="27"/>
      <c r="H67" s="27" t="s">
        <v>53</v>
      </c>
      <c r="I67" s="27"/>
      <c r="J67" s="27"/>
      <c r="K67" s="10" t="s">
        <v>95</v>
      </c>
      <c r="L67" s="10" t="s">
        <v>48</v>
      </c>
      <c r="M67" s="10" t="s">
        <v>91</v>
      </c>
    </row>
    <row r="68" spans="1:13">
      <c r="A68" s="10" t="s">
        <v>92</v>
      </c>
      <c r="B68" s="27">
        <v>3</v>
      </c>
      <c r="C68" s="27" t="s">
        <v>129</v>
      </c>
      <c r="D68" s="27">
        <v>5</v>
      </c>
      <c r="E68" s="27" t="s">
        <v>127</v>
      </c>
      <c r="F68" s="27" t="s">
        <v>53</v>
      </c>
      <c r="G68" s="27"/>
      <c r="H68" s="27" t="s">
        <v>53</v>
      </c>
      <c r="I68" s="27"/>
      <c r="J68" s="27"/>
      <c r="K68" s="10" t="s">
        <v>82</v>
      </c>
      <c r="L68" s="10" t="s">
        <v>49</v>
      </c>
      <c r="M68" s="10"/>
    </row>
    <row r="69" spans="1:13">
      <c r="A69" s="10" t="s">
        <v>92</v>
      </c>
      <c r="B69" s="27">
        <v>1</v>
      </c>
      <c r="C69" s="27" t="s">
        <v>129</v>
      </c>
      <c r="D69" s="27">
        <v>1</v>
      </c>
      <c r="E69" s="27" t="s">
        <v>127</v>
      </c>
      <c r="F69" s="27" t="s">
        <v>53</v>
      </c>
      <c r="G69" s="27"/>
      <c r="H69" s="27" t="s">
        <v>53</v>
      </c>
      <c r="I69" s="27"/>
      <c r="J69" s="43">
        <v>45895</v>
      </c>
      <c r="K69" s="10" t="s">
        <v>82</v>
      </c>
      <c r="L69" s="10" t="s">
        <v>50</v>
      </c>
      <c r="M69" s="10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6B57-EADE-4A06-8053-ED636D6A6F92}">
  <sheetPr>
    <tabColor theme="9"/>
  </sheetPr>
  <dimension ref="A1:K57"/>
  <sheetViews>
    <sheetView workbookViewId="0">
      <selection activeCell="H19" sqref="H19"/>
    </sheetView>
  </sheetViews>
  <sheetFormatPr defaultRowHeight="15"/>
  <cols>
    <col min="1" max="1" width="35.7109375" bestFit="1" customWidth="1"/>
    <col min="2" max="2" width="19.140625" bestFit="1" customWidth="1"/>
    <col min="3" max="3" width="18.28515625" bestFit="1" customWidth="1"/>
    <col min="5" max="5" width="3.7109375" customWidth="1"/>
    <col min="6" max="6" width="14.85546875" customWidth="1"/>
    <col min="7" max="7" width="35.7109375" bestFit="1" customWidth="1"/>
    <col min="8" max="8" width="10.5703125" bestFit="1" customWidth="1"/>
    <col min="9" max="9" width="12.5703125" bestFit="1" customWidth="1"/>
    <col min="10" max="10" width="11" bestFit="1" customWidth="1"/>
    <col min="11" max="11" width="21.5703125" bestFit="1" customWidth="1"/>
    <col min="17" max="17" width="25" customWidth="1"/>
    <col min="18" max="18" width="16.5703125" customWidth="1"/>
    <col min="19" max="19" width="20.42578125" customWidth="1"/>
  </cols>
  <sheetData>
    <row r="1" spans="1:10">
      <c r="A1" s="47" t="s">
        <v>1</v>
      </c>
      <c r="B1" s="48"/>
      <c r="C1" s="48"/>
      <c r="D1" s="1"/>
      <c r="G1" s="51" t="s">
        <v>0</v>
      </c>
      <c r="H1" s="52"/>
      <c r="I1" s="52"/>
      <c r="J1" s="52"/>
    </row>
    <row r="2" spans="1:10">
      <c r="A2" s="5" t="s">
        <v>2</v>
      </c>
      <c r="B2" s="5" t="s">
        <v>3</v>
      </c>
      <c r="C2" s="6" t="s">
        <v>23</v>
      </c>
      <c r="G2" s="3" t="s">
        <v>2</v>
      </c>
      <c r="H2" s="4" t="s">
        <v>22</v>
      </c>
      <c r="I2" s="4" t="s">
        <v>20</v>
      </c>
      <c r="J2" s="4" t="s">
        <v>21</v>
      </c>
    </row>
    <row r="3" spans="1:10">
      <c r="A3" s="18" t="s">
        <v>11</v>
      </c>
      <c r="B3" s="10">
        <v>3</v>
      </c>
      <c r="C3" s="11">
        <f t="shared" ref="C3:C7" si="0">IF(B3=1,4,IF(B3=2,7,IF(B3=3,14,IF(B3=5,21,IF(B3=8,35,IF(B3=13,42,IF(B3=21,49,IF(B3=34,70,IF(B3=55,105,"")))))))))</f>
        <v>14</v>
      </c>
      <c r="G3" s="18" t="s">
        <v>11</v>
      </c>
      <c r="H3" s="21">
        <f>(C3/7)</f>
        <v>2</v>
      </c>
      <c r="I3" s="9">
        <v>45840</v>
      </c>
      <c r="J3" s="26">
        <f>IF(H3&gt;=1, WORKDAY.INTL(I3,H3 -1, 1), WORKDAY.INTL(I3,H3, 1))</f>
        <v>45841</v>
      </c>
    </row>
    <row r="4" spans="1:10">
      <c r="A4" s="10" t="s">
        <v>24</v>
      </c>
      <c r="B4" s="10">
        <v>2</v>
      </c>
      <c r="C4" s="11">
        <f t="shared" si="0"/>
        <v>7</v>
      </c>
      <c r="G4" s="10" t="s">
        <v>24</v>
      </c>
      <c r="H4" s="21">
        <f t="shared" ref="H4" si="1">(C4/7)</f>
        <v>1</v>
      </c>
      <c r="I4" s="9">
        <f>WORKDAY.INTL(J3, 1)</f>
        <v>45842</v>
      </c>
      <c r="J4" s="9">
        <f>IF(H4&gt;=1, WORKDAY.INTL(I4,H4 -1, 1), WORKDAY.INTL(I4,H4, 1))</f>
        <v>45842</v>
      </c>
    </row>
    <row r="5" spans="1:10">
      <c r="A5" s="10" t="s">
        <v>6</v>
      </c>
      <c r="B5" s="10">
        <v>3</v>
      </c>
      <c r="C5" s="11">
        <f t="shared" si="0"/>
        <v>14</v>
      </c>
      <c r="G5" s="10" t="s">
        <v>6</v>
      </c>
      <c r="H5" s="21">
        <f>(C5/7)</f>
        <v>2</v>
      </c>
      <c r="I5" s="9">
        <f t="shared" ref="I5:I7" si="2">WORKDAY.INTL(J4, 1)</f>
        <v>45845</v>
      </c>
      <c r="J5" s="9">
        <f t="shared" ref="J5:J7" si="3">IF(H5&gt;=1, WORKDAY.INTL(I5,H5 -1, 1), WORKDAY.INTL(I5,H5, 1))</f>
        <v>45846</v>
      </c>
    </row>
    <row r="6" spans="1:10">
      <c r="A6" s="10" t="s">
        <v>15</v>
      </c>
      <c r="B6" s="10">
        <v>2</v>
      </c>
      <c r="C6" s="11">
        <f t="shared" si="0"/>
        <v>7</v>
      </c>
      <c r="G6" s="10" t="s">
        <v>15</v>
      </c>
      <c r="H6" s="21">
        <f>(C6/7)</f>
        <v>1</v>
      </c>
      <c r="I6" s="9">
        <f t="shared" si="2"/>
        <v>45847</v>
      </c>
      <c r="J6" s="9">
        <f t="shared" si="3"/>
        <v>45847</v>
      </c>
    </row>
    <row r="7" spans="1:10">
      <c r="A7" s="10" t="s">
        <v>19</v>
      </c>
      <c r="B7" s="10">
        <v>2</v>
      </c>
      <c r="C7" s="11">
        <f t="shared" si="0"/>
        <v>7</v>
      </c>
      <c r="G7" s="10" t="s">
        <v>19</v>
      </c>
      <c r="H7" s="21">
        <f>(C7/7)</f>
        <v>1</v>
      </c>
      <c r="I7" s="9">
        <f t="shared" si="2"/>
        <v>45848</v>
      </c>
      <c r="J7" s="9">
        <f t="shared" si="3"/>
        <v>45848</v>
      </c>
    </row>
    <row r="9" spans="1:10">
      <c r="B9" s="12" t="s">
        <v>4</v>
      </c>
      <c r="C9" s="12">
        <f>SUM(Tabela28[Tempo em Horas])</f>
        <v>49</v>
      </c>
    </row>
    <row r="20" spans="8:10">
      <c r="H20" s="13"/>
      <c r="J20" s="15"/>
    </row>
    <row r="21" spans="8:10">
      <c r="H21" s="13"/>
      <c r="J21" s="15"/>
    </row>
    <row r="22" spans="8:10">
      <c r="H22" s="13"/>
      <c r="J22" s="15"/>
    </row>
    <row r="23" spans="8:10">
      <c r="H23" s="13"/>
      <c r="J23" s="15"/>
    </row>
    <row r="24" spans="8:10">
      <c r="H24" s="13"/>
      <c r="J24" s="15"/>
    </row>
    <row r="25" spans="8:10">
      <c r="H25" s="13"/>
      <c r="J25" s="15"/>
    </row>
    <row r="26" spans="8:10">
      <c r="H26" s="13"/>
      <c r="J26" s="15"/>
    </row>
    <row r="27" spans="8:10">
      <c r="H27" s="13"/>
      <c r="J27" s="15"/>
    </row>
    <row r="28" spans="8:10">
      <c r="H28" s="13"/>
      <c r="J28" s="15"/>
    </row>
    <row r="29" spans="8:10">
      <c r="H29" s="13"/>
      <c r="J29" s="15"/>
    </row>
    <row r="30" spans="8:10">
      <c r="H30" s="13"/>
      <c r="J30" s="15"/>
    </row>
    <row r="31" spans="8:10">
      <c r="H31" s="13"/>
      <c r="J31" s="15"/>
    </row>
    <row r="32" spans="8:10">
      <c r="H32" s="13"/>
      <c r="J32" s="15"/>
    </row>
    <row r="33" spans="8:11">
      <c r="H33" s="13"/>
      <c r="J33" s="15"/>
      <c r="K33" s="15"/>
    </row>
    <row r="34" spans="8:11">
      <c r="H34" s="13"/>
      <c r="J34" s="15"/>
      <c r="K34" s="15"/>
    </row>
    <row r="35" spans="8:11">
      <c r="H35" s="13"/>
      <c r="J35" s="15"/>
      <c r="K35" s="15"/>
    </row>
    <row r="36" spans="8:11">
      <c r="H36" s="13"/>
      <c r="J36" s="15"/>
      <c r="K36" s="15"/>
    </row>
    <row r="37" spans="8:11">
      <c r="H37" s="13"/>
      <c r="J37" s="15"/>
      <c r="K37" s="15"/>
    </row>
    <row r="38" spans="8:11">
      <c r="H38" s="13"/>
      <c r="J38" s="15"/>
      <c r="K38" s="15"/>
    </row>
    <row r="39" spans="8:11">
      <c r="H39" s="17"/>
      <c r="J39" s="15"/>
      <c r="K39" s="15"/>
    </row>
    <row r="40" spans="8:11">
      <c r="H40" s="17"/>
      <c r="J40" s="15"/>
      <c r="K40" s="15"/>
    </row>
    <row r="41" spans="8:11">
      <c r="H41" s="17"/>
      <c r="J41" s="15"/>
      <c r="K41" s="15"/>
    </row>
    <row r="42" spans="8:11">
      <c r="H42" s="17"/>
      <c r="J42" s="15"/>
      <c r="K42" s="15"/>
    </row>
    <row r="43" spans="8:11">
      <c r="H43" s="17"/>
      <c r="J43" s="15"/>
      <c r="K43" s="15"/>
    </row>
    <row r="44" spans="8:11">
      <c r="H44" s="17"/>
      <c r="J44" s="15"/>
      <c r="K44" s="15"/>
    </row>
    <row r="45" spans="8:11">
      <c r="K45" s="15"/>
    </row>
    <row r="46" spans="8:11">
      <c r="K46" s="15"/>
    </row>
    <row r="47" spans="8:11">
      <c r="K47" s="15"/>
    </row>
    <row r="48" spans="8:11">
      <c r="K48" s="15"/>
    </row>
    <row r="49" spans="11:11">
      <c r="K49" s="15"/>
    </row>
    <row r="50" spans="11:11">
      <c r="K50" s="15"/>
    </row>
    <row r="51" spans="11:11">
      <c r="K51" s="15"/>
    </row>
    <row r="52" spans="11:11">
      <c r="K52" s="15"/>
    </row>
    <row r="53" spans="11:11">
      <c r="K53" s="15"/>
    </row>
    <row r="54" spans="11:11">
      <c r="K54" s="15"/>
    </row>
    <row r="55" spans="11:11">
      <c r="K55" s="15"/>
    </row>
    <row r="56" spans="11:11">
      <c r="K56" s="15"/>
    </row>
    <row r="57" spans="11:11">
      <c r="K57" s="15"/>
    </row>
  </sheetData>
  <mergeCells count="2">
    <mergeCell ref="A1:C1"/>
    <mergeCell ref="G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52E7-838B-4337-AB36-F0C7ECD67E17}">
  <sheetPr>
    <tabColor theme="9"/>
  </sheetPr>
  <dimension ref="A1:J16"/>
  <sheetViews>
    <sheetView tabSelected="1" workbookViewId="0">
      <selection activeCell="L8" sqref="L8"/>
    </sheetView>
  </sheetViews>
  <sheetFormatPr defaultRowHeight="15"/>
  <cols>
    <col min="1" max="1" width="34.5703125" bestFit="1" customWidth="1"/>
    <col min="2" max="2" width="19.140625" bestFit="1" customWidth="1"/>
    <col min="3" max="3" width="18.28515625" bestFit="1" customWidth="1"/>
    <col min="7" max="7" width="34.5703125" bestFit="1" customWidth="1"/>
    <col min="8" max="8" width="10.5703125" bestFit="1" customWidth="1"/>
    <col min="9" max="9" width="12.5703125" bestFit="1" customWidth="1"/>
    <col min="10" max="10" width="11" bestFit="1" customWidth="1"/>
    <col min="11" max="11" width="25.5703125" bestFit="1" customWidth="1"/>
    <col min="12" max="12" width="24" bestFit="1" customWidth="1"/>
    <col min="13" max="13" width="24.85546875" bestFit="1" customWidth="1"/>
    <col min="14" max="14" width="23.140625" bestFit="1" customWidth="1"/>
    <col min="15" max="15" width="22.5703125" bestFit="1" customWidth="1"/>
    <col min="16" max="16" width="21" bestFit="1" customWidth="1"/>
  </cols>
  <sheetData>
    <row r="1" spans="1:10">
      <c r="A1" s="47" t="s">
        <v>1</v>
      </c>
      <c r="B1" s="48"/>
      <c r="C1" s="48"/>
      <c r="D1" s="1"/>
      <c r="G1" s="51" t="s">
        <v>0</v>
      </c>
      <c r="H1" s="52"/>
      <c r="I1" s="52"/>
      <c r="J1" s="52"/>
    </row>
    <row r="2" spans="1:10">
      <c r="A2" s="5" t="s">
        <v>2</v>
      </c>
      <c r="B2" s="5" t="s">
        <v>3</v>
      </c>
      <c r="C2" s="6" t="s">
        <v>23</v>
      </c>
      <c r="G2" s="3" t="s">
        <v>2</v>
      </c>
      <c r="H2" s="4" t="s">
        <v>22</v>
      </c>
      <c r="I2" s="4" t="s">
        <v>20</v>
      </c>
      <c r="J2" s="4" t="s">
        <v>21</v>
      </c>
    </row>
    <row r="3" spans="1:10">
      <c r="A3" s="10" t="s">
        <v>9</v>
      </c>
      <c r="B3" s="10">
        <v>1</v>
      </c>
      <c r="C3" s="10">
        <f t="shared" ref="C3:C8" si="0">IF(B3=1,1,IF(B3=2,7,IF(B3=3,21,IF(B3=5,35,IF(B3=8,42,IF(B3=13,49,IF(B3=21,77,IF(B3=34,98,IF(B3=55,105,"")))))))))</f>
        <v>1</v>
      </c>
      <c r="G3" s="10" t="s">
        <v>9</v>
      </c>
      <c r="H3" s="8">
        <f t="shared" ref="H3:H14" si="1">(C3/7)</f>
        <v>0.14285714285714285</v>
      </c>
      <c r="I3" s="9">
        <v>45840</v>
      </c>
      <c r="J3" s="9">
        <f t="shared" ref="J3:J14" si="2">IF(H3&gt;=1, WORKDAY.INTL(I3,H3 -1, 1), WORKDAY.INTL(I3,H3, 1))</f>
        <v>45840</v>
      </c>
    </row>
    <row r="4" spans="1:10">
      <c r="A4" s="10" t="s">
        <v>10</v>
      </c>
      <c r="B4" s="10">
        <v>1</v>
      </c>
      <c r="C4" s="10">
        <f t="shared" si="0"/>
        <v>1</v>
      </c>
      <c r="G4" s="10" t="s">
        <v>10</v>
      </c>
      <c r="H4" s="8">
        <f t="shared" si="1"/>
        <v>0.14285714285714285</v>
      </c>
      <c r="I4" s="9">
        <f>WORKDAY.INTL(J3, 1)</f>
        <v>45841</v>
      </c>
      <c r="J4" s="9">
        <f t="shared" si="2"/>
        <v>45841</v>
      </c>
    </row>
    <row r="5" spans="1:10">
      <c r="A5" s="10" t="s">
        <v>11</v>
      </c>
      <c r="B5" s="10">
        <v>1</v>
      </c>
      <c r="C5" s="10">
        <f t="shared" si="0"/>
        <v>1</v>
      </c>
      <c r="G5" s="10" t="s">
        <v>11</v>
      </c>
      <c r="H5" s="20">
        <f t="shared" si="1"/>
        <v>0.14285714285714285</v>
      </c>
      <c r="I5" s="9">
        <f t="shared" ref="I5" si="3">WORKDAY.INTL(J4, 1)</f>
        <v>45842</v>
      </c>
      <c r="J5" s="9">
        <f t="shared" si="2"/>
        <v>45842</v>
      </c>
    </row>
    <row r="6" spans="1:10">
      <c r="A6" s="10" t="s">
        <v>12</v>
      </c>
      <c r="B6" s="10">
        <v>1</v>
      </c>
      <c r="C6" s="10">
        <f t="shared" si="0"/>
        <v>1</v>
      </c>
      <c r="G6" s="10" t="s">
        <v>12</v>
      </c>
      <c r="H6" s="21">
        <f t="shared" si="1"/>
        <v>0.14285714285714285</v>
      </c>
      <c r="I6" s="19">
        <f t="shared" ref="I6:I8" si="4">WORKDAY.INTL(J5, 1)</f>
        <v>45845</v>
      </c>
      <c r="J6" s="9">
        <f t="shared" si="2"/>
        <v>45845</v>
      </c>
    </row>
    <row r="7" spans="1:10">
      <c r="A7" s="10" t="s">
        <v>13</v>
      </c>
      <c r="B7" s="10">
        <v>1</v>
      </c>
      <c r="C7" s="10">
        <f t="shared" si="0"/>
        <v>1</v>
      </c>
      <c r="G7" s="10" t="s">
        <v>13</v>
      </c>
      <c r="H7" s="21">
        <f t="shared" si="1"/>
        <v>0.14285714285714285</v>
      </c>
      <c r="I7" s="19">
        <f t="shared" si="4"/>
        <v>45846</v>
      </c>
      <c r="J7" s="9">
        <f t="shared" si="2"/>
        <v>45846</v>
      </c>
    </row>
    <row r="8" spans="1:10">
      <c r="A8" s="10" t="s">
        <v>14</v>
      </c>
      <c r="B8" s="10">
        <v>1</v>
      </c>
      <c r="C8" s="10">
        <f t="shared" si="0"/>
        <v>1</v>
      </c>
      <c r="G8" s="10" t="s">
        <v>14</v>
      </c>
      <c r="H8" s="21">
        <f t="shared" si="1"/>
        <v>0.14285714285714285</v>
      </c>
      <c r="I8" s="19">
        <f t="shared" si="4"/>
        <v>45847</v>
      </c>
      <c r="J8" s="9">
        <f t="shared" si="2"/>
        <v>45847</v>
      </c>
    </row>
    <row r="9" spans="1:10">
      <c r="A9" s="10" t="s">
        <v>6</v>
      </c>
      <c r="B9" s="10">
        <v>1</v>
      </c>
      <c r="C9" s="10">
        <f t="shared" ref="C9:C14" si="5">IF(B9=1,1,IF(B9=2,7,IF(B9=3,21,IF(B9=5,35,IF(B9=8,42,IF(B9=13,49,IF(B9=21,77,IF(B9=34,98,IF(B9=55,105,"")))))))))</f>
        <v>1</v>
      </c>
      <c r="G9" s="10" t="s">
        <v>6</v>
      </c>
      <c r="H9" s="21">
        <f t="shared" si="1"/>
        <v>0.14285714285714285</v>
      </c>
      <c r="I9" s="19">
        <f t="shared" ref="I9:I14" si="6">WORKDAY.INTL(J8, 1)</f>
        <v>45848</v>
      </c>
      <c r="J9" s="9">
        <f t="shared" si="2"/>
        <v>45848</v>
      </c>
    </row>
    <row r="10" spans="1:10">
      <c r="A10" s="10" t="s">
        <v>15</v>
      </c>
      <c r="B10" s="10">
        <v>1</v>
      </c>
      <c r="C10" s="10">
        <f t="shared" si="5"/>
        <v>1</v>
      </c>
      <c r="G10" s="10" t="s">
        <v>15</v>
      </c>
      <c r="H10" s="21">
        <f t="shared" si="1"/>
        <v>0.14285714285714285</v>
      </c>
      <c r="I10" s="19">
        <f t="shared" si="6"/>
        <v>45849</v>
      </c>
      <c r="J10" s="9">
        <f t="shared" si="2"/>
        <v>45849</v>
      </c>
    </row>
    <row r="11" spans="1:10">
      <c r="A11" s="10" t="s">
        <v>16</v>
      </c>
      <c r="B11" s="10">
        <v>1</v>
      </c>
      <c r="C11" s="10">
        <f t="shared" si="5"/>
        <v>1</v>
      </c>
      <c r="G11" s="10" t="s">
        <v>16</v>
      </c>
      <c r="H11" s="21">
        <f t="shared" si="1"/>
        <v>0.14285714285714285</v>
      </c>
      <c r="I11" s="19">
        <f t="shared" si="6"/>
        <v>45852</v>
      </c>
      <c r="J11" s="9">
        <f t="shared" si="2"/>
        <v>45852</v>
      </c>
    </row>
    <row r="12" spans="1:10">
      <c r="A12" s="10" t="s">
        <v>17</v>
      </c>
      <c r="B12" s="10">
        <v>1</v>
      </c>
      <c r="C12" s="10">
        <f t="shared" si="5"/>
        <v>1</v>
      </c>
      <c r="G12" s="10" t="s">
        <v>17</v>
      </c>
      <c r="H12" s="21">
        <f t="shared" si="1"/>
        <v>0.14285714285714285</v>
      </c>
      <c r="I12" s="19">
        <f t="shared" si="6"/>
        <v>45853</v>
      </c>
      <c r="J12" s="9">
        <f t="shared" si="2"/>
        <v>45853</v>
      </c>
    </row>
    <row r="13" spans="1:10">
      <c r="A13" s="10" t="s">
        <v>18</v>
      </c>
      <c r="B13" s="10">
        <v>1</v>
      </c>
      <c r="C13" s="10">
        <f t="shared" si="5"/>
        <v>1</v>
      </c>
      <c r="G13" s="10" t="s">
        <v>18</v>
      </c>
      <c r="H13" s="21">
        <f t="shared" si="1"/>
        <v>0.14285714285714285</v>
      </c>
      <c r="I13" s="19">
        <f t="shared" si="6"/>
        <v>45854</v>
      </c>
      <c r="J13" s="9">
        <f t="shared" si="2"/>
        <v>45854</v>
      </c>
    </row>
    <row r="14" spans="1:10">
      <c r="A14" s="10" t="s">
        <v>19</v>
      </c>
      <c r="B14" s="10">
        <v>1</v>
      </c>
      <c r="C14" s="10">
        <f t="shared" si="5"/>
        <v>1</v>
      </c>
      <c r="G14" s="10" t="s">
        <v>19</v>
      </c>
      <c r="H14" s="21">
        <f t="shared" si="1"/>
        <v>0.14285714285714285</v>
      </c>
      <c r="I14" s="19">
        <f t="shared" si="6"/>
        <v>45855</v>
      </c>
      <c r="J14" s="9">
        <f t="shared" si="2"/>
        <v>45855</v>
      </c>
    </row>
    <row r="16" spans="1:10">
      <c r="B16" s="12" t="s">
        <v>4</v>
      </c>
      <c r="C16" s="12">
        <f>SUM(Tabela2811[Tempo em Horas])</f>
        <v>12</v>
      </c>
    </row>
  </sheetData>
  <mergeCells count="2">
    <mergeCell ref="A1:C1"/>
    <mergeCell ref="G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C8526-E211-4F83-8604-3916F4C59E90}">
  <sheetPr>
    <tabColor rgb="FFC00000"/>
  </sheetPr>
  <dimension ref="A1:J51"/>
  <sheetViews>
    <sheetView workbookViewId="0">
      <selection activeCell="G47" sqref="G47"/>
    </sheetView>
  </sheetViews>
  <sheetFormatPr defaultRowHeight="15"/>
  <cols>
    <col min="1" max="1" width="123.28515625" bestFit="1" customWidth="1"/>
    <col min="2" max="2" width="19.140625" bestFit="1" customWidth="1"/>
    <col min="3" max="3" width="18.28515625" bestFit="1" customWidth="1"/>
    <col min="7" max="7" width="103.85546875" bestFit="1" customWidth="1"/>
    <col min="8" max="8" width="10.5703125" bestFit="1" customWidth="1"/>
    <col min="9" max="9" width="12.5703125" bestFit="1" customWidth="1"/>
    <col min="10" max="10" width="11" bestFit="1" customWidth="1"/>
  </cols>
  <sheetData>
    <row r="1" spans="1:10">
      <c r="A1" s="47" t="s">
        <v>101</v>
      </c>
      <c r="B1" s="48"/>
      <c r="C1" s="48"/>
      <c r="D1" s="1"/>
      <c r="G1" s="49" t="s">
        <v>103</v>
      </c>
      <c r="H1" s="49"/>
      <c r="I1" s="49"/>
      <c r="J1" s="49"/>
    </row>
    <row r="2" spans="1:10">
      <c r="A2" s="5" t="s">
        <v>2</v>
      </c>
      <c r="B2" s="5" t="s">
        <v>3</v>
      </c>
      <c r="C2" s="6" t="s">
        <v>23</v>
      </c>
      <c r="G2" s="10" t="s">
        <v>2</v>
      </c>
      <c r="H2" s="10" t="s">
        <v>22</v>
      </c>
      <c r="I2" s="10" t="s">
        <v>20</v>
      </c>
      <c r="J2" s="10" t="s">
        <v>21</v>
      </c>
    </row>
    <row r="3" spans="1:10">
      <c r="A3" s="10" t="s">
        <v>32</v>
      </c>
      <c r="B3" s="29">
        <v>2</v>
      </c>
      <c r="C3" s="11">
        <f t="shared" ref="C3:C10" si="0">IF(B3=1,4,IF(B3=2,7,IF(B3=3,14,IF(B3=5,21,IF(B3=8,35,IF(B3=13,42,IF(B3=21,49,IF(B3=34,70,IF(B3=55,105,"")))))))))</f>
        <v>7</v>
      </c>
      <c r="G3" s="10" t="s">
        <v>32</v>
      </c>
      <c r="H3" s="21">
        <f>(Tabela26[[#This Row],[Tempo em Horas]]/7)</f>
        <v>1</v>
      </c>
      <c r="I3" s="26">
        <v>45840</v>
      </c>
      <c r="J3" s="26">
        <f t="shared" ref="J3:J9" si="1">IF(H3&gt;=1, WORKDAY.INTL(I3,H3 -1, 1), WORKDAY.INTL(I3,H3, 1))</f>
        <v>45840</v>
      </c>
    </row>
    <row r="4" spans="1:10">
      <c r="A4" s="10" t="s">
        <v>33</v>
      </c>
      <c r="B4" s="29">
        <v>8</v>
      </c>
      <c r="C4" s="11">
        <f t="shared" si="0"/>
        <v>35</v>
      </c>
      <c r="G4" s="10" t="s">
        <v>33</v>
      </c>
      <c r="H4" s="21">
        <f>(Tabela26[[#This Row],[Tempo em Horas]]/7)</f>
        <v>5</v>
      </c>
      <c r="I4" s="26">
        <f t="shared" ref="I4:I9" si="2">WORKDAY.INTL(J3, 1)</f>
        <v>45841</v>
      </c>
      <c r="J4" s="26">
        <f t="shared" si="1"/>
        <v>45847</v>
      </c>
    </row>
    <row r="5" spans="1:10">
      <c r="A5" s="10" t="s">
        <v>54</v>
      </c>
      <c r="B5" s="29">
        <v>2</v>
      </c>
      <c r="C5" s="11">
        <f t="shared" si="0"/>
        <v>7</v>
      </c>
      <c r="G5" s="10" t="s">
        <v>54</v>
      </c>
      <c r="H5" s="21">
        <f>(Tabela26[[#This Row],[Tempo em Horas]]/7)</f>
        <v>1</v>
      </c>
      <c r="I5" s="26">
        <f t="shared" si="2"/>
        <v>45848</v>
      </c>
      <c r="J5" s="26">
        <f t="shared" si="1"/>
        <v>45848</v>
      </c>
    </row>
    <row r="6" spans="1:10">
      <c r="A6" s="10" t="s">
        <v>36</v>
      </c>
      <c r="B6" s="29">
        <v>2</v>
      </c>
      <c r="C6" s="11">
        <f t="shared" si="0"/>
        <v>7</v>
      </c>
      <c r="G6" s="10" t="s">
        <v>36</v>
      </c>
      <c r="H6" s="21">
        <f>(Tabela26[[#This Row],[Tempo em Horas]]/7)</f>
        <v>1</v>
      </c>
      <c r="I6" s="26">
        <f t="shared" si="2"/>
        <v>45849</v>
      </c>
      <c r="J6" s="26">
        <f t="shared" si="1"/>
        <v>45849</v>
      </c>
    </row>
    <row r="7" spans="1:10">
      <c r="A7" s="10" t="s">
        <v>37</v>
      </c>
      <c r="B7" s="29">
        <v>1</v>
      </c>
      <c r="C7" s="11">
        <f t="shared" si="0"/>
        <v>4</v>
      </c>
      <c r="G7" s="10" t="s">
        <v>37</v>
      </c>
      <c r="H7" s="21">
        <f>(Tabela26[[#This Row],[Tempo em Horas]]/7)</f>
        <v>0.5714285714285714</v>
      </c>
      <c r="I7" s="26">
        <f t="shared" si="2"/>
        <v>45852</v>
      </c>
      <c r="J7" s="26">
        <f t="shared" si="1"/>
        <v>45852</v>
      </c>
    </row>
    <row r="8" spans="1:10">
      <c r="A8" s="10" t="s">
        <v>38</v>
      </c>
      <c r="B8" s="29">
        <v>5</v>
      </c>
      <c r="C8" s="11">
        <f t="shared" si="0"/>
        <v>21</v>
      </c>
      <c r="G8" s="10" t="s">
        <v>38</v>
      </c>
      <c r="H8" s="21">
        <f>(Tabela26[[#This Row],[Tempo em Horas]]/7)</f>
        <v>3</v>
      </c>
      <c r="I8" s="26">
        <f t="shared" si="2"/>
        <v>45853</v>
      </c>
      <c r="J8" s="26">
        <f t="shared" si="1"/>
        <v>45855</v>
      </c>
    </row>
    <row r="9" spans="1:10">
      <c r="A9" s="10" t="s">
        <v>55</v>
      </c>
      <c r="B9" s="29">
        <v>2</v>
      </c>
      <c r="C9" s="11">
        <f t="shared" si="0"/>
        <v>7</v>
      </c>
      <c r="G9" s="10" t="s">
        <v>55</v>
      </c>
      <c r="H9" s="21">
        <f>(Tabela26[[#This Row],[Tempo em Horas]]/7)</f>
        <v>1</v>
      </c>
      <c r="I9" s="26">
        <f t="shared" si="2"/>
        <v>45856</v>
      </c>
      <c r="J9" s="26">
        <f t="shared" si="1"/>
        <v>45856</v>
      </c>
    </row>
    <row r="10" spans="1:10">
      <c r="A10" s="10" t="s">
        <v>41</v>
      </c>
      <c r="B10" s="29">
        <v>3</v>
      </c>
      <c r="C10" s="11">
        <f t="shared" si="0"/>
        <v>14</v>
      </c>
      <c r="G10" s="10" t="s">
        <v>41</v>
      </c>
      <c r="H10" s="21">
        <f>(Tabela26[[#This Row],[Tempo em Horas]]/7)</f>
        <v>2</v>
      </c>
      <c r="I10" s="26">
        <f t="shared" ref="I10" si="3">WORKDAY.INTL(J9, 1)</f>
        <v>45859</v>
      </c>
      <c r="J10" s="26">
        <f t="shared" ref="J10" si="4">IF(H10&gt;=1, WORKDAY.INTL(I10,H10 -1, 1), WORKDAY.INTL(I10,H10, 1))</f>
        <v>45860</v>
      </c>
    </row>
    <row r="11" spans="1:10">
      <c r="B11" s="30"/>
    </row>
    <row r="12" spans="1:10">
      <c r="B12" s="12" t="s">
        <v>4</v>
      </c>
      <c r="C12" s="12">
        <f>SUM(Tabela26[Tempo em Horas])</f>
        <v>102</v>
      </c>
    </row>
    <row r="14" spans="1:10">
      <c r="B14" s="16" t="s">
        <v>5</v>
      </c>
      <c r="C14" s="16"/>
    </row>
    <row r="16" spans="1:10">
      <c r="A16" s="47" t="s">
        <v>102</v>
      </c>
      <c r="B16" s="48"/>
      <c r="C16" s="48"/>
      <c r="G16" s="49" t="s">
        <v>104</v>
      </c>
      <c r="H16" s="49"/>
      <c r="I16" s="49"/>
      <c r="J16" s="49"/>
    </row>
    <row r="17" spans="1:10">
      <c r="A17" s="5" t="s">
        <v>2</v>
      </c>
      <c r="B17" s="5" t="s">
        <v>3</v>
      </c>
      <c r="C17" s="6" t="s">
        <v>23</v>
      </c>
      <c r="G17" s="10" t="s">
        <v>2</v>
      </c>
      <c r="H17" s="10" t="s">
        <v>22</v>
      </c>
      <c r="I17" s="10" t="s">
        <v>20</v>
      </c>
      <c r="J17" s="10" t="s">
        <v>21</v>
      </c>
    </row>
    <row r="18" spans="1:10">
      <c r="A18" s="10" t="s">
        <v>48</v>
      </c>
      <c r="B18" s="27">
        <v>3</v>
      </c>
      <c r="C18" s="10">
        <f>IF(B18=1,4,IF(B18=2,7,IF(B18=3,14,IF(B18=5,21,IF(B18=8,35,IF(B18=13,42,IF(B18=21,49,IF(B18=34,70,IF(B18=55,105,"")))))))))</f>
        <v>14</v>
      </c>
      <c r="G18" s="10" t="s">
        <v>48</v>
      </c>
      <c r="H18" s="21">
        <f>(Tabela262022[[#This Row],[Tempo em Horas]]/7)</f>
        <v>2</v>
      </c>
      <c r="I18" s="26">
        <f>WORKDAY.INTL(J10, 1)</f>
        <v>45861</v>
      </c>
      <c r="J18" s="26">
        <f>IF(H18&gt;=1, WORKDAY.INTL(I18,H18 -1, 1), WORKDAY.INTL(I18,H18, 1))</f>
        <v>45862</v>
      </c>
    </row>
    <row r="19" spans="1:10">
      <c r="A19" s="10" t="s">
        <v>49</v>
      </c>
      <c r="B19" s="27">
        <v>5</v>
      </c>
      <c r="C19" s="10">
        <f>IF(B19=1,4,IF(B19=2,7,IF(B19=3,14,IF(B19=5,21,IF(B19=8,35,IF(B19=13,42,IF(B19=21,49,IF(B19=34,70,IF(B19=55,105,"")))))))))</f>
        <v>21</v>
      </c>
      <c r="G19" s="10" t="s">
        <v>49</v>
      </c>
      <c r="H19" s="21">
        <f>(Tabela262022[[#This Row],[Tempo em Horas]]/7)</f>
        <v>3</v>
      </c>
      <c r="I19" s="26">
        <f>WORKDAY.INTL(J18, 1)</f>
        <v>45863</v>
      </c>
      <c r="J19" s="26">
        <f t="shared" ref="J19:J20" si="5">IF(H19&gt;=1, WORKDAY.INTL(I19,H19 -1, 1), WORKDAY.INTL(I19,H19, 1))</f>
        <v>45867</v>
      </c>
    </row>
    <row r="20" spans="1:10">
      <c r="A20" s="10" t="s">
        <v>50</v>
      </c>
      <c r="B20" s="27">
        <v>1</v>
      </c>
      <c r="C20" s="10">
        <f>IF(B20=1,4,IF(B20=2,7,IF(B20=3,14,IF(B20=5,21,IF(B20=8,35,IF(B20=13,42,IF(B20=21,49,IF(B20=34,70,IF(B20=55,105,"")))))))))</f>
        <v>4</v>
      </c>
      <c r="G20" s="10" t="s">
        <v>50</v>
      </c>
      <c r="H20" s="21">
        <f>(Tabela262022[[#This Row],[Tempo em Horas]]/7)</f>
        <v>0.5714285714285714</v>
      </c>
      <c r="I20" s="26">
        <f t="shared" ref="I20" si="6">WORKDAY.INTL(J19, 1)</f>
        <v>45868</v>
      </c>
      <c r="J20" s="26">
        <f t="shared" si="5"/>
        <v>45868</v>
      </c>
    </row>
    <row r="21" spans="1:10">
      <c r="B21" s="30"/>
    </row>
    <row r="22" spans="1:10">
      <c r="B22" s="12" t="s">
        <v>4</v>
      </c>
      <c r="C22" s="12">
        <f>SUM(Tabela262022[Tempo em Horas])</f>
        <v>39</v>
      </c>
      <c r="D22" s="1"/>
    </row>
    <row r="24" spans="1:10" s="40" customFormat="1"/>
    <row r="26" spans="1:10">
      <c r="A26" s="47" t="s">
        <v>110</v>
      </c>
      <c r="B26" s="48"/>
      <c r="C26" s="48"/>
      <c r="G26" s="49" t="s">
        <v>107</v>
      </c>
      <c r="H26" s="49"/>
      <c r="I26" s="49"/>
      <c r="J26" s="49"/>
    </row>
    <row r="27" spans="1:10">
      <c r="A27" s="5" t="s">
        <v>2</v>
      </c>
      <c r="B27" s="5" t="s">
        <v>3</v>
      </c>
      <c r="C27" s="6" t="s">
        <v>23</v>
      </c>
      <c r="G27" s="10" t="s">
        <v>2</v>
      </c>
      <c r="H27" s="10" t="s">
        <v>22</v>
      </c>
      <c r="I27" s="10" t="s">
        <v>20</v>
      </c>
      <c r="J27" s="10" t="s">
        <v>21</v>
      </c>
    </row>
    <row r="28" spans="1:10">
      <c r="A28" s="10" t="s">
        <v>116</v>
      </c>
      <c r="B28" s="27">
        <v>2</v>
      </c>
      <c r="C28" s="10">
        <f>IF(B28=1,4,IF(B28=2,7,IF(B28=3,14,IF(B28=5,21,IF(B28=8,35,IF(B28=13,42,IF(B28=21,49,IF(B28=34,70,IF(B28=55,105,"")))))))))</f>
        <v>7</v>
      </c>
      <c r="G28" s="10" t="s">
        <v>116</v>
      </c>
      <c r="H28" s="21">
        <f>(Tabela26202236[[#This Row],[Tempo em Horas]]/7)</f>
        <v>1</v>
      </c>
      <c r="I28" s="26">
        <f>WORKDAY.INTL(J20, 1)</f>
        <v>45869</v>
      </c>
      <c r="J28" s="26">
        <f>IF(H28&gt;=1, WORKDAY.INTL(I28,H28 -1, 1), WORKDAY.INTL(I28,H28, 1))</f>
        <v>45869</v>
      </c>
    </row>
    <row r="29" spans="1:10">
      <c r="A29" s="10" t="s">
        <v>117</v>
      </c>
      <c r="B29" s="27">
        <v>2</v>
      </c>
      <c r="C29" s="10">
        <f t="shared" ref="C29:C39" si="7">IF(B29=1,4,IF(B29=2,7,IF(B29=3,14,IF(B29=5,21,IF(B29=8,35,IF(B29=13,42,IF(B29=21,49,IF(B29=34,70,IF(B29=55,105,"")))))))))</f>
        <v>7</v>
      </c>
      <c r="G29" s="10" t="s">
        <v>117</v>
      </c>
      <c r="H29" s="21">
        <f>(Tabela26202236[[#This Row],[Tempo em Horas]]/7)</f>
        <v>1</v>
      </c>
      <c r="I29" s="26">
        <f>WORKDAY.INTL(J28, 1)</f>
        <v>45870</v>
      </c>
      <c r="J29" s="26">
        <f t="shared" ref="J29:J39" si="8">IF(H29&gt;=1, WORKDAY.INTL(I29,H29 -1, 1), WORKDAY.INTL(I29,H29, 1))</f>
        <v>45870</v>
      </c>
    </row>
    <row r="30" spans="1:10">
      <c r="A30" s="10" t="s">
        <v>54</v>
      </c>
      <c r="B30" s="27">
        <v>2</v>
      </c>
      <c r="C30" s="10">
        <f t="shared" si="7"/>
        <v>7</v>
      </c>
      <c r="G30" s="10" t="s">
        <v>54</v>
      </c>
      <c r="H30" s="21">
        <f>(Tabela26202236[[#This Row],[Tempo em Horas]]/7)</f>
        <v>1</v>
      </c>
      <c r="I30" s="26">
        <f t="shared" ref="I30:I39" si="9">WORKDAY.INTL(J29, 1)</f>
        <v>45873</v>
      </c>
      <c r="J30" s="26">
        <f t="shared" si="8"/>
        <v>45873</v>
      </c>
    </row>
    <row r="31" spans="1:10">
      <c r="A31" s="10" t="s">
        <v>118</v>
      </c>
      <c r="B31" s="27">
        <v>2</v>
      </c>
      <c r="C31" s="10">
        <f t="shared" si="7"/>
        <v>7</v>
      </c>
      <c r="G31" s="10" t="s">
        <v>118</v>
      </c>
      <c r="H31" s="21">
        <f>(Tabela26202236[[#This Row],[Tempo em Horas]]/7)</f>
        <v>1</v>
      </c>
      <c r="I31" s="26">
        <f t="shared" si="9"/>
        <v>45874</v>
      </c>
      <c r="J31" s="26">
        <f t="shared" si="8"/>
        <v>45874</v>
      </c>
    </row>
    <row r="32" spans="1:10">
      <c r="A32" s="10" t="s">
        <v>38</v>
      </c>
      <c r="B32" s="27">
        <v>2</v>
      </c>
      <c r="C32" s="10">
        <f t="shared" si="7"/>
        <v>7</v>
      </c>
      <c r="D32" s="1"/>
      <c r="G32" s="10" t="s">
        <v>38</v>
      </c>
      <c r="H32" s="21">
        <f>(Tabela26202236[[#This Row],[Tempo em Horas]]/7)</f>
        <v>1</v>
      </c>
      <c r="I32" s="26">
        <f t="shared" si="9"/>
        <v>45875</v>
      </c>
      <c r="J32" s="26">
        <f t="shared" si="8"/>
        <v>45875</v>
      </c>
    </row>
    <row r="33" spans="1:10">
      <c r="A33" s="10" t="s">
        <v>89</v>
      </c>
      <c r="B33" s="27">
        <v>2</v>
      </c>
      <c r="C33" s="10">
        <f t="shared" si="7"/>
        <v>7</v>
      </c>
      <c r="G33" s="10" t="s">
        <v>89</v>
      </c>
      <c r="H33" s="21">
        <f>(Tabela26202236[[#This Row],[Tempo em Horas]]/7)</f>
        <v>1</v>
      </c>
      <c r="I33" s="26">
        <f t="shared" si="9"/>
        <v>45876</v>
      </c>
      <c r="J33" s="26">
        <f t="shared" si="8"/>
        <v>45876</v>
      </c>
    </row>
    <row r="34" spans="1:10">
      <c r="A34" s="10" t="s">
        <v>42</v>
      </c>
      <c r="B34" s="27">
        <v>2</v>
      </c>
      <c r="C34" s="10">
        <f t="shared" si="7"/>
        <v>7</v>
      </c>
      <c r="G34" s="10" t="s">
        <v>42</v>
      </c>
      <c r="H34" s="21">
        <f>(Tabela26202236[[#This Row],[Tempo em Horas]]/7)</f>
        <v>1</v>
      </c>
      <c r="I34" s="26">
        <f t="shared" si="9"/>
        <v>45877</v>
      </c>
      <c r="J34" s="26">
        <f t="shared" si="8"/>
        <v>45877</v>
      </c>
    </row>
    <row r="35" spans="1:10">
      <c r="A35" s="10" t="s">
        <v>56</v>
      </c>
      <c r="B35" s="27">
        <v>2</v>
      </c>
      <c r="C35" s="10">
        <f t="shared" si="7"/>
        <v>7</v>
      </c>
      <c r="G35" s="10" t="s">
        <v>56</v>
      </c>
      <c r="H35" s="21">
        <f>(Tabela26202236[[#This Row],[Tempo em Horas]]/7)</f>
        <v>1</v>
      </c>
      <c r="I35" s="26">
        <f t="shared" si="9"/>
        <v>45880</v>
      </c>
      <c r="J35" s="26">
        <f t="shared" si="8"/>
        <v>45880</v>
      </c>
    </row>
    <row r="36" spans="1:10">
      <c r="A36" s="10" t="s">
        <v>46</v>
      </c>
      <c r="B36" s="27">
        <v>3</v>
      </c>
      <c r="C36" s="10">
        <f t="shared" si="7"/>
        <v>14</v>
      </c>
      <c r="G36" s="10" t="s">
        <v>46</v>
      </c>
      <c r="H36" s="21">
        <f>(Tabela26202236[[#This Row],[Tempo em Horas]]/7)</f>
        <v>2</v>
      </c>
      <c r="I36" s="26">
        <f t="shared" si="9"/>
        <v>45881</v>
      </c>
      <c r="J36" s="26">
        <f t="shared" si="8"/>
        <v>45882</v>
      </c>
    </row>
    <row r="37" spans="1:10">
      <c r="A37" s="10" t="s">
        <v>48</v>
      </c>
      <c r="B37" s="27">
        <v>2</v>
      </c>
      <c r="C37" s="10">
        <f t="shared" si="7"/>
        <v>7</v>
      </c>
      <c r="G37" s="10" t="s">
        <v>48</v>
      </c>
      <c r="H37" s="21">
        <f>(Tabela26202236[[#This Row],[Tempo em Horas]]/7)</f>
        <v>1</v>
      </c>
      <c r="I37" s="26">
        <f t="shared" si="9"/>
        <v>45883</v>
      </c>
      <c r="J37" s="26">
        <f t="shared" si="8"/>
        <v>45883</v>
      </c>
    </row>
    <row r="38" spans="1:10">
      <c r="A38" s="10" t="s">
        <v>49</v>
      </c>
      <c r="B38" s="27">
        <v>5</v>
      </c>
      <c r="C38" s="10">
        <f t="shared" si="7"/>
        <v>21</v>
      </c>
      <c r="G38" s="10" t="s">
        <v>49</v>
      </c>
      <c r="H38" s="21">
        <f>(Tabela26202236[[#This Row],[Tempo em Horas]]/7)</f>
        <v>3</v>
      </c>
      <c r="I38" s="26">
        <f t="shared" si="9"/>
        <v>45884</v>
      </c>
      <c r="J38" s="26">
        <f t="shared" si="8"/>
        <v>45888</v>
      </c>
    </row>
    <row r="39" spans="1:10">
      <c r="A39" s="10" t="s">
        <v>50</v>
      </c>
      <c r="B39" s="27">
        <v>1</v>
      </c>
      <c r="C39" s="10">
        <f t="shared" si="7"/>
        <v>4</v>
      </c>
      <c r="G39" s="10" t="s">
        <v>50</v>
      </c>
      <c r="H39" s="21">
        <f>(Tabela26202236[[#This Row],[Tempo em Horas]]/7)</f>
        <v>0.5714285714285714</v>
      </c>
      <c r="I39" s="26">
        <f t="shared" si="9"/>
        <v>45889</v>
      </c>
      <c r="J39" s="26">
        <f t="shared" si="8"/>
        <v>45889</v>
      </c>
    </row>
    <row r="40" spans="1:10">
      <c r="B40" s="41"/>
    </row>
    <row r="41" spans="1:10">
      <c r="B41" s="12" t="s">
        <v>4</v>
      </c>
      <c r="C41" s="12">
        <f>SUM(Tabela26202236[Tempo em Horas])</f>
        <v>102</v>
      </c>
    </row>
    <row r="43" spans="1:10" s="40" customFormat="1"/>
    <row r="45" spans="1:10">
      <c r="A45" s="47" t="s">
        <v>115</v>
      </c>
      <c r="B45" s="48"/>
      <c r="C45" s="48"/>
      <c r="G45" s="49" t="s">
        <v>109</v>
      </c>
      <c r="H45" s="49"/>
      <c r="I45" s="49"/>
      <c r="J45" s="49"/>
    </row>
    <row r="46" spans="1:10">
      <c r="A46" s="5" t="s">
        <v>2</v>
      </c>
      <c r="B46" s="5" t="s">
        <v>3</v>
      </c>
      <c r="C46" s="6" t="s">
        <v>23</v>
      </c>
      <c r="G46" s="10" t="s">
        <v>2</v>
      </c>
      <c r="H46" s="10" t="s">
        <v>22</v>
      </c>
      <c r="I46" s="10" t="s">
        <v>20</v>
      </c>
      <c r="J46" s="10" t="s">
        <v>21</v>
      </c>
    </row>
    <row r="47" spans="1:10">
      <c r="A47" s="10" t="s">
        <v>49</v>
      </c>
      <c r="B47" s="27">
        <v>5</v>
      </c>
      <c r="C47" s="10">
        <f t="shared" ref="C47" si="10">IF(B47=1,4,IF(B47=2,7,IF(B47=3,14,IF(B47=5,21,IF(B47=8,35,IF(B47=13,42,IF(B47=21,49,IF(B47=34,70,IF(B47=55,105,"")))))))))</f>
        <v>21</v>
      </c>
      <c r="G47" s="10" t="s">
        <v>49</v>
      </c>
      <c r="H47" s="21">
        <f>(Tabela262022364044[[#This Row],[Tempo em Horas]]/7)</f>
        <v>3</v>
      </c>
      <c r="I47" s="26">
        <v>45890</v>
      </c>
      <c r="J47" s="26">
        <f t="shared" ref="J47" si="11">IF(H47&gt;=1, WORKDAY.INTL(I47,H47 -1, 1), WORKDAY.INTL(I47,H47, 1))</f>
        <v>45894</v>
      </c>
    </row>
    <row r="48" spans="1:10">
      <c r="A48" s="10" t="s">
        <v>50</v>
      </c>
      <c r="B48" s="31">
        <v>1</v>
      </c>
      <c r="C48" s="10">
        <f>IF(B48=1,4,IF(B48=2,7,IF(B48=3,14,IF(B48=5,21,IF(B48=8,35,IF(B48=13,42,IF(B48=21,49,IF(B48=34,70,IF(B48=55,105,"")))))))))</f>
        <v>4</v>
      </c>
      <c r="G48" s="10" t="s">
        <v>50</v>
      </c>
      <c r="H48" s="21">
        <f>(Tabela262022364044[[#This Row],[Tempo em Horas]]/7)</f>
        <v>0.5714285714285714</v>
      </c>
      <c r="I48" s="26">
        <f>WORKDAY.INTL(J47, 1)</f>
        <v>45895</v>
      </c>
      <c r="J48" s="28">
        <f>IF(H48&gt;=1, WORKDAY.INTL(I48,H48 -1, 1), WORKDAY.INTL(I48,H48, 1))</f>
        <v>45895</v>
      </c>
    </row>
    <row r="49" spans="2:4">
      <c r="B49" s="12" t="s">
        <v>4</v>
      </c>
      <c r="C49" s="12">
        <f>SUM(Tabela262022364044[Tempo em Horas])</f>
        <v>25</v>
      </c>
    </row>
    <row r="51" spans="2:4">
      <c r="D51" s="1"/>
    </row>
  </sheetData>
  <mergeCells count="8">
    <mergeCell ref="A45:C45"/>
    <mergeCell ref="G45:J45"/>
    <mergeCell ref="A1:C1"/>
    <mergeCell ref="G1:J1"/>
    <mergeCell ref="A16:C16"/>
    <mergeCell ref="G16:J16"/>
    <mergeCell ref="A26:C26"/>
    <mergeCell ref="G26:J26"/>
  </mergeCells>
  <pageMargins left="0.511811024" right="0.511811024" top="0.78740157499999996" bottom="0.78740157499999996" header="0.31496062000000002" footer="0.31496062000000002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6A4E-0EF0-455B-8876-76DBCB382650}">
  <sheetPr>
    <tabColor rgb="FFC00000"/>
  </sheetPr>
  <dimension ref="A1:J41"/>
  <sheetViews>
    <sheetView workbookViewId="0">
      <selection activeCell="J39" sqref="J39"/>
    </sheetView>
  </sheetViews>
  <sheetFormatPr defaultRowHeight="15"/>
  <cols>
    <col min="1" max="1" width="109.28515625" bestFit="1" customWidth="1"/>
    <col min="2" max="2" width="16.28515625" bestFit="1" customWidth="1"/>
    <col min="3" max="3" width="18.28515625" bestFit="1" customWidth="1"/>
    <col min="7" max="7" width="109.28515625" bestFit="1" customWidth="1"/>
    <col min="8" max="8" width="10.5703125" bestFit="1" customWidth="1"/>
    <col min="9" max="9" width="12.5703125" bestFit="1" customWidth="1"/>
    <col min="10" max="10" width="11" bestFit="1" customWidth="1"/>
  </cols>
  <sheetData>
    <row r="1" spans="1:10">
      <c r="A1" s="47" t="s">
        <v>101</v>
      </c>
      <c r="B1" s="48"/>
      <c r="C1" s="48"/>
      <c r="D1" s="1"/>
      <c r="G1" s="47" t="s">
        <v>104</v>
      </c>
      <c r="H1" s="48"/>
      <c r="I1" s="48"/>
      <c r="J1" s="50"/>
    </row>
    <row r="2" spans="1:10">
      <c r="A2" s="5" t="s">
        <v>2</v>
      </c>
      <c r="B2" s="5" t="s">
        <v>3</v>
      </c>
      <c r="C2" s="6" t="s">
        <v>23</v>
      </c>
      <c r="G2" s="10" t="s">
        <v>2</v>
      </c>
      <c r="H2" s="10" t="s">
        <v>22</v>
      </c>
      <c r="I2" s="10" t="s">
        <v>20</v>
      </c>
      <c r="J2" s="10" t="s">
        <v>21</v>
      </c>
    </row>
    <row r="3" spans="1:10">
      <c r="A3" s="10" t="s">
        <v>42</v>
      </c>
      <c r="B3" s="29">
        <v>5</v>
      </c>
      <c r="C3" s="11">
        <f>IF(B3=1,4,IF(B3=2,7,IF(B3=3,14,IF(B3=5,21,IF(B3=8,35,IF(B3=13,42,IF(B3=21,49,IF(B3=34,70,IF(B3=55,105,"")))))))))</f>
        <v>21</v>
      </c>
      <c r="G3" s="10" t="s">
        <v>42</v>
      </c>
      <c r="H3" s="21">
        <f>(Tabela2624[[#This Row],[Tempo em Horas]]/7)</f>
        <v>3</v>
      </c>
      <c r="I3" s="26">
        <v>45852</v>
      </c>
      <c r="J3" s="28">
        <f>IF(H3&gt;=1, WORKDAY.INTL(I3,H3 -1, 1), WORKDAY.INTL(I3,H3, 1))</f>
        <v>45854</v>
      </c>
    </row>
    <row r="4" spans="1:10">
      <c r="A4" s="10" t="s">
        <v>56</v>
      </c>
      <c r="B4" s="29">
        <v>2</v>
      </c>
      <c r="C4" s="11">
        <f>IF(B4=1,4,IF(B4=2,7,IF(B4=3,14,IF(B4=5,21,IF(B4=8,35,IF(B4=13,42,IF(B4=21,49,IF(B4=34,70,IF(B4=55,105,"")))))))))</f>
        <v>7</v>
      </c>
      <c r="G4" s="10" t="s">
        <v>56</v>
      </c>
      <c r="H4" s="21">
        <f>(Tabela2624[[#This Row],[Tempo em Horas]]/7)</f>
        <v>1</v>
      </c>
      <c r="I4" s="26">
        <f t="shared" ref="I4:I7" si="0">WORKDAY.INTL(J3, 1)</f>
        <v>45855</v>
      </c>
      <c r="J4" s="26">
        <f t="shared" ref="J4:J7" si="1">IF(H4&gt;=1, WORKDAY.INTL(I4,H4 -1, 1), WORKDAY.INTL(I4,H4, 1))</f>
        <v>45855</v>
      </c>
    </row>
    <row r="5" spans="1:10">
      <c r="A5" s="10" t="s">
        <v>57</v>
      </c>
      <c r="B5" s="29">
        <v>2</v>
      </c>
      <c r="C5" s="11">
        <f>IF(B5=1,4,IF(B5=2,7,IF(B5=3,14,IF(B5=5,21,IF(B5=8,35,IF(B5=13,42,IF(B5=21,49,IF(B5=34,70,IF(B5=55,105,"")))))))))</f>
        <v>7</v>
      </c>
      <c r="G5" s="10" t="s">
        <v>57</v>
      </c>
      <c r="H5" s="21">
        <f>(Tabela2624[[#This Row],[Tempo em Horas]]/7)</f>
        <v>1</v>
      </c>
      <c r="I5" s="26">
        <f t="shared" si="0"/>
        <v>45856</v>
      </c>
      <c r="J5" s="26">
        <f t="shared" si="1"/>
        <v>45856</v>
      </c>
    </row>
    <row r="6" spans="1:10">
      <c r="A6" s="10" t="s">
        <v>48</v>
      </c>
      <c r="B6" s="29">
        <v>3</v>
      </c>
      <c r="C6" s="11">
        <f>IF(B6=1,4,IF(B6=2,7,IF(B6=3,14,IF(B6=5,21,IF(B6=8,35,IF(B6=13,42,IF(B6=21,49,IF(B6=34,70,IF(B6=55,105,"")))))))))</f>
        <v>14</v>
      </c>
      <c r="G6" s="10" t="s">
        <v>48</v>
      </c>
      <c r="H6" s="21">
        <f>(Tabela2624[[#This Row],[Tempo em Horas]]/7)</f>
        <v>2</v>
      </c>
      <c r="I6" s="26">
        <f t="shared" si="0"/>
        <v>45859</v>
      </c>
      <c r="J6" s="26">
        <f t="shared" si="1"/>
        <v>45860</v>
      </c>
    </row>
    <row r="7" spans="1:10">
      <c r="A7" s="10" t="s">
        <v>49</v>
      </c>
      <c r="B7" s="29">
        <v>3</v>
      </c>
      <c r="C7" s="11">
        <f>IF(B7=1,4,IF(B7=2,7,IF(B7=3,14,IF(B7=5,21,IF(B7=8,35,IF(B7=13,42,IF(B7=21,49,IF(B7=34,70,IF(B7=55,105,"")))))))))</f>
        <v>14</v>
      </c>
      <c r="G7" s="10" t="s">
        <v>49</v>
      </c>
      <c r="H7" s="21">
        <f>(Tabela2624[[#This Row],[Tempo em Horas]]/7)</f>
        <v>2</v>
      </c>
      <c r="I7" s="26">
        <f t="shared" si="0"/>
        <v>45861</v>
      </c>
      <c r="J7" s="26">
        <f t="shared" si="1"/>
        <v>45862</v>
      </c>
    </row>
    <row r="9" spans="1:10">
      <c r="B9" s="12" t="s">
        <v>4</v>
      </c>
      <c r="C9" s="12">
        <f>SUM(Tabela2624[Tempo em Horas])</f>
        <v>63</v>
      </c>
    </row>
    <row r="11" spans="1:10" s="40" customFormat="1"/>
    <row r="13" spans="1:10">
      <c r="A13" s="47" t="s">
        <v>114</v>
      </c>
      <c r="B13" s="48"/>
      <c r="C13" s="48"/>
      <c r="G13" s="47" t="s">
        <v>107</v>
      </c>
      <c r="H13" s="48"/>
      <c r="I13" s="48"/>
      <c r="J13" s="50"/>
    </row>
    <row r="14" spans="1:10">
      <c r="A14" s="5" t="s">
        <v>2</v>
      </c>
      <c r="B14" s="5" t="s">
        <v>3</v>
      </c>
      <c r="C14" s="6" t="s">
        <v>23</v>
      </c>
      <c r="G14" s="10" t="s">
        <v>2</v>
      </c>
      <c r="H14" s="10" t="s">
        <v>22</v>
      </c>
      <c r="I14" s="10" t="s">
        <v>20</v>
      </c>
      <c r="J14" s="10" t="s">
        <v>21</v>
      </c>
    </row>
    <row r="15" spans="1:10">
      <c r="A15" s="10" t="s">
        <v>111</v>
      </c>
      <c r="B15" s="27">
        <v>2</v>
      </c>
      <c r="C15" s="11">
        <f>IF(B15=1,4,IF(B15=2,7,IF(B15=3,14,IF(B15=5,21,IF(B15=8,35,IF(B15=13,42,IF(B15=21,49,IF(B15=34,70,IF(B15=55,105,"")))))))))</f>
        <v>7</v>
      </c>
      <c r="G15" s="10" t="s">
        <v>111</v>
      </c>
      <c r="H15" s="21">
        <f>(Tabela262438[[#This Row],[Tempo em Horas]]/7)</f>
        <v>1</v>
      </c>
      <c r="I15" s="26">
        <v>45863</v>
      </c>
      <c r="J15" s="28">
        <f>IF(H15&gt;=1, WORKDAY.INTL(I15,H15 -1, 1), WORKDAY.INTL(I15,H15, 1))</f>
        <v>45863</v>
      </c>
    </row>
    <row r="16" spans="1:10">
      <c r="A16" s="10" t="s">
        <v>112</v>
      </c>
      <c r="B16" s="27">
        <v>2</v>
      </c>
      <c r="C16" s="11">
        <f>IF(B16=1,4,IF(B16=2,7,IF(B16=3,14,IF(B16=5,21,IF(B16=8,35,IF(B16=13,42,IF(B16=21,49,IF(B16=34,70,IF(B16=55,105,"")))))))))</f>
        <v>7</v>
      </c>
      <c r="G16" s="10" t="s">
        <v>112</v>
      </c>
      <c r="H16" s="21">
        <f>(Tabela262438[[#This Row],[Tempo em Horas]]/7)</f>
        <v>1</v>
      </c>
      <c r="I16" s="26">
        <f t="shared" ref="I16:I19" si="2">WORKDAY.INTL(J15, 1)</f>
        <v>45866</v>
      </c>
      <c r="J16" s="26">
        <f t="shared" ref="J16:J19" si="3">IF(H16&gt;=1, WORKDAY.INTL(I16,H16 -1, 1), WORKDAY.INTL(I16,H16, 1))</f>
        <v>45866</v>
      </c>
    </row>
    <row r="17" spans="1:10">
      <c r="A17" s="10" t="s">
        <v>119</v>
      </c>
      <c r="B17" s="27">
        <v>2</v>
      </c>
      <c r="C17" s="11">
        <f>IF(B17=1,4,IF(B17=2,7,IF(B17=3,14,IF(B17=5,21,IF(B17=8,35,IF(B17=13,42,IF(B17=21,49,IF(B17=34,70,IF(B17=55,105,"")))))))))</f>
        <v>7</v>
      </c>
      <c r="G17" s="10" t="s">
        <v>119</v>
      </c>
      <c r="H17" s="21">
        <f>(Tabela262438[[#This Row],[Tempo em Horas]]/7)</f>
        <v>1</v>
      </c>
      <c r="I17" s="26">
        <f t="shared" si="2"/>
        <v>45867</v>
      </c>
      <c r="J17" s="26">
        <f t="shared" si="3"/>
        <v>45867</v>
      </c>
    </row>
    <row r="18" spans="1:10">
      <c r="A18" s="10" t="s">
        <v>120</v>
      </c>
      <c r="B18" s="27">
        <v>2</v>
      </c>
      <c r="C18" s="10">
        <f t="shared" ref="C18:C21" si="4">IF(B18=1,4,IF(B18=2,7,IF(B18=3,14,IF(B18=5,21,IF(B18=8,35,IF(B18=13,42,IF(B18=21,49,IF(B18=34,70,IF(B18=55,105,"")))))))))</f>
        <v>7</v>
      </c>
      <c r="G18" s="10" t="s">
        <v>120</v>
      </c>
      <c r="H18" s="21">
        <f>(Tabela262438[[#This Row],[Tempo em Horas]]/7)</f>
        <v>1</v>
      </c>
      <c r="I18" s="26">
        <f t="shared" si="2"/>
        <v>45868</v>
      </c>
      <c r="J18" s="26">
        <f t="shared" si="3"/>
        <v>45868</v>
      </c>
    </row>
    <row r="19" spans="1:10">
      <c r="A19" s="10" t="s">
        <v>56</v>
      </c>
      <c r="B19" s="27">
        <v>2</v>
      </c>
      <c r="C19" s="10">
        <f t="shared" si="4"/>
        <v>7</v>
      </c>
      <c r="G19" s="10" t="s">
        <v>56</v>
      </c>
      <c r="H19" s="21">
        <f>(Tabela262438[[#This Row],[Tempo em Horas]]/7)</f>
        <v>1</v>
      </c>
      <c r="I19" s="26">
        <f t="shared" si="2"/>
        <v>45869</v>
      </c>
      <c r="J19" s="26">
        <f t="shared" si="3"/>
        <v>45869</v>
      </c>
    </row>
    <row r="20" spans="1:10">
      <c r="A20" s="10" t="s">
        <v>121</v>
      </c>
      <c r="B20" s="27">
        <v>2</v>
      </c>
      <c r="C20" s="10">
        <f t="shared" si="4"/>
        <v>7</v>
      </c>
      <c r="G20" s="10" t="s">
        <v>121</v>
      </c>
      <c r="H20" s="21">
        <f>(Tabela262438[[#This Row],[Tempo em Horas]]/7)</f>
        <v>1</v>
      </c>
      <c r="I20" s="26">
        <f t="shared" ref="I20:I21" si="5">WORKDAY.INTL(J19, 1)</f>
        <v>45870</v>
      </c>
      <c r="J20" s="28">
        <f t="shared" ref="J20:J21" si="6">IF(H20&gt;=1, WORKDAY.INTL(I20,H20 -1, 1), WORKDAY.INTL(I20,H20, 1))</f>
        <v>45870</v>
      </c>
    </row>
    <row r="21" spans="1:10">
      <c r="A21" s="10" t="s">
        <v>122</v>
      </c>
      <c r="B21" s="27">
        <v>2</v>
      </c>
      <c r="C21" s="10">
        <f t="shared" si="4"/>
        <v>7</v>
      </c>
      <c r="G21" s="10" t="s">
        <v>122</v>
      </c>
      <c r="H21" s="21">
        <f>(Tabela262438[[#This Row],[Tempo em Horas]]/7)</f>
        <v>1</v>
      </c>
      <c r="I21" s="26">
        <f t="shared" si="5"/>
        <v>45873</v>
      </c>
      <c r="J21" s="28">
        <f t="shared" si="6"/>
        <v>45873</v>
      </c>
    </row>
    <row r="22" spans="1:10">
      <c r="B22" s="41"/>
    </row>
    <row r="23" spans="1:10">
      <c r="B23" s="12" t="s">
        <v>4</v>
      </c>
      <c r="C23" s="12">
        <f>SUM(Tabela262438[Tempo em Horas])</f>
        <v>49</v>
      </c>
    </row>
    <row r="25" spans="1:10" s="40" customFormat="1"/>
    <row r="27" spans="1:10">
      <c r="A27" s="47" t="s">
        <v>124</v>
      </c>
      <c r="B27" s="48"/>
      <c r="C27" s="48"/>
      <c r="G27" s="47" t="s">
        <v>109</v>
      </c>
      <c r="H27" s="48"/>
      <c r="I27" s="48"/>
      <c r="J27" s="50"/>
    </row>
    <row r="28" spans="1:10">
      <c r="A28" s="5" t="s">
        <v>2</v>
      </c>
      <c r="B28" s="5" t="s">
        <v>3</v>
      </c>
      <c r="C28" s="6" t="s">
        <v>23</v>
      </c>
      <c r="G28" s="10" t="s">
        <v>2</v>
      </c>
      <c r="H28" s="10" t="s">
        <v>22</v>
      </c>
      <c r="I28" s="10" t="s">
        <v>20</v>
      </c>
      <c r="J28" s="10" t="s">
        <v>21</v>
      </c>
    </row>
    <row r="29" spans="1:10">
      <c r="A29" s="10" t="s">
        <v>111</v>
      </c>
      <c r="B29" s="27">
        <v>2</v>
      </c>
      <c r="C29" s="11">
        <f>IF(B29=1,4,IF(B29=2,7,IF(B29=3,14,IF(B29=5,21,IF(B29=8,35,IF(B29=13,42,IF(B29=21,49,IF(B29=34,70,IF(B29=55,105,"")))))))))</f>
        <v>7</v>
      </c>
      <c r="G29" s="10" t="s">
        <v>111</v>
      </c>
      <c r="H29" s="21">
        <f>(Tabela26243842[[#This Row],[Tempo em Horas]]/7)</f>
        <v>1</v>
      </c>
      <c r="I29" s="26">
        <v>45874</v>
      </c>
      <c r="J29" s="28">
        <f>IF(H29&gt;=1, WORKDAY.INTL(I29,H29 -1, 1), WORKDAY.INTL(I29,H29, 1))</f>
        <v>45874</v>
      </c>
    </row>
    <row r="30" spans="1:10">
      <c r="A30" s="10" t="s">
        <v>33</v>
      </c>
      <c r="B30" s="27">
        <v>3</v>
      </c>
      <c r="C30" s="11">
        <f>IF(B30=1,4,IF(B30=2,7,IF(B30=3,14,IF(B30=5,21,IF(B30=8,35,IF(B30=13,42,IF(B30=21,49,IF(B30=34,70,IF(B30=55,105,"")))))))))</f>
        <v>14</v>
      </c>
      <c r="G30" s="10" t="s">
        <v>33</v>
      </c>
      <c r="H30" s="21">
        <f>(Tabela26243842[[#This Row],[Tempo em Horas]]/7)</f>
        <v>2</v>
      </c>
      <c r="I30" s="26">
        <f t="shared" ref="I30:I35" si="7">WORKDAY.INTL(J29, 1)</f>
        <v>45875</v>
      </c>
      <c r="J30" s="26">
        <f t="shared" ref="J30:J35" si="8">IF(H30&gt;=1, WORKDAY.INTL(I30,H30 -1, 1), WORKDAY.INTL(I30,H30, 1))</f>
        <v>45876</v>
      </c>
    </row>
    <row r="31" spans="1:10">
      <c r="A31" s="10" t="s">
        <v>112</v>
      </c>
      <c r="B31" s="27">
        <v>2</v>
      </c>
      <c r="C31" s="10">
        <f t="shared" ref="C31:C33" si="9">IF(B31=1,4,IF(B31=2,7,IF(B31=3,14,IF(B31=5,21,IF(B31=8,35,IF(B31=13,42,IF(B31=21,49,IF(B31=34,70,IF(B31=55,105,"")))))))))</f>
        <v>7</v>
      </c>
      <c r="G31" s="10" t="s">
        <v>112</v>
      </c>
      <c r="H31" s="21">
        <f>(Tabela26243842[[#This Row],[Tempo em Horas]]/7)</f>
        <v>1</v>
      </c>
      <c r="I31" s="26">
        <f t="shared" si="7"/>
        <v>45877</v>
      </c>
      <c r="J31" s="26">
        <f t="shared" si="8"/>
        <v>45877</v>
      </c>
    </row>
    <row r="32" spans="1:10">
      <c r="A32" s="10" t="s">
        <v>38</v>
      </c>
      <c r="B32" s="27">
        <v>2</v>
      </c>
      <c r="C32" s="10">
        <f t="shared" si="9"/>
        <v>7</v>
      </c>
      <c r="G32" s="10" t="s">
        <v>38</v>
      </c>
      <c r="H32" s="21">
        <f>(Tabela26243842[[#This Row],[Tempo em Horas]]/7)</f>
        <v>1</v>
      </c>
      <c r="I32" s="26">
        <f t="shared" si="7"/>
        <v>45880</v>
      </c>
      <c r="J32" s="26">
        <f t="shared" si="8"/>
        <v>45880</v>
      </c>
    </row>
    <row r="33" spans="1:10">
      <c r="A33" s="10" t="s">
        <v>113</v>
      </c>
      <c r="B33" s="27">
        <v>2</v>
      </c>
      <c r="C33" s="10">
        <f t="shared" si="9"/>
        <v>7</v>
      </c>
      <c r="G33" s="10" t="s">
        <v>113</v>
      </c>
      <c r="H33" s="21">
        <f>(Tabela26243842[[#This Row],[Tempo em Horas]]/7)</f>
        <v>1</v>
      </c>
      <c r="I33" s="26">
        <f t="shared" si="7"/>
        <v>45881</v>
      </c>
      <c r="J33" s="26">
        <f t="shared" si="8"/>
        <v>45881</v>
      </c>
    </row>
    <row r="34" spans="1:10">
      <c r="A34" s="10" t="s">
        <v>42</v>
      </c>
      <c r="B34" s="27">
        <v>2</v>
      </c>
      <c r="C34" s="10">
        <f t="shared" ref="C34:C35" si="10">IF(B34=1,4,IF(B34=2,7,IF(B34=3,14,IF(B34=5,21,IF(B34=8,35,IF(B34=13,42,IF(B34=21,49,IF(B34=34,70,IF(B34=55,105,"")))))))))</f>
        <v>7</v>
      </c>
      <c r="G34" s="10" t="s">
        <v>42</v>
      </c>
      <c r="H34" s="21">
        <f>(Tabela26243842[[#This Row],[Tempo em Horas]]/7)</f>
        <v>1</v>
      </c>
      <c r="I34" s="26">
        <f t="shared" si="7"/>
        <v>45882</v>
      </c>
      <c r="J34" s="28">
        <f t="shared" si="8"/>
        <v>45882</v>
      </c>
    </row>
    <row r="35" spans="1:10">
      <c r="A35" s="10" t="s">
        <v>56</v>
      </c>
      <c r="B35" s="27">
        <v>2</v>
      </c>
      <c r="C35" s="10">
        <f t="shared" si="10"/>
        <v>7</v>
      </c>
      <c r="G35" s="10" t="s">
        <v>56</v>
      </c>
      <c r="H35" s="21">
        <f>(Tabela26243842[[#This Row],[Tempo em Horas]]/7)</f>
        <v>1</v>
      </c>
      <c r="I35" s="26">
        <f t="shared" si="7"/>
        <v>45883</v>
      </c>
      <c r="J35" s="28">
        <f t="shared" si="8"/>
        <v>45883</v>
      </c>
    </row>
    <row r="36" spans="1:10">
      <c r="A36" s="10" t="s">
        <v>46</v>
      </c>
      <c r="B36" s="27">
        <v>1</v>
      </c>
      <c r="C36" s="10">
        <f>IF(B36=1,4,IF(B36=2,7,IF(B36=3,14,IF(B36=5,21,IF(B36=8,35,IF(B36=13,42,IF(B36=21,49,IF(B36=34,70,IF(B36=55,105,"")))))))))</f>
        <v>4</v>
      </c>
      <c r="G36" s="10" t="s">
        <v>46</v>
      </c>
      <c r="H36" s="21">
        <f>(Tabela26243842[[#This Row],[Tempo em Horas]]/7)</f>
        <v>0.5714285714285714</v>
      </c>
      <c r="I36" s="26">
        <f t="shared" ref="I36:I39" si="11">WORKDAY.INTL(J35, 1)</f>
        <v>45884</v>
      </c>
      <c r="J36" s="28">
        <f t="shared" ref="J36:J39" si="12">IF(H36&gt;=1, WORKDAY.INTL(I36,H36 -1, 1), WORKDAY.INTL(I36,H36, 1))</f>
        <v>45884</v>
      </c>
    </row>
    <row r="37" spans="1:10">
      <c r="A37" s="10" t="s">
        <v>48</v>
      </c>
      <c r="B37" s="27">
        <v>3</v>
      </c>
      <c r="C37" s="10">
        <f>IF(B37=1,4,IF(B37=2,7,IF(B37=3,14,IF(B37=5,21,IF(B37=8,35,IF(B37=13,42,IF(B37=21,49,IF(B37=34,70,IF(B37=55,105,"")))))))))</f>
        <v>14</v>
      </c>
      <c r="G37" s="10" t="s">
        <v>48</v>
      </c>
      <c r="H37" s="21">
        <f>(Tabela26243842[[#This Row],[Tempo em Horas]]/7)</f>
        <v>2</v>
      </c>
      <c r="I37" s="26">
        <f t="shared" si="11"/>
        <v>45887</v>
      </c>
      <c r="J37" s="28">
        <f t="shared" si="12"/>
        <v>45888</v>
      </c>
    </row>
    <row r="38" spans="1:10">
      <c r="A38" s="10" t="s">
        <v>49</v>
      </c>
      <c r="B38" s="27">
        <v>3</v>
      </c>
      <c r="C38" s="10">
        <f t="shared" ref="C38:C39" si="13">IF(B38=1,4,IF(B38=2,7,IF(B38=3,14,IF(B38=5,21,IF(B38=8,35,IF(B38=13,42,IF(B38=21,49,IF(B38=34,70,IF(B38=55,105,"")))))))))</f>
        <v>14</v>
      </c>
      <c r="G38" s="10" t="s">
        <v>49</v>
      </c>
      <c r="H38" s="21">
        <f>(Tabela26243842[[#This Row],[Tempo em Horas]]/7)</f>
        <v>2</v>
      </c>
      <c r="I38" s="26">
        <f t="shared" si="11"/>
        <v>45889</v>
      </c>
      <c r="J38" s="28">
        <f t="shared" si="12"/>
        <v>45890</v>
      </c>
    </row>
    <row r="39" spans="1:10">
      <c r="A39" s="10" t="s">
        <v>50</v>
      </c>
      <c r="B39" s="27">
        <v>1</v>
      </c>
      <c r="C39" s="10">
        <f t="shared" si="13"/>
        <v>4</v>
      </c>
      <c r="G39" s="10" t="s">
        <v>50</v>
      </c>
      <c r="H39" s="21">
        <f>(Tabela26243842[[#This Row],[Tempo em Horas]]/7)</f>
        <v>0.5714285714285714</v>
      </c>
      <c r="I39" s="26">
        <f t="shared" si="11"/>
        <v>45891</v>
      </c>
      <c r="J39" s="28">
        <f t="shared" si="12"/>
        <v>45891</v>
      </c>
    </row>
    <row r="40" spans="1:10">
      <c r="B40" s="42"/>
    </row>
    <row r="41" spans="1:10">
      <c r="B41" s="12" t="s">
        <v>4</v>
      </c>
      <c r="C41" s="12">
        <f>SUM(Tabela26243842[Tempo em Horas])</f>
        <v>92</v>
      </c>
    </row>
  </sheetData>
  <mergeCells count="6">
    <mergeCell ref="A1:C1"/>
    <mergeCell ref="G1:J1"/>
    <mergeCell ref="A13:C13"/>
    <mergeCell ref="G13:J13"/>
    <mergeCell ref="A27:C27"/>
    <mergeCell ref="G27:J27"/>
  </mergeCell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A4274-143E-4347-873F-493BE0DBFEDC}">
  <sheetPr>
    <tabColor rgb="FFC00000"/>
  </sheetPr>
  <dimension ref="A1:J24"/>
  <sheetViews>
    <sheetView topLeftCell="B1" workbookViewId="0">
      <selection activeCell="J22" sqref="J22"/>
    </sheetView>
  </sheetViews>
  <sheetFormatPr defaultRowHeight="15"/>
  <cols>
    <col min="1" max="1" width="123.28515625" bestFit="1" customWidth="1"/>
    <col min="2" max="2" width="16.28515625" bestFit="1" customWidth="1"/>
    <col min="3" max="3" width="18.28515625" bestFit="1" customWidth="1"/>
    <col min="7" max="7" width="69.28515625" bestFit="1" customWidth="1"/>
    <col min="8" max="8" width="10.5703125" bestFit="1" customWidth="1"/>
    <col min="9" max="9" width="12.5703125" bestFit="1" customWidth="1"/>
    <col min="10" max="10" width="11" bestFit="1" customWidth="1"/>
  </cols>
  <sheetData>
    <row r="1" spans="1:10">
      <c r="A1" s="47" t="s">
        <v>102</v>
      </c>
      <c r="B1" s="48"/>
      <c r="C1" s="48"/>
      <c r="D1" s="1"/>
      <c r="G1" s="49" t="s">
        <v>104</v>
      </c>
      <c r="H1" s="49"/>
      <c r="I1" s="49"/>
      <c r="J1" s="49"/>
    </row>
    <row r="2" spans="1:10">
      <c r="A2" s="5" t="s">
        <v>2</v>
      </c>
      <c r="B2" s="5" t="s">
        <v>3</v>
      </c>
      <c r="C2" s="6" t="s">
        <v>23</v>
      </c>
      <c r="G2" s="10" t="s">
        <v>2</v>
      </c>
      <c r="H2" s="10" t="s">
        <v>22</v>
      </c>
      <c r="I2" s="10" t="s">
        <v>20</v>
      </c>
      <c r="J2" s="10" t="s">
        <v>21</v>
      </c>
    </row>
    <row r="3" spans="1:10">
      <c r="A3" s="10" t="s">
        <v>42</v>
      </c>
      <c r="B3" s="27">
        <v>2</v>
      </c>
      <c r="C3" s="10">
        <f>IF(B3=1,4,IF(B3=2,7,IF(B3=3,14,IF(B3=5,21,IF(B3=8,35,IF(B3=13,42,IF(B3=21,49,IF(B3=34,70,IF(B3=55,105,"")))))))))</f>
        <v>7</v>
      </c>
      <c r="G3" s="10" t="s">
        <v>42</v>
      </c>
      <c r="H3" s="21">
        <f>(Tabela26202230[[#This Row],[Tempo em Horas]]/7)</f>
        <v>1</v>
      </c>
      <c r="I3" s="26">
        <v>45873</v>
      </c>
      <c r="J3" s="26">
        <f>IF(H3&gt;=1, WORKDAY.INTL(I3,H3 -1, 1), WORKDAY.INTL(I3,H3, 1))</f>
        <v>45873</v>
      </c>
    </row>
    <row r="4" spans="1:10">
      <c r="A4" s="10" t="s">
        <v>56</v>
      </c>
      <c r="B4" s="27">
        <v>2</v>
      </c>
      <c r="C4" s="10">
        <f>IF(B4=1,4,IF(B4=2,7,IF(B4=3,14,IF(B4=5,21,IF(B4=8,35,IF(B4=13,42,IF(B4=21,49,IF(B4=34,70,IF(B4=55,105,"")))))))))</f>
        <v>7</v>
      </c>
      <c r="G4" s="10" t="s">
        <v>56</v>
      </c>
      <c r="H4" s="21">
        <f>(Tabela26202230[[#This Row],[Tempo em Horas]]/7)</f>
        <v>1</v>
      </c>
      <c r="I4" s="26">
        <f>WORKDAY.INTL(J3, 1)</f>
        <v>45874</v>
      </c>
      <c r="J4" s="26">
        <f>IF(H4&gt;=1, WORKDAY.INTL(I4,H4 -1, 1), WORKDAY.INTL(I4,H4, 1))</f>
        <v>45874</v>
      </c>
    </row>
    <row r="5" spans="1:10">
      <c r="A5" s="10" t="s">
        <v>46</v>
      </c>
      <c r="B5" s="27">
        <v>2</v>
      </c>
      <c r="C5" s="10">
        <f>IF(B5=1,4,IF(B5=2,7,IF(B5=3,14,IF(B5=5,21,IF(B5=8,35,IF(B5=13,42,IF(B5=21,49,IF(B5=34,70,IF(B5=55,105,"")))))))))</f>
        <v>7</v>
      </c>
      <c r="G5" s="10" t="s">
        <v>46</v>
      </c>
      <c r="H5" s="21">
        <f>(Tabela26202230[[#This Row],[Tempo em Horas]]/7)</f>
        <v>1</v>
      </c>
      <c r="I5" s="26">
        <f>WORKDAY.INTL(J4, 1)</f>
        <v>45875</v>
      </c>
      <c r="J5" s="26">
        <f>IF(H5&gt;=1, WORKDAY.INTL(I5,H5 -1, 1), WORKDAY.INTL(I5,H5, 1))</f>
        <v>45875</v>
      </c>
    </row>
    <row r="6" spans="1:10">
      <c r="B6" s="30"/>
    </row>
    <row r="7" spans="1:10">
      <c r="B7" s="12" t="s">
        <v>4</v>
      </c>
      <c r="C7" s="12">
        <f>SUM(Tabela26202230[Tempo em Horas])</f>
        <v>21</v>
      </c>
    </row>
    <row r="8" spans="1:10" s="40" customFormat="1"/>
    <row r="10" spans="1:10">
      <c r="A10" s="47" t="s">
        <v>115</v>
      </c>
      <c r="B10" s="48"/>
      <c r="C10" s="48"/>
      <c r="G10" s="49" t="s">
        <v>109</v>
      </c>
      <c r="H10" s="49"/>
      <c r="I10" s="49"/>
      <c r="J10" s="49"/>
    </row>
    <row r="11" spans="1:10">
      <c r="A11" s="5" t="s">
        <v>2</v>
      </c>
      <c r="B11" s="5" t="s">
        <v>3</v>
      </c>
      <c r="C11" s="6" t="s">
        <v>23</v>
      </c>
      <c r="G11" s="10" t="s">
        <v>2</v>
      </c>
      <c r="H11" s="10" t="s">
        <v>22</v>
      </c>
      <c r="I11" s="10" t="s">
        <v>20</v>
      </c>
      <c r="J11" s="10" t="s">
        <v>21</v>
      </c>
    </row>
    <row r="12" spans="1:10">
      <c r="A12" s="10" t="s">
        <v>123</v>
      </c>
      <c r="B12" s="27">
        <v>2</v>
      </c>
      <c r="C12" s="10">
        <f>IF(B12=1,4,IF(B12=2,7,IF(B12=3,14,IF(B12=5,21,IF(B12=8,35,IF(B12=13,42,IF(B12=21,49,IF(B12=34,70,IF(B12=55,105,"")))))))))</f>
        <v>7</v>
      </c>
      <c r="G12" s="10" t="s">
        <v>123</v>
      </c>
      <c r="H12" s="21">
        <f>(Tabela2620223640[[#This Row],[Tempo em Horas]]/7)</f>
        <v>1</v>
      </c>
      <c r="I12" s="26">
        <v>45876</v>
      </c>
      <c r="J12" s="26">
        <f>IF(H12&gt;=1, WORKDAY.INTL(I12,H12 -1, 1), WORKDAY.INTL(I12,H12, 1))</f>
        <v>45876</v>
      </c>
    </row>
    <row r="13" spans="1:10">
      <c r="A13" s="10" t="s">
        <v>117</v>
      </c>
      <c r="B13" s="27">
        <v>2</v>
      </c>
      <c r="C13" s="10">
        <f t="shared" ref="C13:C22" si="0">IF(B13=1,4,IF(B13=2,7,IF(B13=3,14,IF(B13=5,21,IF(B13=8,35,IF(B13=13,42,IF(B13=21,49,IF(B13=34,70,IF(B13=55,105,"")))))))))</f>
        <v>7</v>
      </c>
      <c r="G13" s="10" t="s">
        <v>117</v>
      </c>
      <c r="H13" s="21">
        <f>(Tabela2620223640[[#This Row],[Tempo em Horas]]/7)</f>
        <v>1</v>
      </c>
      <c r="I13" s="26">
        <f>WORKDAY.INTL(J12, 1)</f>
        <v>45877</v>
      </c>
      <c r="J13" s="26">
        <f t="shared" ref="J13:J22" si="1">IF(H13&gt;=1, WORKDAY.INTL(I13,H13 -1, 1), WORKDAY.INTL(I13,H13, 1))</f>
        <v>45877</v>
      </c>
    </row>
    <row r="14" spans="1:10">
      <c r="A14" s="10" t="s">
        <v>54</v>
      </c>
      <c r="B14" s="27">
        <v>2</v>
      </c>
      <c r="C14" s="10">
        <f t="shared" si="0"/>
        <v>7</v>
      </c>
      <c r="G14" s="10" t="s">
        <v>54</v>
      </c>
      <c r="H14" s="21">
        <f>(Tabela2620223640[[#This Row],[Tempo em Horas]]/7)</f>
        <v>1</v>
      </c>
      <c r="I14" s="26">
        <f t="shared" ref="I14:I22" si="2">WORKDAY.INTL(J13, 1)</f>
        <v>45880</v>
      </c>
      <c r="J14" s="26">
        <f t="shared" si="1"/>
        <v>45880</v>
      </c>
    </row>
    <row r="15" spans="1:10">
      <c r="A15" s="10" t="s">
        <v>38</v>
      </c>
      <c r="B15" s="27">
        <v>2</v>
      </c>
      <c r="C15" s="10">
        <f t="shared" si="0"/>
        <v>7</v>
      </c>
      <c r="G15" s="10" t="s">
        <v>38</v>
      </c>
      <c r="H15" s="21">
        <f>(Tabela2620223640[[#This Row],[Tempo em Horas]]/7)</f>
        <v>1</v>
      </c>
      <c r="I15" s="26">
        <f t="shared" si="2"/>
        <v>45881</v>
      </c>
      <c r="J15" s="26">
        <f t="shared" si="1"/>
        <v>45881</v>
      </c>
    </row>
    <row r="16" spans="1:10">
      <c r="A16" s="10" t="s">
        <v>118</v>
      </c>
      <c r="B16" s="27">
        <v>2</v>
      </c>
      <c r="C16" s="10">
        <f t="shared" si="0"/>
        <v>7</v>
      </c>
      <c r="D16" s="1"/>
      <c r="G16" s="10" t="s">
        <v>118</v>
      </c>
      <c r="H16" s="21">
        <f>(Tabela2620223640[[#This Row],[Tempo em Horas]]/7)</f>
        <v>1</v>
      </c>
      <c r="I16" s="26">
        <f t="shared" si="2"/>
        <v>45882</v>
      </c>
      <c r="J16" s="26">
        <f t="shared" si="1"/>
        <v>45882</v>
      </c>
    </row>
    <row r="17" spans="1:10">
      <c r="A17" s="10" t="s">
        <v>89</v>
      </c>
      <c r="B17" s="27">
        <v>2</v>
      </c>
      <c r="C17" s="10">
        <f t="shared" si="0"/>
        <v>7</v>
      </c>
      <c r="G17" s="10" t="s">
        <v>89</v>
      </c>
      <c r="H17" s="21">
        <f>(Tabela2620223640[[#This Row],[Tempo em Horas]]/7)</f>
        <v>1</v>
      </c>
      <c r="I17" s="26">
        <f t="shared" si="2"/>
        <v>45883</v>
      </c>
      <c r="J17" s="26">
        <f t="shared" si="1"/>
        <v>45883</v>
      </c>
    </row>
    <row r="18" spans="1:10">
      <c r="A18" s="10" t="s">
        <v>89</v>
      </c>
      <c r="B18" s="27">
        <v>2</v>
      </c>
      <c r="C18" s="10">
        <f t="shared" si="0"/>
        <v>7</v>
      </c>
      <c r="G18" s="10" t="s">
        <v>89</v>
      </c>
      <c r="H18" s="21">
        <f>(Tabela2620223640[[#This Row],[Tempo em Horas]]/7)</f>
        <v>1</v>
      </c>
      <c r="I18" s="26">
        <f t="shared" si="2"/>
        <v>45884</v>
      </c>
      <c r="J18" s="26">
        <f t="shared" si="1"/>
        <v>45884</v>
      </c>
    </row>
    <row r="19" spans="1:10">
      <c r="A19" s="10" t="s">
        <v>42</v>
      </c>
      <c r="B19" s="27">
        <v>2</v>
      </c>
      <c r="C19" s="10">
        <f t="shared" si="0"/>
        <v>7</v>
      </c>
      <c r="G19" s="10" t="s">
        <v>42</v>
      </c>
      <c r="H19" s="21">
        <f>(Tabela2620223640[[#This Row],[Tempo em Horas]]/7)</f>
        <v>1</v>
      </c>
      <c r="I19" s="26">
        <f t="shared" si="2"/>
        <v>45887</v>
      </c>
      <c r="J19" s="26">
        <f t="shared" si="1"/>
        <v>45887</v>
      </c>
    </row>
    <row r="20" spans="1:10">
      <c r="A20" s="10" t="s">
        <v>56</v>
      </c>
      <c r="B20" s="27">
        <v>2</v>
      </c>
      <c r="C20" s="10">
        <f t="shared" si="0"/>
        <v>7</v>
      </c>
      <c r="G20" s="10" t="s">
        <v>56</v>
      </c>
      <c r="H20" s="21">
        <f>(Tabela2620223640[[#This Row],[Tempo em Horas]]/7)</f>
        <v>1</v>
      </c>
      <c r="I20" s="26">
        <f t="shared" si="2"/>
        <v>45888</v>
      </c>
      <c r="J20" s="26">
        <f t="shared" si="1"/>
        <v>45888</v>
      </c>
    </row>
    <row r="21" spans="1:10">
      <c r="A21" s="10" t="s">
        <v>46</v>
      </c>
      <c r="B21" s="27">
        <v>3</v>
      </c>
      <c r="C21" s="10">
        <f t="shared" si="0"/>
        <v>14</v>
      </c>
      <c r="G21" s="10" t="s">
        <v>46</v>
      </c>
      <c r="H21" s="21">
        <f>(Tabela2620223640[[#This Row],[Tempo em Horas]]/7)</f>
        <v>2</v>
      </c>
      <c r="I21" s="26">
        <f t="shared" si="2"/>
        <v>45889</v>
      </c>
      <c r="J21" s="26">
        <f t="shared" si="1"/>
        <v>45890</v>
      </c>
    </row>
    <row r="22" spans="1:10">
      <c r="A22" s="10" t="s">
        <v>48</v>
      </c>
      <c r="B22" s="27">
        <v>2</v>
      </c>
      <c r="C22" s="10">
        <f t="shared" si="0"/>
        <v>7</v>
      </c>
      <c r="G22" s="10" t="s">
        <v>48</v>
      </c>
      <c r="H22" s="21">
        <f>(Tabela2620223640[[#This Row],[Tempo em Horas]]/7)</f>
        <v>1</v>
      </c>
      <c r="I22" s="26">
        <f t="shared" si="2"/>
        <v>45891</v>
      </c>
      <c r="J22" s="26">
        <f t="shared" si="1"/>
        <v>45891</v>
      </c>
    </row>
    <row r="23" spans="1:10">
      <c r="B23" s="42"/>
    </row>
    <row r="24" spans="1:10">
      <c r="B24" s="12" t="s">
        <v>4</v>
      </c>
      <c r="C24" s="12">
        <f>SUM(Tabela2620223640[Tempo em Horas])</f>
        <v>84</v>
      </c>
    </row>
  </sheetData>
  <mergeCells count="4">
    <mergeCell ref="A1:C1"/>
    <mergeCell ref="G1:J1"/>
    <mergeCell ref="A10:C10"/>
    <mergeCell ref="G10:J10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398A-4978-4F28-A79B-8638A0E0CE41}">
  <sheetPr>
    <tabColor rgb="FFC00000"/>
  </sheetPr>
  <dimension ref="A1:J16"/>
  <sheetViews>
    <sheetView topLeftCell="B1" workbookViewId="0">
      <selection activeCell="D39" sqref="D39"/>
    </sheetView>
  </sheetViews>
  <sheetFormatPr defaultRowHeight="15"/>
  <cols>
    <col min="1" max="1" width="109.28515625" bestFit="1" customWidth="1"/>
    <col min="2" max="2" width="19.140625" bestFit="1" customWidth="1"/>
    <col min="3" max="3" width="18.28515625" bestFit="1" customWidth="1"/>
    <col min="7" max="7" width="109.28515625" bestFit="1" customWidth="1"/>
    <col min="8" max="8" width="10.5703125" bestFit="1" customWidth="1"/>
    <col min="9" max="9" width="12.5703125" bestFit="1" customWidth="1"/>
    <col min="10" max="10" width="11" bestFit="1" customWidth="1"/>
  </cols>
  <sheetData>
    <row r="1" spans="1:10">
      <c r="A1" s="47" t="s">
        <v>102</v>
      </c>
      <c r="B1" s="48"/>
      <c r="C1" s="48"/>
      <c r="D1" s="1"/>
      <c r="G1" s="49" t="s">
        <v>104</v>
      </c>
      <c r="H1" s="49"/>
      <c r="I1" s="49"/>
      <c r="J1" s="49"/>
    </row>
    <row r="2" spans="1:10">
      <c r="A2" s="5" t="s">
        <v>2</v>
      </c>
      <c r="B2" s="5" t="s">
        <v>3</v>
      </c>
      <c r="C2" s="6" t="s">
        <v>23</v>
      </c>
      <c r="G2" s="10" t="s">
        <v>2</v>
      </c>
      <c r="H2" s="10" t="s">
        <v>22</v>
      </c>
      <c r="I2" s="10" t="s">
        <v>20</v>
      </c>
      <c r="J2" s="10" t="s">
        <v>21</v>
      </c>
    </row>
    <row r="3" spans="1:10">
      <c r="A3" s="10" t="s">
        <v>25</v>
      </c>
      <c r="B3" s="27">
        <v>2</v>
      </c>
      <c r="C3" s="11">
        <f t="shared" ref="C3:C12" si="0">IF(B3=1,4,IF(B3=2,7,IF(B3=3,14,IF(B3=5,21,IF(B3=8,35,IF(B3=13,42,IF(B3=21,49,IF(B3=34,70,IF(B3=55,105,"")))))))))</f>
        <v>7</v>
      </c>
      <c r="G3" s="10" t="s">
        <v>25</v>
      </c>
      <c r="H3" s="21">
        <f>(Tabela2612[[#This Row],[Tempo em Horas]]/7)</f>
        <v>1</v>
      </c>
      <c r="I3" s="26">
        <v>45840</v>
      </c>
      <c r="J3" s="26">
        <f>IF(H3&gt;=1, WORKDAY.INTL(I3,H3 -1, 1), WORKDAY.INTL(I3,H3, 1))</f>
        <v>45840</v>
      </c>
    </row>
    <row r="4" spans="1:10">
      <c r="A4" s="10" t="s">
        <v>26</v>
      </c>
      <c r="B4" s="27">
        <v>2</v>
      </c>
      <c r="C4" s="11">
        <f t="shared" si="0"/>
        <v>7</v>
      </c>
      <c r="G4" s="10" t="s">
        <v>26</v>
      </c>
      <c r="H4" s="21">
        <f>(Tabela2612[[#This Row],[Tempo em Horas]]/7)</f>
        <v>1</v>
      </c>
      <c r="I4" s="26">
        <f>WORKDAY.INTL(J3, 1)</f>
        <v>45841</v>
      </c>
      <c r="J4" s="26">
        <f>IF(H4&gt;=1, WORKDAY.INTL(I4,H4 -1, 1), WORKDAY.INTL(I4,H4, 1))</f>
        <v>45841</v>
      </c>
    </row>
    <row r="5" spans="1:10">
      <c r="A5" s="10" t="s">
        <v>58</v>
      </c>
      <c r="B5" s="27">
        <v>2</v>
      </c>
      <c r="C5" s="11">
        <f t="shared" si="0"/>
        <v>7</v>
      </c>
      <c r="G5" s="10" t="s">
        <v>58</v>
      </c>
      <c r="H5" s="21">
        <f>(Tabela2612[[#This Row],[Tempo em Horas]]/7)</f>
        <v>1</v>
      </c>
      <c r="I5" s="26">
        <f t="shared" ref="I5" si="1">WORKDAY.INTL(J4, 1)</f>
        <v>45842</v>
      </c>
      <c r="J5" s="26">
        <f>IF(H5&gt;=1, WORKDAY.INTL(I5,H5 -1, 1), WORKDAY.INTL(I5,H5, 1))</f>
        <v>45842</v>
      </c>
    </row>
    <row r="6" spans="1:10">
      <c r="A6" s="10" t="s">
        <v>31</v>
      </c>
      <c r="B6" s="27">
        <v>2</v>
      </c>
      <c r="C6" s="11">
        <f t="shared" si="0"/>
        <v>7</v>
      </c>
      <c r="G6" s="10" t="s">
        <v>31</v>
      </c>
      <c r="H6" s="21">
        <f>(Tabela2612[[#This Row],[Tempo em Horas]]/7)</f>
        <v>1</v>
      </c>
      <c r="I6" s="26">
        <f t="shared" ref="I6:I14" si="2">WORKDAY.INTL(J5, 1)</f>
        <v>45845</v>
      </c>
      <c r="J6" s="26">
        <f t="shared" ref="J6:J14" si="3">IF(H6&gt;=1, WORKDAY.INTL(I6,H6 -1, 1), WORKDAY.INTL(I6,H6, 1))</f>
        <v>45845</v>
      </c>
    </row>
    <row r="7" spans="1:10">
      <c r="A7" s="10" t="s">
        <v>32</v>
      </c>
      <c r="B7" s="27">
        <v>2</v>
      </c>
      <c r="C7" s="11">
        <f t="shared" si="0"/>
        <v>7</v>
      </c>
      <c r="G7" s="10" t="s">
        <v>32</v>
      </c>
      <c r="H7" s="21">
        <f>(Tabela2612[[#This Row],[Tempo em Horas]]/7)</f>
        <v>1</v>
      </c>
      <c r="I7" s="26">
        <f t="shared" si="2"/>
        <v>45846</v>
      </c>
      <c r="J7" s="26">
        <f t="shared" si="3"/>
        <v>45846</v>
      </c>
    </row>
    <row r="8" spans="1:10">
      <c r="A8" s="10" t="s">
        <v>34</v>
      </c>
      <c r="B8" s="27">
        <v>3</v>
      </c>
      <c r="C8" s="11">
        <f t="shared" si="0"/>
        <v>14</v>
      </c>
      <c r="G8" s="10" t="s">
        <v>34</v>
      </c>
      <c r="H8" s="21">
        <f>(Tabela2612[[#This Row],[Tempo em Horas]]/7)</f>
        <v>2</v>
      </c>
      <c r="I8" s="26">
        <f t="shared" si="2"/>
        <v>45847</v>
      </c>
      <c r="J8" s="26">
        <f t="shared" si="3"/>
        <v>45848</v>
      </c>
    </row>
    <row r="9" spans="1:10">
      <c r="A9" s="10" t="s">
        <v>35</v>
      </c>
      <c r="B9" s="27">
        <v>2</v>
      </c>
      <c r="C9" s="11">
        <f t="shared" si="0"/>
        <v>7</v>
      </c>
      <c r="G9" s="10" t="s">
        <v>35</v>
      </c>
      <c r="H9" s="21">
        <f>(Tabela2612[[#This Row],[Tempo em Horas]]/7)</f>
        <v>1</v>
      </c>
      <c r="I9" s="26">
        <f t="shared" si="2"/>
        <v>45849</v>
      </c>
      <c r="J9" s="26">
        <f t="shared" si="3"/>
        <v>45849</v>
      </c>
    </row>
    <row r="10" spans="1:10">
      <c r="A10" s="10" t="s">
        <v>36</v>
      </c>
      <c r="B10" s="27">
        <v>1</v>
      </c>
      <c r="C10" s="11">
        <f t="shared" si="0"/>
        <v>4</v>
      </c>
      <c r="G10" s="10" t="s">
        <v>36</v>
      </c>
      <c r="H10" s="21">
        <f>(Tabela2612[[#This Row],[Tempo em Horas]]/7)</f>
        <v>0.5714285714285714</v>
      </c>
      <c r="I10" s="26">
        <f t="shared" si="2"/>
        <v>45852</v>
      </c>
      <c r="J10" s="26">
        <f t="shared" si="3"/>
        <v>45852</v>
      </c>
    </row>
    <row r="11" spans="1:10">
      <c r="A11" s="10" t="s">
        <v>37</v>
      </c>
      <c r="B11" s="27">
        <v>2</v>
      </c>
      <c r="C11" s="11">
        <f t="shared" si="0"/>
        <v>7</v>
      </c>
      <c r="G11" s="10" t="s">
        <v>37</v>
      </c>
      <c r="H11" s="21">
        <f>(Tabela2612[[#This Row],[Tempo em Horas]]/7)</f>
        <v>1</v>
      </c>
      <c r="I11" s="26">
        <f t="shared" si="2"/>
        <v>45853</v>
      </c>
      <c r="J11" s="26">
        <f t="shared" si="3"/>
        <v>45853</v>
      </c>
    </row>
    <row r="12" spans="1:10">
      <c r="A12" s="10" t="s">
        <v>38</v>
      </c>
      <c r="B12" s="27">
        <v>3</v>
      </c>
      <c r="C12" s="11">
        <f t="shared" si="0"/>
        <v>14</v>
      </c>
      <c r="G12" s="10" t="s">
        <v>38</v>
      </c>
      <c r="H12" s="21">
        <f>(Tabela2612[[#This Row],[Tempo em Horas]]/7)</f>
        <v>2</v>
      </c>
      <c r="I12" s="26">
        <f t="shared" si="2"/>
        <v>45854</v>
      </c>
      <c r="J12" s="26">
        <f t="shared" si="3"/>
        <v>45855</v>
      </c>
    </row>
    <row r="13" spans="1:10">
      <c r="A13" s="10" t="s">
        <v>55</v>
      </c>
      <c r="B13" s="27">
        <v>2</v>
      </c>
      <c r="C13" s="10">
        <f t="shared" ref="C13" si="4">IF(B13=1,4,IF(B13=2,7,IF(B13=3,14,IF(B13=5,21,IF(B13=8,35,IF(B13=13,42,IF(B13=21,49,IF(B13=34,70,IF(B13=55,105,"")))))))))</f>
        <v>7</v>
      </c>
      <c r="G13" s="10" t="s">
        <v>55</v>
      </c>
      <c r="H13" s="21">
        <f>(Tabela2612[[#This Row],[Tempo em Horas]]/7)</f>
        <v>1</v>
      </c>
      <c r="I13" s="26">
        <f t="shared" si="2"/>
        <v>45856</v>
      </c>
      <c r="J13" s="26">
        <f t="shared" si="3"/>
        <v>45856</v>
      </c>
    </row>
    <row r="14" spans="1:10">
      <c r="A14" s="10" t="s">
        <v>41</v>
      </c>
      <c r="B14" s="27">
        <v>5</v>
      </c>
      <c r="C14" s="10">
        <f>IF(B14=1,4,IF(B14=2,7,IF(B14=3,14,IF(B14=5,21,IF(B14=8,35,IF(B14=13,42,IF(B14=21,49,IF(B14=34,70,IF(B14=55,105,"")))))))))</f>
        <v>21</v>
      </c>
      <c r="G14" s="10" t="s">
        <v>41</v>
      </c>
      <c r="H14" s="21">
        <f>(Tabela2612[[#This Row],[Tempo em Horas]]/7)</f>
        <v>3</v>
      </c>
      <c r="I14" s="26">
        <f t="shared" si="2"/>
        <v>45859</v>
      </c>
      <c r="J14" s="26">
        <f t="shared" si="3"/>
        <v>45861</v>
      </c>
    </row>
    <row r="16" spans="1:10">
      <c r="B16" s="12" t="s">
        <v>4</v>
      </c>
      <c r="C16" s="12">
        <f>SUM(Tabela2612[Tempo em Horas])</f>
        <v>109</v>
      </c>
    </row>
  </sheetData>
  <mergeCells count="2">
    <mergeCell ref="A1:C1"/>
    <mergeCell ref="G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5097-3930-48FB-A8A3-B274CBF795AE}">
  <sheetPr>
    <tabColor rgb="FFC00000"/>
  </sheetPr>
  <dimension ref="A1:J19"/>
  <sheetViews>
    <sheetView workbookViewId="0">
      <selection activeCell="J17" sqref="J17"/>
    </sheetView>
  </sheetViews>
  <sheetFormatPr defaultRowHeight="15"/>
  <cols>
    <col min="1" max="1" width="103.85546875" bestFit="1" customWidth="1"/>
    <col min="2" max="2" width="16.28515625" bestFit="1" customWidth="1"/>
    <col min="3" max="3" width="18.28515625" bestFit="1" customWidth="1"/>
    <col min="7" max="7" width="103.85546875" bestFit="1" customWidth="1"/>
    <col min="8" max="8" width="10.5703125" bestFit="1" customWidth="1"/>
    <col min="9" max="9" width="12.5703125" bestFit="1" customWidth="1"/>
    <col min="10" max="10" width="11" bestFit="1" customWidth="1"/>
  </cols>
  <sheetData>
    <row r="1" spans="1:10">
      <c r="A1" s="47" t="s">
        <v>105</v>
      </c>
      <c r="B1" s="48"/>
      <c r="C1" s="48"/>
      <c r="D1" s="1"/>
      <c r="G1" s="49" t="s">
        <v>104</v>
      </c>
      <c r="H1" s="49"/>
      <c r="I1" s="49"/>
      <c r="J1" s="49"/>
    </row>
    <row r="2" spans="1:10">
      <c r="A2" s="5" t="s">
        <v>2</v>
      </c>
      <c r="B2" s="5" t="s">
        <v>3</v>
      </c>
      <c r="C2" s="6" t="s">
        <v>23</v>
      </c>
      <c r="G2" s="10" t="s">
        <v>2</v>
      </c>
      <c r="H2" s="10" t="s">
        <v>22</v>
      </c>
      <c r="I2" s="10" t="s">
        <v>20</v>
      </c>
      <c r="J2" s="10" t="s">
        <v>21</v>
      </c>
    </row>
    <row r="3" spans="1:10">
      <c r="A3" s="10" t="s">
        <v>31</v>
      </c>
      <c r="B3" s="27">
        <v>1</v>
      </c>
      <c r="C3" s="11">
        <f t="shared" ref="C3:C6" si="0">IF(B3=1,4,IF(B3=2,7,IF(B3=3,14,IF(B3=5,21,IF(B3=8,35,IF(B3=13,42,IF(B3=21,49,IF(B3=34,70,IF(B3=55,105,"")))))))))</f>
        <v>4</v>
      </c>
      <c r="G3" s="10" t="s">
        <v>31</v>
      </c>
      <c r="H3" s="21">
        <f>(Tabela26121426[[#This Row],[Tempo em Horas]]/7)</f>
        <v>0.5714285714285714</v>
      </c>
      <c r="I3" s="26">
        <v>45840</v>
      </c>
      <c r="J3" s="26">
        <f>IF(H3&gt;=1, WORKDAY.INTL(I3,H3 -1, 1), WORKDAY.INTL(I3,H3, 1))</f>
        <v>45840</v>
      </c>
    </row>
    <row r="4" spans="1:10">
      <c r="A4" s="10" t="s">
        <v>36</v>
      </c>
      <c r="B4" s="27">
        <v>5</v>
      </c>
      <c r="C4" s="11">
        <f t="shared" si="0"/>
        <v>21</v>
      </c>
      <c r="G4" s="10" t="s">
        <v>36</v>
      </c>
      <c r="H4" s="21">
        <f>(Tabela26121426[[#This Row],[Tempo em Horas]]/7)</f>
        <v>3</v>
      </c>
      <c r="I4" s="26">
        <f>WORKDAY.INTL(J3, 1)</f>
        <v>45841</v>
      </c>
      <c r="J4" s="26">
        <f>IF(H4&gt;=1, WORKDAY.INTL(I4,H4 -1, 1), WORKDAY.INTL(I4,H4, 1))</f>
        <v>45845</v>
      </c>
    </row>
    <row r="5" spans="1:10">
      <c r="A5" s="10" t="s">
        <v>37</v>
      </c>
      <c r="B5" s="27">
        <v>3</v>
      </c>
      <c r="C5" s="10">
        <f t="shared" si="0"/>
        <v>14</v>
      </c>
      <c r="G5" s="10" t="s">
        <v>37</v>
      </c>
      <c r="H5" s="21">
        <f>(Tabela26121426[[#This Row],[Tempo em Horas]]/7)</f>
        <v>2</v>
      </c>
      <c r="I5" s="26">
        <f t="shared" ref="I5:I6" si="1">WORKDAY.INTL(J4, 1)</f>
        <v>45846</v>
      </c>
      <c r="J5" s="26">
        <f>IF(H5&gt;=1, WORKDAY.INTL(I5,H5 -1, 1), WORKDAY.INTL(I5,H5, 1))</f>
        <v>45847</v>
      </c>
    </row>
    <row r="6" spans="1:10">
      <c r="A6" s="10" t="s">
        <v>42</v>
      </c>
      <c r="B6" s="27">
        <v>5</v>
      </c>
      <c r="C6" s="10">
        <f t="shared" si="0"/>
        <v>21</v>
      </c>
      <c r="G6" s="10" t="s">
        <v>42</v>
      </c>
      <c r="H6" s="21">
        <f>(Tabela26121426[[#This Row],[Tempo em Horas]]/7)</f>
        <v>3</v>
      </c>
      <c r="I6" s="26">
        <f t="shared" si="1"/>
        <v>45848</v>
      </c>
      <c r="J6" s="26">
        <f>IF(H6&gt;=1, WORKDAY.INTL(I6,H6 -1, 1), WORKDAY.INTL(I6,H6, 1))</f>
        <v>45852</v>
      </c>
    </row>
    <row r="8" spans="1:10">
      <c r="B8" s="12" t="s">
        <v>4</v>
      </c>
      <c r="C8" s="12">
        <f>SUM(Tabela26121426[Tempo em Horas])</f>
        <v>60</v>
      </c>
    </row>
    <row r="10" spans="1:10" s="40" customFormat="1"/>
    <row r="12" spans="1:10">
      <c r="A12" s="47" t="s">
        <v>106</v>
      </c>
      <c r="B12" s="48"/>
      <c r="C12" s="48"/>
      <c r="D12" s="1"/>
      <c r="G12" s="49" t="s">
        <v>107</v>
      </c>
      <c r="H12" s="49"/>
      <c r="I12" s="49"/>
      <c r="J12" s="49"/>
    </row>
    <row r="13" spans="1:10">
      <c r="A13" s="5" t="s">
        <v>2</v>
      </c>
      <c r="B13" s="5" t="s">
        <v>3</v>
      </c>
      <c r="C13" s="6" t="s">
        <v>23</v>
      </c>
      <c r="G13" s="10" t="s">
        <v>2</v>
      </c>
      <c r="H13" s="10" t="s">
        <v>22</v>
      </c>
      <c r="I13" s="10" t="s">
        <v>20</v>
      </c>
      <c r="J13" s="10" t="s">
        <v>21</v>
      </c>
    </row>
    <row r="14" spans="1:10">
      <c r="A14" s="10" t="s">
        <v>36</v>
      </c>
      <c r="B14" s="27">
        <v>3</v>
      </c>
      <c r="C14" s="11">
        <f t="shared" ref="C14:C17" si="2">IF(B14=1,4,IF(B14=2,7,IF(B14=3,14,IF(B14=5,21,IF(B14=8,35,IF(B14=13,42,IF(B14=21,49,IF(B14=34,70,IF(B14=55,105,"")))))))))</f>
        <v>14</v>
      </c>
      <c r="G14" s="10" t="s">
        <v>36</v>
      </c>
      <c r="H14" s="21">
        <f>(Tabela2612142632[[#This Row],[Tempo em Horas]]/7)</f>
        <v>2</v>
      </c>
      <c r="I14" s="26">
        <v>45853</v>
      </c>
      <c r="J14" s="26">
        <f>IF(H14&gt;=1, WORKDAY.INTL(I14,H14 -1, 1), WORKDAY.INTL(I14,H14, 1))</f>
        <v>45854</v>
      </c>
    </row>
    <row r="15" spans="1:10">
      <c r="A15" s="10" t="s">
        <v>42</v>
      </c>
      <c r="B15" s="27">
        <v>5</v>
      </c>
      <c r="C15" s="11">
        <f t="shared" si="2"/>
        <v>21</v>
      </c>
      <c r="G15" s="10" t="s">
        <v>42</v>
      </c>
      <c r="H15" s="21">
        <f>(Tabela2612142632[[#This Row],[Tempo em Horas]]/7)</f>
        <v>3</v>
      </c>
      <c r="I15" s="26">
        <f>WORKDAY.INTL(J14, 1)</f>
        <v>45855</v>
      </c>
      <c r="J15" s="26">
        <f>IF(H15&gt;=1, WORKDAY.INTL(I15,H15 -1, 1), WORKDAY.INTL(I15,H15, 1))</f>
        <v>45859</v>
      </c>
    </row>
    <row r="16" spans="1:10">
      <c r="A16" s="10" t="s">
        <v>44</v>
      </c>
      <c r="B16" s="27">
        <v>3</v>
      </c>
      <c r="C16" s="10">
        <f t="shared" si="2"/>
        <v>14</v>
      </c>
      <c r="G16" s="10" t="s">
        <v>44</v>
      </c>
      <c r="H16" s="21">
        <f>(Tabela2612142632[[#This Row],[Tempo em Horas]]/7)</f>
        <v>2</v>
      </c>
      <c r="I16" s="26">
        <f t="shared" ref="I16:I17" si="3">WORKDAY.INTL(J15, 1)</f>
        <v>45860</v>
      </c>
      <c r="J16" s="26">
        <f>IF(H16&gt;=1, WORKDAY.INTL(I16,H16 -1, 1), WORKDAY.INTL(I16,H16, 1))</f>
        <v>45861</v>
      </c>
    </row>
    <row r="17" spans="1:10">
      <c r="A17" s="10" t="s">
        <v>47</v>
      </c>
      <c r="B17" s="27">
        <v>3</v>
      </c>
      <c r="C17" s="10">
        <f t="shared" si="2"/>
        <v>14</v>
      </c>
      <c r="G17" s="10" t="s">
        <v>47</v>
      </c>
      <c r="H17" s="21">
        <f>(Tabela2612142632[[#This Row],[Tempo em Horas]]/7)</f>
        <v>2</v>
      </c>
      <c r="I17" s="26">
        <f t="shared" si="3"/>
        <v>45862</v>
      </c>
      <c r="J17" s="26">
        <f>IF(H17&gt;=1, WORKDAY.INTL(I17,H17 -1, 1), WORKDAY.INTL(I17,H17, 1))</f>
        <v>45863</v>
      </c>
    </row>
    <row r="19" spans="1:10">
      <c r="B19" s="12" t="s">
        <v>4</v>
      </c>
      <c r="C19" s="12">
        <f>SUM(Tabela2612142632[Tempo em Horas])</f>
        <v>63</v>
      </c>
    </row>
  </sheetData>
  <mergeCells count="4">
    <mergeCell ref="A1:C1"/>
    <mergeCell ref="G1:J1"/>
    <mergeCell ref="A12:C12"/>
    <mergeCell ref="G12:J12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67CF-E1EF-4BB6-B827-72657098F906}">
  <sheetPr>
    <tabColor rgb="FFC00000"/>
  </sheetPr>
  <dimension ref="A1:J20"/>
  <sheetViews>
    <sheetView topLeftCell="B1" workbookViewId="0">
      <selection activeCell="J18" sqref="J18"/>
    </sheetView>
  </sheetViews>
  <sheetFormatPr defaultRowHeight="15"/>
  <cols>
    <col min="1" max="1" width="103.85546875" bestFit="1" customWidth="1"/>
    <col min="2" max="2" width="16.28515625" bestFit="1" customWidth="1"/>
    <col min="3" max="3" width="18.28515625" bestFit="1" customWidth="1"/>
    <col min="7" max="7" width="103.85546875" bestFit="1" customWidth="1"/>
    <col min="8" max="8" width="10.5703125" bestFit="1" customWidth="1"/>
    <col min="9" max="9" width="12.5703125" bestFit="1" customWidth="1"/>
    <col min="10" max="10" width="11" bestFit="1" customWidth="1"/>
  </cols>
  <sheetData>
    <row r="1" spans="1:10">
      <c r="A1" s="47" t="s">
        <v>105</v>
      </c>
      <c r="B1" s="48"/>
      <c r="C1" s="48"/>
      <c r="D1" s="1"/>
      <c r="G1" s="49" t="s">
        <v>104</v>
      </c>
      <c r="H1" s="49"/>
      <c r="I1" s="49"/>
      <c r="J1" s="49"/>
    </row>
    <row r="2" spans="1:10">
      <c r="A2" s="5" t="s">
        <v>2</v>
      </c>
      <c r="B2" s="5" t="s">
        <v>3</v>
      </c>
      <c r="C2" s="6" t="s">
        <v>23</v>
      </c>
      <c r="G2" s="10" t="s">
        <v>2</v>
      </c>
      <c r="H2" s="10" t="s">
        <v>22</v>
      </c>
      <c r="I2" s="10" t="s">
        <v>20</v>
      </c>
      <c r="J2" s="10" t="s">
        <v>21</v>
      </c>
    </row>
    <row r="3" spans="1:10">
      <c r="A3" s="10" t="s">
        <v>44</v>
      </c>
      <c r="B3" s="27">
        <v>5</v>
      </c>
      <c r="C3" s="10">
        <f t="shared" ref="C3:C7" si="0">IF(B3=1,4,IF(B3=2,7,IF(B3=3,14,IF(B3=5,21,IF(B3=8,35,IF(B3=13,42,IF(B3=21,49,IF(B3=34,70,IF(B3=55,105,"")))))))))</f>
        <v>21</v>
      </c>
      <c r="G3" s="10" t="s">
        <v>44</v>
      </c>
      <c r="H3" s="21">
        <f>(Tabela2612142628[[#This Row],[Tempo em Horas]]/7)</f>
        <v>3</v>
      </c>
      <c r="I3" s="26">
        <v>45840</v>
      </c>
      <c r="J3" s="26">
        <f>IF(H3&gt;=1, WORKDAY.INTL(I3,H3 -1, 1), WORKDAY.INTL(I3,H3, 1))</f>
        <v>45842</v>
      </c>
    </row>
    <row r="4" spans="1:10">
      <c r="A4" s="10" t="s">
        <v>46</v>
      </c>
      <c r="B4" s="27">
        <v>1</v>
      </c>
      <c r="C4" s="10">
        <f t="shared" si="0"/>
        <v>4</v>
      </c>
      <c r="G4" s="10" t="s">
        <v>46</v>
      </c>
      <c r="H4" s="21">
        <f>(Tabela2612142628[[#This Row],[Tempo em Horas]]/7)</f>
        <v>0.5714285714285714</v>
      </c>
      <c r="I4" s="26">
        <f t="shared" ref="I4:I7" si="1">WORKDAY.INTL(J3, 1)</f>
        <v>45845</v>
      </c>
      <c r="J4" s="26">
        <f>IF(H4&gt;=1, WORKDAY.INTL(I4,H4 -1, 1), WORKDAY.INTL(I4,H4, 1))</f>
        <v>45845</v>
      </c>
    </row>
    <row r="5" spans="1:10">
      <c r="A5" s="10" t="s">
        <v>47</v>
      </c>
      <c r="B5" s="27">
        <v>5</v>
      </c>
      <c r="C5" s="10">
        <f t="shared" si="0"/>
        <v>21</v>
      </c>
      <c r="G5" s="10" t="s">
        <v>47</v>
      </c>
      <c r="H5" s="21">
        <f>(Tabela2612142628[[#This Row],[Tempo em Horas]]/7)</f>
        <v>3</v>
      </c>
      <c r="I5" s="26">
        <f t="shared" si="1"/>
        <v>45846</v>
      </c>
      <c r="J5" s="26">
        <f>IF(H5&gt;=1, WORKDAY.INTL(I5,H5 -1, 1), WORKDAY.INTL(I5,H5, 1))</f>
        <v>45848</v>
      </c>
    </row>
    <row r="6" spans="1:10">
      <c r="A6" s="10" t="s">
        <v>51</v>
      </c>
      <c r="B6" s="27">
        <v>3</v>
      </c>
      <c r="C6" s="10">
        <f t="shared" si="0"/>
        <v>14</v>
      </c>
      <c r="G6" s="10" t="s">
        <v>51</v>
      </c>
      <c r="H6" s="21">
        <f>(Tabela2612142628[[#This Row],[Tempo em Horas]]/7)</f>
        <v>2</v>
      </c>
      <c r="I6" s="26">
        <f t="shared" si="1"/>
        <v>45849</v>
      </c>
      <c r="J6" s="26">
        <f>IF(H6&gt;=1, WORKDAY.INTL(I6,H6 -1, 1), WORKDAY.INTL(I6,H6, 1))</f>
        <v>45852</v>
      </c>
    </row>
    <row r="7" spans="1:10">
      <c r="A7" s="10" t="s">
        <v>52</v>
      </c>
      <c r="B7" s="27">
        <v>3</v>
      </c>
      <c r="C7" s="10">
        <f t="shared" si="0"/>
        <v>14</v>
      </c>
      <c r="G7" s="10" t="s">
        <v>52</v>
      </c>
      <c r="H7" s="21">
        <f>(Tabela2612142628[[#This Row],[Tempo em Horas]]/7)</f>
        <v>2</v>
      </c>
      <c r="I7" s="26">
        <f t="shared" si="1"/>
        <v>45853</v>
      </c>
      <c r="J7" s="26">
        <f>IF(H7&gt;=1, WORKDAY.INTL(I7,H7 -1, 1), WORKDAY.INTL(I7,H7, 1))</f>
        <v>45854</v>
      </c>
    </row>
    <row r="9" spans="1:10">
      <c r="B9" s="12" t="s">
        <v>4</v>
      </c>
      <c r="C9" s="12">
        <f>SUM(Tabela2612142628[Tempo em Horas])</f>
        <v>74</v>
      </c>
    </row>
    <row r="11" spans="1:10" s="40" customFormat="1"/>
    <row r="13" spans="1:10">
      <c r="A13" s="47" t="s">
        <v>108</v>
      </c>
      <c r="B13" s="48"/>
      <c r="C13" s="48"/>
      <c r="D13" s="1"/>
      <c r="G13" s="49" t="s">
        <v>109</v>
      </c>
      <c r="H13" s="49"/>
      <c r="I13" s="49"/>
      <c r="J13" s="49"/>
    </row>
    <row r="14" spans="1:10">
      <c r="A14" s="5" t="s">
        <v>2</v>
      </c>
      <c r="B14" s="5" t="s">
        <v>3</v>
      </c>
      <c r="C14" s="6" t="s">
        <v>23</v>
      </c>
      <c r="G14" s="10" t="s">
        <v>2</v>
      </c>
      <c r="H14" s="10" t="s">
        <v>22</v>
      </c>
      <c r="I14" s="10" t="s">
        <v>20</v>
      </c>
      <c r="J14" s="10" t="s">
        <v>21</v>
      </c>
    </row>
    <row r="15" spans="1:10">
      <c r="A15" s="10" t="s">
        <v>36</v>
      </c>
      <c r="B15" s="27">
        <v>3</v>
      </c>
      <c r="C15" s="11">
        <f t="shared" ref="C15:C18" si="2">IF(B15=1,4,IF(B15=2,7,IF(B15=3,14,IF(B15=5,21,IF(B15=8,35,IF(B15=13,42,IF(B15=21,49,IF(B15=34,70,IF(B15=55,105,"")))))))))</f>
        <v>14</v>
      </c>
      <c r="G15" s="10" t="s">
        <v>36</v>
      </c>
      <c r="H15" s="21">
        <f>(Tabela261214263234[[#This Row],[Tempo em Horas]]/7)</f>
        <v>2</v>
      </c>
      <c r="I15" s="26">
        <v>45855</v>
      </c>
      <c r="J15" s="26">
        <f>IF(H15&gt;=1, WORKDAY.INTL(I15,H15 -1, 1), WORKDAY.INTL(I15,H15, 1))</f>
        <v>45856</v>
      </c>
    </row>
    <row r="16" spans="1:10">
      <c r="A16" s="10" t="s">
        <v>42</v>
      </c>
      <c r="B16" s="27">
        <v>5</v>
      </c>
      <c r="C16" s="11">
        <f t="shared" si="2"/>
        <v>21</v>
      </c>
      <c r="G16" s="10" t="s">
        <v>42</v>
      </c>
      <c r="H16" s="21">
        <f>(Tabela261214263234[[#This Row],[Tempo em Horas]]/7)</f>
        <v>3</v>
      </c>
      <c r="I16" s="26">
        <f>WORKDAY.INTL(J15, 1)</f>
        <v>45859</v>
      </c>
      <c r="J16" s="26">
        <f>IF(H16&gt;=1, WORKDAY.INTL(I16,H16 -1, 1), WORKDAY.INTL(I16,H16, 1))</f>
        <v>45861</v>
      </c>
    </row>
    <row r="17" spans="1:10">
      <c r="A17" s="10" t="s">
        <v>44</v>
      </c>
      <c r="B17" s="27">
        <v>3</v>
      </c>
      <c r="C17" s="10">
        <f t="shared" si="2"/>
        <v>14</v>
      </c>
      <c r="G17" s="10" t="s">
        <v>44</v>
      </c>
      <c r="H17" s="21">
        <f>(Tabela261214263234[[#This Row],[Tempo em Horas]]/7)</f>
        <v>2</v>
      </c>
      <c r="I17" s="26">
        <f t="shared" ref="I17:I18" si="3">WORKDAY.INTL(J16, 1)</f>
        <v>45862</v>
      </c>
      <c r="J17" s="26">
        <f>IF(H17&gt;=1, WORKDAY.INTL(I17,H17 -1, 1), WORKDAY.INTL(I17,H17, 1))</f>
        <v>45863</v>
      </c>
    </row>
    <row r="18" spans="1:10">
      <c r="A18" s="10" t="s">
        <v>47</v>
      </c>
      <c r="B18" s="27">
        <v>5</v>
      </c>
      <c r="C18" s="10">
        <f t="shared" si="2"/>
        <v>21</v>
      </c>
      <c r="G18" s="10" t="s">
        <v>47</v>
      </c>
      <c r="H18" s="21">
        <f>(Tabela261214263234[[#This Row],[Tempo em Horas]]/7)</f>
        <v>3</v>
      </c>
      <c r="I18" s="26">
        <f t="shared" si="3"/>
        <v>45866</v>
      </c>
      <c r="J18" s="26">
        <f>IF(H18&gt;=1, WORKDAY.INTL(I18,H18 -1, 1), WORKDAY.INTL(I18,H18, 1))</f>
        <v>45868</v>
      </c>
    </row>
    <row r="20" spans="1:10">
      <c r="B20" s="12" t="s">
        <v>4</v>
      </c>
      <c r="C20" s="12">
        <f>SUM(Tabela261214263234[Tempo em Horas])</f>
        <v>70</v>
      </c>
    </row>
  </sheetData>
  <mergeCells count="4">
    <mergeCell ref="A1:C1"/>
    <mergeCell ref="G1:J1"/>
    <mergeCell ref="A13:C13"/>
    <mergeCell ref="G13:J13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4963-4F70-47F1-AED1-D44B4698A8D3}">
  <sheetPr>
    <tabColor theme="9"/>
  </sheetPr>
  <dimension ref="A1:J13"/>
  <sheetViews>
    <sheetView workbookViewId="0">
      <selection activeCell="J18" sqref="J18"/>
    </sheetView>
  </sheetViews>
  <sheetFormatPr defaultRowHeight="15"/>
  <cols>
    <col min="1" max="1" width="19.28515625" bestFit="1" customWidth="1"/>
    <col min="2" max="2" width="19.28515625" customWidth="1"/>
    <col min="3" max="3" width="18.5703125" bestFit="1" customWidth="1"/>
    <col min="4" max="4" width="18.5703125" customWidth="1"/>
    <col min="5" max="5" width="14.140625" bestFit="1" customWidth="1"/>
    <col min="6" max="6" width="19.28515625" bestFit="1" customWidth="1"/>
    <col min="7" max="7" width="14.140625" customWidth="1"/>
    <col min="8" max="8" width="20.28515625" bestFit="1" customWidth="1"/>
    <col min="9" max="9" width="15.28515625" bestFit="1" customWidth="1"/>
    <col min="10" max="10" width="34.5703125" bestFit="1" customWidth="1"/>
  </cols>
  <sheetData>
    <row r="1" spans="1:10">
      <c r="A1" s="33" t="s">
        <v>60</v>
      </c>
      <c r="B1" s="33" t="s">
        <v>100</v>
      </c>
      <c r="C1" s="33" t="s">
        <v>61</v>
      </c>
      <c r="D1" s="33" t="s">
        <v>99</v>
      </c>
      <c r="E1" s="33" t="s">
        <v>138</v>
      </c>
      <c r="F1" s="33" t="s">
        <v>139</v>
      </c>
      <c r="G1" s="34" t="s">
        <v>125</v>
      </c>
      <c r="H1" s="34" t="s">
        <v>132</v>
      </c>
      <c r="I1" s="34" t="s">
        <v>133</v>
      </c>
      <c r="J1" s="34" t="s">
        <v>140</v>
      </c>
    </row>
    <row r="2" spans="1:10">
      <c r="A2" s="27"/>
      <c r="B2" s="27"/>
      <c r="C2" s="27">
        <v>5</v>
      </c>
      <c r="D2" s="27" t="s">
        <v>130</v>
      </c>
      <c r="E2" s="27">
        <v>2</v>
      </c>
      <c r="F2" s="10" t="s">
        <v>141</v>
      </c>
      <c r="G2" s="43">
        <v>45840</v>
      </c>
      <c r="H2" s="10" t="s">
        <v>9</v>
      </c>
      <c r="I2" s="27" t="s">
        <v>65</v>
      </c>
      <c r="J2" s="27" t="s">
        <v>9</v>
      </c>
    </row>
    <row r="3" spans="1:10">
      <c r="A3" s="27"/>
      <c r="B3" s="27"/>
      <c r="C3" s="27">
        <v>2</v>
      </c>
      <c r="D3" s="27" t="s">
        <v>130</v>
      </c>
      <c r="E3" s="27">
        <v>2</v>
      </c>
      <c r="F3" s="10" t="s">
        <v>141</v>
      </c>
      <c r="G3" s="27"/>
      <c r="H3" s="10" t="s">
        <v>134</v>
      </c>
      <c r="I3" s="27" t="s">
        <v>65</v>
      </c>
      <c r="J3" s="27" t="s">
        <v>10</v>
      </c>
    </row>
    <row r="4" spans="1:10">
      <c r="A4" s="27">
        <v>3</v>
      </c>
      <c r="B4" s="27" t="s">
        <v>129</v>
      </c>
      <c r="C4" s="27">
        <v>5</v>
      </c>
      <c r="D4" s="27" t="s">
        <v>130</v>
      </c>
      <c r="E4" s="27">
        <v>2</v>
      </c>
      <c r="F4" s="10" t="s">
        <v>141</v>
      </c>
      <c r="G4" s="27"/>
      <c r="H4" s="10" t="s">
        <v>7</v>
      </c>
      <c r="I4" s="27" t="s">
        <v>65</v>
      </c>
      <c r="J4" s="27" t="s">
        <v>11</v>
      </c>
    </row>
    <row r="5" spans="1:10">
      <c r="A5" s="27"/>
      <c r="B5" s="27"/>
      <c r="C5" s="27">
        <v>3</v>
      </c>
      <c r="D5" s="27" t="s">
        <v>130</v>
      </c>
      <c r="E5" s="27">
        <v>2</v>
      </c>
      <c r="F5" s="10" t="s">
        <v>141</v>
      </c>
      <c r="G5" s="27"/>
      <c r="H5" s="10" t="s">
        <v>135</v>
      </c>
      <c r="I5" s="27" t="s">
        <v>65</v>
      </c>
      <c r="J5" s="27" t="s">
        <v>12</v>
      </c>
    </row>
    <row r="6" spans="1:10">
      <c r="A6" s="45">
        <v>1</v>
      </c>
      <c r="B6" s="45" t="s">
        <v>129</v>
      </c>
      <c r="C6" s="45">
        <v>3</v>
      </c>
      <c r="D6" s="45" t="s">
        <v>130</v>
      </c>
      <c r="E6" s="45">
        <v>2</v>
      </c>
      <c r="F6" s="10" t="s">
        <v>141</v>
      </c>
      <c r="G6" s="45"/>
      <c r="H6" s="10" t="s">
        <v>6</v>
      </c>
      <c r="I6" s="45" t="s">
        <v>65</v>
      </c>
      <c r="J6" s="10" t="s">
        <v>13</v>
      </c>
    </row>
    <row r="7" spans="1:10">
      <c r="A7" s="45">
        <v>1</v>
      </c>
      <c r="B7" s="45" t="s">
        <v>129</v>
      </c>
      <c r="C7" s="45">
        <v>2</v>
      </c>
      <c r="D7" s="45" t="s">
        <v>130</v>
      </c>
      <c r="E7" s="45">
        <v>2</v>
      </c>
      <c r="F7" s="10" t="s">
        <v>141</v>
      </c>
      <c r="G7" s="45"/>
      <c r="H7" s="10" t="s">
        <v>6</v>
      </c>
      <c r="I7" s="45" t="s">
        <v>65</v>
      </c>
      <c r="J7" s="10" t="s">
        <v>14</v>
      </c>
    </row>
    <row r="8" spans="1:10">
      <c r="A8" s="45">
        <v>3</v>
      </c>
      <c r="B8" s="45" t="s">
        <v>129</v>
      </c>
      <c r="C8" s="45">
        <v>2</v>
      </c>
      <c r="D8" s="45" t="s">
        <v>130</v>
      </c>
      <c r="E8" s="45">
        <v>2</v>
      </c>
      <c r="F8" s="10" t="s">
        <v>141</v>
      </c>
      <c r="G8" s="45"/>
      <c r="H8" s="10" t="s">
        <v>6</v>
      </c>
      <c r="I8" s="45" t="s">
        <v>65</v>
      </c>
      <c r="J8" s="10" t="s">
        <v>6</v>
      </c>
    </row>
    <row r="9" spans="1:10">
      <c r="A9" s="45">
        <v>2</v>
      </c>
      <c r="B9" s="45" t="s">
        <v>129</v>
      </c>
      <c r="C9" s="45">
        <v>2</v>
      </c>
      <c r="D9" s="45" t="s">
        <v>130</v>
      </c>
      <c r="E9" s="45">
        <v>2</v>
      </c>
      <c r="F9" s="10" t="s">
        <v>141</v>
      </c>
      <c r="G9" s="45"/>
      <c r="H9" s="10" t="s">
        <v>6</v>
      </c>
      <c r="I9" s="45" t="s">
        <v>65</v>
      </c>
      <c r="J9" s="10" t="s">
        <v>15</v>
      </c>
    </row>
    <row r="10" spans="1:10">
      <c r="A10" s="45"/>
      <c r="B10" s="45"/>
      <c r="C10" s="45">
        <v>5</v>
      </c>
      <c r="D10" s="45" t="s">
        <v>130</v>
      </c>
      <c r="E10" s="45">
        <v>2</v>
      </c>
      <c r="F10" s="10" t="s">
        <v>141</v>
      </c>
      <c r="G10" s="45"/>
      <c r="H10" s="10" t="s">
        <v>8</v>
      </c>
      <c r="I10" s="45" t="s">
        <v>65</v>
      </c>
      <c r="J10" s="10" t="s">
        <v>16</v>
      </c>
    </row>
    <row r="11" spans="1:10">
      <c r="A11" s="45"/>
      <c r="B11" s="45"/>
      <c r="C11" s="45">
        <v>2</v>
      </c>
      <c r="D11" s="45" t="s">
        <v>130</v>
      </c>
      <c r="E11" s="45">
        <v>2</v>
      </c>
      <c r="F11" s="10" t="s">
        <v>141</v>
      </c>
      <c r="G11" s="45"/>
      <c r="H11" s="10" t="s">
        <v>17</v>
      </c>
      <c r="I11" s="45" t="s">
        <v>65</v>
      </c>
      <c r="J11" s="10" t="s">
        <v>17</v>
      </c>
    </row>
    <row r="12" spans="1:10">
      <c r="A12" s="45"/>
      <c r="B12" s="45"/>
      <c r="C12" s="45">
        <v>3</v>
      </c>
      <c r="D12" s="45" t="s">
        <v>130</v>
      </c>
      <c r="E12" s="45">
        <v>2</v>
      </c>
      <c r="F12" s="10" t="s">
        <v>141</v>
      </c>
      <c r="G12" s="45"/>
      <c r="H12" s="10" t="s">
        <v>136</v>
      </c>
      <c r="I12" s="45" t="s">
        <v>65</v>
      </c>
      <c r="J12" s="10" t="s">
        <v>18</v>
      </c>
    </row>
    <row r="13" spans="1:10">
      <c r="A13" s="45">
        <v>2</v>
      </c>
      <c r="B13" s="45" t="s">
        <v>129</v>
      </c>
      <c r="C13" s="45">
        <v>1</v>
      </c>
      <c r="D13" s="45" t="s">
        <v>130</v>
      </c>
      <c r="E13" s="45">
        <v>2</v>
      </c>
      <c r="F13" s="10" t="s">
        <v>141</v>
      </c>
      <c r="G13" s="46">
        <v>45868</v>
      </c>
      <c r="H13" s="10" t="s">
        <v>137</v>
      </c>
      <c r="I13" s="45" t="s">
        <v>65</v>
      </c>
      <c r="J13" s="10" t="s">
        <v>19</v>
      </c>
    </row>
  </sheetData>
  <phoneticPr fontId="10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28910-CF05-49B0-A3C6-291AE1169881}">
  <sheetPr>
    <tabColor theme="9"/>
  </sheetPr>
  <dimension ref="A1:T36"/>
  <sheetViews>
    <sheetView workbookViewId="0">
      <selection activeCell="J14" sqref="J14"/>
    </sheetView>
  </sheetViews>
  <sheetFormatPr defaultRowHeight="15"/>
  <cols>
    <col min="1" max="1" width="34.28515625" bestFit="1" customWidth="1"/>
    <col min="2" max="2" width="19.140625" bestFit="1" customWidth="1"/>
    <col min="3" max="3" width="18.28515625" bestFit="1" customWidth="1"/>
    <col min="5" max="5" width="16.7109375" customWidth="1"/>
    <col min="6" max="6" width="14.85546875" customWidth="1"/>
    <col min="7" max="7" width="34.28515625" bestFit="1" customWidth="1"/>
    <col min="8" max="8" width="10.5703125" bestFit="1" customWidth="1"/>
    <col min="9" max="9" width="12.5703125" bestFit="1" customWidth="1"/>
    <col min="10" max="10" width="11" bestFit="1" customWidth="1"/>
    <col min="11" max="11" width="26" bestFit="1" customWidth="1"/>
    <col min="12" max="12" width="24.42578125" bestFit="1" customWidth="1"/>
    <col min="13" max="13" width="25.28515625" bestFit="1" customWidth="1"/>
    <col min="14" max="14" width="23.5703125" bestFit="1" customWidth="1"/>
    <col min="15" max="15" width="23.140625" bestFit="1" customWidth="1"/>
    <col min="16" max="16" width="11.7109375" bestFit="1" customWidth="1"/>
    <col min="18" max="18" width="9" bestFit="1" customWidth="1"/>
    <col min="22" max="22" width="25" customWidth="1"/>
    <col min="23" max="23" width="16.5703125" customWidth="1"/>
    <col min="24" max="24" width="20.42578125" customWidth="1"/>
  </cols>
  <sheetData>
    <row r="1" spans="1:20">
      <c r="A1" s="47" t="s">
        <v>1</v>
      </c>
      <c r="B1" s="48"/>
      <c r="C1" s="48"/>
      <c r="D1" s="1"/>
      <c r="G1" s="49" t="s">
        <v>0</v>
      </c>
      <c r="H1" s="49"/>
      <c r="I1" s="49"/>
      <c r="J1" s="49"/>
      <c r="K1" s="23"/>
      <c r="L1" s="23"/>
      <c r="M1" s="23"/>
      <c r="N1" s="23"/>
      <c r="O1" s="23"/>
      <c r="P1" s="23"/>
      <c r="R1" s="2"/>
      <c r="S1" s="2"/>
      <c r="T1" s="2"/>
    </row>
    <row r="2" spans="1:20">
      <c r="A2" s="5" t="s">
        <v>2</v>
      </c>
      <c r="B2" s="5" t="s">
        <v>3</v>
      </c>
      <c r="C2" s="6" t="s">
        <v>23</v>
      </c>
      <c r="G2" s="10" t="s">
        <v>2</v>
      </c>
      <c r="H2" s="10" t="s">
        <v>22</v>
      </c>
      <c r="I2" s="10" t="s">
        <v>20</v>
      </c>
      <c r="J2" s="10" t="s">
        <v>21</v>
      </c>
      <c r="L2" s="24"/>
      <c r="M2" s="24"/>
      <c r="N2" s="24"/>
      <c r="P2" s="25"/>
      <c r="Q2" s="22"/>
      <c r="R2" s="22"/>
    </row>
    <row r="3" spans="1:20">
      <c r="A3" s="18" t="s">
        <v>9</v>
      </c>
      <c r="B3" s="10">
        <v>5</v>
      </c>
      <c r="C3" s="11">
        <f t="shared" ref="C3:C14" si="0">IF(B3=1,4,IF(B3=2,7,IF(B3=3,14,IF(B3=5,21,IF(B3=8,35,IF(B3=13,42,IF(B3=21,49,IF(B3=34,70,IF(B3=55,105,"")))))))))</f>
        <v>21</v>
      </c>
      <c r="G3" s="18" t="s">
        <v>9</v>
      </c>
      <c r="H3" s="21">
        <f t="shared" ref="H3:H11" si="1">(C3/7)</f>
        <v>3</v>
      </c>
      <c r="I3" s="26">
        <v>45840</v>
      </c>
      <c r="J3" s="26">
        <f t="shared" ref="J3:J14" si="2">IF(H3&gt;=1, WORKDAY.INTL(I3,H3 -1, 1), WORKDAY.INTL(I3,H3, 1))</f>
        <v>45842</v>
      </c>
      <c r="L3" s="24"/>
      <c r="M3" s="24"/>
      <c r="N3" s="24"/>
      <c r="P3" s="25"/>
      <c r="Q3" s="22"/>
      <c r="R3" s="22"/>
    </row>
    <row r="4" spans="1:20">
      <c r="A4" s="7" t="s">
        <v>10</v>
      </c>
      <c r="B4" s="10">
        <v>2</v>
      </c>
      <c r="C4" s="11">
        <f t="shared" si="0"/>
        <v>7</v>
      </c>
      <c r="G4" s="7" t="s">
        <v>10</v>
      </c>
      <c r="H4" s="21">
        <f t="shared" si="1"/>
        <v>1</v>
      </c>
      <c r="I4" s="26">
        <f>WORKDAY.INTL(J3, 1)</f>
        <v>45845</v>
      </c>
      <c r="J4" s="26">
        <f t="shared" si="2"/>
        <v>45845</v>
      </c>
      <c r="P4" s="25"/>
      <c r="Q4" s="22"/>
      <c r="R4" s="22"/>
    </row>
    <row r="5" spans="1:20">
      <c r="A5" s="18" t="s">
        <v>11</v>
      </c>
      <c r="B5" s="10">
        <v>5</v>
      </c>
      <c r="C5" s="11">
        <f t="shared" si="0"/>
        <v>21</v>
      </c>
      <c r="G5" s="18" t="s">
        <v>11</v>
      </c>
      <c r="H5" s="21">
        <f t="shared" si="1"/>
        <v>3</v>
      </c>
      <c r="I5" s="26">
        <f t="shared" ref="I5" si="3">WORKDAY.INTL(J4, 1)</f>
        <v>45846</v>
      </c>
      <c r="J5" s="26">
        <f t="shared" si="2"/>
        <v>45848</v>
      </c>
      <c r="P5" s="25"/>
      <c r="Q5" s="22"/>
      <c r="R5" s="22"/>
    </row>
    <row r="6" spans="1:20">
      <c r="A6" s="18" t="s">
        <v>12</v>
      </c>
      <c r="B6" s="10">
        <v>3</v>
      </c>
      <c r="C6" s="11">
        <f t="shared" si="0"/>
        <v>14</v>
      </c>
      <c r="G6" s="18" t="s">
        <v>12</v>
      </c>
      <c r="H6" s="21">
        <f t="shared" si="1"/>
        <v>2</v>
      </c>
      <c r="I6" s="26">
        <f t="shared" ref="I6:I11" si="4">WORKDAY.INTL(J5, 1)</f>
        <v>45849</v>
      </c>
      <c r="J6" s="26">
        <f t="shared" si="2"/>
        <v>45852</v>
      </c>
    </row>
    <row r="7" spans="1:20">
      <c r="A7" s="18" t="s">
        <v>13</v>
      </c>
      <c r="B7" s="10">
        <v>3</v>
      </c>
      <c r="C7" s="11">
        <f t="shared" si="0"/>
        <v>14</v>
      </c>
      <c r="G7" s="18" t="s">
        <v>13</v>
      </c>
      <c r="H7" s="21">
        <f t="shared" si="1"/>
        <v>2</v>
      </c>
      <c r="I7" s="26">
        <f t="shared" si="4"/>
        <v>45853</v>
      </c>
      <c r="J7" s="26">
        <f t="shared" si="2"/>
        <v>45854</v>
      </c>
    </row>
    <row r="8" spans="1:20">
      <c r="A8" s="18" t="s">
        <v>14</v>
      </c>
      <c r="B8" s="10">
        <v>2</v>
      </c>
      <c r="C8" s="11">
        <f t="shared" si="0"/>
        <v>7</v>
      </c>
      <c r="G8" s="18" t="s">
        <v>14</v>
      </c>
      <c r="H8" s="21">
        <f t="shared" si="1"/>
        <v>1</v>
      </c>
      <c r="I8" s="26">
        <f t="shared" si="4"/>
        <v>45855</v>
      </c>
      <c r="J8" s="26">
        <f t="shared" si="2"/>
        <v>45855</v>
      </c>
    </row>
    <row r="9" spans="1:20">
      <c r="A9" s="18" t="s">
        <v>6</v>
      </c>
      <c r="B9" s="10">
        <v>2</v>
      </c>
      <c r="C9" s="11">
        <f t="shared" si="0"/>
        <v>7</v>
      </c>
      <c r="G9" s="18" t="s">
        <v>6</v>
      </c>
      <c r="H9" s="21">
        <f t="shared" si="1"/>
        <v>1</v>
      </c>
      <c r="I9" s="26">
        <f t="shared" si="4"/>
        <v>45856</v>
      </c>
      <c r="J9" s="26">
        <f t="shared" si="2"/>
        <v>45856</v>
      </c>
    </row>
    <row r="10" spans="1:20">
      <c r="A10" s="18" t="s">
        <v>15</v>
      </c>
      <c r="B10" s="10">
        <v>2</v>
      </c>
      <c r="C10" s="11">
        <f t="shared" si="0"/>
        <v>7</v>
      </c>
      <c r="G10" s="18" t="s">
        <v>15</v>
      </c>
      <c r="H10" s="21">
        <f t="shared" si="1"/>
        <v>1</v>
      </c>
      <c r="I10" s="26">
        <f t="shared" si="4"/>
        <v>45859</v>
      </c>
      <c r="J10" s="26">
        <f t="shared" si="2"/>
        <v>45859</v>
      </c>
    </row>
    <row r="11" spans="1:20">
      <c r="A11" s="18" t="s">
        <v>16</v>
      </c>
      <c r="B11" s="10">
        <v>5</v>
      </c>
      <c r="C11" s="11">
        <f t="shared" si="0"/>
        <v>21</v>
      </c>
      <c r="G11" s="18" t="s">
        <v>16</v>
      </c>
      <c r="H11" s="21">
        <f t="shared" si="1"/>
        <v>3</v>
      </c>
      <c r="I11" s="26">
        <f t="shared" si="4"/>
        <v>45860</v>
      </c>
      <c r="J11" s="26">
        <f t="shared" si="2"/>
        <v>45862</v>
      </c>
    </row>
    <row r="12" spans="1:20">
      <c r="A12" s="18" t="s">
        <v>17</v>
      </c>
      <c r="B12" s="10">
        <v>2</v>
      </c>
      <c r="C12" s="11">
        <f t="shared" si="0"/>
        <v>7</v>
      </c>
      <c r="G12" s="18" t="s">
        <v>17</v>
      </c>
      <c r="H12" s="21">
        <f t="shared" ref="H12:H14" si="5">(C12/7)</f>
        <v>1</v>
      </c>
      <c r="I12" s="26">
        <f t="shared" ref="I12:I14" si="6">WORKDAY.INTL(J11, 1)</f>
        <v>45863</v>
      </c>
      <c r="J12" s="26">
        <f t="shared" si="2"/>
        <v>45863</v>
      </c>
    </row>
    <row r="13" spans="1:20">
      <c r="A13" s="10" t="s">
        <v>18</v>
      </c>
      <c r="B13" s="10">
        <v>3</v>
      </c>
      <c r="C13" s="11">
        <f t="shared" si="0"/>
        <v>14</v>
      </c>
      <c r="G13" s="10" t="s">
        <v>18</v>
      </c>
      <c r="H13" s="21">
        <f t="shared" si="5"/>
        <v>2</v>
      </c>
      <c r="I13" s="26">
        <f t="shared" si="6"/>
        <v>45866</v>
      </c>
      <c r="J13" s="26">
        <f t="shared" si="2"/>
        <v>45867</v>
      </c>
    </row>
    <row r="14" spans="1:20">
      <c r="A14" s="10" t="s">
        <v>19</v>
      </c>
      <c r="B14" s="10">
        <v>1</v>
      </c>
      <c r="C14" s="11">
        <f t="shared" si="0"/>
        <v>4</v>
      </c>
      <c r="G14" s="10" t="s">
        <v>19</v>
      </c>
      <c r="H14" s="21">
        <f t="shared" si="5"/>
        <v>0.5714285714285714</v>
      </c>
      <c r="I14" s="26">
        <f t="shared" si="6"/>
        <v>45868</v>
      </c>
      <c r="J14" s="26">
        <f t="shared" si="2"/>
        <v>45868</v>
      </c>
    </row>
    <row r="15" spans="1:20">
      <c r="G15" s="13"/>
      <c r="H15" s="14"/>
      <c r="I15" s="14"/>
      <c r="K15" s="15"/>
      <c r="L15" s="15"/>
      <c r="M15" s="15"/>
      <c r="N15" s="15"/>
      <c r="O15" s="15"/>
      <c r="P15" s="15"/>
    </row>
    <row r="16" spans="1:20">
      <c r="B16" s="12" t="s">
        <v>4</v>
      </c>
      <c r="C16" s="12">
        <f>SUM(Tabela2[Tempo em Horas])</f>
        <v>144</v>
      </c>
      <c r="G16" s="13"/>
      <c r="H16" s="14"/>
      <c r="I16" s="14"/>
      <c r="K16" s="15"/>
      <c r="L16" s="15"/>
      <c r="M16" s="15"/>
      <c r="N16" s="15"/>
      <c r="O16" s="15"/>
      <c r="P16" s="15"/>
    </row>
    <row r="17" spans="2:16">
      <c r="G17" s="13"/>
      <c r="H17" s="14"/>
      <c r="I17" s="14"/>
      <c r="K17" s="15"/>
      <c r="L17" s="15"/>
      <c r="M17" s="15"/>
      <c r="N17" s="15"/>
      <c r="O17" s="15"/>
      <c r="P17" s="15"/>
    </row>
    <row r="18" spans="2:16">
      <c r="B18" s="16" t="s">
        <v>5</v>
      </c>
      <c r="C18" s="16">
        <f>SUM(C16,'Carlos (KS)'!C9,Jhonatas!C16)</f>
        <v>205</v>
      </c>
      <c r="G18" s="13"/>
      <c r="H18" s="14"/>
      <c r="I18" s="14"/>
      <c r="K18" s="15"/>
      <c r="L18" s="15"/>
      <c r="M18" s="15"/>
      <c r="N18" s="15"/>
      <c r="O18" s="15"/>
      <c r="P18" s="15"/>
    </row>
    <row r="19" spans="2:16">
      <c r="G19" s="13"/>
      <c r="H19" s="14"/>
      <c r="I19" s="14"/>
      <c r="K19" s="15"/>
      <c r="L19" s="15"/>
      <c r="M19" s="15"/>
      <c r="N19" s="15"/>
      <c r="O19" s="15"/>
      <c r="P19" s="15"/>
    </row>
    <row r="20" spans="2:16">
      <c r="G20" s="13"/>
      <c r="H20" s="14"/>
      <c r="I20" s="14"/>
      <c r="K20" s="15"/>
      <c r="L20" s="15"/>
      <c r="M20" s="15"/>
      <c r="N20" s="15"/>
      <c r="O20" s="15"/>
      <c r="P20" s="15"/>
    </row>
    <row r="21" spans="2:16">
      <c r="G21" s="13"/>
      <c r="H21" s="14"/>
      <c r="I21" s="14"/>
      <c r="K21" s="15"/>
      <c r="L21" s="15"/>
      <c r="M21" s="15"/>
      <c r="N21" s="15"/>
      <c r="O21" s="15"/>
      <c r="P21" s="15"/>
    </row>
    <row r="22" spans="2:16">
      <c r="G22" s="13"/>
      <c r="H22" s="14"/>
      <c r="I22" s="14"/>
      <c r="K22" s="15"/>
      <c r="L22" s="15"/>
      <c r="M22" s="15"/>
      <c r="N22" s="15"/>
      <c r="O22" s="15"/>
      <c r="P22" s="15"/>
    </row>
    <row r="23" spans="2:16">
      <c r="G23" s="13"/>
      <c r="H23" s="14"/>
      <c r="I23" s="14"/>
      <c r="K23" s="15"/>
      <c r="L23" s="15"/>
      <c r="M23" s="15"/>
      <c r="N23" s="15"/>
      <c r="O23" s="15"/>
      <c r="P23" s="15"/>
    </row>
    <row r="24" spans="2:16">
      <c r="G24" s="13"/>
      <c r="H24" s="14"/>
      <c r="I24" s="14"/>
      <c r="K24" s="15"/>
      <c r="L24" s="15"/>
      <c r="M24" s="15"/>
      <c r="N24" s="15"/>
      <c r="O24" s="15"/>
      <c r="P24" s="15"/>
    </row>
    <row r="25" spans="2:16">
      <c r="G25" s="13"/>
      <c r="H25" s="14"/>
      <c r="I25" s="14"/>
      <c r="K25" s="15"/>
      <c r="L25" s="15"/>
      <c r="M25" s="15"/>
      <c r="N25" s="15"/>
      <c r="O25" s="15"/>
      <c r="P25" s="15"/>
    </row>
    <row r="26" spans="2:16">
      <c r="G26" s="13"/>
      <c r="H26" s="14"/>
      <c r="I26" s="14"/>
      <c r="K26" s="15"/>
      <c r="L26" s="15"/>
      <c r="M26" s="15"/>
      <c r="N26" s="15"/>
      <c r="O26" s="15"/>
      <c r="P26" s="15"/>
    </row>
    <row r="27" spans="2:16">
      <c r="G27" s="13"/>
      <c r="H27" s="14"/>
      <c r="I27" s="14"/>
      <c r="K27" s="15"/>
      <c r="L27" s="15"/>
      <c r="M27" s="15"/>
      <c r="N27" s="15"/>
      <c r="O27" s="15"/>
      <c r="P27" s="15"/>
    </row>
    <row r="28" spans="2:16">
      <c r="G28" s="13"/>
      <c r="H28" s="14"/>
      <c r="I28" s="14"/>
      <c r="K28" s="15"/>
      <c r="L28" s="15"/>
      <c r="M28" s="15"/>
      <c r="N28" s="15"/>
      <c r="O28" s="15"/>
      <c r="P28" s="15"/>
    </row>
    <row r="29" spans="2:16">
      <c r="G29" s="13"/>
      <c r="H29" s="14"/>
      <c r="I29" s="14"/>
      <c r="K29" s="15"/>
      <c r="L29" s="15"/>
      <c r="M29" s="15"/>
      <c r="N29" s="15"/>
      <c r="O29" s="15"/>
      <c r="P29" s="15"/>
    </row>
    <row r="30" spans="2:16">
      <c r="G30" s="13"/>
      <c r="H30" s="14"/>
      <c r="I30" s="14"/>
      <c r="K30" s="15"/>
      <c r="L30" s="15"/>
      <c r="M30" s="15"/>
      <c r="N30" s="15"/>
      <c r="O30" s="15"/>
      <c r="P30" s="15"/>
    </row>
    <row r="31" spans="2:16">
      <c r="G31" s="17"/>
      <c r="H31" s="14"/>
      <c r="I31" s="14"/>
      <c r="K31" s="15"/>
      <c r="L31" s="15"/>
      <c r="M31" s="15"/>
      <c r="N31" s="15"/>
      <c r="O31" s="15"/>
      <c r="P31" s="15"/>
    </row>
    <row r="32" spans="2:16">
      <c r="G32" s="17"/>
      <c r="H32" s="14"/>
      <c r="I32" s="14"/>
      <c r="K32" s="15"/>
      <c r="L32" s="15"/>
      <c r="M32" s="15"/>
      <c r="N32" s="15"/>
      <c r="O32" s="15"/>
      <c r="P32" s="15"/>
    </row>
    <row r="33" spans="7:16">
      <c r="G33" s="17"/>
      <c r="H33" s="14"/>
      <c r="I33" s="14"/>
      <c r="K33" s="15"/>
      <c r="L33" s="15"/>
      <c r="M33" s="15"/>
      <c r="N33" s="15"/>
      <c r="O33" s="15"/>
      <c r="P33" s="15"/>
    </row>
    <row r="34" spans="7:16">
      <c r="G34" s="17"/>
      <c r="H34" s="14"/>
      <c r="I34" s="14"/>
      <c r="K34" s="15"/>
      <c r="L34" s="15"/>
      <c r="M34" s="15"/>
      <c r="N34" s="15"/>
      <c r="O34" s="15"/>
      <c r="P34" s="15"/>
    </row>
    <row r="35" spans="7:16">
      <c r="G35" s="17"/>
      <c r="H35" s="14"/>
      <c r="I35" s="14"/>
      <c r="K35" s="15"/>
      <c r="L35" s="15"/>
      <c r="M35" s="15"/>
      <c r="N35" s="15"/>
      <c r="O35" s="15"/>
      <c r="P35" s="15"/>
    </row>
    <row r="36" spans="7:16">
      <c r="G36" s="17"/>
      <c r="H36" s="14"/>
      <c r="I36" s="14"/>
      <c r="K36" s="15"/>
      <c r="L36" s="15"/>
      <c r="M36" s="15"/>
      <c r="N36" s="15"/>
      <c r="O36" s="15"/>
      <c r="P36" s="15"/>
    </row>
  </sheetData>
  <mergeCells count="2">
    <mergeCell ref="G1:J1"/>
    <mergeCell ref="A1:C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d 5 j b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H e Y 2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m N t a N w q 9 M F k B A A B U A g A A E w A c A E Z v c m 1 1 b G F z L 1 N l Y 3 R p b 2 4 x L m 0 g o h g A K K A U A A A A A A A A A A A A A A A A A A A A A A A A A A A A d Z D B T g I x F E X 3 J P z D y 7 i B p J l A o i w k s 8 A B l I 3 B M M Y F G F J n H t L Q 9 p H 2 D U K I 3 + O H + G M W M M E 4 2 k 2 b + 2 5 v z 6 3 H n B V Z m J z 2 d r d e q 9 f 8 U j o s I J M v q O W 8 w P n A L 8 j N C R L Q y P U a h D U k y x i E 1 G / i P u W l Q c u N o d I Y p 4 e J Z d + I 0 u v Z o 0 f n Z 7 e l 0 k t 0 B m d 9 e r O a Z O F n l f Q 4 9 5 u o K a Z 9 1 M o o R p d E I h K Q k i 6 N 9 U l H w M D m V C j 7 m n S u W q 2 2 g I e S G C e 8 0 5 i c j / E 9 W X x u i h P m R Z S G d z 4 / p F 6 S h 7 E j Q x t V k I 8 C e i A I 9 q P G e I e y C K i N Y y 8 B 0 2 + 5 p / U k l 1 o 6 n 7 A r f + Z m a k 3 Q 0 4 F T F n S O y 5 y 0 h z 7 m x J 3 t 1 u g b / 1 K I / T 4 a S w V D l F w 6 D H U 5 X A D G L b 8 L 2 E d P 5 F Y w Y j R w C K q M M 8 W 6 q q Z k 1 h q 3 q g i N Y O h C o W A Z W e 5 c x o e U q u d G 5 q u q Z U J G Q p g O F q H O r 4 j 3 Z r 2 m 7 N 9 f 0 f 0 C U E s B A i 0 A F A A C A A g A d 5 j b W m a q F I i l A A A A 9 g A A A B I A A A A A A A A A A A A A A A A A A A A A A E N v b m Z p Z y 9 Q Y W N r Y W d l L n h t b F B L A Q I t A B Q A A g A I A H e Y 2 1 o P y u m r p A A A A O k A A A A T A A A A A A A A A A A A A A A A A P E A A A B b Q 2 9 u d G V u d F 9 U e X B l c 1 0 u e G 1 s U E s B A i 0 A F A A C A A g A d 5 j b W j c K v T B Z A Q A A V A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g w A A A A A A A A s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k Z V 9 F c 2 Z v c l 9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G F p I E Z l Y X R 1 c m U m c X V v d D s s J n F 1 b 3 Q 7 V 2 9 y a y B J d G V t I F R 5 c G U m c X V v d D s s J n F 1 b 3 Q 7 V G l 0 b G U m c X V v d D s s J n F 1 b 3 Q 7 Q 2 9 t c G x l e G l k Y W R l I E Z y b 2 5 0 J n F 1 b 3 Q 7 L C Z x d W 9 0 O 0 N v b X B s Z X h p Z G F k Z S B C Y W N r J n F 1 b 3 Q 7 L C Z x d W 9 0 O 1 N v b W E g Z G U g R W Z m b 3 J 0 J n F 1 b 3 Q 7 X S I g L z 4 8 R W 5 0 c n k g V H l w Z T 0 i R m l s b E N v b H V t b l R 5 c G V z I i B W Y W x 1 Z T 0 i c 0 J n W U d B d 0 1 E I i A v P j x F b n R y e S B U e X B l P S J G a W x s T G F z d F V w Z G F 0 Z W Q i I F Z h b H V l P S J k M j A y N S 0 w N i 0 y N 1 Q x N j o z N D o z N i 4 y M D c w N T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R W 5 0 c n k g V H l w Z T 0 i U X V l c n l J R C I g V m F s d W U 9 I n M 4 Z T R m O W Y 5 N S 0 z O T c z L T Q z Y 2 M t O G J m Y y 0 z Z W M 5 Z T Q y M z U 0 M j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V 9 k Z V 9 F c 2 Z v c l 9 v L 0 F 1 d G 9 S Z W 1 v d m V k Q 2 9 s d W 1 u c z E u e 1 B h a S B G Z W F 0 d X J l L D B 9 J n F 1 b 3 Q 7 L C Z x d W 9 0 O 1 N l Y 3 R p b 2 4 x L 1 R h Y m V s Y V 9 k Z V 9 F c 2 Z v c l 9 v L 0 F 1 d G 9 S Z W 1 v d m V k Q 2 9 s d W 1 u c z E u e 1 d v c m s g S X R l b S B U e X B l L D F 9 J n F 1 b 3 Q 7 L C Z x d W 9 0 O 1 N l Y 3 R p b 2 4 x L 1 R h Y m V s Y V 9 k Z V 9 F c 2 Z v c l 9 v L 0 F 1 d G 9 S Z W 1 v d m V k Q 2 9 s d W 1 u c z E u e 1 R p d G x l L D J 9 J n F 1 b 3 Q 7 L C Z x d W 9 0 O 1 N l Y 3 R p b 2 4 x L 1 R h Y m V s Y V 9 k Z V 9 F c 2 Z v c l 9 v L 0 F 1 d G 9 S Z W 1 v d m V k Q 2 9 s d W 1 u c z E u e 0 N v b X B s Z X h p Z G F k Z S B G c m 9 u d C w z f S Z x d W 9 0 O y w m c X V v d D t T Z W N 0 a W 9 u M S 9 U Y W J l b G F f Z G V f R X N m b 3 J f b y 9 B d X R v U m V t b 3 Z l Z E N v b H V t b n M x L n t D b 2 1 w b G V 4 a W R h Z G U g Q m F j a y w 0 f S Z x d W 9 0 O y w m c X V v d D t T Z W N 0 a W 9 u M S 9 U Y W J l b G F f Z G V f R X N m b 3 J f b y 9 B d X R v U m V t b 3 Z l Z E N v b H V t b n M x L n t T b 2 1 h I G R l I E V m Z m 9 y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l b G F f Z G V f R X N m b 3 J f b y 9 B d X R v U m V t b 3 Z l Z E N v b H V t b n M x L n t Q Y W k g R m V h d H V y Z S w w f S Z x d W 9 0 O y w m c X V v d D t T Z W N 0 a W 9 u M S 9 U Y W J l b G F f Z G V f R X N m b 3 J f b y 9 B d X R v U m V t b 3 Z l Z E N v b H V t b n M x L n t X b 3 J r I E l 0 Z W 0 g V H l w Z S w x f S Z x d W 9 0 O y w m c X V v d D t T Z W N 0 a W 9 u M S 9 U Y W J l b G F f Z G V f R X N m b 3 J f b y 9 B d X R v U m V t b 3 Z l Z E N v b H V t b n M x L n t U a X R s Z S w y f S Z x d W 9 0 O y w m c X V v d D t T Z W N 0 a W 9 u M S 9 U Y W J l b G F f Z G V f R X N m b 3 J f b y 9 B d X R v U m V t b 3 Z l Z E N v b H V t b n M x L n t D b 2 1 w b G V 4 a W R h Z G U g R n J v b n Q s M 3 0 m c X V v d D s s J n F 1 b 3 Q 7 U 2 V j d G l v b j E v V G F i Z W x h X 2 R l X 0 V z Z m 9 y X 2 8 v Q X V 0 b 1 J l b W 9 2 Z W R D b 2 x 1 b W 5 z M S 5 7 Q 2 9 t c G x l e G l k Y W R l I E J h Y 2 s s N H 0 m c X V v d D s s J n F 1 b 3 Q 7 U 2 V j d G l v b j E v V G F i Z W x h X 2 R l X 0 V z Z m 9 y X 2 8 v Q X V 0 b 1 J l b W 9 2 Z W R D b 2 x 1 b W 5 z M S 5 7 U 2 9 t Y S B k Z S B F Z m Z v c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V 9 k Z V 9 F c 2 Z v c l 9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2 R l X 0 V z Z m 9 y X 2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k Z V 9 F c 2 Z v c l 9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i r U + X S r m T q z G T a Z p e 2 9 I A A A A A A I A A A A A A B B m A A A A A Q A A I A A A A J R k k n A 9 F + 5 4 T 1 4 V J l U / 1 i z 1 G S x x F v 9 9 i Q p b k 6 x M j E 9 c A A A A A A 6 A A A A A A g A A I A A A A J e u d W P 8 0 P A q Z O s p 2 E / u j t m s g N J 5 S f X M G X C W L I M E W n 1 W U A A A A H M h F q z M q g E a K g A I + 7 e d + U o t N a W T / P X 5 5 e Z i b m + d s z F a F A 4 X m e w v c 1 M B W M b T v 3 R Z K I a C Y w 5 8 3 9 Z S + B U J z z B K H i P t s + 6 M + M e g m 3 b D Z G 6 0 d x e / Q A A A A A D I q F + F A z m X 1 J V A F k o 9 G H 4 d z i T o 0 J A 9 E P 1 1 c 5 N o w 1 I 6 t o M a B + m l w 4 1 S x 9 Q 7 c 9 X 0 o v F W H j E M u p n h 6 + V + e b i 6 R a k = < / D a t a M a s h u p > 
</file>

<file path=customXml/itemProps1.xml><?xml version="1.0" encoding="utf-8"?>
<ds:datastoreItem xmlns:ds="http://schemas.openxmlformats.org/officeDocument/2006/customXml" ds:itemID="{AA393669-CA0D-48F8-860C-90F4B1400D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KOMVosMind (KM)</vt:lpstr>
      <vt:lpstr>Jaqueline</vt:lpstr>
      <vt:lpstr>Carlos (KM)</vt:lpstr>
      <vt:lpstr>José (KM)</vt:lpstr>
      <vt:lpstr>Ricardo</vt:lpstr>
      <vt:lpstr>Gustavo</vt:lpstr>
      <vt:lpstr>Pedro</vt:lpstr>
      <vt:lpstr>KOMSales</vt:lpstr>
      <vt:lpstr>Jose (KS)</vt:lpstr>
      <vt:lpstr>Carlos (KS)</vt:lpstr>
      <vt:lpstr>Jhonatas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Otavio</dc:creator>
  <cp:lastModifiedBy>Guilherme</cp:lastModifiedBy>
  <dcterms:created xsi:type="dcterms:W3CDTF">2025-06-23T16:59:32Z</dcterms:created>
  <dcterms:modified xsi:type="dcterms:W3CDTF">2025-06-30T21:47:35Z</dcterms:modified>
</cp:coreProperties>
</file>