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 Template" sheetId="1" state="visible" r:id="rId2"/>
  </sheets>
  <definedNames>
    <definedName function="false" hidden="false" localSheetId="0" name="_xlnm.Print_Area" vbProcedure="false">'Analysis Template'!$Y$5:$AC$35</definedName>
    <definedName function="false" hidden="false" localSheetId="0" name="_xlnm.Print_Area" vbProcedure="false">'Analysis Template'!$Y$5:$AC$35</definedName>
    <definedName function="false" hidden="false" localSheetId="0" name="_xlnm.Print_Area_0" vbProcedure="false">'Analysis Template'!$Y$5:$AC$35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<sst xmlns="http://schemas.openxmlformats.org/spreadsheetml/2006/main" count="441" uniqueCount="230">
  <si>
    <t xml:space="preserve">Spreadsheet for the Simple Load Model  (SLM)</t>
  </si>
  <si>
    <t xml:space="preserve">Australian Windpower  500 W turbine</t>
  </si>
  <si>
    <t xml:space="preserve">Enter Input Data into Grey Cells Only</t>
  </si>
  <si>
    <t xml:space="preserve">Parameters Calculated from Input Data</t>
  </si>
  <si>
    <t xml:space="preserve">Loads from SLM</t>
  </si>
  <si>
    <t xml:space="preserve">Enter Additional Data into Grey Cells Only</t>
  </si>
  <si>
    <t xml:space="preserve">Calculation of the Equivalent Stresses</t>
  </si>
  <si>
    <t xml:space="preserve">Partial Safety Factors (PSF) for SLM</t>
  </si>
  <si>
    <t xml:space="preserve">Simple Load Model Results</t>
  </si>
  <si>
    <t xml:space="preserve">Description</t>
  </si>
  <si>
    <t xml:space="preserve">Input Value</t>
  </si>
  <si>
    <t xml:space="preserve">Units</t>
  </si>
  <si>
    <t xml:space="preserve">Symbol</t>
  </si>
  <si>
    <t xml:space="preserve">Value</t>
  </si>
  <si>
    <t xml:space="preserve">Load Case A - Fatigue Loads on Blades and Rotor Shaft</t>
  </si>
  <si>
    <t xml:space="preserve">Equivalent Stress (MPa)</t>
  </si>
  <si>
    <t xml:space="preserve">PSF</t>
  </si>
  <si>
    <t xml:space="preserve">Air density</t>
  </si>
  <si>
    <t xml:space="preserve">kg/m^3</t>
  </si>
  <si>
    <t xml:space="preserve">r</t>
  </si>
  <si>
    <t xml:space="preserve">Design Wind Speed</t>
  </si>
  <si>
    <t xml:space="preserve">m/s</t>
  </si>
  <si>
    <t xml:space="preserve">V_design</t>
  </si>
  <si>
    <t xml:space="preserve">Equation</t>
  </si>
  <si>
    <t xml:space="preserve">SLM Value</t>
  </si>
  <si>
    <t xml:space="preserve">Diameter of the Shaft</t>
  </si>
  <si>
    <t xml:space="preserve">m</t>
  </si>
  <si>
    <t xml:space="preserve">Partial Safety Factor for Fatigue Loads</t>
  </si>
  <si>
    <t xml:space="preserve">g_f-f</t>
  </si>
  <si>
    <t xml:space="preserve">Fatigue Damage Limit</t>
  </si>
  <si>
    <t xml:space="preserve">Fatigue Damage</t>
  </si>
  <si>
    <t xml:space="preserve">Conclusion</t>
  </si>
  <si>
    <t xml:space="preserve">Gravitational acceleration</t>
  </si>
  <si>
    <t xml:space="preserve">m/s^2</t>
  </si>
  <si>
    <t xml:space="preserve">g</t>
  </si>
  <si>
    <t xml:space="preserve">50 year extreme wind speed</t>
  </si>
  <si>
    <t xml:space="preserve">V_e50</t>
  </si>
  <si>
    <t xml:space="preserve">Blade Loads</t>
  </si>
  <si>
    <t xml:space="preserve">Cross Sectional Area of the Shaft</t>
  </si>
  <si>
    <t xml:space="preserve">m^2</t>
  </si>
  <si>
    <t xml:space="preserve">A_shaft</t>
  </si>
  <si>
    <t xml:space="preserve">Blades</t>
  </si>
  <si>
    <t xml:space="preserve">Partial Safety Factor for Ultimate Loading</t>
  </si>
  <si>
    <t xml:space="preserve">g_f-u</t>
  </si>
  <si>
    <t xml:space="preserve">Reference Wind Speed</t>
  </si>
  <si>
    <t xml:space="preserve">V_ref</t>
  </si>
  <si>
    <t xml:space="preserve">50yr extreme tip speed ratio</t>
  </si>
  <si>
    <t xml:space="preserve">n/a</t>
  </si>
  <si>
    <t xml:space="preserve">λ_e50</t>
  </si>
  <si>
    <t xml:space="preserve">9.4 (IEC 21)</t>
  </si>
  <si>
    <t xml:space="preserve">Centrifugal Force at the Blade Root  (z-axis) </t>
  </si>
  <si>
    <t xml:space="preserve">N</t>
  </si>
  <si>
    <t xml:space="preserve">ΔF_zB</t>
  </si>
  <si>
    <t xml:space="preserve">The second moment of inertia for the shaft</t>
  </si>
  <si>
    <t xml:space="preserve">m^4</t>
  </si>
  <si>
    <t xml:space="preserve">I_x-shaft</t>
  </si>
  <si>
    <t xml:space="preserve">Shaft</t>
  </si>
  <si>
    <t xml:space="preserve">Calculations for the material PSF (Enter Data into Grey Cells)</t>
  </si>
  <si>
    <t xml:space="preserve">Average Wind Speed</t>
  </si>
  <si>
    <t xml:space="preserve">V_ave</t>
  </si>
  <si>
    <t xml:space="preserve">Design Tip Speed Ratio</t>
  </si>
  <si>
    <t xml:space="preserve">λ_design</t>
  </si>
  <si>
    <t xml:space="preserve">9.5 (IEC 22)</t>
  </si>
  <si>
    <t xml:space="preserve">Lead-lag Root Bending Moment (x-axis)</t>
  </si>
  <si>
    <t xml:space="preserve">Nm</t>
  </si>
  <si>
    <t xml:space="preserve">ΔM_xB</t>
  </si>
  <si>
    <t xml:space="preserve">Section modulus for the shaft</t>
  </si>
  <si>
    <t xml:space="preserve">m^3</t>
  </si>
  <si>
    <t xml:space="preserve">W_shaft</t>
  </si>
  <si>
    <t xml:space="preserve">Load Case B - Blade and Rotor Shaft Loads during Yaw</t>
  </si>
  <si>
    <t xml:space="preserve">Number of Blades</t>
  </si>
  <si>
    <t xml:space="preserve">B</t>
  </si>
  <si>
    <t xml:space="preserve">Drive Train Efficiency</t>
  </si>
  <si>
    <t xml:space="preserve">ή</t>
  </si>
  <si>
    <t xml:space="preserve">9.6 (IEC 23)</t>
  </si>
  <si>
    <t xml:space="preserve">Flapwise Root Bending Moment (y-axis)</t>
  </si>
  <si>
    <t xml:space="preserve">ΔM_yB</t>
  </si>
  <si>
    <t xml:space="preserve">Cross Sectional Area of the Blade Root</t>
  </si>
  <si>
    <t xml:space="preserve">A_B</t>
  </si>
  <si>
    <t xml:space="preserve">Input</t>
  </si>
  <si>
    <t xml:space="preserve">Material Stress Limit (MPa)</t>
  </si>
  <si>
    <t xml:space="preserve">Calculated Stress (MPa)</t>
  </si>
  <si>
    <t xml:space="preserve">Blade Tip Radius </t>
  </si>
  <si>
    <t xml:space="preserve">R</t>
  </si>
  <si>
    <t xml:space="preserve">Design Torque</t>
  </si>
  <si>
    <t xml:space="preserve">Q_design</t>
  </si>
  <si>
    <t xml:space="preserve">Shaft Loads</t>
  </si>
  <si>
    <t xml:space="preserve">Ixx for the blade</t>
  </si>
  <si>
    <t xml:space="preserve">I_xxB</t>
  </si>
  <si>
    <t xml:space="preserve">Enter "Y" for full characterisation of blade material, otherwise "N"</t>
  </si>
  <si>
    <t xml:space="preserve">n</t>
  </si>
  <si>
    <t xml:space="preserve">Total Planform Area of the Blade</t>
  </si>
  <si>
    <t xml:space="preserve">A_proj,B</t>
  </si>
  <si>
    <t xml:space="preserve">Projected Area (turbine swept area)</t>
  </si>
  <si>
    <t xml:space="preserve">A_proj</t>
  </si>
  <si>
    <t xml:space="preserve">9.7 (IEC 24)</t>
  </si>
  <si>
    <t xml:space="preserve">Thrust on shaft (x-axis)</t>
  </si>
  <si>
    <t xml:space="preserve">ΔF_x-shaft</t>
  </si>
  <si>
    <t xml:space="preserve">x-distance from blade centroid  to the maximum stress point</t>
  </si>
  <si>
    <t xml:space="preserve">c_xB</t>
  </si>
  <si>
    <t xml:space="preserve">Load Case C - Yaw Error Load on Blades</t>
  </si>
  <si>
    <t xml:space="preserve">Blade Fatigue strength partial safety factor</t>
  </si>
  <si>
    <t xml:space="preserve">--&gt;</t>
  </si>
  <si>
    <r>
      <rPr>
        <sz val="12"/>
        <rFont val="Symbol"/>
        <family val="1"/>
        <charset val="2"/>
      </rPr>
      <t xml:space="preserve">g_</t>
    </r>
    <r>
      <rPr>
        <sz val="12"/>
        <rFont val="Times New Roman"/>
        <family val="1"/>
        <charset val="1"/>
      </rPr>
      <t xml:space="preserve">mB-f</t>
    </r>
  </si>
  <si>
    <t xml:space="preserve">Drag Coefficient of the Blades</t>
  </si>
  <si>
    <t xml:space="preserve">C_d</t>
  </si>
  <si>
    <t xml:space="preserve">Design Rotational Speed of the Rotor</t>
  </si>
  <si>
    <t xml:space="preserve">rad/s</t>
  </si>
  <si>
    <r>
      <rPr>
        <sz val="10"/>
        <rFont val="Symbol"/>
        <family val="1"/>
        <charset val="2"/>
      </rPr>
      <t xml:space="preserve">w</t>
    </r>
    <r>
      <rPr>
        <sz val="10"/>
        <rFont val="Arial"/>
        <family val="0"/>
        <charset val="1"/>
      </rPr>
      <t xml:space="preserve">_n,design</t>
    </r>
  </si>
  <si>
    <t xml:space="preserve">9.8 (IEC 25)</t>
  </si>
  <si>
    <t xml:space="preserve">Shaft Moment about x-axis</t>
  </si>
  <si>
    <t xml:space="preserve">ΔM_x-shaft</t>
  </si>
  <si>
    <t xml:space="preserve">Iyy for the blade</t>
  </si>
  <si>
    <t xml:space="preserve">I_yyB</t>
  </si>
  <si>
    <t xml:space="preserve">Blade Ultimate strength partial safety factor</t>
  </si>
  <si>
    <t xml:space="preserve">g_mB-u</t>
  </si>
  <si>
    <t xml:space="preserve">Max Lift Coefficient of the Blades</t>
  </si>
  <si>
    <t xml:space="preserve">C_l,max</t>
  </si>
  <si>
    <t xml:space="preserve">Maximum Possible Rotor Speed</t>
  </si>
  <si>
    <r>
      <rPr>
        <sz val="10"/>
        <rFont val="Symbol"/>
        <family val="1"/>
        <charset val="2"/>
      </rPr>
      <t xml:space="preserve">w_</t>
    </r>
    <r>
      <rPr>
        <sz val="10"/>
        <rFont val="Arial"/>
        <family val="0"/>
        <charset val="1"/>
      </rPr>
      <t xml:space="preserve">n,max</t>
    </r>
  </si>
  <si>
    <t xml:space="preserve">9.9 (IEC 26)</t>
  </si>
  <si>
    <t xml:space="preserve">Shaft Moment</t>
  </si>
  <si>
    <t xml:space="preserve">ΔM_shaft</t>
  </si>
  <si>
    <t xml:space="preserve">y-distance from blade centroid to the maximum  stress point</t>
  </si>
  <si>
    <t xml:space="preserve">c_yB</t>
  </si>
  <si>
    <t xml:space="preserve">Load Case D - Maximum Thrust on Shaft</t>
  </si>
  <si>
    <t xml:space="preserve">Thrust Coefficient</t>
  </si>
  <si>
    <t xml:space="preserve">C_T</t>
  </si>
  <si>
    <t xml:space="preserve">Max Yaw Rate</t>
  </si>
  <si>
    <r>
      <rPr>
        <sz val="10"/>
        <rFont val="Symbol"/>
        <family val="1"/>
        <charset val="2"/>
      </rPr>
      <t xml:space="preserve">w</t>
    </r>
    <r>
      <rPr>
        <sz val="10"/>
        <rFont val="Arial"/>
        <family val="0"/>
        <charset val="1"/>
      </rPr>
      <t xml:space="preserve">_yaw,max</t>
    </r>
  </si>
  <si>
    <t xml:space="preserve">Blade x-section modulus</t>
  </si>
  <si>
    <t xml:space="preserve">W_xB</t>
  </si>
  <si>
    <t xml:space="preserve">Enter "Y" for full characterisation of shaft material, otherwise "N"</t>
  </si>
  <si>
    <t xml:space="preserve">Maximum Rotor Speed</t>
  </si>
  <si>
    <t xml:space="preserve">rpm</t>
  </si>
  <si>
    <t xml:space="preserve">n_max</t>
  </si>
  <si>
    <t xml:space="preserve">Blade y-section modulus</t>
  </si>
  <si>
    <t xml:space="preserve">W_yB</t>
  </si>
  <si>
    <t xml:space="preserve">Load Case E - Maximum Rotational Speed </t>
  </si>
  <si>
    <t xml:space="preserve">Shaft Fatigue strength partial safety factor</t>
  </si>
  <si>
    <r>
      <rPr>
        <sz val="12"/>
        <rFont val="Symbol"/>
        <family val="1"/>
        <charset val="2"/>
      </rPr>
      <t xml:space="preserve">g_</t>
    </r>
    <r>
      <rPr>
        <sz val="12"/>
        <rFont val="Times New Roman"/>
        <family val="1"/>
        <charset val="1"/>
      </rPr>
      <t xml:space="preserve">m-shaft-f</t>
    </r>
  </si>
  <si>
    <t xml:space="preserve">Design Rotor Speed</t>
  </si>
  <si>
    <t xml:space="preserve">n_design</t>
  </si>
  <si>
    <t xml:space="preserve">Ecentricity of the Rotor Centre of Mass</t>
  </si>
  <si>
    <t xml:space="preserve">e_r </t>
  </si>
  <si>
    <t xml:space="preserve">9.16 (IEC 28)</t>
  </si>
  <si>
    <t xml:space="preserve">M_yB</t>
  </si>
  <si>
    <t xml:space="preserve">Ultimate Material Strength for the Blades</t>
  </si>
  <si>
    <t xml:space="preserve">MPa</t>
  </si>
  <si>
    <t xml:space="preserve">f_kB</t>
  </si>
  <si>
    <t xml:space="preserve">Shaft Ultimate strength partial safety factor</t>
  </si>
  <si>
    <r>
      <rPr>
        <sz val="12"/>
        <rFont val="Symbol"/>
        <family val="1"/>
        <charset val="2"/>
      </rPr>
      <t xml:space="preserve">g_</t>
    </r>
    <r>
      <rPr>
        <sz val="12"/>
        <rFont val="Times New Roman"/>
        <family val="1"/>
        <charset val="1"/>
      </rPr>
      <t xml:space="preserve">m-shaft-u</t>
    </r>
  </si>
  <si>
    <t xml:space="preserve">Second Moment of Inertia for each Blade</t>
  </si>
  <si>
    <t xml:space="preserve">kgm^2</t>
  </si>
  <si>
    <t xml:space="preserve">I_B</t>
  </si>
  <si>
    <t xml:space="preserve">Effective brake torque</t>
  </si>
  <si>
    <t xml:space="preserve">M_brake</t>
  </si>
  <si>
    <t xml:space="preserve">9.11,12 (IEC 29,30)</t>
  </si>
  <si>
    <t xml:space="preserve">Bending moment on the shaft</t>
  </si>
  <si>
    <t xml:space="preserve">M_shaft</t>
  </si>
  <si>
    <t xml:space="preserve">Ultimate Material Strength for the Shaft</t>
  </si>
  <si>
    <t xml:space="preserve">f_k-shaft</t>
  </si>
  <si>
    <t xml:space="preserve">Material Strengths (with Factors of Safety)</t>
  </si>
  <si>
    <t xml:space="preserve">Single Blade Mass</t>
  </si>
  <si>
    <t xml:space="preserve">kg</t>
  </si>
  <si>
    <t xml:space="preserve">m_B</t>
  </si>
  <si>
    <t xml:space="preserve">Enter Additional Data for Fatigue Calculations into Yellow Cells</t>
  </si>
  <si>
    <t xml:space="preserve">Load Case F - Short at Load Connection</t>
  </si>
  <si>
    <t xml:space="preserve">Rotor Mass (All Blades plus Hub)</t>
  </si>
  <si>
    <t xml:space="preserve">m_r </t>
  </si>
  <si>
    <t xml:space="preserve">Distance from Blade centre of gravity to rotor axis</t>
  </si>
  <si>
    <t xml:space="preserve">R_cog</t>
  </si>
  <si>
    <t xml:space="preserve">9.13 (IEC 31)</t>
  </si>
  <si>
    <t xml:space="preserve">Ultimate Strength for Blade Material (IEC 47)</t>
  </si>
  <si>
    <t xml:space="preserve">Distance Between Rotor Centre and First Bearing</t>
  </si>
  <si>
    <t xml:space="preserve">L_rb</t>
  </si>
  <si>
    <t xml:space="preserve">Design life of the turbine</t>
  </si>
  <si>
    <t xml:space="preserve">Years</t>
  </si>
  <si>
    <t xml:space="preserve">Load Case G - Shutdown Braking</t>
  </si>
  <si>
    <t xml:space="preserve">Ultimate Strength for Shaft Material</t>
  </si>
  <si>
    <t xml:space="preserve">Distance Between the Rotor Centre and the yaw axis</t>
  </si>
  <si>
    <t xml:space="preserve">L_rt</t>
  </si>
  <si>
    <t xml:space="preserve">s</t>
  </si>
  <si>
    <t xml:space="preserve">T_d</t>
  </si>
  <si>
    <t xml:space="preserve">Calculations for Fatigue (Enter Data into Grey Cells)</t>
  </si>
  <si>
    <t xml:space="preserve">Gearbox Ratio (enter 1.0 for no gearbox)</t>
  </si>
  <si>
    <t xml:space="preserve">Gear</t>
  </si>
  <si>
    <t xml:space="preserve">9.14 (IEC 32)</t>
  </si>
  <si>
    <t xml:space="preserve">Maximum Thrust on Shaft</t>
  </si>
  <si>
    <t xml:space="preserve">F_x-shaft</t>
  </si>
  <si>
    <t xml:space="preserve">Number of Fatigue Cycles</t>
  </si>
  <si>
    <t xml:space="preserve">n_i</t>
  </si>
  <si>
    <t xml:space="preserve">Enter "Y" if brake is on high speed side of gearbox, otherwise "N"</t>
  </si>
  <si>
    <t xml:space="preserve">Number of Cycles to Failure as a Function of Stress (Shaft)</t>
  </si>
  <si>
    <t xml:space="preserve">N_shaft</t>
  </si>
  <si>
    <t xml:space="preserve">Load Case H - Parked Wind Loads during Idling</t>
  </si>
  <si>
    <t xml:space="preserve">Brake torque (enter 0.0 for no brake)</t>
  </si>
  <si>
    <t xml:space="preserve">Number of Cycles to Failure as a Function of Stress (Blade)</t>
  </si>
  <si>
    <t xml:space="preserve">N_blade</t>
  </si>
  <si>
    <t xml:space="preserve">Blade Stress Level</t>
  </si>
  <si>
    <t xml:space="preserve">s_iB</t>
  </si>
  <si>
    <t xml:space="preserve">Design Power</t>
  </si>
  <si>
    <t xml:space="preserve">kW</t>
  </si>
  <si>
    <t xml:space="preserve">P_design</t>
  </si>
  <si>
    <t xml:space="preserve">9.15 (IEC 33)</t>
  </si>
  <si>
    <t xml:space="preserve">Centrifugal Force at the Blade Root (z-axis) </t>
  </si>
  <si>
    <t xml:space="preserve">F_zB</t>
  </si>
  <si>
    <t xml:space="preserve">Associated Blade Stress Level</t>
  </si>
  <si>
    <t xml:space="preserve">Short Circuit Torque Factor</t>
  </si>
  <si>
    <t xml:space="preserve">G</t>
  </si>
  <si>
    <t xml:space="preserve">9.16 (IEC 34)</t>
  </si>
  <si>
    <t xml:space="preserve">Bending Moment on the shaft</t>
  </si>
  <si>
    <t xml:space="preserve">Number of Cycles to Failure at this Stress</t>
  </si>
  <si>
    <t xml:space="preserve">-</t>
  </si>
  <si>
    <t xml:space="preserve">N_B</t>
  </si>
  <si>
    <t xml:space="preserve">Type "Y" if blades are stationary during parking, otherwise "N"</t>
  </si>
  <si>
    <t xml:space="preserve">Y</t>
  </si>
  <si>
    <t xml:space="preserve">Shaft Stress Level</t>
  </si>
  <si>
    <t xml:space="preserve">s_i-shaft</t>
  </si>
  <si>
    <t xml:space="preserve">Associated Shaft Stress Level</t>
  </si>
  <si>
    <t xml:space="preserve">9.17 (IEC 35)</t>
  </si>
  <si>
    <t xml:space="preserve">Bending Moment on Shaft</t>
  </si>
  <si>
    <t xml:space="preserve">M_x-shaft</t>
  </si>
  <si>
    <t xml:space="preserve">inf</t>
  </si>
  <si>
    <t xml:space="preserve">9.18 (IEC 36)</t>
  </si>
  <si>
    <t xml:space="preserve">M_xB</t>
  </si>
  <si>
    <t xml:space="preserve">9.19 (IEC 37)</t>
  </si>
  <si>
    <t xml:space="preserve">9.20 (IEC 38)</t>
  </si>
  <si>
    <t xml:space="preserve">9.23,24 (IEC 39,40)</t>
  </si>
  <si>
    <t xml:space="preserve">9.25,26 (IEC 41,42)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</si>
</sst>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0"/>
    <numFmt numFmtId="166" formatCode="0.00"/>
    <numFmt numFmtId="167" formatCode="0.0000E+00"/>
    <numFmt numFmtId="168" formatCode="0.000000"/>
    <numFmt numFmtId="169" formatCode="0.00E+00"/>
    <numFmt numFmtId="170" formatCode="0.0"/>
    <numFmt numFmtId="171" formatCode="0"/>
    <numFmt numFmtId="172" formatCode="@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3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sz val="10"/>
      <name val="Symbol"/>
      <family val="1"/>
      <charset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2"/>
      <name val="Symbol"/>
      <family val="1"/>
      <charset val="2"/>
    </font>
    <font>
      <sz val="12"/>
      <name val="Times New Roman"/>
      <family val="1"/>
      <charset val="1"/>
    </font>
    <font>
      <sz val="1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D1D1D1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C0C0C0"/>
        <bgColor rgb="FFD1D1D1"/>
      </patternFill>
    </fill>
    <fill>
      <patternFill patternType="solid">
        <fgColor rgb="FFD9D9D9"/>
        <bgColor rgb="FFE0E0E0"/>
      </patternFill>
    </fill>
    <fill>
      <patternFill patternType="solid">
        <fgColor rgb="FFE0E0E0"/>
        <bgColor rgb="FFD9D9D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5" fillId="7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19" activeCellId="0" sqref="B19"/>
    </sheetView>
  </sheetViews>
  <sheetFormatPr defaultRowHeight="12.75" outlineLevelRow="0" outlineLevelCol="0"/>
  <cols>
    <col collapsed="false" customWidth="true" hidden="false" outlineLevel="0" max="1" min="1" style="1" width="60.29"/>
    <col collapsed="false" customWidth="true" hidden="false" outlineLevel="0" max="2" min="2" style="2" width="19.71"/>
    <col collapsed="false" customWidth="true" hidden="false" outlineLevel="0" max="3" min="3" style="3" width="9"/>
    <col collapsed="false" customWidth="true" hidden="false" outlineLevel="0" max="4" min="4" style="2" width="13.02"/>
    <col collapsed="false" customWidth="true" hidden="false" outlineLevel="0" max="5" min="5" style="4" width="46.71"/>
    <col collapsed="false" customWidth="true" hidden="false" outlineLevel="0" max="6" min="6" style="5" width="24.87"/>
    <col collapsed="false" customWidth="true" hidden="false" outlineLevel="0" max="7" min="7" style="6" width="10.85"/>
    <col collapsed="false" customWidth="true" hidden="false" outlineLevel="0" max="8" min="8" style="5" width="21.29"/>
    <col collapsed="false" customWidth="true" hidden="false" outlineLevel="0" max="9" min="9" style="7" width="18.13"/>
    <col collapsed="false" customWidth="true" hidden="false" outlineLevel="0" max="10" min="10" style="2" width="40.87"/>
    <col collapsed="false" customWidth="true" hidden="false" outlineLevel="0" max="11" min="11" style="8" width="14.69"/>
    <col collapsed="false" customWidth="true" hidden="false" outlineLevel="0" max="12" min="12" style="2" width="7.87"/>
    <col collapsed="false" customWidth="true" hidden="false" outlineLevel="0" max="13" min="13" style="2" width="11.99"/>
    <col collapsed="false" customWidth="true" hidden="false" outlineLevel="0" max="14" min="14" style="2" width="57.87"/>
    <col collapsed="false" customWidth="true" hidden="false" outlineLevel="0" max="15" min="15" style="9" width="13.86"/>
    <col collapsed="false" customWidth="true" hidden="false" outlineLevel="0" max="16" min="16" style="3" width="10.85"/>
    <col collapsed="false" customWidth="true" hidden="false" outlineLevel="0" max="17" min="17" style="3" width="18.42"/>
    <col collapsed="false" customWidth="true" hidden="false" outlineLevel="0" max="18" min="18" style="3" width="14.86"/>
    <col collapsed="false" customWidth="true" hidden="false" outlineLevel="0" max="19" min="19" style="3" width="17"/>
    <col collapsed="false" customWidth="true" hidden="false" outlineLevel="0" max="20" min="20" style="10" width="31.69"/>
    <col collapsed="false" customWidth="true" hidden="false" outlineLevel="0" max="21" min="21" style="2" width="72.86"/>
    <col collapsed="false" customWidth="true" hidden="false" outlineLevel="0" max="22" min="22" style="8" width="20.71"/>
    <col collapsed="false" customWidth="true" hidden="false" outlineLevel="0" max="23" min="23" style="2" width="9.42"/>
    <col collapsed="false" customWidth="true" hidden="false" outlineLevel="0" max="24" min="24" style="2" width="14.43"/>
    <col collapsed="false" customWidth="true" hidden="false" outlineLevel="0" max="25" min="25" style="3" width="9.59"/>
    <col collapsed="false" customWidth="true" hidden="false" outlineLevel="0" max="26" min="26" style="3" width="5.14"/>
    <col collapsed="false" customWidth="true" hidden="false" outlineLevel="0" max="27" min="27" style="3" width="33"/>
    <col collapsed="false" customWidth="true" hidden="false" outlineLevel="0" max="28" min="28" style="8" width="30.28"/>
    <col collapsed="false" customWidth="true" hidden="false" outlineLevel="0" max="29" min="29" style="3" width="14.01"/>
    <col collapsed="false" customWidth="true" hidden="false" outlineLevel="0" max="30" min="30" style="3" width="14.28"/>
    <col collapsed="false" customWidth="true" hidden="false" outlineLevel="0" max="31" min="31" style="2" width="21.29"/>
    <col collapsed="false" customWidth="true" hidden="false" outlineLevel="0" max="32" min="32" style="10" width="33"/>
    <col collapsed="false" customWidth="true" hidden="false" outlineLevel="0" max="33" min="33" style="11" width="35.58"/>
    <col collapsed="false" customWidth="true" hidden="false" outlineLevel="0" max="34" min="34" style="3" width="14.01"/>
    <col collapsed="false" customWidth="true" hidden="false" outlineLevel="0" max="1025" min="35" style="2" width="9.13"/>
  </cols>
  <sheetData>
    <row r="1" customFormat="false" ht="60.75" hidden="false" customHeight="true" outlineLevel="0" collapsed="false">
      <c r="A1" s="12" t="s">
        <v>0</v>
      </c>
      <c r="B1" s="12"/>
      <c r="C1" s="12"/>
      <c r="D1" s="12"/>
      <c r="E1" s="13"/>
      <c r="F1" s="14"/>
      <c r="G1" s="15"/>
      <c r="H1" s="16"/>
      <c r="I1" s="17"/>
      <c r="J1" s="16"/>
      <c r="L1" s="5"/>
      <c r="N1" s="18"/>
      <c r="O1" s="18"/>
      <c r="P1" s="18"/>
      <c r="Q1" s="18"/>
      <c r="R1" s="5"/>
      <c r="S1" s="19"/>
      <c r="T1" s="7"/>
    </row>
    <row r="2" customFormat="false" ht="15.75" hidden="false" customHeight="true" outlineLevel="0" collapsed="false">
      <c r="A2" s="20" t="s">
        <v>1</v>
      </c>
      <c r="B2" s="20"/>
      <c r="C2" s="20"/>
      <c r="D2" s="20"/>
      <c r="E2" s="21"/>
      <c r="F2" s="14"/>
      <c r="G2" s="15"/>
      <c r="H2" s="16"/>
      <c r="I2" s="17"/>
      <c r="J2" s="16"/>
      <c r="L2" s="5"/>
      <c r="N2" s="18"/>
      <c r="O2" s="18"/>
      <c r="P2" s="18"/>
      <c r="Q2" s="18"/>
      <c r="R2" s="5"/>
      <c r="S2" s="5"/>
      <c r="T2" s="7"/>
    </row>
    <row r="3" customFormat="false" ht="15.75" hidden="false" customHeight="false" outlineLevel="0" collapsed="false">
      <c r="A3" s="20"/>
      <c r="B3" s="20"/>
      <c r="C3" s="20"/>
      <c r="D3" s="20"/>
      <c r="E3" s="1"/>
      <c r="F3" s="3"/>
      <c r="G3" s="22"/>
      <c r="H3" s="2"/>
      <c r="I3" s="8"/>
      <c r="L3" s="5"/>
      <c r="N3" s="18"/>
      <c r="O3" s="18"/>
      <c r="P3" s="18"/>
      <c r="Q3" s="18"/>
      <c r="R3" s="23"/>
      <c r="S3" s="5"/>
      <c r="T3" s="7"/>
    </row>
    <row r="4" customFormat="false" ht="13.5" hidden="false" customHeight="false" outlineLevel="0" collapsed="false">
      <c r="A4" s="20"/>
      <c r="B4" s="20"/>
      <c r="C4" s="20"/>
      <c r="D4" s="20"/>
      <c r="E4" s="1"/>
      <c r="F4" s="3"/>
      <c r="G4" s="22"/>
      <c r="H4" s="2"/>
      <c r="I4" s="8"/>
      <c r="L4" s="5"/>
      <c r="N4" s="18"/>
      <c r="O4" s="18"/>
      <c r="P4" s="18"/>
      <c r="Q4" s="18"/>
      <c r="S4" s="5"/>
      <c r="T4" s="7"/>
    </row>
    <row r="5" customFormat="false" ht="49.9" hidden="false" customHeight="true" outlineLevel="0" collapsed="false">
      <c r="A5" s="24" t="s">
        <v>2</v>
      </c>
      <c r="B5" s="24"/>
      <c r="C5" s="24"/>
      <c r="D5" s="24"/>
      <c r="E5" s="24" t="s">
        <v>3</v>
      </c>
      <c r="F5" s="24"/>
      <c r="G5" s="24"/>
      <c r="H5" s="24"/>
      <c r="I5" s="25" t="s">
        <v>4</v>
      </c>
      <c r="J5" s="25"/>
      <c r="K5" s="25"/>
      <c r="L5" s="25"/>
      <c r="M5" s="25"/>
      <c r="N5" s="26" t="s">
        <v>5</v>
      </c>
      <c r="O5" s="26"/>
      <c r="P5" s="26"/>
      <c r="Q5" s="26"/>
      <c r="R5" s="26" t="s">
        <v>6</v>
      </c>
      <c r="S5" s="26"/>
      <c r="T5" s="26"/>
      <c r="U5" s="26" t="s">
        <v>7</v>
      </c>
      <c r="V5" s="26"/>
      <c r="W5" s="26"/>
      <c r="X5" s="26"/>
      <c r="Y5" s="25" t="s">
        <v>8</v>
      </c>
      <c r="Z5" s="25"/>
      <c r="AA5" s="25"/>
      <c r="AB5" s="25"/>
      <c r="AC5" s="25"/>
    </row>
    <row r="6" customFormat="false" ht="19.9" hidden="false" customHeight="true" outlineLevel="0" collapsed="false">
      <c r="A6" s="27" t="s">
        <v>9</v>
      </c>
      <c r="B6" s="28" t="s">
        <v>10</v>
      </c>
      <c r="C6" s="29" t="s">
        <v>11</v>
      </c>
      <c r="D6" s="30" t="s">
        <v>12</v>
      </c>
      <c r="E6" s="31" t="s">
        <v>9</v>
      </c>
      <c r="F6" s="32" t="s">
        <v>13</v>
      </c>
      <c r="G6" s="29" t="s">
        <v>11</v>
      </c>
      <c r="H6" s="30" t="s">
        <v>12</v>
      </c>
      <c r="I6" s="33" t="s">
        <v>14</v>
      </c>
      <c r="J6" s="33"/>
      <c r="K6" s="33"/>
      <c r="L6" s="33"/>
      <c r="M6" s="33"/>
      <c r="N6" s="34" t="s">
        <v>9</v>
      </c>
      <c r="O6" s="35" t="s">
        <v>13</v>
      </c>
      <c r="P6" s="36" t="s">
        <v>11</v>
      </c>
      <c r="Q6" s="37" t="s">
        <v>12</v>
      </c>
      <c r="R6" s="38" t="s">
        <v>9</v>
      </c>
      <c r="S6" s="38"/>
      <c r="T6" s="39" t="s">
        <v>15</v>
      </c>
      <c r="U6" s="34" t="s">
        <v>9</v>
      </c>
      <c r="V6" s="40" t="s">
        <v>16</v>
      </c>
      <c r="W6" s="37" t="s">
        <v>12</v>
      </c>
      <c r="X6" s="37"/>
      <c r="Y6" s="33" t="s">
        <v>14</v>
      </c>
      <c r="Z6" s="33"/>
      <c r="AA6" s="33"/>
      <c r="AB6" s="33"/>
      <c r="AC6" s="33"/>
    </row>
    <row r="7" customFormat="false" ht="19.9" hidden="false" customHeight="true" outlineLevel="0" collapsed="false">
      <c r="A7" s="41" t="s">
        <v>17</v>
      </c>
      <c r="B7" s="42" t="n">
        <v>1.225</v>
      </c>
      <c r="C7" s="43" t="s">
        <v>18</v>
      </c>
      <c r="D7" s="44" t="s">
        <v>19</v>
      </c>
      <c r="E7" s="45" t="s">
        <v>20</v>
      </c>
      <c r="F7" s="46" t="n">
        <f aca="false">1.4*B10</f>
        <v>8.4</v>
      </c>
      <c r="G7" s="47" t="s">
        <v>21</v>
      </c>
      <c r="H7" s="48" t="s">
        <v>22</v>
      </c>
      <c r="I7" s="49" t="s">
        <v>23</v>
      </c>
      <c r="J7" s="36" t="s">
        <v>9</v>
      </c>
      <c r="K7" s="40" t="s">
        <v>24</v>
      </c>
      <c r="L7" s="36" t="s">
        <v>11</v>
      </c>
      <c r="M7" s="50" t="s">
        <v>12</v>
      </c>
      <c r="N7" s="51" t="s">
        <v>25</v>
      </c>
      <c r="O7" s="52" t="n">
        <v>0.025</v>
      </c>
      <c r="P7" s="43" t="s">
        <v>26</v>
      </c>
      <c r="Q7" s="48"/>
      <c r="R7" s="53" t="s">
        <v>14</v>
      </c>
      <c r="S7" s="53"/>
      <c r="T7" s="53"/>
      <c r="U7" s="51" t="s">
        <v>27</v>
      </c>
      <c r="V7" s="46" t="n">
        <v>1</v>
      </c>
      <c r="W7" s="48" t="s">
        <v>28</v>
      </c>
      <c r="X7" s="48"/>
      <c r="Y7" s="54"/>
      <c r="Z7" s="54"/>
      <c r="AA7" s="55" t="s">
        <v>29</v>
      </c>
      <c r="AB7" s="55" t="s">
        <v>30</v>
      </c>
      <c r="AC7" s="56" t="s">
        <v>31</v>
      </c>
    </row>
    <row r="8" customFormat="false" ht="19.9" hidden="false" customHeight="true" outlineLevel="0" collapsed="false">
      <c r="A8" s="41" t="s">
        <v>32</v>
      </c>
      <c r="B8" s="57" t="n">
        <v>9.81</v>
      </c>
      <c r="C8" s="43" t="s">
        <v>33</v>
      </c>
      <c r="D8" s="48" t="s">
        <v>34</v>
      </c>
      <c r="E8" s="51" t="s">
        <v>35</v>
      </c>
      <c r="F8" s="46" t="n">
        <f aca="false">1.4*B9</f>
        <v>42</v>
      </c>
      <c r="G8" s="43" t="s">
        <v>21</v>
      </c>
      <c r="H8" s="48" t="s">
        <v>36</v>
      </c>
      <c r="I8" s="58"/>
      <c r="J8" s="59" t="s">
        <v>37</v>
      </c>
      <c r="K8" s="55"/>
      <c r="L8" s="60"/>
      <c r="M8" s="61"/>
      <c r="N8" s="51" t="s">
        <v>38</v>
      </c>
      <c r="O8" s="62" t="n">
        <f aca="false">PI()*O7^2/4</f>
        <v>0.000490873852123405</v>
      </c>
      <c r="P8" s="43" t="s">
        <v>39</v>
      </c>
      <c r="Q8" s="48" t="s">
        <v>40</v>
      </c>
      <c r="R8" s="54" t="s">
        <v>41</v>
      </c>
      <c r="S8" s="54"/>
      <c r="T8" s="63" t="n">
        <f aca="false">((K9/O11)+(K10/O16)+(K11/O17))/1000000</f>
        <v>2.50667810446091</v>
      </c>
      <c r="U8" s="51" t="s">
        <v>42</v>
      </c>
      <c r="V8" s="46" t="n">
        <v>3</v>
      </c>
      <c r="W8" s="48" t="s">
        <v>43</v>
      </c>
      <c r="X8" s="48"/>
      <c r="Y8" s="64" t="s">
        <v>41</v>
      </c>
      <c r="Z8" s="64"/>
      <c r="AA8" s="46" t="n">
        <v>1</v>
      </c>
      <c r="AB8" s="65" t="n">
        <f aca="false">IF(V19="inf","Infinite Life",O25/V29)</f>
        <v>1.93012844036697E-006</v>
      </c>
      <c r="AC8" s="66" t="str">
        <f aca="false">IF(OR(AB8&lt;1,AB8="Infinite Life")=1,"SAFE","FAIL")</f>
        <v>SAFE</v>
      </c>
    </row>
    <row r="9" customFormat="false" ht="19.9" hidden="false" customHeight="true" outlineLevel="0" collapsed="false">
      <c r="A9" s="41" t="s">
        <v>44</v>
      </c>
      <c r="B9" s="67" t="n">
        <v>30</v>
      </c>
      <c r="C9" s="43" t="s">
        <v>21</v>
      </c>
      <c r="D9" s="48" t="s">
        <v>45</v>
      </c>
      <c r="E9" s="45" t="s">
        <v>46</v>
      </c>
      <c r="F9" s="46" t="n">
        <f aca="false">B17*PI()*B12/(30*F8)</f>
        <v>0.747998250854713</v>
      </c>
      <c r="G9" s="47" t="s">
        <v>47</v>
      </c>
      <c r="H9" s="48" t="s">
        <v>48</v>
      </c>
      <c r="I9" s="68" t="s">
        <v>49</v>
      </c>
      <c r="J9" s="69" t="s">
        <v>50</v>
      </c>
      <c r="K9" s="70" t="n">
        <f aca="false">2*B20*B22*F14^2</f>
        <v>631.654681669719</v>
      </c>
      <c r="L9" s="43" t="s">
        <v>51</v>
      </c>
      <c r="M9" s="71" t="s">
        <v>52</v>
      </c>
      <c r="N9" s="51" t="s">
        <v>53</v>
      </c>
      <c r="O9" s="62" t="n">
        <f aca="false">PI()*O7^4/64</f>
        <v>1.91747598485705E-008</v>
      </c>
      <c r="P9" s="43" t="s">
        <v>54</v>
      </c>
      <c r="Q9" s="48" t="s">
        <v>55</v>
      </c>
      <c r="R9" s="54" t="s">
        <v>56</v>
      </c>
      <c r="S9" s="54"/>
      <c r="T9" s="63" t="n">
        <f aca="false">SQRT((K13/O8+K15/O10)^2+0.75*(K14/O10)^2)/1000000</f>
        <v>11.7365258188564</v>
      </c>
      <c r="U9" s="72" t="s">
        <v>57</v>
      </c>
      <c r="V9" s="72"/>
      <c r="W9" s="72"/>
      <c r="X9" s="72"/>
      <c r="Y9" s="54" t="s">
        <v>56</v>
      </c>
      <c r="Z9" s="54"/>
      <c r="AA9" s="73" t="n">
        <v>1</v>
      </c>
      <c r="AB9" s="65" t="str">
        <f aca="false">IF(V32="inf","Infinite Life",O25/V32)</f>
        <v>Infinite Life</v>
      </c>
      <c r="AC9" s="66" t="str">
        <f aca="false">IF(OR(AB9&lt;1,AB9="Infinite Life")=1,"SAFE","FAIL")</f>
        <v>SAFE</v>
      </c>
      <c r="AD9" s="18"/>
    </row>
    <row r="10" customFormat="false" ht="19.9" hidden="false" customHeight="true" outlineLevel="0" collapsed="false">
      <c r="A10" s="41" t="s">
        <v>58</v>
      </c>
      <c r="B10" s="67" t="n">
        <v>6</v>
      </c>
      <c r="C10" s="43" t="s">
        <v>21</v>
      </c>
      <c r="D10" s="48" t="s">
        <v>59</v>
      </c>
      <c r="E10" s="51" t="s">
        <v>60</v>
      </c>
      <c r="F10" s="46" t="n">
        <f aca="false">B12*PI()*B18/(30*F7)</f>
        <v>3.73999125427356</v>
      </c>
      <c r="G10" s="47" t="s">
        <v>47</v>
      </c>
      <c r="H10" s="48" t="s">
        <v>61</v>
      </c>
      <c r="I10" s="68" t="s">
        <v>62</v>
      </c>
      <c r="J10" s="69" t="s">
        <v>63</v>
      </c>
      <c r="K10" s="70" t="n">
        <f aca="false">F12/B11+2*B20*B8*B22</f>
        <v>5.97222636492103</v>
      </c>
      <c r="L10" s="43" t="s">
        <v>64</v>
      </c>
      <c r="M10" s="71" t="s">
        <v>65</v>
      </c>
      <c r="N10" s="51" t="s">
        <v>66</v>
      </c>
      <c r="O10" s="62" t="n">
        <f aca="false">2*O9/O7</f>
        <v>1.53398078788564E-006</v>
      </c>
      <c r="P10" s="43" t="s">
        <v>67</v>
      </c>
      <c r="Q10" s="48" t="s">
        <v>68</v>
      </c>
      <c r="R10" s="53" t="s">
        <v>69</v>
      </c>
      <c r="S10" s="53"/>
      <c r="T10" s="53"/>
      <c r="U10" s="72"/>
      <c r="V10" s="72"/>
      <c r="W10" s="72"/>
      <c r="X10" s="72"/>
      <c r="Y10" s="33" t="s">
        <v>69</v>
      </c>
      <c r="Z10" s="33"/>
      <c r="AA10" s="33"/>
      <c r="AB10" s="33"/>
      <c r="AC10" s="33"/>
    </row>
    <row r="11" customFormat="false" ht="19.9" hidden="false" customHeight="true" outlineLevel="0" collapsed="false">
      <c r="A11" s="41" t="s">
        <v>70</v>
      </c>
      <c r="B11" s="74" t="n">
        <v>3</v>
      </c>
      <c r="C11" s="43" t="s">
        <v>47</v>
      </c>
      <c r="D11" s="48" t="s">
        <v>71</v>
      </c>
      <c r="E11" s="51" t="s">
        <v>72</v>
      </c>
      <c r="F11" s="46" t="n">
        <f aca="false">IF(B28&gt;20,0.7,0.6+0.005*B28)</f>
        <v>0.6025</v>
      </c>
      <c r="G11" s="47" t="s">
        <v>47</v>
      </c>
      <c r="H11" s="48" t="s">
        <v>73</v>
      </c>
      <c r="I11" s="68" t="s">
        <v>74</v>
      </c>
      <c r="J11" s="69" t="s">
        <v>75</v>
      </c>
      <c r="K11" s="70" t="n">
        <f aca="false">F10*F12/B11</f>
        <v>16.4657841006389</v>
      </c>
      <c r="L11" s="43" t="s">
        <v>64</v>
      </c>
      <c r="M11" s="71" t="s">
        <v>76</v>
      </c>
      <c r="N11" s="51" t="s">
        <v>77</v>
      </c>
      <c r="O11" s="52" t="n">
        <v>0.00146</v>
      </c>
      <c r="P11" s="43" t="s">
        <v>39</v>
      </c>
      <c r="Q11" s="48" t="s">
        <v>78</v>
      </c>
      <c r="R11" s="54" t="s">
        <v>41</v>
      </c>
      <c r="S11" s="54"/>
      <c r="T11" s="63" t="n">
        <f aca="false">(K18/O17)/1000000</f>
        <v>0.20928388074192</v>
      </c>
      <c r="U11" s="34" t="s">
        <v>9</v>
      </c>
      <c r="V11" s="40" t="s">
        <v>79</v>
      </c>
      <c r="W11" s="36" t="s">
        <v>16</v>
      </c>
      <c r="X11" s="37" t="s">
        <v>12</v>
      </c>
      <c r="Y11" s="54"/>
      <c r="Z11" s="54"/>
      <c r="AA11" s="55" t="s">
        <v>80</v>
      </c>
      <c r="AB11" s="55" t="s">
        <v>81</v>
      </c>
      <c r="AC11" s="56" t="s">
        <v>31</v>
      </c>
      <c r="AD11" s="16"/>
      <c r="AE11" s="16"/>
      <c r="AF11" s="16"/>
      <c r="AG11" s="16"/>
      <c r="AH11" s="16"/>
      <c r="AI11" s="16"/>
      <c r="AJ11" s="16"/>
      <c r="AK11" s="16"/>
    </row>
    <row r="12" s="16" customFormat="true" ht="19.9" hidden="false" customHeight="true" outlineLevel="0" collapsed="false">
      <c r="A12" s="41" t="s">
        <v>82</v>
      </c>
      <c r="B12" s="67" t="n">
        <v>0.5</v>
      </c>
      <c r="C12" s="43" t="s">
        <v>26</v>
      </c>
      <c r="D12" s="48" t="s">
        <v>83</v>
      </c>
      <c r="E12" s="51" t="s">
        <v>84</v>
      </c>
      <c r="F12" s="46" t="n">
        <f aca="false">30000*B28/(B18*PI()*F11)</f>
        <v>13.2078790947631</v>
      </c>
      <c r="G12" s="47" t="s">
        <v>64</v>
      </c>
      <c r="H12" s="48" t="s">
        <v>85</v>
      </c>
      <c r="I12" s="75"/>
      <c r="J12" s="59" t="s">
        <v>86</v>
      </c>
      <c r="K12" s="46"/>
      <c r="L12" s="43"/>
      <c r="M12" s="71"/>
      <c r="N12" s="51" t="s">
        <v>87</v>
      </c>
      <c r="O12" s="52" t="n">
        <v>2.79E-008</v>
      </c>
      <c r="P12" s="43" t="s">
        <v>54</v>
      </c>
      <c r="Q12" s="48" t="s">
        <v>88</v>
      </c>
      <c r="R12" s="54" t="s">
        <v>56</v>
      </c>
      <c r="S12" s="54"/>
      <c r="T12" s="63" t="n">
        <f aca="false">(K19/O10)/1000000</f>
        <v>31.7179753193288</v>
      </c>
      <c r="U12" s="76" t="s">
        <v>89</v>
      </c>
      <c r="V12" s="77" t="s">
        <v>90</v>
      </c>
      <c r="W12" s="48"/>
      <c r="X12" s="48"/>
      <c r="Y12" s="64" t="s">
        <v>41</v>
      </c>
      <c r="Z12" s="64"/>
      <c r="AA12" s="46" t="n">
        <f aca="false">V22</f>
        <v>13.3333333333333</v>
      </c>
      <c r="AB12" s="46" t="n">
        <f aca="false">T11</f>
        <v>0.20928388074192</v>
      </c>
      <c r="AC12" s="78" t="str">
        <f aca="false">IF(AA12&gt;AB12,"SAFE","FAIL")</f>
        <v>SAFE</v>
      </c>
      <c r="AD12" s="18"/>
      <c r="AE12" s="2"/>
      <c r="AF12" s="10"/>
      <c r="AG12" s="11"/>
      <c r="AH12" s="3"/>
      <c r="AI12" s="2"/>
      <c r="AJ12" s="2"/>
      <c r="AK12" s="2"/>
    </row>
    <row r="13" customFormat="false" ht="19.9" hidden="false" customHeight="true" outlineLevel="0" collapsed="false">
      <c r="A13" s="79" t="s">
        <v>91</v>
      </c>
      <c r="B13" s="80" t="n">
        <v>0.231</v>
      </c>
      <c r="C13" s="43" t="s">
        <v>39</v>
      </c>
      <c r="D13" s="48" t="s">
        <v>92</v>
      </c>
      <c r="E13" s="51" t="s">
        <v>93</v>
      </c>
      <c r="F13" s="73" t="n">
        <f aca="false">PI()*B12^2</f>
        <v>0.785398163397448</v>
      </c>
      <c r="G13" s="43" t="s">
        <v>39</v>
      </c>
      <c r="H13" s="48" t="s">
        <v>94</v>
      </c>
      <c r="I13" s="75" t="s">
        <v>95</v>
      </c>
      <c r="J13" s="69" t="s">
        <v>96</v>
      </c>
      <c r="K13" s="70" t="n">
        <f aca="false">1.5*F10*F12/B12</f>
        <v>148.19205690575</v>
      </c>
      <c r="L13" s="43" t="s">
        <v>51</v>
      </c>
      <c r="M13" s="71" t="s">
        <v>97</v>
      </c>
      <c r="N13" s="51" t="s">
        <v>98</v>
      </c>
      <c r="O13" s="52" t="n">
        <v>0.00919</v>
      </c>
      <c r="P13" s="43" t="s">
        <v>26</v>
      </c>
      <c r="Q13" s="48" t="s">
        <v>99</v>
      </c>
      <c r="R13" s="53" t="s">
        <v>100</v>
      </c>
      <c r="S13" s="53"/>
      <c r="T13" s="53"/>
      <c r="U13" s="51" t="s">
        <v>101</v>
      </c>
      <c r="V13" s="46" t="s">
        <v>102</v>
      </c>
      <c r="W13" s="43" t="n">
        <v>10</v>
      </c>
      <c r="X13" s="81" t="s">
        <v>103</v>
      </c>
      <c r="Y13" s="54" t="s">
        <v>56</v>
      </c>
      <c r="Z13" s="54"/>
      <c r="AA13" s="46" t="n">
        <f aca="false">V23</f>
        <v>27.7777777777778</v>
      </c>
      <c r="AB13" s="46" t="n">
        <f aca="false">T12</f>
        <v>31.7179753193288</v>
      </c>
      <c r="AC13" s="78" t="str">
        <f aca="false">IF(AA13&gt;AB13,"SAFE","FAIL")</f>
        <v>FAIL</v>
      </c>
      <c r="AD13" s="18"/>
    </row>
    <row r="14" customFormat="false" ht="19.9" hidden="false" customHeight="true" outlineLevel="0" collapsed="false">
      <c r="A14" s="82" t="s">
        <v>104</v>
      </c>
      <c r="B14" s="83" t="n">
        <v>1.5</v>
      </c>
      <c r="C14" s="84" t="s">
        <v>47</v>
      </c>
      <c r="D14" s="85" t="s">
        <v>105</v>
      </c>
      <c r="E14" s="45" t="s">
        <v>106</v>
      </c>
      <c r="F14" s="46" t="n">
        <f aca="false">B18*PI()/30</f>
        <v>62.8318530717959</v>
      </c>
      <c r="G14" s="47" t="s">
        <v>107</v>
      </c>
      <c r="H14" s="44" t="s">
        <v>108</v>
      </c>
      <c r="I14" s="75" t="s">
        <v>109</v>
      </c>
      <c r="J14" s="69" t="s">
        <v>110</v>
      </c>
      <c r="K14" s="70" t="n">
        <f aca="false">F12+2*B21*B8*F18</f>
        <v>13.3059790947631</v>
      </c>
      <c r="L14" s="43" t="s">
        <v>64</v>
      </c>
      <c r="M14" s="71" t="s">
        <v>111</v>
      </c>
      <c r="N14" s="51" t="s">
        <v>112</v>
      </c>
      <c r="O14" s="52" t="n">
        <v>1.199E-006</v>
      </c>
      <c r="P14" s="43" t="s">
        <v>54</v>
      </c>
      <c r="Q14" s="48" t="s">
        <v>113</v>
      </c>
      <c r="R14" s="54" t="s">
        <v>41</v>
      </c>
      <c r="S14" s="54"/>
      <c r="T14" s="63" t="n">
        <f aca="false">(K22/O17)/1000000</f>
        <v>0.323479106864714</v>
      </c>
      <c r="U14" s="51" t="s">
        <v>114</v>
      </c>
      <c r="V14" s="46" t="s">
        <v>102</v>
      </c>
      <c r="W14" s="43" t="n">
        <v>3</v>
      </c>
      <c r="X14" s="81" t="s">
        <v>115</v>
      </c>
      <c r="Y14" s="33" t="s">
        <v>100</v>
      </c>
      <c r="Z14" s="33"/>
      <c r="AA14" s="33"/>
      <c r="AB14" s="33"/>
      <c r="AC14" s="33"/>
      <c r="AD14" s="18"/>
    </row>
    <row r="15" customFormat="false" ht="19.9" hidden="false" customHeight="true" outlineLevel="0" collapsed="false">
      <c r="A15" s="41" t="s">
        <v>116</v>
      </c>
      <c r="B15" s="57" t="n">
        <v>2</v>
      </c>
      <c r="C15" s="43" t="s">
        <v>47</v>
      </c>
      <c r="D15" s="48" t="s">
        <v>117</v>
      </c>
      <c r="E15" s="45" t="s">
        <v>118</v>
      </c>
      <c r="F15" s="46" t="n">
        <f aca="false">PI()*B17/30</f>
        <v>62.8318530717959</v>
      </c>
      <c r="G15" s="47" t="s">
        <v>107</v>
      </c>
      <c r="H15" s="44" t="s">
        <v>119</v>
      </c>
      <c r="I15" s="75" t="s">
        <v>120</v>
      </c>
      <c r="J15" s="69" t="s">
        <v>121</v>
      </c>
      <c r="K15" s="70" t="n">
        <f aca="false">2*B21*B8*B23+B12*K13/6</f>
        <v>13.3695780754792</v>
      </c>
      <c r="L15" s="43" t="s">
        <v>64</v>
      </c>
      <c r="M15" s="86" t="s">
        <v>122</v>
      </c>
      <c r="N15" s="51" t="s">
        <v>123</v>
      </c>
      <c r="O15" s="52" t="n">
        <v>0.00778</v>
      </c>
      <c r="P15" s="43" t="s">
        <v>26</v>
      </c>
      <c r="Q15" s="48" t="s">
        <v>124</v>
      </c>
      <c r="R15" s="53" t="s">
        <v>125</v>
      </c>
      <c r="S15" s="53"/>
      <c r="T15" s="53"/>
      <c r="U15" s="87"/>
      <c r="V15" s="87"/>
      <c r="W15" s="87"/>
      <c r="X15" s="87"/>
      <c r="Y15" s="54"/>
      <c r="Z15" s="54"/>
      <c r="AA15" s="55" t="s">
        <v>80</v>
      </c>
      <c r="AB15" s="55" t="s">
        <v>81</v>
      </c>
      <c r="AC15" s="56" t="s">
        <v>31</v>
      </c>
      <c r="AD15" s="18"/>
    </row>
    <row r="16" customFormat="false" ht="19.9" hidden="false" customHeight="true" outlineLevel="0" collapsed="false">
      <c r="A16" s="41" t="s">
        <v>126</v>
      </c>
      <c r="B16" s="57" t="n">
        <v>0.5</v>
      </c>
      <c r="C16" s="43" t="s">
        <v>47</v>
      </c>
      <c r="D16" s="48" t="s">
        <v>127</v>
      </c>
      <c r="E16" s="51" t="s">
        <v>128</v>
      </c>
      <c r="F16" s="46" t="n">
        <f aca="false">IF(F13&lt;2,3,3-0.01*(F13-2))</f>
        <v>3</v>
      </c>
      <c r="G16" s="43" t="s">
        <v>107</v>
      </c>
      <c r="H16" s="44" t="s">
        <v>129</v>
      </c>
      <c r="I16" s="33" t="s">
        <v>69</v>
      </c>
      <c r="J16" s="33"/>
      <c r="K16" s="33"/>
      <c r="L16" s="33"/>
      <c r="M16" s="33"/>
      <c r="N16" s="51" t="s">
        <v>130</v>
      </c>
      <c r="O16" s="62" t="n">
        <f aca="false">O12/O13</f>
        <v>3.03590859630033E-006</v>
      </c>
      <c r="P16" s="43" t="s">
        <v>67</v>
      </c>
      <c r="Q16" s="48" t="s">
        <v>131</v>
      </c>
      <c r="R16" s="54" t="s">
        <v>56</v>
      </c>
      <c r="S16" s="54"/>
      <c r="T16" s="63" t="n">
        <f aca="false">(K25/O8)/1000000</f>
        <v>0.11025</v>
      </c>
      <c r="U16" s="76" t="s">
        <v>132</v>
      </c>
      <c r="V16" s="77" t="s">
        <v>90</v>
      </c>
      <c r="W16" s="48"/>
      <c r="X16" s="48"/>
      <c r="Y16" s="54" t="s">
        <v>41</v>
      </c>
      <c r="Z16" s="54"/>
      <c r="AA16" s="46" t="n">
        <f aca="false">V22</f>
        <v>13.3333333333333</v>
      </c>
      <c r="AB16" s="46" t="n">
        <f aca="false">T14</f>
        <v>0.323479106864714</v>
      </c>
      <c r="AC16" s="78" t="str">
        <f aca="false">IF(AA16&gt;AB16,"SAFE","FAIL")</f>
        <v>SAFE</v>
      </c>
    </row>
    <row r="17" customFormat="false" ht="19.9" hidden="false" customHeight="true" outlineLevel="0" collapsed="false">
      <c r="A17" s="41" t="s">
        <v>133</v>
      </c>
      <c r="B17" s="88" t="n">
        <v>600</v>
      </c>
      <c r="C17" s="43" t="s">
        <v>134</v>
      </c>
      <c r="D17" s="48" t="s">
        <v>135</v>
      </c>
      <c r="E17" s="45" t="s">
        <v>46</v>
      </c>
      <c r="F17" s="46" t="n">
        <f aca="false">B17*PI()*B12/(30*F8)</f>
        <v>0.747998250854713</v>
      </c>
      <c r="G17" s="47" t="s">
        <v>47</v>
      </c>
      <c r="H17" s="48" t="s">
        <v>48</v>
      </c>
      <c r="I17" s="49" t="s">
        <v>23</v>
      </c>
      <c r="J17" s="36" t="s">
        <v>9</v>
      </c>
      <c r="K17" s="40" t="s">
        <v>24</v>
      </c>
      <c r="L17" s="36" t="s">
        <v>11</v>
      </c>
      <c r="M17" s="50" t="s">
        <v>12</v>
      </c>
      <c r="N17" s="51" t="s">
        <v>136</v>
      </c>
      <c r="O17" s="62" t="n">
        <f aca="false">O14/O15</f>
        <v>0.000154113110539846</v>
      </c>
      <c r="P17" s="43" t="s">
        <v>67</v>
      </c>
      <c r="Q17" s="48" t="s">
        <v>137</v>
      </c>
      <c r="R17" s="53" t="s">
        <v>138</v>
      </c>
      <c r="S17" s="53"/>
      <c r="T17" s="53"/>
      <c r="U17" s="51" t="s">
        <v>139</v>
      </c>
      <c r="V17" s="46" t="s">
        <v>102</v>
      </c>
      <c r="W17" s="43" t="n">
        <v>10</v>
      </c>
      <c r="X17" s="81" t="s">
        <v>140</v>
      </c>
      <c r="Y17" s="33" t="s">
        <v>125</v>
      </c>
      <c r="Z17" s="33"/>
      <c r="AA17" s="33"/>
      <c r="AB17" s="33"/>
      <c r="AC17" s="33"/>
    </row>
    <row r="18" customFormat="false" ht="19.9" hidden="false" customHeight="true" outlineLevel="0" collapsed="false">
      <c r="A18" s="41" t="s">
        <v>141</v>
      </c>
      <c r="B18" s="88" t="n">
        <v>600</v>
      </c>
      <c r="C18" s="43" t="s">
        <v>134</v>
      </c>
      <c r="D18" s="48" t="s">
        <v>142</v>
      </c>
      <c r="E18" s="89" t="s">
        <v>143</v>
      </c>
      <c r="F18" s="90" t="n">
        <f aca="false">0.005*B12</f>
        <v>0.0025</v>
      </c>
      <c r="G18" s="91" t="s">
        <v>26</v>
      </c>
      <c r="H18" s="92" t="s">
        <v>144</v>
      </c>
      <c r="I18" s="93" t="s">
        <v>145</v>
      </c>
      <c r="J18" s="69" t="s">
        <v>75</v>
      </c>
      <c r="K18" s="70" t="n">
        <f aca="false">B20*F16^2*B24*B22+2*F16*B19*F14+B12*K13/9</f>
        <v>32.2533898469875</v>
      </c>
      <c r="L18" s="43" t="s">
        <v>64</v>
      </c>
      <c r="M18" s="71" t="s">
        <v>146</v>
      </c>
      <c r="N18" s="51" t="s">
        <v>147</v>
      </c>
      <c r="O18" s="52" t="n">
        <v>120</v>
      </c>
      <c r="P18" s="43" t="s">
        <v>148</v>
      </c>
      <c r="Q18" s="94" t="s">
        <v>149</v>
      </c>
      <c r="R18" s="54" t="s">
        <v>41</v>
      </c>
      <c r="S18" s="54"/>
      <c r="T18" s="63" t="n">
        <f aca="false">(K28/O11)/1000000</f>
        <v>0.216320096462232</v>
      </c>
      <c r="U18" s="51" t="s">
        <v>150</v>
      </c>
      <c r="V18" s="46" t="s">
        <v>102</v>
      </c>
      <c r="W18" s="43" t="n">
        <v>3</v>
      </c>
      <c r="X18" s="81" t="s">
        <v>151</v>
      </c>
      <c r="Y18" s="54"/>
      <c r="Z18" s="54"/>
      <c r="AA18" s="55" t="s">
        <v>80</v>
      </c>
      <c r="AB18" s="55" t="s">
        <v>81</v>
      </c>
      <c r="AC18" s="56" t="s">
        <v>31</v>
      </c>
    </row>
    <row r="19" customFormat="false" ht="19.9" hidden="false" customHeight="true" outlineLevel="0" collapsed="false">
      <c r="A19" s="41" t="s">
        <v>152</v>
      </c>
      <c r="B19" s="88" t="n">
        <v>0.0633</v>
      </c>
      <c r="C19" s="43" t="s">
        <v>153</v>
      </c>
      <c r="D19" s="48" t="s">
        <v>154</v>
      </c>
      <c r="E19" s="95" t="s">
        <v>155</v>
      </c>
      <c r="F19" s="96" t="n">
        <f aca="false">IF(B26="Y",B25*B27,B27)</f>
        <v>0</v>
      </c>
      <c r="G19" s="97" t="s">
        <v>64</v>
      </c>
      <c r="H19" s="98" t="s">
        <v>156</v>
      </c>
      <c r="I19" s="99" t="s">
        <v>157</v>
      </c>
      <c r="J19" s="100" t="s">
        <v>158</v>
      </c>
      <c r="K19" s="101" t="n">
        <f aca="false">IF(B11=2,4*F16*F14*B19+B21*B8*B23+B12*K13/6,B11*F16*F14*B19+B21*B8*B23+B12*K13/6)</f>
        <v>48.6547647704813</v>
      </c>
      <c r="L19" s="47" t="s">
        <v>64</v>
      </c>
      <c r="M19" s="86" t="s">
        <v>159</v>
      </c>
      <c r="N19" s="51" t="s">
        <v>160</v>
      </c>
      <c r="O19" s="52" t="n">
        <v>250</v>
      </c>
      <c r="P19" s="43" t="s">
        <v>148</v>
      </c>
      <c r="Q19" s="94" t="s">
        <v>161</v>
      </c>
      <c r="R19" s="54" t="s">
        <v>56</v>
      </c>
      <c r="S19" s="54"/>
      <c r="T19" s="63" t="n">
        <f aca="false">K29/O10/1000000</f>
        <v>0.667113588995573</v>
      </c>
      <c r="U19" s="72" t="s">
        <v>162</v>
      </c>
      <c r="V19" s="72"/>
      <c r="W19" s="72"/>
      <c r="X19" s="72"/>
      <c r="Y19" s="54" t="s">
        <v>56</v>
      </c>
      <c r="Z19" s="54"/>
      <c r="AA19" s="46" t="n">
        <f aca="false">V22</f>
        <v>13.3333333333333</v>
      </c>
      <c r="AB19" s="46" t="n">
        <f aca="false">T16</f>
        <v>0.11025</v>
      </c>
      <c r="AC19" s="78" t="str">
        <f aca="false">IF(AA19&gt;AB19,"SAFE","FAIL")</f>
        <v>SAFE</v>
      </c>
    </row>
    <row r="20" customFormat="false" ht="19.9" hidden="false" customHeight="true" outlineLevel="0" collapsed="false">
      <c r="A20" s="41" t="s">
        <v>163</v>
      </c>
      <c r="B20" s="102" t="n">
        <v>0.4</v>
      </c>
      <c r="C20" s="43" t="s">
        <v>164</v>
      </c>
      <c r="D20" s="48" t="s">
        <v>165</v>
      </c>
      <c r="E20" s="1"/>
      <c r="F20" s="3"/>
      <c r="G20" s="22"/>
      <c r="H20" s="2"/>
      <c r="I20" s="33" t="s">
        <v>100</v>
      </c>
      <c r="J20" s="33"/>
      <c r="K20" s="33"/>
      <c r="L20" s="33"/>
      <c r="M20" s="33"/>
      <c r="N20" s="103" t="s">
        <v>166</v>
      </c>
      <c r="O20" s="103"/>
      <c r="P20" s="103"/>
      <c r="Q20" s="103"/>
      <c r="R20" s="53" t="s">
        <v>167</v>
      </c>
      <c r="S20" s="53"/>
      <c r="T20" s="53"/>
      <c r="U20" s="72"/>
      <c r="V20" s="72"/>
      <c r="W20" s="72"/>
      <c r="X20" s="72"/>
      <c r="Y20" s="33" t="s">
        <v>138</v>
      </c>
      <c r="Z20" s="33"/>
      <c r="AA20" s="33"/>
      <c r="AB20" s="33"/>
      <c r="AC20" s="33"/>
    </row>
    <row r="21" customFormat="false" ht="19.9" hidden="false" customHeight="true" outlineLevel="0" collapsed="false">
      <c r="A21" s="41" t="s">
        <v>168</v>
      </c>
      <c r="B21" s="88" t="n">
        <v>2</v>
      </c>
      <c r="C21" s="43" t="s">
        <v>164</v>
      </c>
      <c r="D21" s="48" t="s">
        <v>169</v>
      </c>
      <c r="E21" s="1"/>
      <c r="F21" s="3"/>
      <c r="G21" s="22"/>
      <c r="H21" s="2"/>
      <c r="I21" s="49" t="s">
        <v>23</v>
      </c>
      <c r="J21" s="36" t="s">
        <v>9</v>
      </c>
      <c r="K21" s="40" t="s">
        <v>24</v>
      </c>
      <c r="L21" s="36" t="s">
        <v>11</v>
      </c>
      <c r="M21" s="50" t="s">
        <v>12</v>
      </c>
      <c r="N21" s="103"/>
      <c r="O21" s="103"/>
      <c r="P21" s="103"/>
      <c r="Q21" s="103"/>
      <c r="R21" s="54" t="s">
        <v>41</v>
      </c>
      <c r="S21" s="54"/>
      <c r="T21" s="63" t="n">
        <f aca="false">K33/O16/1000000</f>
        <v>2.90036819309134</v>
      </c>
      <c r="U21" s="34" t="s">
        <v>9</v>
      </c>
      <c r="V21" s="40" t="s">
        <v>13</v>
      </c>
      <c r="W21" s="37" t="s">
        <v>11</v>
      </c>
      <c r="X21" s="37"/>
      <c r="Y21" s="54"/>
      <c r="Z21" s="54"/>
      <c r="AA21" s="55" t="s">
        <v>80</v>
      </c>
      <c r="AB21" s="55" t="s">
        <v>81</v>
      </c>
      <c r="AC21" s="56" t="s">
        <v>31</v>
      </c>
    </row>
    <row r="22" customFormat="false" ht="19.9" hidden="false" customHeight="true" outlineLevel="0" collapsed="false">
      <c r="A22" s="41" t="s">
        <v>170</v>
      </c>
      <c r="B22" s="88" t="n">
        <v>0.2</v>
      </c>
      <c r="C22" s="43" t="s">
        <v>26</v>
      </c>
      <c r="D22" s="48" t="s">
        <v>171</v>
      </c>
      <c r="E22" s="1"/>
      <c r="F22" s="3"/>
      <c r="G22" s="22"/>
      <c r="H22" s="2"/>
      <c r="I22" s="75" t="s">
        <v>172</v>
      </c>
      <c r="J22" s="69" t="s">
        <v>75</v>
      </c>
      <c r="K22" s="70" t="n">
        <f aca="false">0.125*B7*B13*B15*B12^3*F14^2*(1+4/(3*F10)+1/F10^2)</f>
        <v>49.8523713535723</v>
      </c>
      <c r="L22" s="43" t="s">
        <v>64</v>
      </c>
      <c r="M22" s="71" t="s">
        <v>146</v>
      </c>
      <c r="N22" s="34" t="s">
        <v>9</v>
      </c>
      <c r="O22" s="36" t="s">
        <v>13</v>
      </c>
      <c r="P22" s="36" t="s">
        <v>11</v>
      </c>
      <c r="Q22" s="37" t="s">
        <v>12</v>
      </c>
      <c r="R22" s="54" t="s">
        <v>56</v>
      </c>
      <c r="S22" s="54"/>
      <c r="T22" s="63" t="n">
        <f aca="false">0.5*SQRT(3)*K32/O10/1000000</f>
        <v>14.9133012831853</v>
      </c>
      <c r="U22" s="51" t="s">
        <v>173</v>
      </c>
      <c r="V22" s="46" t="n">
        <f aca="false">O18/W14/V8</f>
        <v>13.3333333333333</v>
      </c>
      <c r="W22" s="48" t="s">
        <v>148</v>
      </c>
      <c r="X22" s="48"/>
      <c r="Y22" s="64" t="s">
        <v>41</v>
      </c>
      <c r="Z22" s="64"/>
      <c r="AA22" s="46" t="n">
        <f aca="false">V22</f>
        <v>13.3333333333333</v>
      </c>
      <c r="AB22" s="46" t="n">
        <f aca="false">T19</f>
        <v>0.667113588995573</v>
      </c>
      <c r="AC22" s="78" t="str">
        <f aca="false">IF(AA22&gt;AB22,"SAFE","FAIL")</f>
        <v>SAFE</v>
      </c>
    </row>
    <row r="23" customFormat="false" ht="19.9" hidden="false" customHeight="true" outlineLevel="0" collapsed="false">
      <c r="A23" s="41" t="s">
        <v>174</v>
      </c>
      <c r="B23" s="88" t="n">
        <v>0.026</v>
      </c>
      <c r="C23" s="43" t="s">
        <v>26</v>
      </c>
      <c r="D23" s="48" t="s">
        <v>175</v>
      </c>
      <c r="E23" s="104"/>
      <c r="F23" s="3"/>
      <c r="G23" s="22"/>
      <c r="H23" s="2"/>
      <c r="I23" s="33" t="s">
        <v>125</v>
      </c>
      <c r="J23" s="33"/>
      <c r="K23" s="33"/>
      <c r="L23" s="33"/>
      <c r="M23" s="33"/>
      <c r="N23" s="105" t="s">
        <v>176</v>
      </c>
      <c r="O23" s="106" t="n">
        <v>20</v>
      </c>
      <c r="P23" s="43" t="s">
        <v>177</v>
      </c>
      <c r="Q23" s="48"/>
      <c r="R23" s="53" t="s">
        <v>178</v>
      </c>
      <c r="S23" s="53"/>
      <c r="T23" s="53"/>
      <c r="U23" s="107" t="s">
        <v>179</v>
      </c>
      <c r="V23" s="46" t="n">
        <f aca="false">O19/W18/V8</f>
        <v>27.7777777777778</v>
      </c>
      <c r="W23" s="108" t="s">
        <v>148</v>
      </c>
      <c r="X23" s="108"/>
      <c r="Y23" s="54" t="s">
        <v>56</v>
      </c>
      <c r="Z23" s="54"/>
      <c r="AA23" s="46" t="n">
        <f aca="false">V23</f>
        <v>27.7777777777778</v>
      </c>
      <c r="AB23" s="46" t="n">
        <f aca="false">T18</f>
        <v>0.216320096462232</v>
      </c>
      <c r="AC23" s="78" t="str">
        <f aca="false">IF(AA23&gt;AB23,"SAFE","FAIL")</f>
        <v>SAFE</v>
      </c>
    </row>
    <row r="24" customFormat="false" ht="19.9" hidden="false" customHeight="true" outlineLevel="0" collapsed="false">
      <c r="A24" s="41" t="s">
        <v>180</v>
      </c>
      <c r="B24" s="88" t="n">
        <v>0.218</v>
      </c>
      <c r="C24" s="43" t="s">
        <v>26</v>
      </c>
      <c r="D24" s="48" t="s">
        <v>181</v>
      </c>
      <c r="E24" s="109"/>
      <c r="I24" s="49" t="s">
        <v>23</v>
      </c>
      <c r="J24" s="36" t="s">
        <v>9</v>
      </c>
      <c r="K24" s="40" t="s">
        <v>24</v>
      </c>
      <c r="L24" s="36" t="s">
        <v>11</v>
      </c>
      <c r="M24" s="50" t="s">
        <v>12</v>
      </c>
      <c r="N24" s="105"/>
      <c r="O24" s="110" t="n">
        <f aca="false">O23*365.25*24*60*60</f>
        <v>631152000</v>
      </c>
      <c r="P24" s="47" t="s">
        <v>182</v>
      </c>
      <c r="Q24" s="108" t="s">
        <v>183</v>
      </c>
      <c r="R24" s="54" t="s">
        <v>41</v>
      </c>
      <c r="S24" s="54"/>
      <c r="T24" s="63" t="str">
        <f aca="false">IF(K36="n/a","n/a",K37/O16/1000000)</f>
        <v>n/a</v>
      </c>
      <c r="U24" s="111" t="s">
        <v>184</v>
      </c>
      <c r="V24" s="111"/>
      <c r="W24" s="111"/>
      <c r="X24" s="111"/>
      <c r="Y24" s="33" t="s">
        <v>167</v>
      </c>
      <c r="Z24" s="33"/>
      <c r="AA24" s="33"/>
      <c r="AB24" s="33"/>
      <c r="AC24" s="33"/>
    </row>
    <row r="25" customFormat="false" ht="19.9" hidden="false" customHeight="true" outlineLevel="0" collapsed="false">
      <c r="A25" s="112" t="s">
        <v>185</v>
      </c>
      <c r="B25" s="113" t="n">
        <v>1</v>
      </c>
      <c r="C25" s="43" t="s">
        <v>47</v>
      </c>
      <c r="D25" s="48" t="s">
        <v>186</v>
      </c>
      <c r="E25" s="114"/>
      <c r="I25" s="75" t="s">
        <v>187</v>
      </c>
      <c r="J25" s="69" t="s">
        <v>188</v>
      </c>
      <c r="K25" s="70" t="n">
        <f aca="false">B16*3.125*B7*B10^2*PI()*B12^2</f>
        <v>54.1188421966054</v>
      </c>
      <c r="L25" s="43" t="s">
        <v>51</v>
      </c>
      <c r="M25" s="71" t="s">
        <v>189</v>
      </c>
      <c r="N25" s="51" t="s">
        <v>190</v>
      </c>
      <c r="O25" s="65" t="n">
        <f aca="false">(B18*B11*O24)/60</f>
        <v>18934560000</v>
      </c>
      <c r="P25" s="43" t="s">
        <v>47</v>
      </c>
      <c r="Q25" s="48" t="s">
        <v>191</v>
      </c>
      <c r="R25" s="54" t="s">
        <v>56</v>
      </c>
      <c r="S25" s="54"/>
      <c r="T25" s="63" t="str">
        <f aca="false">IF(K37="n/a","n/a",SQRT(0.75*K36/O10)/1000000)</f>
        <v>n/a</v>
      </c>
      <c r="U25" s="111"/>
      <c r="V25" s="111"/>
      <c r="W25" s="111"/>
      <c r="X25" s="111"/>
      <c r="Y25" s="54"/>
      <c r="Z25" s="54"/>
      <c r="AA25" s="55" t="s">
        <v>80</v>
      </c>
      <c r="AB25" s="55" t="s">
        <v>81</v>
      </c>
      <c r="AC25" s="56" t="s">
        <v>31</v>
      </c>
    </row>
    <row r="26" customFormat="false" ht="19.9" hidden="false" customHeight="true" outlineLevel="0" collapsed="false">
      <c r="A26" s="41" t="s">
        <v>192</v>
      </c>
      <c r="B26" s="113" t="s">
        <v>51</v>
      </c>
      <c r="C26" s="43" t="s">
        <v>47</v>
      </c>
      <c r="D26" s="48" t="s">
        <v>47</v>
      </c>
      <c r="E26" s="114"/>
      <c r="I26" s="33" t="s">
        <v>138</v>
      </c>
      <c r="J26" s="33"/>
      <c r="K26" s="33"/>
      <c r="L26" s="33"/>
      <c r="M26" s="33"/>
      <c r="N26" s="51" t="s">
        <v>193</v>
      </c>
      <c r="O26" s="115" t="n">
        <v>10000000000</v>
      </c>
      <c r="P26" s="43" t="s">
        <v>47</v>
      </c>
      <c r="Q26" s="48" t="s">
        <v>194</v>
      </c>
      <c r="R26" s="53" t="s">
        <v>195</v>
      </c>
      <c r="S26" s="53"/>
      <c r="T26" s="53"/>
      <c r="U26" s="38" t="s">
        <v>9</v>
      </c>
      <c r="V26" s="36" t="s">
        <v>13</v>
      </c>
      <c r="W26" s="36" t="s">
        <v>11</v>
      </c>
      <c r="X26" s="37" t="s">
        <v>12</v>
      </c>
      <c r="Y26" s="64" t="s">
        <v>41</v>
      </c>
      <c r="Z26" s="64"/>
      <c r="AA26" s="46" t="n">
        <f aca="false">V22</f>
        <v>13.3333333333333</v>
      </c>
      <c r="AB26" s="46" t="n">
        <f aca="false">T21</f>
        <v>2.90036819309134</v>
      </c>
      <c r="AC26" s="78" t="str">
        <f aca="false">IF(AA26&gt;AB26,"SAFE","FAIL")</f>
        <v>SAFE</v>
      </c>
    </row>
    <row r="27" customFormat="false" ht="19.9" hidden="false" customHeight="true" outlineLevel="0" collapsed="false">
      <c r="A27" s="41" t="s">
        <v>196</v>
      </c>
      <c r="B27" s="113" t="n">
        <v>0</v>
      </c>
      <c r="C27" s="43" t="s">
        <v>64</v>
      </c>
      <c r="D27" s="108" t="s">
        <v>156</v>
      </c>
      <c r="E27" s="114"/>
      <c r="I27" s="49" t="s">
        <v>23</v>
      </c>
      <c r="J27" s="36" t="s">
        <v>9</v>
      </c>
      <c r="K27" s="40" t="s">
        <v>24</v>
      </c>
      <c r="L27" s="36" t="s">
        <v>11</v>
      </c>
      <c r="M27" s="50" t="s">
        <v>12</v>
      </c>
      <c r="N27" s="116" t="s">
        <v>197</v>
      </c>
      <c r="O27" s="117" t="n">
        <v>12300000000000</v>
      </c>
      <c r="P27" s="97" t="s">
        <v>47</v>
      </c>
      <c r="Q27" s="98" t="s">
        <v>198</v>
      </c>
      <c r="R27" s="54" t="s">
        <v>41</v>
      </c>
      <c r="S27" s="54"/>
      <c r="T27" s="63" t="n">
        <f aca="false">(K40/O17)/1000000</f>
        <v>0.60730706766055</v>
      </c>
      <c r="U27" s="51" t="s">
        <v>199</v>
      </c>
      <c r="V27" s="46" t="n">
        <f aca="false">T8</f>
        <v>2.50667810446091</v>
      </c>
      <c r="W27" s="43" t="s">
        <v>148</v>
      </c>
      <c r="X27" s="48" t="s">
        <v>200</v>
      </c>
      <c r="Y27" s="54" t="s">
        <v>56</v>
      </c>
      <c r="Z27" s="54"/>
      <c r="AA27" s="46" t="n">
        <f aca="false">V23</f>
        <v>27.7777777777778</v>
      </c>
      <c r="AB27" s="46" t="n">
        <f aca="false">T22</f>
        <v>14.9133012831853</v>
      </c>
      <c r="AC27" s="78" t="str">
        <f aca="false">IF(AA27&gt;AB27,"SAFE","FAIL")</f>
        <v>SAFE</v>
      </c>
    </row>
    <row r="28" customFormat="false" ht="19.9" hidden="false" customHeight="true" outlineLevel="0" collapsed="false">
      <c r="A28" s="41" t="s">
        <v>201</v>
      </c>
      <c r="B28" s="88" t="n">
        <v>0.5</v>
      </c>
      <c r="C28" s="47" t="s">
        <v>202</v>
      </c>
      <c r="D28" s="48" t="s">
        <v>203</v>
      </c>
      <c r="E28" s="114"/>
      <c r="I28" s="75" t="s">
        <v>204</v>
      </c>
      <c r="J28" s="69" t="s">
        <v>205</v>
      </c>
      <c r="K28" s="70" t="n">
        <f aca="false">B20*F15^2*B22</f>
        <v>315.82734083486</v>
      </c>
      <c r="L28" s="43" t="s">
        <v>51</v>
      </c>
      <c r="M28" s="71" t="s">
        <v>206</v>
      </c>
      <c r="R28" s="118" t="s">
        <v>56</v>
      </c>
      <c r="S28" s="118"/>
      <c r="T28" s="119" t="n">
        <f aca="false">K41/O8/1000000</f>
        <v>2.28801711507267</v>
      </c>
      <c r="U28" s="51" t="s">
        <v>207</v>
      </c>
      <c r="V28" s="46" t="n">
        <f aca="false">V27*W13</f>
        <v>25.0667810446091</v>
      </c>
      <c r="W28" s="43" t="s">
        <v>148</v>
      </c>
      <c r="X28" s="48"/>
      <c r="Y28" s="33" t="s">
        <v>178</v>
      </c>
      <c r="Z28" s="33"/>
      <c r="AA28" s="33"/>
      <c r="AB28" s="33"/>
      <c r="AC28" s="33"/>
    </row>
    <row r="29" customFormat="false" ht="19.9" hidden="false" customHeight="true" outlineLevel="0" collapsed="false">
      <c r="A29" s="120" t="s">
        <v>208</v>
      </c>
      <c r="B29" s="121" t="n">
        <v>2</v>
      </c>
      <c r="C29" s="91" t="s">
        <v>47</v>
      </c>
      <c r="D29" s="92" t="s">
        <v>209</v>
      </c>
      <c r="E29" s="122"/>
      <c r="I29" s="75" t="s">
        <v>210</v>
      </c>
      <c r="J29" s="69" t="s">
        <v>211</v>
      </c>
      <c r="K29" s="70" t="n">
        <f aca="false">B21*B8*B23+B21*F18*F15^2*B23</f>
        <v>1.02333942885665</v>
      </c>
      <c r="L29" s="43" t="s">
        <v>64</v>
      </c>
      <c r="M29" s="71" t="s">
        <v>159</v>
      </c>
      <c r="R29" s="18"/>
      <c r="S29" s="18"/>
      <c r="T29" s="123"/>
      <c r="U29" s="51" t="s">
        <v>212</v>
      </c>
      <c r="V29" s="115" t="n">
        <v>9810000000000000</v>
      </c>
      <c r="W29" s="43" t="s">
        <v>213</v>
      </c>
      <c r="X29" s="48" t="s">
        <v>214</v>
      </c>
      <c r="Y29" s="54"/>
      <c r="Z29" s="54"/>
      <c r="AA29" s="55" t="s">
        <v>80</v>
      </c>
      <c r="AB29" s="55" t="s">
        <v>81</v>
      </c>
      <c r="AC29" s="56" t="s">
        <v>31</v>
      </c>
    </row>
    <row r="30" customFormat="false" ht="19.9" hidden="false" customHeight="true" outlineLevel="0" collapsed="false">
      <c r="A30" s="124" t="s">
        <v>215</v>
      </c>
      <c r="B30" s="125" t="s">
        <v>216</v>
      </c>
      <c r="C30" s="97" t="s">
        <v>47</v>
      </c>
      <c r="D30" s="98" t="s">
        <v>47</v>
      </c>
      <c r="E30" s="122"/>
      <c r="I30" s="33" t="s">
        <v>167</v>
      </c>
      <c r="J30" s="33"/>
      <c r="K30" s="33"/>
      <c r="L30" s="33"/>
      <c r="M30" s="33"/>
      <c r="R30" s="18"/>
      <c r="S30" s="18"/>
      <c r="T30" s="123"/>
      <c r="U30" s="126" t="s">
        <v>217</v>
      </c>
      <c r="V30" s="127" t="n">
        <f aca="false">T9</f>
        <v>11.7365258188564</v>
      </c>
      <c r="W30" s="84" t="s">
        <v>148</v>
      </c>
      <c r="X30" s="85" t="s">
        <v>218</v>
      </c>
      <c r="Y30" s="64" t="s">
        <v>41</v>
      </c>
      <c r="Z30" s="64"/>
      <c r="AA30" s="46" t="n">
        <f aca="false">V22</f>
        <v>13.3333333333333</v>
      </c>
      <c r="AB30" s="46" t="str">
        <f aca="false">T24</f>
        <v>n/a</v>
      </c>
      <c r="AC30" s="78" t="str">
        <f aca="false">IF(AB30="n/a","n/a",(IF(AA30&gt;AB30,"SAFE","FAIL")))</f>
        <v>n/a</v>
      </c>
    </row>
    <row r="31" customFormat="false" ht="19.9" hidden="false" customHeight="true" outlineLevel="0" collapsed="false">
      <c r="A31" s="122"/>
      <c r="B31" s="5"/>
      <c r="C31" s="6"/>
      <c r="D31" s="5"/>
      <c r="E31" s="122"/>
      <c r="I31" s="49" t="s">
        <v>23</v>
      </c>
      <c r="J31" s="36" t="s">
        <v>9</v>
      </c>
      <c r="K31" s="40" t="s">
        <v>24</v>
      </c>
      <c r="L31" s="36" t="s">
        <v>11</v>
      </c>
      <c r="M31" s="50" t="s">
        <v>12</v>
      </c>
      <c r="R31" s="2"/>
      <c r="S31" s="2"/>
      <c r="T31" s="8"/>
      <c r="U31" s="89" t="s">
        <v>219</v>
      </c>
      <c r="V31" s="128" t="n">
        <f aca="false">V30*W17</f>
        <v>117.365258188564</v>
      </c>
      <c r="W31" s="91" t="s">
        <v>148</v>
      </c>
      <c r="X31" s="92" t="s">
        <v>213</v>
      </c>
      <c r="Y31" s="54" t="s">
        <v>56</v>
      </c>
      <c r="Z31" s="54"/>
      <c r="AA31" s="46" t="n">
        <f aca="false">V23</f>
        <v>27.7777777777778</v>
      </c>
      <c r="AB31" s="46" t="str">
        <f aca="false">T25</f>
        <v>n/a</v>
      </c>
      <c r="AC31" s="78" t="str">
        <f aca="false">IF(AB31="n/a","n/a",(IF(AA31&gt;AB31,"SAFE","FAIL")))</f>
        <v>n/a</v>
      </c>
    </row>
    <row r="32" customFormat="false" ht="19.9" hidden="false" customHeight="true" outlineLevel="0" collapsed="false">
      <c r="A32" s="3"/>
      <c r="B32" s="3"/>
      <c r="E32" s="122"/>
      <c r="I32" s="75" t="s">
        <v>220</v>
      </c>
      <c r="J32" s="69" t="s">
        <v>221</v>
      </c>
      <c r="K32" s="70" t="n">
        <f aca="false">B29*F12</f>
        <v>26.4157581895262</v>
      </c>
      <c r="L32" s="43" t="s">
        <v>64</v>
      </c>
      <c r="M32" s="71" t="s">
        <v>222</v>
      </c>
      <c r="R32" s="2"/>
      <c r="S32" s="2"/>
      <c r="T32" s="8"/>
      <c r="U32" s="116" t="s">
        <v>212</v>
      </c>
      <c r="V32" s="117" t="s">
        <v>223</v>
      </c>
      <c r="W32" s="97" t="s">
        <v>213</v>
      </c>
      <c r="X32" s="98" t="s">
        <v>194</v>
      </c>
      <c r="Y32" s="33" t="s">
        <v>195</v>
      </c>
      <c r="Z32" s="33"/>
      <c r="AA32" s="33"/>
      <c r="AB32" s="33"/>
      <c r="AC32" s="33"/>
    </row>
    <row r="33" customFormat="false" ht="19.9" hidden="false" customHeight="true" outlineLevel="0" collapsed="false">
      <c r="A33" s="3"/>
      <c r="B33" s="3"/>
      <c r="E33" s="122"/>
      <c r="I33" s="75" t="s">
        <v>224</v>
      </c>
      <c r="J33" s="69" t="s">
        <v>63</v>
      </c>
      <c r="K33" s="70" t="n">
        <f aca="false">K32/B11</f>
        <v>8.80525272984207</v>
      </c>
      <c r="L33" s="43" t="s">
        <v>64</v>
      </c>
      <c r="M33" s="71" t="s">
        <v>225</v>
      </c>
      <c r="R33" s="18"/>
      <c r="S33" s="18"/>
      <c r="T33" s="23"/>
      <c r="Y33" s="54"/>
      <c r="Z33" s="54"/>
      <c r="AA33" s="55" t="s">
        <v>80</v>
      </c>
      <c r="AB33" s="55" t="s">
        <v>81</v>
      </c>
      <c r="AC33" s="56" t="s">
        <v>31</v>
      </c>
    </row>
    <row r="34" customFormat="false" ht="19.9" hidden="false" customHeight="true" outlineLevel="0" collapsed="false">
      <c r="A34" s="3"/>
      <c r="B34" s="3"/>
      <c r="C34" s="129"/>
      <c r="D34" s="130"/>
      <c r="E34" s="122"/>
      <c r="I34" s="33" t="s">
        <v>178</v>
      </c>
      <c r="J34" s="33"/>
      <c r="K34" s="33"/>
      <c r="L34" s="33"/>
      <c r="M34" s="33"/>
      <c r="R34" s="18"/>
      <c r="S34" s="18"/>
      <c r="T34" s="123"/>
      <c r="Y34" s="64" t="s">
        <v>41</v>
      </c>
      <c r="Z34" s="64"/>
      <c r="AA34" s="46" t="n">
        <f aca="false">V22</f>
        <v>13.3333333333333</v>
      </c>
      <c r="AB34" s="46" t="n">
        <f aca="false">T28</f>
        <v>2.28801711507267</v>
      </c>
      <c r="AC34" s="78" t="str">
        <f aca="false">IF(AA34&gt;AB34,"SAFE","FAIL")</f>
        <v>SAFE</v>
      </c>
    </row>
    <row r="35" customFormat="false" ht="19.9" hidden="false" customHeight="true" outlineLevel="0" collapsed="false">
      <c r="A35" s="3"/>
      <c r="B35" s="3"/>
      <c r="C35" s="129"/>
      <c r="D35" s="130"/>
      <c r="E35" s="122"/>
      <c r="I35" s="49" t="s">
        <v>23</v>
      </c>
      <c r="J35" s="36" t="s">
        <v>9</v>
      </c>
      <c r="K35" s="40" t="s">
        <v>24</v>
      </c>
      <c r="L35" s="36" t="s">
        <v>11</v>
      </c>
      <c r="M35" s="50" t="s">
        <v>12</v>
      </c>
      <c r="R35" s="18"/>
      <c r="S35" s="18"/>
      <c r="T35" s="123"/>
      <c r="Y35" s="118" t="s">
        <v>56</v>
      </c>
      <c r="Z35" s="118"/>
      <c r="AA35" s="96" t="n">
        <f aca="false">V23</f>
        <v>27.7777777777778</v>
      </c>
      <c r="AB35" s="96" t="n">
        <f aca="false">T27</f>
        <v>0.60730706766055</v>
      </c>
      <c r="AC35" s="131" t="str">
        <f aca="false">IF(AA35&gt;AB35,"SAFE","FAIL")</f>
        <v>SAFE</v>
      </c>
    </row>
    <row r="36" customFormat="false" ht="19.9" hidden="false" customHeight="true" outlineLevel="0" collapsed="false">
      <c r="A36" s="3"/>
      <c r="B36" s="3"/>
      <c r="C36" s="129"/>
      <c r="D36" s="130"/>
      <c r="I36" s="75" t="s">
        <v>226</v>
      </c>
      <c r="J36" s="69" t="s">
        <v>221</v>
      </c>
      <c r="K36" s="70" t="str">
        <f aca="false">IF(B27&gt; 0,F19+#REF!,"n/a")</f>
        <v>n/a</v>
      </c>
      <c r="L36" s="43" t="s">
        <v>64</v>
      </c>
      <c r="M36" s="71" t="s">
        <v>222</v>
      </c>
      <c r="R36" s="18"/>
      <c r="S36" s="18"/>
      <c r="T36" s="123"/>
      <c r="Y36" s="5"/>
      <c r="Z36" s="5"/>
      <c r="AA36" s="123"/>
      <c r="AB36" s="123"/>
      <c r="AC36" s="18"/>
    </row>
    <row r="37" customFormat="false" ht="19.9" hidden="false" customHeight="true" outlineLevel="0" collapsed="false">
      <c r="A37" s="3"/>
      <c r="B37" s="3"/>
      <c r="C37" s="132"/>
      <c r="D37" s="133"/>
      <c r="I37" s="75" t="s">
        <v>227</v>
      </c>
      <c r="J37" s="69" t="s">
        <v>63</v>
      </c>
      <c r="K37" s="70" t="str">
        <f aca="false">IF(K36="n/a","n/a",K36/B11+B20*B8*B22)</f>
        <v>n/a</v>
      </c>
      <c r="L37" s="43" t="s">
        <v>64</v>
      </c>
      <c r="M37" s="71" t="s">
        <v>225</v>
      </c>
      <c r="R37" s="18"/>
      <c r="S37" s="18"/>
      <c r="T37" s="123"/>
    </row>
    <row r="38" customFormat="false" ht="19.9" hidden="false" customHeight="true" outlineLevel="0" collapsed="false">
      <c r="A38" s="3"/>
      <c r="B38" s="3"/>
      <c r="C38" s="129"/>
      <c r="D38" s="130"/>
      <c r="E38" s="122"/>
      <c r="I38" s="33" t="s">
        <v>195</v>
      </c>
      <c r="J38" s="33"/>
      <c r="K38" s="33"/>
      <c r="L38" s="33"/>
      <c r="M38" s="33"/>
      <c r="N38" s="3"/>
      <c r="R38" s="18"/>
      <c r="S38" s="18"/>
      <c r="T38" s="123"/>
    </row>
    <row r="39" customFormat="false" ht="19.9" hidden="false" customHeight="true" outlineLevel="0" collapsed="false">
      <c r="A39" s="3"/>
      <c r="B39" s="3"/>
      <c r="C39" s="129"/>
      <c r="D39" s="130"/>
      <c r="I39" s="49" t="s">
        <v>23</v>
      </c>
      <c r="J39" s="36" t="s">
        <v>9</v>
      </c>
      <c r="K39" s="40" t="s">
        <v>24</v>
      </c>
      <c r="L39" s="36" t="s">
        <v>11</v>
      </c>
      <c r="M39" s="50" t="s">
        <v>12</v>
      </c>
      <c r="N39" s="3"/>
      <c r="R39" s="18"/>
      <c r="S39" s="18"/>
      <c r="T39" s="123"/>
      <c r="U39" s="3"/>
      <c r="V39" s="10"/>
      <c r="W39" s="3"/>
    </row>
    <row r="40" customFormat="false" ht="19.9" hidden="false" customHeight="true" outlineLevel="0" collapsed="false">
      <c r="A40" s="3"/>
      <c r="B40" s="3"/>
      <c r="D40" s="3"/>
      <c r="I40" s="75" t="s">
        <v>228</v>
      </c>
      <c r="J40" s="69" t="s">
        <v>75</v>
      </c>
      <c r="K40" s="70" t="n">
        <f aca="false">IF(B30="Y",B14*0.25*B7*F8^2*B13*B12,B15*B7*F8^2*B13*B12)</f>
        <v>93.59398125</v>
      </c>
      <c r="L40" s="43" t="s">
        <v>64</v>
      </c>
      <c r="M40" s="71" t="s">
        <v>146</v>
      </c>
      <c r="N40" s="3"/>
      <c r="R40" s="18"/>
      <c r="S40" s="18"/>
      <c r="T40" s="123"/>
      <c r="U40" s="3"/>
      <c r="V40" s="10"/>
      <c r="W40" s="3"/>
    </row>
    <row r="41" customFormat="false" ht="19.9" hidden="false" customHeight="true" outlineLevel="0" collapsed="false">
      <c r="A41" s="3"/>
      <c r="B41" s="3"/>
      <c r="I41" s="134" t="s">
        <v>229</v>
      </c>
      <c r="J41" s="135" t="s">
        <v>188</v>
      </c>
      <c r="K41" s="136" t="n">
        <f aca="false">IF(B30="Y",0.5*B11*B14*B7*F8^2*B13,0.17*B11*B14*B7*F8^2*B13)</f>
        <v>1123.127775</v>
      </c>
      <c r="L41" s="97" t="s">
        <v>51</v>
      </c>
      <c r="M41" s="137" t="s">
        <v>189</v>
      </c>
      <c r="N41" s="3"/>
      <c r="R41" s="18"/>
      <c r="S41" s="18"/>
      <c r="T41" s="123"/>
      <c r="U41" s="3"/>
      <c r="V41" s="10"/>
      <c r="W41" s="3"/>
      <c r="X41" s="3"/>
      <c r="AD41" s="11"/>
      <c r="AF41" s="2"/>
      <c r="AG41" s="2"/>
      <c r="AH41" s="2"/>
    </row>
  </sheetData>
  <mergeCells count="84">
    <mergeCell ref="A1:D1"/>
    <mergeCell ref="A2:D4"/>
    <mergeCell ref="A5:D5"/>
    <mergeCell ref="E5:H5"/>
    <mergeCell ref="I5:M5"/>
    <mergeCell ref="N5:Q5"/>
    <mergeCell ref="R5:T5"/>
    <mergeCell ref="U5:X5"/>
    <mergeCell ref="Y5:AC5"/>
    <mergeCell ref="I6:M6"/>
    <mergeCell ref="R6:S6"/>
    <mergeCell ref="W6:X6"/>
    <mergeCell ref="Y6:AC6"/>
    <mergeCell ref="R7:T7"/>
    <mergeCell ref="W7:X7"/>
    <mergeCell ref="Y7:Z7"/>
    <mergeCell ref="R8:S8"/>
    <mergeCell ref="W8:X8"/>
    <mergeCell ref="Y8:Z8"/>
    <mergeCell ref="R9:S9"/>
    <mergeCell ref="U9:X10"/>
    <mergeCell ref="Y9:Z9"/>
    <mergeCell ref="R10:T10"/>
    <mergeCell ref="Y10:AC10"/>
    <mergeCell ref="R11:S11"/>
    <mergeCell ref="Y11:Z11"/>
    <mergeCell ref="R12:S12"/>
    <mergeCell ref="W12:X12"/>
    <mergeCell ref="Y12:Z12"/>
    <mergeCell ref="R13:T13"/>
    <mergeCell ref="Y13:Z13"/>
    <mergeCell ref="R14:S14"/>
    <mergeCell ref="Y14:AC14"/>
    <mergeCell ref="R15:T15"/>
    <mergeCell ref="U15:X15"/>
    <mergeCell ref="Y15:Z15"/>
    <mergeCell ref="I16:M16"/>
    <mergeCell ref="R16:S16"/>
    <mergeCell ref="W16:X16"/>
    <mergeCell ref="Y16:Z16"/>
    <mergeCell ref="R17:T17"/>
    <mergeCell ref="Y17:AC17"/>
    <mergeCell ref="R18:S18"/>
    <mergeCell ref="Y18:Z18"/>
    <mergeCell ref="R19:S19"/>
    <mergeCell ref="U19:X20"/>
    <mergeCell ref="Y19:Z19"/>
    <mergeCell ref="I20:M20"/>
    <mergeCell ref="N20:Q21"/>
    <mergeCell ref="R20:T20"/>
    <mergeCell ref="Y20:AC20"/>
    <mergeCell ref="R21:S21"/>
    <mergeCell ref="W21:X21"/>
    <mergeCell ref="Y21:Z21"/>
    <mergeCell ref="R22:S22"/>
    <mergeCell ref="W22:X22"/>
    <mergeCell ref="Y22:Z22"/>
    <mergeCell ref="I23:M23"/>
    <mergeCell ref="N23:N24"/>
    <mergeCell ref="R23:T23"/>
    <mergeCell ref="W23:X23"/>
    <mergeCell ref="Y23:Z23"/>
    <mergeCell ref="R24:S24"/>
    <mergeCell ref="U24:X25"/>
    <mergeCell ref="Y24:AC24"/>
    <mergeCell ref="R25:S25"/>
    <mergeCell ref="Y25:Z25"/>
    <mergeCell ref="I26:M26"/>
    <mergeCell ref="R26:T26"/>
    <mergeCell ref="Y26:Z26"/>
    <mergeCell ref="R27:S27"/>
    <mergeCell ref="Y27:Z27"/>
    <mergeCell ref="R28:S28"/>
    <mergeCell ref="Y28:AC28"/>
    <mergeCell ref="Y29:Z29"/>
    <mergeCell ref="I30:M30"/>
    <mergeCell ref="Y30:Z30"/>
    <mergeCell ref="Y31:Z31"/>
    <mergeCell ref="Y32:AC32"/>
    <mergeCell ref="Y33:Z33"/>
    <mergeCell ref="I34:M34"/>
    <mergeCell ref="Y34:Z34"/>
    <mergeCell ref="Y35:Z35"/>
    <mergeCell ref="I38:M38"/>
  </mergeCells>
  <conditionalFormatting sqref="AC34:AC36 AC26:AC27 AC30:AC31 AC12:AC13 AC8:AC9 AC16 AC19 AC22:AC23">
    <cfRule type="cellIs" priority="2" operator="equal" aboveAverage="0" equalAverage="0" bottom="0" percent="0" rank="0" text="" dxfId="0">
      <formula>"FAIL"</formula>
    </cfRule>
  </conditionalFormatting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4" manualBreakCount="4">
    <brk id="8" man="true" max="65535" min="0"/>
    <brk id="13" man="true" max="65535" min="0"/>
    <brk id="17" man="true" max="65535" min="0"/>
    <brk id="2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8165</TotalTime>
  <Application>LibreOffice/5.2.7.2$Windows_x86 LibreOffice_project/2b7f1e640c46ceb28adf43ee075a6e8b8439ed10</Application>
  <Company>University of Newcastle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2003-06-08T09:06:35Z</dcterms:created>
  <dc:creator>Jason Brown</dc:creator>
  <dc:description/>
  <dc:language>en-US</dc:language>
  <cp:lastModifiedBy/>
  <cp:lastPrinted>2006-05-25T02:15:57Z</cp:lastPrinted>
  <dcterms:modified xsi:type="dcterms:W3CDTF">2019-08-06T23:46:17Z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University of Newcastle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