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feli\Documents\MeusProjetos\Projeto Fatec Automotive\Aplicação\"/>
    </mc:Choice>
  </mc:AlternateContent>
  <xr:revisionPtr revIDLastSave="0" documentId="13_ncr:1_{34024436-920F-471C-89A4-E086FD53213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1" r:id="rId1"/>
    <sheet name="Holerite" sheetId="29" r:id="rId2"/>
    <sheet name="Carlão" sheetId="7" r:id="rId3"/>
    <sheet name="Renatão" sheetId="21" r:id="rId4"/>
    <sheet name="Jorjão" sheetId="22" r:id="rId5"/>
    <sheet name="Betão" sheetId="23" r:id="rId6"/>
    <sheet name="Tonhão" sheetId="24" r:id="rId7"/>
    <sheet name="Zelão" sheetId="27" r:id="rId8"/>
    <sheet name="Ditão" sheetId="26" r:id="rId9"/>
    <sheet name="Gráficos" sheetId="20" r:id="rId10"/>
    <sheet name="Configurações" sheetId="14" r:id="rId11"/>
  </sheets>
  <definedNames>
    <definedName name="aliquotaIRRF">Configurações!$O$5:$S$10</definedName>
    <definedName name="_xlnm.Print_Area" localSheetId="1">Holerite!$B$3:$N$38</definedName>
    <definedName name="ComparaçãoBruta">Configurações!$O$13:$Q$20</definedName>
    <definedName name="DiferençaSalarios">Configurações!$K$14:$L$21</definedName>
    <definedName name="Func">Configurações!$N$4:$N$10</definedName>
    <definedName name="Horarios">Configurações!$B$6:$I$36</definedName>
    <definedName name="HorasT">Configurações!$B$6:$I$36</definedName>
    <definedName name="Informacões_Mensais_Carlão" localSheetId="7">Zelão!$B$13:$D$19</definedName>
    <definedName name="Informacões_Mensais_Carlão">Carlão!$B$13:$D$19</definedName>
    <definedName name="irrf">Configurações!$O$6:$R$10</definedName>
    <definedName name="nomefunc">Configurações!$S$14:$S$20</definedName>
    <definedName name="salariobase">Configurações!$K$24:$L$30</definedName>
    <definedName name="TabGraficoDiferença">Configurações!$O$13:$Q$20</definedName>
    <definedName name="TabNome">Configurações!$S$14:$S$20</definedName>
    <definedName name="TabSalBruto">Configurações!$K$5:$L$11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9" l="1"/>
  <c r="I32" i="29"/>
  <c r="G10" i="21" l="1"/>
  <c r="H10" i="21"/>
  <c r="G11" i="21"/>
  <c r="H11" i="21"/>
  <c r="G12" i="21"/>
  <c r="H12" i="21"/>
  <c r="I3" i="27"/>
  <c r="O3" i="27" s="1"/>
  <c r="I4" i="27"/>
  <c r="I5" i="27"/>
  <c r="O5" i="27" s="1"/>
  <c r="I6" i="27"/>
  <c r="O6" i="27" s="1"/>
  <c r="I7" i="27"/>
  <c r="O7" i="27" s="1"/>
  <c r="I8" i="27"/>
  <c r="O8" i="27" s="1"/>
  <c r="I9" i="27"/>
  <c r="I10" i="27"/>
  <c r="O10" i="27" s="1"/>
  <c r="I11" i="27"/>
  <c r="O11" i="27" s="1"/>
  <c r="I12" i="27"/>
  <c r="O12" i="27" s="1"/>
  <c r="I13" i="27"/>
  <c r="O13" i="27" s="1"/>
  <c r="I14" i="27"/>
  <c r="O14" i="27" s="1"/>
  <c r="I15" i="27"/>
  <c r="O15" i="27" s="1"/>
  <c r="I16" i="27"/>
  <c r="O16" i="27" s="1"/>
  <c r="I17" i="27"/>
  <c r="O17" i="27" s="1"/>
  <c r="I18" i="27"/>
  <c r="O18" i="27" s="1"/>
  <c r="I19" i="27"/>
  <c r="O19" i="27" s="1"/>
  <c r="I20" i="27"/>
  <c r="O20" i="27" s="1"/>
  <c r="I21" i="27"/>
  <c r="O21" i="27" s="1"/>
  <c r="I22" i="27"/>
  <c r="O22" i="27" s="1"/>
  <c r="I23" i="27"/>
  <c r="O23" i="27" s="1"/>
  <c r="I24" i="27"/>
  <c r="O24" i="27" s="1"/>
  <c r="I25" i="27"/>
  <c r="O25" i="27" s="1"/>
  <c r="I26" i="27"/>
  <c r="O26" i="27" s="1"/>
  <c r="I27" i="27"/>
  <c r="I28" i="27"/>
  <c r="O28" i="27" s="1"/>
  <c r="I29" i="27"/>
  <c r="O29" i="27" s="1"/>
  <c r="I30" i="27"/>
  <c r="O30" i="27" s="1"/>
  <c r="I31" i="27"/>
  <c r="O31" i="27" s="1"/>
  <c r="I32" i="27"/>
  <c r="O32" i="27" s="1"/>
  <c r="I33" i="27"/>
  <c r="H33" i="27"/>
  <c r="G33" i="27"/>
  <c r="H32" i="27"/>
  <c r="G32" i="27"/>
  <c r="H31" i="27"/>
  <c r="K31" i="27" s="1"/>
  <c r="G31" i="27"/>
  <c r="H30" i="27"/>
  <c r="G30" i="27"/>
  <c r="H29" i="27"/>
  <c r="G29" i="27"/>
  <c r="H28" i="27"/>
  <c r="K28" i="27" s="1"/>
  <c r="G28" i="27"/>
  <c r="H27" i="27"/>
  <c r="G27" i="27"/>
  <c r="H26" i="27"/>
  <c r="G26" i="27"/>
  <c r="H25" i="27"/>
  <c r="G25" i="27"/>
  <c r="H24" i="27"/>
  <c r="K24" i="27" s="1"/>
  <c r="G24" i="27"/>
  <c r="H23" i="27"/>
  <c r="G23" i="27"/>
  <c r="H22" i="27"/>
  <c r="L22" i="27" s="1"/>
  <c r="G22" i="27"/>
  <c r="H21" i="27"/>
  <c r="K21" i="27" s="1"/>
  <c r="G21" i="27"/>
  <c r="H20" i="27"/>
  <c r="G20" i="27"/>
  <c r="H19" i="27"/>
  <c r="K19" i="27" s="1"/>
  <c r="G19" i="27"/>
  <c r="H18" i="27"/>
  <c r="K18" i="27" s="1"/>
  <c r="G18" i="27"/>
  <c r="H17" i="27"/>
  <c r="M17" i="27" s="1"/>
  <c r="G17" i="27"/>
  <c r="H16" i="27"/>
  <c r="G16" i="27"/>
  <c r="H15" i="27"/>
  <c r="K15" i="27" s="1"/>
  <c r="G15" i="27"/>
  <c r="H14" i="27"/>
  <c r="G14" i="27"/>
  <c r="H13" i="27"/>
  <c r="K13" i="27" s="1"/>
  <c r="G13" i="27"/>
  <c r="H12" i="27"/>
  <c r="K12" i="27" s="1"/>
  <c r="G12" i="27"/>
  <c r="H11" i="27"/>
  <c r="G11" i="27"/>
  <c r="H10" i="27"/>
  <c r="G10" i="27"/>
  <c r="H9" i="27"/>
  <c r="K9" i="27" s="1"/>
  <c r="G9" i="27"/>
  <c r="H8" i="27"/>
  <c r="K8" i="27" s="1"/>
  <c r="G8" i="27"/>
  <c r="H7" i="27"/>
  <c r="G7" i="27"/>
  <c r="H6" i="27"/>
  <c r="G6" i="27"/>
  <c r="H5" i="27"/>
  <c r="K5" i="27" s="1"/>
  <c r="G5" i="27"/>
  <c r="H4" i="27"/>
  <c r="K4" i="27" s="1"/>
  <c r="G4" i="27"/>
  <c r="H3" i="27"/>
  <c r="G3" i="27"/>
  <c r="M25" i="27" l="1"/>
  <c r="L33" i="27"/>
  <c r="M29" i="27"/>
  <c r="M27" i="27"/>
  <c r="L26" i="27"/>
  <c r="J23" i="27"/>
  <c r="L30" i="27"/>
  <c r="N6" i="27"/>
  <c r="M11" i="27"/>
  <c r="L14" i="27"/>
  <c r="L6" i="27"/>
  <c r="M9" i="27"/>
  <c r="L18" i="27"/>
  <c r="N9" i="27"/>
  <c r="N14" i="27"/>
  <c r="K23" i="27"/>
  <c r="K26" i="27"/>
  <c r="N5" i="27"/>
  <c r="N22" i="27"/>
  <c r="N30" i="27"/>
  <c r="J12" i="27"/>
  <c r="N13" i="27"/>
  <c r="M26" i="27"/>
  <c r="N27" i="27"/>
  <c r="K22" i="27"/>
  <c r="J5" i="27"/>
  <c r="J9" i="27"/>
  <c r="L12" i="27"/>
  <c r="J13" i="27"/>
  <c r="L17" i="27"/>
  <c r="J22" i="27"/>
  <c r="N26" i="27"/>
  <c r="J27" i="27"/>
  <c r="K30" i="27"/>
  <c r="M3" i="27"/>
  <c r="M13" i="27"/>
  <c r="L19" i="27"/>
  <c r="M22" i="27"/>
  <c r="J26" i="27"/>
  <c r="K27" i="27"/>
  <c r="M30" i="27"/>
  <c r="L8" i="27"/>
  <c r="L4" i="27"/>
  <c r="O4" i="27"/>
  <c r="D21" i="27" s="1"/>
  <c r="L28" i="27"/>
  <c r="O27" i="27"/>
  <c r="L11" i="27"/>
  <c r="L29" i="27"/>
  <c r="L24" i="27"/>
  <c r="L3" i="27"/>
  <c r="J4" i="27"/>
  <c r="J8" i="27"/>
  <c r="J15" i="27"/>
  <c r="L21" i="27"/>
  <c r="M10" i="27"/>
  <c r="K10" i="27"/>
  <c r="J10" i="27"/>
  <c r="N7" i="27"/>
  <c r="J7" i="27"/>
  <c r="K7" i="27"/>
  <c r="M16" i="27"/>
  <c r="K16" i="27"/>
  <c r="J16" i="27"/>
  <c r="N20" i="27"/>
  <c r="J20" i="27"/>
  <c r="L20" i="27"/>
  <c r="K20" i="27"/>
  <c r="N32" i="27"/>
  <c r="J32" i="27"/>
  <c r="M32" i="27"/>
  <c r="L32" i="27"/>
  <c r="K32" i="27"/>
  <c r="O33" i="27"/>
  <c r="M33" i="27"/>
  <c r="N3" i="27"/>
  <c r="J3" i="27"/>
  <c r="K3" i="27"/>
  <c r="M5" i="27"/>
  <c r="M6" i="27"/>
  <c r="K6" i="27"/>
  <c r="J6" i="27"/>
  <c r="L7" i="27"/>
  <c r="O9" i="27"/>
  <c r="L10" i="27"/>
  <c r="N11" i="27"/>
  <c r="J11" i="27"/>
  <c r="K11" i="27"/>
  <c r="M14" i="27"/>
  <c r="K14" i="27"/>
  <c r="J14" i="27"/>
  <c r="L16" i="27"/>
  <c r="N17" i="27"/>
  <c r="J17" i="27"/>
  <c r="K17" i="27"/>
  <c r="M20" i="27"/>
  <c r="J31" i="27"/>
  <c r="N31" i="27"/>
  <c r="M7" i="27"/>
  <c r="N10" i="27"/>
  <c r="N16" i="27"/>
  <c r="M21" i="27"/>
  <c r="K25" i="27"/>
  <c r="N25" i="27"/>
  <c r="J25" i="27"/>
  <c r="M31" i="27"/>
  <c r="M4" i="27"/>
  <c r="M8" i="27"/>
  <c r="M12" i="27"/>
  <c r="M15" i="27"/>
  <c r="L15" i="27"/>
  <c r="N18" i="27"/>
  <c r="J18" i="27"/>
  <c r="M18" i="27"/>
  <c r="N21" i="27"/>
  <c r="N24" i="27"/>
  <c r="J24" i="27"/>
  <c r="M24" i="27"/>
  <c r="K29" i="27"/>
  <c r="N29" i="27"/>
  <c r="J29" i="27"/>
  <c r="N4" i="27"/>
  <c r="L5" i="27"/>
  <c r="N8" i="27"/>
  <c r="L9" i="27"/>
  <c r="N12" i="27"/>
  <c r="L13" i="27"/>
  <c r="N15" i="27"/>
  <c r="N19" i="27"/>
  <c r="J19" i="27"/>
  <c r="M19" i="27"/>
  <c r="J21" i="27"/>
  <c r="M23" i="27"/>
  <c r="L23" i="27"/>
  <c r="N23" i="27"/>
  <c r="L25" i="27"/>
  <c r="N28" i="27"/>
  <c r="J28" i="27"/>
  <c r="M28" i="27"/>
  <c r="J30" i="27"/>
  <c r="K33" i="27"/>
  <c r="N33" i="27"/>
  <c r="J33" i="27"/>
  <c r="L27" i="27"/>
  <c r="L31" i="27"/>
  <c r="I3" i="26"/>
  <c r="I4" i="26"/>
  <c r="I5" i="26"/>
  <c r="O5" i="26" s="1"/>
  <c r="I6" i="26"/>
  <c r="O6" i="26" s="1"/>
  <c r="I7" i="26"/>
  <c r="I8" i="26"/>
  <c r="I9" i="26"/>
  <c r="O9" i="26" s="1"/>
  <c r="I10" i="26"/>
  <c r="O10" i="26" s="1"/>
  <c r="I11" i="26"/>
  <c r="O11" i="26" s="1"/>
  <c r="I12" i="26"/>
  <c r="O12" i="26" s="1"/>
  <c r="I13" i="26"/>
  <c r="O13" i="26" s="1"/>
  <c r="I14" i="26"/>
  <c r="O14" i="26" s="1"/>
  <c r="I15" i="26"/>
  <c r="O15" i="26" s="1"/>
  <c r="I16" i="26"/>
  <c r="I17" i="26"/>
  <c r="I18" i="26"/>
  <c r="O18" i="26" s="1"/>
  <c r="I19" i="26"/>
  <c r="O19" i="26" s="1"/>
  <c r="I20" i="26"/>
  <c r="I21" i="26"/>
  <c r="I22" i="26"/>
  <c r="O22" i="26" s="1"/>
  <c r="I23" i="26"/>
  <c r="O23" i="26" s="1"/>
  <c r="I24" i="26"/>
  <c r="I25" i="26"/>
  <c r="O25" i="26" s="1"/>
  <c r="I26" i="26"/>
  <c r="O26" i="26" s="1"/>
  <c r="I27" i="26"/>
  <c r="O27" i="26" s="1"/>
  <c r="I28" i="26"/>
  <c r="I29" i="26"/>
  <c r="I30" i="26"/>
  <c r="O30" i="26" s="1"/>
  <c r="I31" i="26"/>
  <c r="O31" i="26" s="1"/>
  <c r="I32" i="26"/>
  <c r="I33" i="26"/>
  <c r="O33" i="26" s="1"/>
  <c r="H33" i="26"/>
  <c r="K33" i="26" s="1"/>
  <c r="G33" i="26"/>
  <c r="H32" i="26"/>
  <c r="G32" i="26"/>
  <c r="H31" i="26"/>
  <c r="G31" i="26"/>
  <c r="H30" i="26"/>
  <c r="K30" i="26" s="1"/>
  <c r="G30" i="26"/>
  <c r="H29" i="26"/>
  <c r="G29" i="26"/>
  <c r="H28" i="26"/>
  <c r="G28" i="26"/>
  <c r="H27" i="26"/>
  <c r="G27" i="26"/>
  <c r="H26" i="26"/>
  <c r="K26" i="26" s="1"/>
  <c r="G26" i="26"/>
  <c r="H25" i="26"/>
  <c r="G25" i="26"/>
  <c r="H24" i="26"/>
  <c r="K24" i="26" s="1"/>
  <c r="G24" i="26"/>
  <c r="H23" i="26"/>
  <c r="G23" i="26"/>
  <c r="H22" i="26"/>
  <c r="N22" i="26" s="1"/>
  <c r="G22" i="26"/>
  <c r="H21" i="26"/>
  <c r="G21" i="26"/>
  <c r="H20" i="26"/>
  <c r="G20" i="26"/>
  <c r="H19" i="26"/>
  <c r="G19" i="26"/>
  <c r="H18" i="26"/>
  <c r="G18" i="26"/>
  <c r="H17" i="26"/>
  <c r="M17" i="26" s="1"/>
  <c r="G17" i="26"/>
  <c r="H16" i="26"/>
  <c r="G16" i="26"/>
  <c r="H15" i="26"/>
  <c r="G15" i="26"/>
  <c r="H14" i="26"/>
  <c r="G14" i="26"/>
  <c r="H13" i="26"/>
  <c r="G13" i="26"/>
  <c r="H12" i="26"/>
  <c r="G12" i="26"/>
  <c r="H11" i="26"/>
  <c r="K11" i="26" s="1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I3" i="24"/>
  <c r="I4" i="24"/>
  <c r="I5" i="24"/>
  <c r="O5" i="24" s="1"/>
  <c r="I6" i="24"/>
  <c r="O6" i="24" s="1"/>
  <c r="I7" i="24"/>
  <c r="O7" i="24" s="1"/>
  <c r="I8" i="24"/>
  <c r="I9" i="24"/>
  <c r="O9" i="24" s="1"/>
  <c r="I10" i="24"/>
  <c r="O10" i="24" s="1"/>
  <c r="I11" i="24"/>
  <c r="O11" i="24" s="1"/>
  <c r="I12" i="24"/>
  <c r="O12" i="24" s="1"/>
  <c r="I13" i="24"/>
  <c r="O13" i="24" s="1"/>
  <c r="I14" i="24"/>
  <c r="I15" i="24"/>
  <c r="O15" i="24" s="1"/>
  <c r="I16" i="24"/>
  <c r="O16" i="24" s="1"/>
  <c r="I17" i="24"/>
  <c r="I18" i="24"/>
  <c r="O18" i="24" s="1"/>
  <c r="I19" i="24"/>
  <c r="O19" i="24" s="1"/>
  <c r="I20" i="24"/>
  <c r="O20" i="24" s="1"/>
  <c r="I21" i="24"/>
  <c r="I22" i="24"/>
  <c r="O22" i="24" s="1"/>
  <c r="I23" i="24"/>
  <c r="O23" i="24" s="1"/>
  <c r="I24" i="24"/>
  <c r="I25" i="24"/>
  <c r="O25" i="24" s="1"/>
  <c r="I26" i="24"/>
  <c r="O26" i="24" s="1"/>
  <c r="I27" i="24"/>
  <c r="O27" i="24" s="1"/>
  <c r="I28" i="24"/>
  <c r="I29" i="24"/>
  <c r="I30" i="24"/>
  <c r="O30" i="24" s="1"/>
  <c r="I31" i="24"/>
  <c r="O31" i="24" s="1"/>
  <c r="I32" i="24"/>
  <c r="O32" i="24" s="1"/>
  <c r="I33" i="24"/>
  <c r="O33" i="24" s="1"/>
  <c r="H33" i="24"/>
  <c r="G33" i="24"/>
  <c r="H32" i="24"/>
  <c r="G32" i="24"/>
  <c r="H31" i="24"/>
  <c r="G31" i="24"/>
  <c r="H30" i="24"/>
  <c r="K30" i="24" s="1"/>
  <c r="G30" i="24"/>
  <c r="H29" i="24"/>
  <c r="K29" i="24" s="1"/>
  <c r="G29" i="24"/>
  <c r="H28" i="24"/>
  <c r="K28" i="24" s="1"/>
  <c r="G28" i="24"/>
  <c r="H27" i="24"/>
  <c r="G27" i="24"/>
  <c r="H26" i="24"/>
  <c r="G26" i="24"/>
  <c r="H25" i="24"/>
  <c r="K25" i="24" s="1"/>
  <c r="G25" i="24"/>
  <c r="H24" i="24"/>
  <c r="K24" i="24" s="1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M17" i="24" s="1"/>
  <c r="G17" i="24"/>
  <c r="H16" i="24"/>
  <c r="G16" i="24"/>
  <c r="H15" i="24"/>
  <c r="G15" i="24"/>
  <c r="H14" i="24"/>
  <c r="K14" i="24" s="1"/>
  <c r="G14" i="24"/>
  <c r="H13" i="24"/>
  <c r="G13" i="24"/>
  <c r="H12" i="24"/>
  <c r="G12" i="24"/>
  <c r="H11" i="24"/>
  <c r="K11" i="24" s="1"/>
  <c r="G11" i="24"/>
  <c r="H10" i="24"/>
  <c r="G10" i="24"/>
  <c r="H9" i="24"/>
  <c r="G9" i="24"/>
  <c r="H8" i="24"/>
  <c r="G8" i="24"/>
  <c r="H7" i="24"/>
  <c r="K7" i="24" s="1"/>
  <c r="G7" i="24"/>
  <c r="H6" i="24"/>
  <c r="G6" i="24"/>
  <c r="H5" i="24"/>
  <c r="G5" i="24"/>
  <c r="H4" i="24"/>
  <c r="G4" i="24"/>
  <c r="H3" i="24"/>
  <c r="K3" i="24" s="1"/>
  <c r="G3" i="24"/>
  <c r="I3" i="23"/>
  <c r="O3" i="23" s="1"/>
  <c r="I4" i="23"/>
  <c r="O4" i="23" s="1"/>
  <c r="I5" i="23"/>
  <c r="O5" i="23" s="1"/>
  <c r="I6" i="23"/>
  <c r="O6" i="23" s="1"/>
  <c r="I7" i="23"/>
  <c r="O7" i="23" s="1"/>
  <c r="I8" i="23"/>
  <c r="O8" i="23" s="1"/>
  <c r="I9" i="23"/>
  <c r="O9" i="23" s="1"/>
  <c r="I10" i="23"/>
  <c r="O10" i="23" s="1"/>
  <c r="I11" i="23"/>
  <c r="O11" i="23" s="1"/>
  <c r="I12" i="23"/>
  <c r="O12" i="23" s="1"/>
  <c r="I13" i="23"/>
  <c r="O13" i="23" s="1"/>
  <c r="I14" i="23"/>
  <c r="O14" i="23" s="1"/>
  <c r="I15" i="23"/>
  <c r="O15" i="23" s="1"/>
  <c r="I16" i="23"/>
  <c r="O16" i="23" s="1"/>
  <c r="I17" i="23"/>
  <c r="O17" i="23" s="1"/>
  <c r="I18" i="23"/>
  <c r="O18" i="23" s="1"/>
  <c r="I19" i="23"/>
  <c r="O19" i="23" s="1"/>
  <c r="I20" i="23"/>
  <c r="O20" i="23" s="1"/>
  <c r="I21" i="23"/>
  <c r="O21" i="23" s="1"/>
  <c r="I22" i="23"/>
  <c r="I23" i="23"/>
  <c r="O23" i="23" s="1"/>
  <c r="I24" i="23"/>
  <c r="O24" i="23" s="1"/>
  <c r="I25" i="23"/>
  <c r="I26" i="23"/>
  <c r="O26" i="23" s="1"/>
  <c r="I27" i="23"/>
  <c r="O27" i="23" s="1"/>
  <c r="I28" i="23"/>
  <c r="O28" i="23" s="1"/>
  <c r="I29" i="23"/>
  <c r="O29" i="23" s="1"/>
  <c r="I30" i="23"/>
  <c r="O30" i="23" s="1"/>
  <c r="I31" i="23"/>
  <c r="O31" i="23" s="1"/>
  <c r="I32" i="23"/>
  <c r="O32" i="23" s="1"/>
  <c r="I33" i="23"/>
  <c r="O33" i="23" s="1"/>
  <c r="H33" i="23"/>
  <c r="K33" i="23" s="1"/>
  <c r="G33" i="23"/>
  <c r="H32" i="23"/>
  <c r="G32" i="23"/>
  <c r="H31" i="23"/>
  <c r="M31" i="23" s="1"/>
  <c r="G31" i="23"/>
  <c r="H30" i="23"/>
  <c r="G30" i="23"/>
  <c r="H29" i="23"/>
  <c r="K29" i="23" s="1"/>
  <c r="G29" i="23"/>
  <c r="H28" i="23"/>
  <c r="K28" i="23" s="1"/>
  <c r="G28" i="23"/>
  <c r="H27" i="23"/>
  <c r="L27" i="23" s="1"/>
  <c r="G27" i="23"/>
  <c r="H26" i="23"/>
  <c r="K26" i="23" s="1"/>
  <c r="G26" i="23"/>
  <c r="H25" i="23"/>
  <c r="M25" i="23" s="1"/>
  <c r="G25" i="23"/>
  <c r="H24" i="23"/>
  <c r="K24" i="23" s="1"/>
  <c r="G24" i="23"/>
  <c r="H23" i="23"/>
  <c r="M23" i="23" s="1"/>
  <c r="G23" i="23"/>
  <c r="H22" i="23"/>
  <c r="L22" i="23" s="1"/>
  <c r="G22" i="23"/>
  <c r="H21" i="23"/>
  <c r="K21" i="23" s="1"/>
  <c r="G21" i="23"/>
  <c r="H20" i="23"/>
  <c r="G20" i="23"/>
  <c r="H19" i="23"/>
  <c r="K19" i="23" s="1"/>
  <c r="G19" i="23"/>
  <c r="H18" i="23"/>
  <c r="K18" i="23" s="1"/>
  <c r="G18" i="23"/>
  <c r="H17" i="23"/>
  <c r="M17" i="23" s="1"/>
  <c r="G17" i="23"/>
  <c r="H16" i="23"/>
  <c r="G16" i="23"/>
  <c r="H15" i="23"/>
  <c r="K15" i="23" s="1"/>
  <c r="G15" i="23"/>
  <c r="H14" i="23"/>
  <c r="K14" i="23" s="1"/>
  <c r="G14" i="23"/>
  <c r="H13" i="23"/>
  <c r="K13" i="23" s="1"/>
  <c r="G13" i="23"/>
  <c r="H12" i="23"/>
  <c r="K12" i="23" s="1"/>
  <c r="G12" i="23"/>
  <c r="H11" i="23"/>
  <c r="G11" i="23"/>
  <c r="H10" i="23"/>
  <c r="K10" i="23" s="1"/>
  <c r="G10" i="23"/>
  <c r="H9" i="23"/>
  <c r="K9" i="23" s="1"/>
  <c r="G9" i="23"/>
  <c r="H8" i="23"/>
  <c r="K8" i="23" s="1"/>
  <c r="G8" i="23"/>
  <c r="H7" i="23"/>
  <c r="M7" i="23" s="1"/>
  <c r="G7" i="23"/>
  <c r="H6" i="23"/>
  <c r="G6" i="23"/>
  <c r="H5" i="23"/>
  <c r="K5" i="23" s="1"/>
  <c r="G5" i="23"/>
  <c r="H4" i="23"/>
  <c r="K4" i="23" s="1"/>
  <c r="G4" i="23"/>
  <c r="H3" i="23"/>
  <c r="M3" i="23" s="1"/>
  <c r="G3" i="23"/>
  <c r="I3" i="22"/>
  <c r="O3" i="22" s="1"/>
  <c r="I4" i="22"/>
  <c r="O4" i="22" s="1"/>
  <c r="I5" i="22"/>
  <c r="O5" i="22" s="1"/>
  <c r="I6" i="22"/>
  <c r="O6" i="22" s="1"/>
  <c r="I7" i="22"/>
  <c r="O7" i="22" s="1"/>
  <c r="I8" i="22"/>
  <c r="O8" i="22" s="1"/>
  <c r="I9" i="22"/>
  <c r="O9" i="22" s="1"/>
  <c r="I10" i="22"/>
  <c r="O10" i="22" s="1"/>
  <c r="I11" i="22"/>
  <c r="O11" i="22" s="1"/>
  <c r="I12" i="22"/>
  <c r="O12" i="22" s="1"/>
  <c r="I13" i="22"/>
  <c r="O13" i="22" s="1"/>
  <c r="I14" i="22"/>
  <c r="O14" i="22" s="1"/>
  <c r="I15" i="22"/>
  <c r="O15" i="22" s="1"/>
  <c r="I16" i="22"/>
  <c r="O16" i="22" s="1"/>
  <c r="I17" i="22"/>
  <c r="O17" i="22" s="1"/>
  <c r="I18" i="22"/>
  <c r="O18" i="22" s="1"/>
  <c r="I19" i="22"/>
  <c r="O19" i="22" s="1"/>
  <c r="I20" i="22"/>
  <c r="O20" i="22" s="1"/>
  <c r="I21" i="22"/>
  <c r="O21" i="22" s="1"/>
  <c r="I22" i="22"/>
  <c r="I23" i="22"/>
  <c r="O23" i="22" s="1"/>
  <c r="I24" i="22"/>
  <c r="O24" i="22" s="1"/>
  <c r="I25" i="22"/>
  <c r="I26" i="22"/>
  <c r="O26" i="22" s="1"/>
  <c r="I27" i="22"/>
  <c r="O27" i="22" s="1"/>
  <c r="I28" i="22"/>
  <c r="O28" i="22" s="1"/>
  <c r="I29" i="22"/>
  <c r="O29" i="22" s="1"/>
  <c r="I30" i="22"/>
  <c r="O30" i="22" s="1"/>
  <c r="I31" i="22"/>
  <c r="O31" i="22" s="1"/>
  <c r="I32" i="22"/>
  <c r="O32" i="22" s="1"/>
  <c r="I33" i="22"/>
  <c r="O33" i="22" s="1"/>
  <c r="H33" i="22"/>
  <c r="G33" i="22"/>
  <c r="H32" i="22"/>
  <c r="G32" i="22"/>
  <c r="H31" i="22"/>
  <c r="M31" i="22" s="1"/>
  <c r="G31" i="22"/>
  <c r="H30" i="22"/>
  <c r="G30" i="22"/>
  <c r="H29" i="22"/>
  <c r="K29" i="22" s="1"/>
  <c r="G29" i="22"/>
  <c r="H28" i="22"/>
  <c r="G28" i="22"/>
  <c r="H27" i="22"/>
  <c r="L27" i="22" s="1"/>
  <c r="G27" i="22"/>
  <c r="H26" i="22"/>
  <c r="K26" i="22" s="1"/>
  <c r="G26" i="22"/>
  <c r="H25" i="22"/>
  <c r="G25" i="22"/>
  <c r="H24" i="22"/>
  <c r="G24" i="22"/>
  <c r="H23" i="22"/>
  <c r="M23" i="22" s="1"/>
  <c r="G23" i="22"/>
  <c r="H22" i="22"/>
  <c r="L22" i="22" s="1"/>
  <c r="G22" i="22"/>
  <c r="H21" i="22"/>
  <c r="K21" i="22" s="1"/>
  <c r="G21" i="22"/>
  <c r="H20" i="22"/>
  <c r="G20" i="22"/>
  <c r="H19" i="22"/>
  <c r="L19" i="22" s="1"/>
  <c r="G19" i="22"/>
  <c r="H18" i="22"/>
  <c r="K18" i="22" s="1"/>
  <c r="G18" i="22"/>
  <c r="H17" i="22"/>
  <c r="M17" i="22" s="1"/>
  <c r="G17" i="22"/>
  <c r="H16" i="22"/>
  <c r="K16" i="22" s="1"/>
  <c r="G16" i="22"/>
  <c r="H15" i="22"/>
  <c r="G15" i="22"/>
  <c r="H14" i="22"/>
  <c r="K14" i="22" s="1"/>
  <c r="G14" i="22"/>
  <c r="H13" i="22"/>
  <c r="K13" i="22" s="1"/>
  <c r="G13" i="22"/>
  <c r="H12" i="22"/>
  <c r="K12" i="22" s="1"/>
  <c r="G12" i="22"/>
  <c r="H11" i="22"/>
  <c r="G11" i="22"/>
  <c r="H10" i="22"/>
  <c r="K10" i="22" s="1"/>
  <c r="G10" i="22"/>
  <c r="H9" i="22"/>
  <c r="K9" i="22" s="1"/>
  <c r="G9" i="22"/>
  <c r="H8" i="22"/>
  <c r="K8" i="22" s="1"/>
  <c r="G8" i="22"/>
  <c r="H7" i="22"/>
  <c r="N7" i="22" s="1"/>
  <c r="G7" i="22"/>
  <c r="H6" i="22"/>
  <c r="K6" i="22" s="1"/>
  <c r="G6" i="22"/>
  <c r="H5" i="22"/>
  <c r="K5" i="22" s="1"/>
  <c r="G5" i="22"/>
  <c r="H4" i="22"/>
  <c r="K4" i="22" s="1"/>
  <c r="G4" i="22"/>
  <c r="H3" i="22"/>
  <c r="N3" i="22" s="1"/>
  <c r="G3" i="22"/>
  <c r="I3" i="21"/>
  <c r="O3" i="21" s="1"/>
  <c r="I4" i="21"/>
  <c r="O4" i="21" s="1"/>
  <c r="I5" i="21"/>
  <c r="O5" i="21" s="1"/>
  <c r="I6" i="21"/>
  <c r="O6" i="21" s="1"/>
  <c r="I7" i="21"/>
  <c r="O7" i="21" s="1"/>
  <c r="I8" i="21"/>
  <c r="O8" i="21" s="1"/>
  <c r="I9" i="21"/>
  <c r="O9" i="21" s="1"/>
  <c r="I10" i="21"/>
  <c r="O10" i="21" s="1"/>
  <c r="I11" i="21"/>
  <c r="O11" i="21" s="1"/>
  <c r="I12" i="21"/>
  <c r="O12" i="21" s="1"/>
  <c r="I13" i="21"/>
  <c r="O13" i="21" s="1"/>
  <c r="I14" i="21"/>
  <c r="O14" i="21" s="1"/>
  <c r="I15" i="21"/>
  <c r="O15" i="21" s="1"/>
  <c r="I16" i="21"/>
  <c r="O16" i="21" s="1"/>
  <c r="I17" i="21"/>
  <c r="O17" i="21" s="1"/>
  <c r="I18" i="21"/>
  <c r="O18" i="21" s="1"/>
  <c r="I19" i="21"/>
  <c r="O19" i="21" s="1"/>
  <c r="I20" i="21"/>
  <c r="O20" i="21" s="1"/>
  <c r="I21" i="21"/>
  <c r="O21" i="21" s="1"/>
  <c r="I22" i="21"/>
  <c r="I23" i="21"/>
  <c r="O23" i="21" s="1"/>
  <c r="I24" i="21"/>
  <c r="O24" i="21" s="1"/>
  <c r="I25" i="21"/>
  <c r="I26" i="21"/>
  <c r="O26" i="21" s="1"/>
  <c r="I27" i="21"/>
  <c r="O27" i="21" s="1"/>
  <c r="I28" i="21"/>
  <c r="O28" i="21" s="1"/>
  <c r="I29" i="21"/>
  <c r="O29" i="21" s="1"/>
  <c r="I30" i="21"/>
  <c r="O30" i="21" s="1"/>
  <c r="I31" i="21"/>
  <c r="O31" i="21" s="1"/>
  <c r="I32" i="21"/>
  <c r="O32" i="21" s="1"/>
  <c r="I33" i="21"/>
  <c r="O33" i="21" s="1"/>
  <c r="H33" i="21"/>
  <c r="K33" i="21" s="1"/>
  <c r="G33" i="21"/>
  <c r="H32" i="21"/>
  <c r="N32" i="21" s="1"/>
  <c r="G32" i="21"/>
  <c r="H31" i="21"/>
  <c r="M31" i="21" s="1"/>
  <c r="G31" i="21"/>
  <c r="H30" i="21"/>
  <c r="G30" i="21"/>
  <c r="H29" i="21"/>
  <c r="K29" i="21" s="1"/>
  <c r="G29" i="21"/>
  <c r="H28" i="21"/>
  <c r="N28" i="21" s="1"/>
  <c r="G28" i="21"/>
  <c r="H27" i="21"/>
  <c r="M27" i="21" s="1"/>
  <c r="G27" i="21"/>
  <c r="H26" i="21"/>
  <c r="K26" i="21" s="1"/>
  <c r="G26" i="21"/>
  <c r="H25" i="21"/>
  <c r="G25" i="21"/>
  <c r="H24" i="21"/>
  <c r="N24" i="21" s="1"/>
  <c r="G24" i="21"/>
  <c r="H23" i="21"/>
  <c r="M23" i="21" s="1"/>
  <c r="G23" i="21"/>
  <c r="H22" i="21"/>
  <c r="L22" i="21" s="1"/>
  <c r="G22" i="21"/>
  <c r="H21" i="21"/>
  <c r="G21" i="21"/>
  <c r="H20" i="21"/>
  <c r="L20" i="21" s="1"/>
  <c r="G20" i="21"/>
  <c r="H19" i="21"/>
  <c r="K19" i="21" s="1"/>
  <c r="G19" i="21"/>
  <c r="H18" i="21"/>
  <c r="K18" i="21" s="1"/>
  <c r="G18" i="21"/>
  <c r="H17" i="21"/>
  <c r="M17" i="21" s="1"/>
  <c r="G17" i="21"/>
  <c r="H16" i="21"/>
  <c r="N16" i="21" s="1"/>
  <c r="G16" i="21"/>
  <c r="H15" i="21"/>
  <c r="K15" i="21" s="1"/>
  <c r="G15" i="21"/>
  <c r="H14" i="21"/>
  <c r="K14" i="21" s="1"/>
  <c r="G14" i="21"/>
  <c r="H13" i="21"/>
  <c r="K13" i="21" s="1"/>
  <c r="G13" i="21"/>
  <c r="K12" i="21"/>
  <c r="K10" i="21"/>
  <c r="H9" i="21"/>
  <c r="K9" i="21" s="1"/>
  <c r="G9" i="21"/>
  <c r="H8" i="21"/>
  <c r="N8" i="21" s="1"/>
  <c r="G8" i="21"/>
  <c r="H7" i="21"/>
  <c r="G7" i="21"/>
  <c r="H6" i="21"/>
  <c r="K6" i="21" s="1"/>
  <c r="G6" i="21"/>
  <c r="H5" i="21"/>
  <c r="K5" i="21" s="1"/>
  <c r="G5" i="21"/>
  <c r="H4" i="21"/>
  <c r="N4" i="21" s="1"/>
  <c r="G4" i="21"/>
  <c r="H3" i="21"/>
  <c r="N3" i="21" s="1"/>
  <c r="G3" i="21"/>
  <c r="M25" i="22" l="1"/>
  <c r="J33" i="22"/>
  <c r="M7" i="21"/>
  <c r="N21" i="21"/>
  <c r="M25" i="21"/>
  <c r="N16" i="23"/>
  <c r="J20" i="23"/>
  <c r="N32" i="23"/>
  <c r="M20" i="22"/>
  <c r="N24" i="22"/>
  <c r="N28" i="22"/>
  <c r="M32" i="22"/>
  <c r="N4" i="26"/>
  <c r="M8" i="26"/>
  <c r="N10" i="26"/>
  <c r="L12" i="26"/>
  <c r="M16" i="26"/>
  <c r="M28" i="26"/>
  <c r="L32" i="26"/>
  <c r="P19" i="14"/>
  <c r="M9" i="24"/>
  <c r="L13" i="24"/>
  <c r="N21" i="24"/>
  <c r="M23" i="24"/>
  <c r="M31" i="24"/>
  <c r="N33" i="24"/>
  <c r="N4" i="24"/>
  <c r="L6" i="24"/>
  <c r="N8" i="24"/>
  <c r="M18" i="24"/>
  <c r="J20" i="24"/>
  <c r="L26" i="24"/>
  <c r="N32" i="24"/>
  <c r="N3" i="26"/>
  <c r="N5" i="26"/>
  <c r="M7" i="26"/>
  <c r="N9" i="26"/>
  <c r="L13" i="26"/>
  <c r="L19" i="26"/>
  <c r="M25" i="26"/>
  <c r="L27" i="26"/>
  <c r="M29" i="26"/>
  <c r="P26" i="27"/>
  <c r="Q26" i="27" s="1"/>
  <c r="P22" i="27"/>
  <c r="Q22" i="27" s="1"/>
  <c r="P27" i="27"/>
  <c r="Q27" i="27" s="1"/>
  <c r="P9" i="27"/>
  <c r="Q9" i="27" s="1"/>
  <c r="P30" i="27"/>
  <c r="Q30" i="27" s="1"/>
  <c r="P24" i="27"/>
  <c r="Q24" i="27" s="1"/>
  <c r="P18" i="27"/>
  <c r="Q18" i="27" s="1"/>
  <c r="P12" i="27"/>
  <c r="Q12" i="27" s="1"/>
  <c r="P33" i="27"/>
  <c r="Q33" i="27" s="1"/>
  <c r="P13" i="27"/>
  <c r="Q13" i="27" s="1"/>
  <c r="P5" i="27"/>
  <c r="Q5" i="27" s="1"/>
  <c r="P25" i="27"/>
  <c r="Q25" i="27" s="1"/>
  <c r="P8" i="27"/>
  <c r="Q8" i="27" s="1"/>
  <c r="P7" i="27"/>
  <c r="Q7" i="27" s="1"/>
  <c r="P23" i="27"/>
  <c r="Q23" i="27" s="1"/>
  <c r="P15" i="27"/>
  <c r="Q15" i="27" s="1"/>
  <c r="P4" i="27"/>
  <c r="Q4" i="27" s="1"/>
  <c r="P17" i="27"/>
  <c r="Q17" i="27" s="1"/>
  <c r="P6" i="27"/>
  <c r="Q6" i="27" s="1"/>
  <c r="P16" i="27"/>
  <c r="Q16" i="27" s="1"/>
  <c r="P28" i="27"/>
  <c r="Q28" i="27" s="1"/>
  <c r="P19" i="27"/>
  <c r="Q19" i="27" s="1"/>
  <c r="P31" i="27"/>
  <c r="Q31" i="27" s="1"/>
  <c r="P3" i="27"/>
  <c r="P29" i="27"/>
  <c r="Q29" i="27" s="1"/>
  <c r="P32" i="27"/>
  <c r="Q32" i="27" s="1"/>
  <c r="P20" i="27"/>
  <c r="Q20" i="27" s="1"/>
  <c r="P10" i="27"/>
  <c r="Q10" i="27" s="1"/>
  <c r="P21" i="27"/>
  <c r="Q21" i="27" s="1"/>
  <c r="P14" i="27"/>
  <c r="Q14" i="27" s="1"/>
  <c r="P11" i="27"/>
  <c r="Q11" i="27" s="1"/>
  <c r="L26" i="21"/>
  <c r="L5" i="23"/>
  <c r="N33" i="22"/>
  <c r="M24" i="22"/>
  <c r="K3" i="23"/>
  <c r="N3" i="23"/>
  <c r="J4" i="24"/>
  <c r="N33" i="21"/>
  <c r="K8" i="21"/>
  <c r="M20" i="21"/>
  <c r="K16" i="21"/>
  <c r="L12" i="23"/>
  <c r="J19" i="23"/>
  <c r="K25" i="23"/>
  <c r="M24" i="24"/>
  <c r="J24" i="24"/>
  <c r="K17" i="26"/>
  <c r="M16" i="21"/>
  <c r="N16" i="22"/>
  <c r="L19" i="23"/>
  <c r="N25" i="23"/>
  <c r="J3" i="24"/>
  <c r="J17" i="26"/>
  <c r="N29" i="26"/>
  <c r="K20" i="21"/>
  <c r="K21" i="21"/>
  <c r="K24" i="22"/>
  <c r="N19" i="23"/>
  <c r="L26" i="23"/>
  <c r="K20" i="24"/>
  <c r="N8" i="26"/>
  <c r="N16" i="26"/>
  <c r="N28" i="26"/>
  <c r="L13" i="21"/>
  <c r="N19" i="21"/>
  <c r="L27" i="21"/>
  <c r="J16" i="24"/>
  <c r="N17" i="24"/>
  <c r="L12" i="21"/>
  <c r="K32" i="21"/>
  <c r="J33" i="21"/>
  <c r="J6" i="22"/>
  <c r="K7" i="22"/>
  <c r="J19" i="22"/>
  <c r="J20" i="22"/>
  <c r="M27" i="22"/>
  <c r="M28" i="22"/>
  <c r="K7" i="23"/>
  <c r="N28" i="23"/>
  <c r="K4" i="24"/>
  <c r="M13" i="24"/>
  <c r="K16" i="24"/>
  <c r="O24" i="24"/>
  <c r="N29" i="24"/>
  <c r="K33" i="24"/>
  <c r="K10" i="26"/>
  <c r="N24" i="26"/>
  <c r="M32" i="26"/>
  <c r="J33" i="26"/>
  <c r="K28" i="22"/>
  <c r="M28" i="23"/>
  <c r="N14" i="24"/>
  <c r="J33" i="24"/>
  <c r="K5" i="26"/>
  <c r="L3" i="21"/>
  <c r="L5" i="21"/>
  <c r="M32" i="21"/>
  <c r="L6" i="22"/>
  <c r="M7" i="22"/>
  <c r="N7" i="23"/>
  <c r="J25" i="23"/>
  <c r="J29" i="24"/>
  <c r="M3" i="26"/>
  <c r="K9" i="26"/>
  <c r="O17" i="26"/>
  <c r="K28" i="26"/>
  <c r="K29" i="26"/>
  <c r="N32" i="26"/>
  <c r="N7" i="21"/>
  <c r="K24" i="21"/>
  <c r="J25" i="21"/>
  <c r="K25" i="22"/>
  <c r="M27" i="23"/>
  <c r="K32" i="23"/>
  <c r="J33" i="23"/>
  <c r="M6" i="24"/>
  <c r="M21" i="26"/>
  <c r="K21" i="26"/>
  <c r="K3" i="21"/>
  <c r="L28" i="21"/>
  <c r="M28" i="21"/>
  <c r="K3" i="22"/>
  <c r="K32" i="22"/>
  <c r="K33" i="22"/>
  <c r="K22" i="22"/>
  <c r="L13" i="23"/>
  <c r="M32" i="23"/>
  <c r="K6" i="23"/>
  <c r="L6" i="23"/>
  <c r="L20" i="23"/>
  <c r="M20" i="23"/>
  <c r="J6" i="21"/>
  <c r="N15" i="21"/>
  <c r="J6" i="23"/>
  <c r="J13" i="23"/>
  <c r="K12" i="24"/>
  <c r="J12" i="24"/>
  <c r="J25" i="24"/>
  <c r="M28" i="24"/>
  <c r="L20" i="26"/>
  <c r="M20" i="26"/>
  <c r="L6" i="21"/>
  <c r="K7" i="21"/>
  <c r="J19" i="21"/>
  <c r="M24" i="21"/>
  <c r="K25" i="21"/>
  <c r="J13" i="22"/>
  <c r="N25" i="22"/>
  <c r="K16" i="23"/>
  <c r="K20" i="23"/>
  <c r="M24" i="23"/>
  <c r="K17" i="23"/>
  <c r="K8" i="24"/>
  <c r="L12" i="24"/>
  <c r="N28" i="24"/>
  <c r="L32" i="24"/>
  <c r="K32" i="24"/>
  <c r="J21" i="24"/>
  <c r="K17" i="24"/>
  <c r="M4" i="26"/>
  <c r="K4" i="26"/>
  <c r="J21" i="26"/>
  <c r="K25" i="26"/>
  <c r="M3" i="21"/>
  <c r="K4" i="21"/>
  <c r="J13" i="21"/>
  <c r="L19" i="21"/>
  <c r="J20" i="21"/>
  <c r="N25" i="21"/>
  <c r="K28" i="21"/>
  <c r="M3" i="22"/>
  <c r="L5" i="22"/>
  <c r="L12" i="22"/>
  <c r="L13" i="22"/>
  <c r="K15" i="22"/>
  <c r="N15" i="22"/>
  <c r="M16" i="22"/>
  <c r="K19" i="22"/>
  <c r="N19" i="22"/>
  <c r="L20" i="22"/>
  <c r="K20" i="22"/>
  <c r="N32" i="22"/>
  <c r="J25" i="22"/>
  <c r="N15" i="23"/>
  <c r="M16" i="23"/>
  <c r="N24" i="23"/>
  <c r="N33" i="23"/>
  <c r="N12" i="24"/>
  <c r="J17" i="24"/>
  <c r="K21" i="24"/>
  <c r="N25" i="24"/>
  <c r="M32" i="24"/>
  <c r="J8" i="24"/>
  <c r="J4" i="26"/>
  <c r="N7" i="26"/>
  <c r="K8" i="26"/>
  <c r="L14" i="26"/>
  <c r="N18" i="26"/>
  <c r="K18" i="26"/>
  <c r="J20" i="26"/>
  <c r="N21" i="26"/>
  <c r="L24" i="26"/>
  <c r="M24" i="26"/>
  <c r="N25" i="26"/>
  <c r="K22" i="21"/>
  <c r="L26" i="22"/>
  <c r="L28" i="22"/>
  <c r="K22" i="23"/>
  <c r="M10" i="24"/>
  <c r="L24" i="24"/>
  <c r="N24" i="24"/>
  <c r="J14" i="24"/>
  <c r="L10" i="24"/>
  <c r="J8" i="26"/>
  <c r="N17" i="26"/>
  <c r="J29" i="26"/>
  <c r="M33" i="26"/>
  <c r="N33" i="26"/>
  <c r="O4" i="26"/>
  <c r="O8" i="26"/>
  <c r="J25" i="26"/>
  <c r="O8" i="24"/>
  <c r="O21" i="26"/>
  <c r="K22" i="26"/>
  <c r="O29" i="26"/>
  <c r="O29" i="24"/>
  <c r="M33" i="24"/>
  <c r="L23" i="26"/>
  <c r="L28" i="26"/>
  <c r="L31" i="26"/>
  <c r="K6" i="26"/>
  <c r="M6" i="26"/>
  <c r="N6" i="26"/>
  <c r="J6" i="26"/>
  <c r="K15" i="26"/>
  <c r="N15" i="26"/>
  <c r="J15" i="26"/>
  <c r="M15" i="26"/>
  <c r="J24" i="26"/>
  <c r="O24" i="26"/>
  <c r="J28" i="26"/>
  <c r="O28" i="26"/>
  <c r="O32" i="26"/>
  <c r="J32" i="26"/>
  <c r="L7" i="26"/>
  <c r="K12" i="26"/>
  <c r="N12" i="26"/>
  <c r="J12" i="26"/>
  <c r="M12" i="26"/>
  <c r="L16" i="26"/>
  <c r="O20" i="26"/>
  <c r="N20" i="26"/>
  <c r="N26" i="26"/>
  <c r="N30" i="26"/>
  <c r="O3" i="26"/>
  <c r="J3" i="26"/>
  <c r="K14" i="26"/>
  <c r="N14" i="26"/>
  <c r="J14" i="26"/>
  <c r="M14" i="26"/>
  <c r="K19" i="26"/>
  <c r="M19" i="26"/>
  <c r="N19" i="26"/>
  <c r="J19" i="26"/>
  <c r="N11" i="26"/>
  <c r="L3" i="26"/>
  <c r="L6" i="26"/>
  <c r="O7" i="26"/>
  <c r="J7" i="26"/>
  <c r="K13" i="26"/>
  <c r="N13" i="26"/>
  <c r="J13" i="26"/>
  <c r="M13" i="26"/>
  <c r="L15" i="26"/>
  <c r="J16" i="26"/>
  <c r="O16" i="26"/>
  <c r="K23" i="26"/>
  <c r="M23" i="26"/>
  <c r="N23" i="26"/>
  <c r="J23" i="26"/>
  <c r="K27" i="26"/>
  <c r="M27" i="26"/>
  <c r="N27" i="26"/>
  <c r="J27" i="26"/>
  <c r="K31" i="26"/>
  <c r="N31" i="26"/>
  <c r="J31" i="26"/>
  <c r="M31" i="26"/>
  <c r="L5" i="26"/>
  <c r="L9" i="26"/>
  <c r="L18" i="26"/>
  <c r="L30" i="26"/>
  <c r="K3" i="26"/>
  <c r="L4" i="26"/>
  <c r="M5" i="26"/>
  <c r="K7" i="26"/>
  <c r="L8" i="26"/>
  <c r="M9" i="26"/>
  <c r="M10" i="26"/>
  <c r="M11" i="26"/>
  <c r="K16" i="26"/>
  <c r="L17" i="26"/>
  <c r="M18" i="26"/>
  <c r="K20" i="26"/>
  <c r="L21" i="26"/>
  <c r="M22" i="26"/>
  <c r="L25" i="26"/>
  <c r="M26" i="26"/>
  <c r="L29" i="26"/>
  <c r="M30" i="26"/>
  <c r="K32" i="26"/>
  <c r="L33" i="26"/>
  <c r="L10" i="26"/>
  <c r="L11" i="26"/>
  <c r="L22" i="26"/>
  <c r="L26" i="26"/>
  <c r="J5" i="26"/>
  <c r="J9" i="26"/>
  <c r="J10" i="26"/>
  <c r="J11" i="26"/>
  <c r="J18" i="26"/>
  <c r="J22" i="26"/>
  <c r="J26" i="26"/>
  <c r="J30" i="26"/>
  <c r="L3" i="22"/>
  <c r="L7" i="22"/>
  <c r="L16" i="23"/>
  <c r="L24" i="23"/>
  <c r="L32" i="23"/>
  <c r="L28" i="23"/>
  <c r="O3" i="24"/>
  <c r="J7" i="24"/>
  <c r="L11" i="24"/>
  <c r="L15" i="24"/>
  <c r="O17" i="24"/>
  <c r="O21" i="24"/>
  <c r="L3" i="23"/>
  <c r="O4" i="24"/>
  <c r="O22" i="23"/>
  <c r="D21" i="23" s="1"/>
  <c r="L30" i="24"/>
  <c r="L7" i="21"/>
  <c r="M19" i="24"/>
  <c r="L23" i="24"/>
  <c r="O28" i="24"/>
  <c r="J28" i="24"/>
  <c r="K19" i="24"/>
  <c r="J19" i="24"/>
  <c r="N19" i="24"/>
  <c r="N20" i="24"/>
  <c r="M20" i="24"/>
  <c r="K15" i="24"/>
  <c r="J15" i="24"/>
  <c r="N15" i="24"/>
  <c r="N18" i="24"/>
  <c r="J18" i="24"/>
  <c r="L18" i="24"/>
  <c r="K18" i="24"/>
  <c r="N5" i="24"/>
  <c r="J5" i="24"/>
  <c r="L5" i="24"/>
  <c r="K5" i="24"/>
  <c r="N16" i="24"/>
  <c r="M16" i="24"/>
  <c r="N22" i="24"/>
  <c r="J22" i="24"/>
  <c r="M22" i="24"/>
  <c r="L22" i="24"/>
  <c r="K22" i="24"/>
  <c r="N3" i="24"/>
  <c r="M3" i="24"/>
  <c r="K6" i="24"/>
  <c r="J6" i="24"/>
  <c r="N6" i="24"/>
  <c r="N9" i="24"/>
  <c r="J9" i="24"/>
  <c r="L9" i="24"/>
  <c r="K9" i="24"/>
  <c r="M5" i="24"/>
  <c r="N7" i="24"/>
  <c r="M7" i="24"/>
  <c r="N10" i="24"/>
  <c r="J10" i="24"/>
  <c r="K10" i="24"/>
  <c r="K13" i="24"/>
  <c r="J13" i="24"/>
  <c r="N13" i="24"/>
  <c r="O14" i="24"/>
  <c r="L14" i="24"/>
  <c r="M15" i="24"/>
  <c r="L19" i="24"/>
  <c r="K27" i="24"/>
  <c r="N27" i="24"/>
  <c r="J27" i="24"/>
  <c r="M27" i="24"/>
  <c r="L27" i="24"/>
  <c r="N26" i="24"/>
  <c r="J26" i="24"/>
  <c r="M26" i="24"/>
  <c r="K31" i="24"/>
  <c r="N31" i="24"/>
  <c r="J31" i="24"/>
  <c r="L3" i="24"/>
  <c r="L7" i="24"/>
  <c r="N11" i="24"/>
  <c r="J11" i="24"/>
  <c r="M11" i="24"/>
  <c r="L16" i="24"/>
  <c r="L20" i="24"/>
  <c r="M25" i="24"/>
  <c r="N30" i="24"/>
  <c r="J30" i="24"/>
  <c r="M30" i="24"/>
  <c r="J32" i="24"/>
  <c r="M4" i="24"/>
  <c r="L4" i="24"/>
  <c r="M8" i="24"/>
  <c r="L8" i="24"/>
  <c r="M12" i="24"/>
  <c r="M14" i="24"/>
  <c r="L17" i="24"/>
  <c r="M21" i="24"/>
  <c r="L21" i="24"/>
  <c r="K23" i="24"/>
  <c r="N23" i="24"/>
  <c r="J23" i="24"/>
  <c r="K26" i="24"/>
  <c r="L28" i="24"/>
  <c r="M29" i="24"/>
  <c r="L31" i="24"/>
  <c r="L25" i="24"/>
  <c r="L29" i="24"/>
  <c r="L33" i="24"/>
  <c r="L7" i="23"/>
  <c r="O22" i="22"/>
  <c r="D21" i="22" s="1"/>
  <c r="O25" i="23"/>
  <c r="L14" i="23"/>
  <c r="L18" i="23"/>
  <c r="J29" i="23"/>
  <c r="J32" i="23"/>
  <c r="L24" i="22"/>
  <c r="L9" i="23"/>
  <c r="L10" i="23"/>
  <c r="N6" i="23"/>
  <c r="N11" i="23"/>
  <c r="J11" i="23"/>
  <c r="M11" i="23"/>
  <c r="N13" i="23"/>
  <c r="N30" i="23"/>
  <c r="J30" i="23"/>
  <c r="M30" i="23"/>
  <c r="M4" i="23"/>
  <c r="L4" i="23"/>
  <c r="M8" i="23"/>
  <c r="L8" i="23"/>
  <c r="M12" i="23"/>
  <c r="M14" i="23"/>
  <c r="J15" i="23"/>
  <c r="L17" i="23"/>
  <c r="N20" i="23"/>
  <c r="M21" i="23"/>
  <c r="L21" i="23"/>
  <c r="K23" i="23"/>
  <c r="N23" i="23"/>
  <c r="J23" i="23"/>
  <c r="M29" i="23"/>
  <c r="N29" i="23"/>
  <c r="L31" i="23"/>
  <c r="J3" i="23"/>
  <c r="N4" i="23"/>
  <c r="N5" i="23"/>
  <c r="J5" i="23"/>
  <c r="M5" i="23"/>
  <c r="J7" i="23"/>
  <c r="N8" i="23"/>
  <c r="N9" i="23"/>
  <c r="J9" i="23"/>
  <c r="M9" i="23"/>
  <c r="K11" i="23"/>
  <c r="N12" i="23"/>
  <c r="N14" i="23"/>
  <c r="L15" i="23"/>
  <c r="J16" i="23"/>
  <c r="N17" i="23"/>
  <c r="N18" i="23"/>
  <c r="J18" i="23"/>
  <c r="M18" i="23"/>
  <c r="N21" i="23"/>
  <c r="N22" i="23"/>
  <c r="J22" i="23"/>
  <c r="M22" i="23"/>
  <c r="J24" i="23"/>
  <c r="K27" i="23"/>
  <c r="N27" i="23"/>
  <c r="J27" i="23"/>
  <c r="K30" i="23"/>
  <c r="M33" i="23"/>
  <c r="J4" i="23"/>
  <c r="M6" i="23"/>
  <c r="J8" i="23"/>
  <c r="N10" i="23"/>
  <c r="J10" i="23"/>
  <c r="M10" i="23"/>
  <c r="L11" i="23"/>
  <c r="J12" i="23"/>
  <c r="M13" i="23"/>
  <c r="J14" i="23"/>
  <c r="M15" i="23"/>
  <c r="J17" i="23"/>
  <c r="M19" i="23"/>
  <c r="J21" i="23"/>
  <c r="L23" i="23"/>
  <c r="N26" i="23"/>
  <c r="J26" i="23"/>
  <c r="M26" i="23"/>
  <c r="J28" i="23"/>
  <c r="L30" i="23"/>
  <c r="K31" i="23"/>
  <c r="N31" i="23"/>
  <c r="J31" i="23"/>
  <c r="L25" i="23"/>
  <c r="L29" i="23"/>
  <c r="L33" i="23"/>
  <c r="K17" i="22"/>
  <c r="L16" i="22"/>
  <c r="L32" i="22"/>
  <c r="O22" i="21"/>
  <c r="D21" i="21" s="1"/>
  <c r="O25" i="22"/>
  <c r="L14" i="22"/>
  <c r="L18" i="22"/>
  <c r="J29" i="22"/>
  <c r="J32" i="22"/>
  <c r="M5" i="21"/>
  <c r="L24" i="21"/>
  <c r="L9" i="22"/>
  <c r="L10" i="22"/>
  <c r="N6" i="22"/>
  <c r="N11" i="22"/>
  <c r="J11" i="22"/>
  <c r="M11" i="22"/>
  <c r="N13" i="22"/>
  <c r="N30" i="22"/>
  <c r="J30" i="22"/>
  <c r="M30" i="22"/>
  <c r="M4" i="22"/>
  <c r="L4" i="22"/>
  <c r="M8" i="22"/>
  <c r="L8" i="22"/>
  <c r="M12" i="22"/>
  <c r="M14" i="22"/>
  <c r="J15" i="22"/>
  <c r="L17" i="22"/>
  <c r="N20" i="22"/>
  <c r="M21" i="22"/>
  <c r="L21" i="22"/>
  <c r="K23" i="22"/>
  <c r="N23" i="22"/>
  <c r="J23" i="22"/>
  <c r="M29" i="22"/>
  <c r="N29" i="22"/>
  <c r="L31" i="22"/>
  <c r="J3" i="22"/>
  <c r="N4" i="22"/>
  <c r="N5" i="22"/>
  <c r="J5" i="22"/>
  <c r="M5" i="22"/>
  <c r="J7" i="22"/>
  <c r="N8" i="22"/>
  <c r="N9" i="22"/>
  <c r="J9" i="22"/>
  <c r="M9" i="22"/>
  <c r="K11" i="22"/>
  <c r="N12" i="22"/>
  <c r="N14" i="22"/>
  <c r="L15" i="22"/>
  <c r="J16" i="22"/>
  <c r="N17" i="22"/>
  <c r="N18" i="22"/>
  <c r="J18" i="22"/>
  <c r="M18" i="22"/>
  <c r="N21" i="22"/>
  <c r="N22" i="22"/>
  <c r="J22" i="22"/>
  <c r="M22" i="22"/>
  <c r="J24" i="22"/>
  <c r="K27" i="22"/>
  <c r="N27" i="22"/>
  <c r="J27" i="22"/>
  <c r="K30" i="22"/>
  <c r="M33" i="22"/>
  <c r="J4" i="22"/>
  <c r="M6" i="22"/>
  <c r="J8" i="22"/>
  <c r="N10" i="22"/>
  <c r="J10" i="22"/>
  <c r="M10" i="22"/>
  <c r="L11" i="22"/>
  <c r="J12" i="22"/>
  <c r="M13" i="22"/>
  <c r="J14" i="22"/>
  <c r="M15" i="22"/>
  <c r="J17" i="22"/>
  <c r="M19" i="22"/>
  <c r="J21" i="22"/>
  <c r="L23" i="22"/>
  <c r="N26" i="22"/>
  <c r="J26" i="22"/>
  <c r="M26" i="22"/>
  <c r="J28" i="22"/>
  <c r="L30" i="22"/>
  <c r="K31" i="22"/>
  <c r="N31" i="22"/>
  <c r="J31" i="22"/>
  <c r="L25" i="22"/>
  <c r="L29" i="22"/>
  <c r="L33" i="22"/>
  <c r="K17" i="21"/>
  <c r="L16" i="21"/>
  <c r="L32" i="21"/>
  <c r="O25" i="21"/>
  <c r="L14" i="21"/>
  <c r="L18" i="21"/>
  <c r="J29" i="21"/>
  <c r="J32" i="21"/>
  <c r="L9" i="21"/>
  <c r="L10" i="21"/>
  <c r="N13" i="21"/>
  <c r="N30" i="21"/>
  <c r="J30" i="21"/>
  <c r="M30" i="21"/>
  <c r="L4" i="21"/>
  <c r="L8" i="21"/>
  <c r="M14" i="21"/>
  <c r="L17" i="21"/>
  <c r="N20" i="21"/>
  <c r="L21" i="21"/>
  <c r="M29" i="21"/>
  <c r="J3" i="21"/>
  <c r="J7" i="21"/>
  <c r="N14" i="21"/>
  <c r="L15" i="21"/>
  <c r="J16" i="21"/>
  <c r="N17" i="21"/>
  <c r="N18" i="21"/>
  <c r="J18" i="21"/>
  <c r="M18" i="21"/>
  <c r="N22" i="21"/>
  <c r="J22" i="21"/>
  <c r="M22" i="21"/>
  <c r="J24" i="21"/>
  <c r="K27" i="21"/>
  <c r="N27" i="21"/>
  <c r="J27" i="21"/>
  <c r="K30" i="21"/>
  <c r="M33" i="21"/>
  <c r="N6" i="21"/>
  <c r="N11" i="21"/>
  <c r="J11" i="21"/>
  <c r="M11" i="21"/>
  <c r="M4" i="21"/>
  <c r="M8" i="21"/>
  <c r="M12" i="21"/>
  <c r="J15" i="21"/>
  <c r="M21" i="21"/>
  <c r="K23" i="21"/>
  <c r="N23" i="21"/>
  <c r="J23" i="21"/>
  <c r="N29" i="21"/>
  <c r="L31" i="21"/>
  <c r="N5" i="21"/>
  <c r="J5" i="21"/>
  <c r="N9" i="21"/>
  <c r="J9" i="21"/>
  <c r="M9" i="21"/>
  <c r="K11" i="21"/>
  <c r="N12" i="21"/>
  <c r="J4" i="21"/>
  <c r="M6" i="21"/>
  <c r="J8" i="21"/>
  <c r="N10" i="21"/>
  <c r="J10" i="21"/>
  <c r="M10" i="21"/>
  <c r="L11" i="21"/>
  <c r="J12" i="21"/>
  <c r="M13" i="21"/>
  <c r="J14" i="21"/>
  <c r="M15" i="21"/>
  <c r="J17" i="21"/>
  <c r="M19" i="21"/>
  <c r="J21" i="21"/>
  <c r="L23" i="21"/>
  <c r="N26" i="21"/>
  <c r="J26" i="21"/>
  <c r="M26" i="21"/>
  <c r="J28" i="21"/>
  <c r="L30" i="21"/>
  <c r="K31" i="21"/>
  <c r="N31" i="21"/>
  <c r="J31" i="21"/>
  <c r="L25" i="21"/>
  <c r="L29" i="21"/>
  <c r="L33" i="21"/>
  <c r="I3" i="7"/>
  <c r="O3" i="7" s="1"/>
  <c r="I4" i="7"/>
  <c r="O4" i="7" s="1"/>
  <c r="I5" i="7"/>
  <c r="I6" i="7"/>
  <c r="O6" i="7" s="1"/>
  <c r="I7" i="7"/>
  <c r="O7" i="7" s="1"/>
  <c r="I8" i="7"/>
  <c r="O8" i="7" s="1"/>
  <c r="I9" i="7"/>
  <c r="O9" i="7" s="1"/>
  <c r="I10" i="7"/>
  <c r="I11" i="7"/>
  <c r="O11" i="7" s="1"/>
  <c r="I12" i="7"/>
  <c r="O12" i="7" s="1"/>
  <c r="I13" i="7"/>
  <c r="O13" i="7" s="1"/>
  <c r="I14" i="7"/>
  <c r="O14" i="7" s="1"/>
  <c r="I15" i="7"/>
  <c r="O15" i="7" s="1"/>
  <c r="I16" i="7"/>
  <c r="O16" i="7" s="1"/>
  <c r="I17" i="7"/>
  <c r="O17" i="7" s="1"/>
  <c r="I18" i="7"/>
  <c r="O18" i="7" s="1"/>
  <c r="I19" i="7"/>
  <c r="O19" i="7" s="1"/>
  <c r="I20" i="7"/>
  <c r="O20" i="7" s="1"/>
  <c r="I21" i="7"/>
  <c r="O21" i="7" s="1"/>
  <c r="I22" i="7"/>
  <c r="O22" i="7" s="1"/>
  <c r="I23" i="7"/>
  <c r="O23" i="7" s="1"/>
  <c r="I24" i="7"/>
  <c r="O24" i="7" s="1"/>
  <c r="I25" i="7"/>
  <c r="O25" i="7" s="1"/>
  <c r="I26" i="7"/>
  <c r="I27" i="7"/>
  <c r="O27" i="7" s="1"/>
  <c r="I28" i="7"/>
  <c r="O28" i="7" s="1"/>
  <c r="I29" i="7"/>
  <c r="O29" i="7" s="1"/>
  <c r="I30" i="7"/>
  <c r="O30" i="7" s="1"/>
  <c r="I31" i="7"/>
  <c r="O31" i="7" s="1"/>
  <c r="I32" i="7"/>
  <c r="O32" i="7" s="1"/>
  <c r="I33" i="7"/>
  <c r="H33" i="7"/>
  <c r="L33" i="7" s="1"/>
  <c r="G33" i="7"/>
  <c r="H32" i="7"/>
  <c r="G32" i="7"/>
  <c r="H31" i="7"/>
  <c r="M31" i="7" s="1"/>
  <c r="G31" i="7"/>
  <c r="H30" i="7"/>
  <c r="G30" i="7"/>
  <c r="H29" i="7"/>
  <c r="M29" i="7" s="1"/>
  <c r="G29" i="7"/>
  <c r="H28" i="7"/>
  <c r="G28" i="7"/>
  <c r="H27" i="7"/>
  <c r="M27" i="7" s="1"/>
  <c r="G27" i="7"/>
  <c r="H26" i="7"/>
  <c r="G26" i="7"/>
  <c r="H25" i="7"/>
  <c r="M25" i="7" s="1"/>
  <c r="G25" i="7"/>
  <c r="H24" i="7"/>
  <c r="G24" i="7"/>
  <c r="H23" i="7"/>
  <c r="M23" i="7" s="1"/>
  <c r="G23" i="7"/>
  <c r="H22" i="7"/>
  <c r="L22" i="7" s="1"/>
  <c r="G22" i="7"/>
  <c r="H21" i="7"/>
  <c r="M21" i="7" s="1"/>
  <c r="G21" i="7"/>
  <c r="H20" i="7"/>
  <c r="G20" i="7"/>
  <c r="H19" i="7"/>
  <c r="K19" i="7" s="1"/>
  <c r="G19" i="7"/>
  <c r="H18" i="7"/>
  <c r="K18" i="7" s="1"/>
  <c r="G18" i="7"/>
  <c r="H17" i="7"/>
  <c r="L17" i="7" s="1"/>
  <c r="G17" i="7"/>
  <c r="H16" i="7"/>
  <c r="G16" i="7"/>
  <c r="H15" i="7"/>
  <c r="M15" i="7" s="1"/>
  <c r="G15" i="7"/>
  <c r="H14" i="7"/>
  <c r="K14" i="7" s="1"/>
  <c r="G14" i="7"/>
  <c r="H13" i="7"/>
  <c r="L13" i="7" s="1"/>
  <c r="G13" i="7"/>
  <c r="H12" i="7"/>
  <c r="K12" i="7" s="1"/>
  <c r="G12" i="7"/>
  <c r="H11" i="7"/>
  <c r="M11" i="7" s="1"/>
  <c r="G11" i="7"/>
  <c r="H10" i="7"/>
  <c r="G10" i="7"/>
  <c r="H9" i="7"/>
  <c r="M9" i="7" s="1"/>
  <c r="G9" i="7"/>
  <c r="H8" i="7"/>
  <c r="K8" i="7" s="1"/>
  <c r="G8" i="7"/>
  <c r="H7" i="7"/>
  <c r="M7" i="7" s="1"/>
  <c r="G7" i="7"/>
  <c r="H6" i="7"/>
  <c r="G6" i="7"/>
  <c r="H5" i="7"/>
  <c r="L5" i="7" s="1"/>
  <c r="G5" i="7"/>
  <c r="H4" i="7"/>
  <c r="G4" i="7"/>
  <c r="H3" i="7"/>
  <c r="M3" i="7" s="1"/>
  <c r="G3" i="7"/>
  <c r="D21" i="26" l="1"/>
  <c r="D21" i="24"/>
  <c r="P23" i="21"/>
  <c r="P28" i="26"/>
  <c r="Q28" i="26" s="1"/>
  <c r="D14" i="27"/>
  <c r="Q3" i="27"/>
  <c r="P15" i="14"/>
  <c r="P20" i="21"/>
  <c r="Q20" i="21" s="1"/>
  <c r="P17" i="14"/>
  <c r="P9" i="26"/>
  <c r="Q9" i="26" s="1"/>
  <c r="P25" i="23"/>
  <c r="Q25" i="23" s="1"/>
  <c r="P24" i="24"/>
  <c r="Q24" i="24" s="1"/>
  <c r="P16" i="14"/>
  <c r="P19" i="21"/>
  <c r="Q19" i="21" s="1"/>
  <c r="P16" i="21"/>
  <c r="Q16" i="21" s="1"/>
  <c r="P19" i="23"/>
  <c r="Q19" i="23" s="1"/>
  <c r="P20" i="22"/>
  <c r="Q20" i="22" s="1"/>
  <c r="P7" i="22"/>
  <c r="Q7" i="22" s="1"/>
  <c r="P28" i="22"/>
  <c r="Q28" i="22" s="1"/>
  <c r="P7" i="23"/>
  <c r="Q7" i="23" s="1"/>
  <c r="P32" i="24"/>
  <c r="Q32" i="24" s="1"/>
  <c r="P26" i="26"/>
  <c r="Q26" i="26" s="1"/>
  <c r="P25" i="26"/>
  <c r="Q25" i="26" s="1"/>
  <c r="P16" i="26"/>
  <c r="Q16" i="26" s="1"/>
  <c r="P20" i="14"/>
  <c r="P24" i="26"/>
  <c r="Q24" i="26" s="1"/>
  <c r="P18" i="14"/>
  <c r="P3" i="21"/>
  <c r="P28" i="21"/>
  <c r="Q28" i="21" s="1"/>
  <c r="P6" i="22"/>
  <c r="Q6" i="22" s="1"/>
  <c r="P17" i="26"/>
  <c r="Q17" i="26" s="1"/>
  <c r="P4" i="26"/>
  <c r="Q4" i="26" s="1"/>
  <c r="P20" i="23"/>
  <c r="Q20" i="23" s="1"/>
  <c r="P17" i="24"/>
  <c r="Q17" i="24" s="1"/>
  <c r="P25" i="22"/>
  <c r="Q25" i="22" s="1"/>
  <c r="P29" i="26"/>
  <c r="Q29" i="26" s="1"/>
  <c r="P21" i="26"/>
  <c r="Q21" i="26" s="1"/>
  <c r="P8" i="26"/>
  <c r="Q8" i="26" s="1"/>
  <c r="P19" i="22"/>
  <c r="Q19" i="22" s="1"/>
  <c r="P33" i="24"/>
  <c r="Q33" i="24" s="1"/>
  <c r="P25" i="21"/>
  <c r="Q25" i="21" s="1"/>
  <c r="P16" i="23"/>
  <c r="Q16" i="23" s="1"/>
  <c r="P12" i="24"/>
  <c r="Q12" i="24" s="1"/>
  <c r="P33" i="26"/>
  <c r="Q33" i="26" s="1"/>
  <c r="P12" i="26"/>
  <c r="Q12" i="26" s="1"/>
  <c r="L6" i="7"/>
  <c r="M10" i="7"/>
  <c r="L20" i="7"/>
  <c r="L26" i="7"/>
  <c r="P32" i="23"/>
  <c r="Q32" i="23" s="1"/>
  <c r="P14" i="26"/>
  <c r="Q14" i="26" s="1"/>
  <c r="P18" i="26"/>
  <c r="Q18" i="26" s="1"/>
  <c r="P5" i="26"/>
  <c r="Q5" i="26" s="1"/>
  <c r="P32" i="26"/>
  <c r="Q32" i="26" s="1"/>
  <c r="P14" i="23"/>
  <c r="Q14" i="23" s="1"/>
  <c r="P22" i="26"/>
  <c r="Q22" i="26" s="1"/>
  <c r="P8" i="24"/>
  <c r="Q8" i="24" s="1"/>
  <c r="P20" i="26"/>
  <c r="Q20" i="26" s="1"/>
  <c r="P30" i="26"/>
  <c r="Q30" i="26" s="1"/>
  <c r="P11" i="26"/>
  <c r="Q11" i="26" s="1"/>
  <c r="P27" i="26"/>
  <c r="Q27" i="26" s="1"/>
  <c r="P23" i="26"/>
  <c r="Q23" i="26" s="1"/>
  <c r="P7" i="26"/>
  <c r="Q7" i="26" s="1"/>
  <c r="P6" i="26"/>
  <c r="Q6" i="26" s="1"/>
  <c r="P15" i="26"/>
  <c r="Q15" i="26" s="1"/>
  <c r="P10" i="26"/>
  <c r="Q10" i="26" s="1"/>
  <c r="P31" i="26"/>
  <c r="Q31" i="26" s="1"/>
  <c r="P13" i="26"/>
  <c r="Q13" i="26" s="1"/>
  <c r="P19" i="26"/>
  <c r="Q19" i="26" s="1"/>
  <c r="P3" i="26"/>
  <c r="P3" i="22"/>
  <c r="Q3" i="22" s="1"/>
  <c r="P13" i="23"/>
  <c r="Q13" i="23" s="1"/>
  <c r="P28" i="23"/>
  <c r="Q28" i="23" s="1"/>
  <c r="P24" i="23"/>
  <c r="Q24" i="23" s="1"/>
  <c r="P13" i="24"/>
  <c r="Q13" i="24" s="1"/>
  <c r="P22" i="24"/>
  <c r="Q22" i="24" s="1"/>
  <c r="P29" i="24"/>
  <c r="Q29" i="24" s="1"/>
  <c r="P20" i="24"/>
  <c r="Q20" i="24" s="1"/>
  <c r="P25" i="24"/>
  <c r="Q25" i="24" s="1"/>
  <c r="P21" i="24"/>
  <c r="Q21" i="24" s="1"/>
  <c r="P16" i="24"/>
  <c r="Q16" i="24" s="1"/>
  <c r="P7" i="24"/>
  <c r="Q7" i="24" s="1"/>
  <c r="P4" i="24"/>
  <c r="Q4" i="24" s="1"/>
  <c r="P30" i="24"/>
  <c r="Q30" i="24" s="1"/>
  <c r="P14" i="24"/>
  <c r="Q14" i="24" s="1"/>
  <c r="P7" i="21"/>
  <c r="Q7" i="21" s="1"/>
  <c r="P31" i="23"/>
  <c r="Q31" i="23" s="1"/>
  <c r="P8" i="23"/>
  <c r="Q8" i="23" s="1"/>
  <c r="P18" i="23"/>
  <c r="Q18" i="23" s="1"/>
  <c r="P29" i="23"/>
  <c r="Q29" i="23" s="1"/>
  <c r="P23" i="24"/>
  <c r="Q23" i="24" s="1"/>
  <c r="P3" i="24"/>
  <c r="Q3" i="24" s="1"/>
  <c r="P33" i="23"/>
  <c r="Q33" i="23" s="1"/>
  <c r="P6" i="23"/>
  <c r="Q6" i="23" s="1"/>
  <c r="P27" i="23"/>
  <c r="Q27" i="23" s="1"/>
  <c r="P3" i="23"/>
  <c r="Q3" i="23" s="1"/>
  <c r="P6" i="24"/>
  <c r="Q6" i="24" s="1"/>
  <c r="P26" i="24"/>
  <c r="Q26" i="24" s="1"/>
  <c r="P27" i="24"/>
  <c r="Q27" i="24" s="1"/>
  <c r="P10" i="24"/>
  <c r="Q10" i="24" s="1"/>
  <c r="P5" i="24"/>
  <c r="Q5" i="24" s="1"/>
  <c r="P18" i="24"/>
  <c r="Q18" i="24" s="1"/>
  <c r="P11" i="24"/>
  <c r="Q11" i="24" s="1"/>
  <c r="P31" i="24"/>
  <c r="Q31" i="24" s="1"/>
  <c r="P9" i="24"/>
  <c r="Q9" i="24" s="1"/>
  <c r="P15" i="24"/>
  <c r="Q15" i="24" s="1"/>
  <c r="P19" i="24"/>
  <c r="Q19" i="24" s="1"/>
  <c r="P28" i="24"/>
  <c r="Q28" i="24" s="1"/>
  <c r="P24" i="22"/>
  <c r="Q24" i="22" s="1"/>
  <c r="P32" i="21"/>
  <c r="Q32" i="21" s="1"/>
  <c r="P23" i="23"/>
  <c r="Q23" i="23" s="1"/>
  <c r="P30" i="23"/>
  <c r="Q30" i="23" s="1"/>
  <c r="P26" i="23"/>
  <c r="Q26" i="23" s="1"/>
  <c r="P10" i="23"/>
  <c r="Q10" i="23" s="1"/>
  <c r="P4" i="23"/>
  <c r="Q4" i="23" s="1"/>
  <c r="P5" i="23"/>
  <c r="Q5" i="23" s="1"/>
  <c r="P15" i="23"/>
  <c r="Q15" i="23" s="1"/>
  <c r="P21" i="23"/>
  <c r="Q21" i="23" s="1"/>
  <c r="P9" i="23"/>
  <c r="Q9" i="23" s="1"/>
  <c r="P11" i="23"/>
  <c r="Q11" i="23" s="1"/>
  <c r="P17" i="23"/>
  <c r="Q17" i="23" s="1"/>
  <c r="P12" i="23"/>
  <c r="Q12" i="23" s="1"/>
  <c r="P22" i="23"/>
  <c r="Q22" i="23" s="1"/>
  <c r="P33" i="22"/>
  <c r="Q33" i="22" s="1"/>
  <c r="P14" i="22"/>
  <c r="Q14" i="22" s="1"/>
  <c r="P27" i="22"/>
  <c r="Q27" i="22" s="1"/>
  <c r="P13" i="22"/>
  <c r="Q13" i="22" s="1"/>
  <c r="P16" i="22"/>
  <c r="Q16" i="22" s="1"/>
  <c r="P32" i="22"/>
  <c r="Q32" i="22" s="1"/>
  <c r="P24" i="21"/>
  <c r="Q24" i="21" s="1"/>
  <c r="P13" i="21"/>
  <c r="Q13" i="21" s="1"/>
  <c r="P31" i="22"/>
  <c r="Q31" i="22" s="1"/>
  <c r="P8" i="22"/>
  <c r="Q8" i="22" s="1"/>
  <c r="P18" i="22"/>
  <c r="Q18" i="22" s="1"/>
  <c r="P29" i="22"/>
  <c r="Q29" i="22" s="1"/>
  <c r="P15" i="22"/>
  <c r="Q15" i="22" s="1"/>
  <c r="P21" i="22"/>
  <c r="Q21" i="22" s="1"/>
  <c r="P9" i="22"/>
  <c r="Q9" i="22" s="1"/>
  <c r="P23" i="22"/>
  <c r="Q23" i="22" s="1"/>
  <c r="P30" i="22"/>
  <c r="Q30" i="22" s="1"/>
  <c r="P11" i="22"/>
  <c r="Q11" i="22" s="1"/>
  <c r="P26" i="22"/>
  <c r="Q26" i="22" s="1"/>
  <c r="P10" i="22"/>
  <c r="Q10" i="22" s="1"/>
  <c r="P4" i="22"/>
  <c r="Q4" i="22" s="1"/>
  <c r="P5" i="22"/>
  <c r="Q5" i="22" s="1"/>
  <c r="P17" i="22"/>
  <c r="Q17" i="22" s="1"/>
  <c r="P12" i="22"/>
  <c r="Q12" i="22" s="1"/>
  <c r="P22" i="22"/>
  <c r="Q22" i="22" s="1"/>
  <c r="P33" i="21"/>
  <c r="Q33" i="21" s="1"/>
  <c r="P21" i="21"/>
  <c r="Q21" i="21" s="1"/>
  <c r="P14" i="21"/>
  <c r="Q14" i="21" s="1"/>
  <c r="P6" i="21"/>
  <c r="Q6" i="21" s="1"/>
  <c r="P29" i="21"/>
  <c r="Q29" i="21" s="1"/>
  <c r="P4" i="21"/>
  <c r="Q4" i="21" s="1"/>
  <c r="P17" i="21"/>
  <c r="Q17" i="21" s="1"/>
  <c r="P22" i="21"/>
  <c r="Q22" i="21" s="1"/>
  <c r="P18" i="21"/>
  <c r="Q18" i="21" s="1"/>
  <c r="P30" i="21"/>
  <c r="Q30" i="21" s="1"/>
  <c r="P26" i="21"/>
  <c r="Q26" i="21" s="1"/>
  <c r="P10" i="21"/>
  <c r="Q10" i="21" s="1"/>
  <c r="P9" i="21"/>
  <c r="Q9" i="21" s="1"/>
  <c r="P11" i="21"/>
  <c r="Q11" i="21" s="1"/>
  <c r="P31" i="21"/>
  <c r="Q31" i="21" s="1"/>
  <c r="P8" i="21"/>
  <c r="Q8" i="21" s="1"/>
  <c r="P5" i="21"/>
  <c r="Q5" i="21" s="1"/>
  <c r="Q23" i="21"/>
  <c r="P15" i="21"/>
  <c r="Q15" i="21" s="1"/>
  <c r="P12" i="21"/>
  <c r="Q12" i="21" s="1"/>
  <c r="P27" i="21"/>
  <c r="Q27" i="21" s="1"/>
  <c r="L30" i="7"/>
  <c r="N15" i="7"/>
  <c r="J22" i="7"/>
  <c r="N7" i="7"/>
  <c r="M22" i="7"/>
  <c r="J18" i="7"/>
  <c r="L24" i="7"/>
  <c r="L16" i="7"/>
  <c r="N19" i="7"/>
  <c r="K26" i="7"/>
  <c r="L28" i="7"/>
  <c r="J10" i="7"/>
  <c r="O10" i="7"/>
  <c r="M17" i="7"/>
  <c r="M26" i="7"/>
  <c r="M6" i="7"/>
  <c r="J26" i="7"/>
  <c r="L14" i="7"/>
  <c r="K23" i="7"/>
  <c r="M33" i="7"/>
  <c r="L18" i="7"/>
  <c r="J30" i="7"/>
  <c r="K31" i="7"/>
  <c r="K7" i="7"/>
  <c r="L10" i="7"/>
  <c r="M13" i="7"/>
  <c r="J14" i="7"/>
  <c r="M30" i="7"/>
  <c r="N27" i="7"/>
  <c r="L32" i="7"/>
  <c r="K3" i="7"/>
  <c r="N6" i="7"/>
  <c r="K11" i="7"/>
  <c r="N10" i="7"/>
  <c r="M14" i="7"/>
  <c r="K15" i="7"/>
  <c r="M18" i="7"/>
  <c r="N22" i="7"/>
  <c r="K27" i="7"/>
  <c r="N30" i="7"/>
  <c r="N3" i="7"/>
  <c r="L4" i="7"/>
  <c r="M5" i="7"/>
  <c r="J6" i="7"/>
  <c r="N11" i="7"/>
  <c r="N14" i="7"/>
  <c r="N18" i="7"/>
  <c r="N23" i="7"/>
  <c r="N26" i="7"/>
  <c r="L29" i="7"/>
  <c r="N31" i="7"/>
  <c r="L21" i="7"/>
  <c r="M19" i="7"/>
  <c r="L25" i="7"/>
  <c r="L9" i="7"/>
  <c r="L12" i="7"/>
  <c r="L3" i="7"/>
  <c r="M4" i="7"/>
  <c r="J5" i="7"/>
  <c r="N5" i="7"/>
  <c r="K6" i="7"/>
  <c r="L7" i="7"/>
  <c r="M8" i="7"/>
  <c r="J9" i="7"/>
  <c r="N9" i="7"/>
  <c r="K10" i="7"/>
  <c r="L11" i="7"/>
  <c r="M12" i="7"/>
  <c r="J13" i="7"/>
  <c r="N13" i="7"/>
  <c r="L15" i="7"/>
  <c r="M16" i="7"/>
  <c r="J17" i="7"/>
  <c r="N17" i="7"/>
  <c r="L19" i="7"/>
  <c r="M20" i="7"/>
  <c r="J21" i="7"/>
  <c r="N21" i="7"/>
  <c r="K22" i="7"/>
  <c r="L23" i="7"/>
  <c r="M24" i="7"/>
  <c r="J25" i="7"/>
  <c r="N25" i="7"/>
  <c r="O26" i="7"/>
  <c r="L27" i="7"/>
  <c r="M28" i="7"/>
  <c r="J29" i="7"/>
  <c r="N29" i="7"/>
  <c r="K30" i="7"/>
  <c r="L31" i="7"/>
  <c r="M32" i="7"/>
  <c r="J33" i="7"/>
  <c r="N33" i="7"/>
  <c r="L8" i="7"/>
  <c r="J4" i="7"/>
  <c r="N4" i="7"/>
  <c r="K5" i="7"/>
  <c r="O5" i="7"/>
  <c r="D21" i="7" s="1"/>
  <c r="J8" i="7"/>
  <c r="N8" i="7"/>
  <c r="K9" i="7"/>
  <c r="J12" i="7"/>
  <c r="N12" i="7"/>
  <c r="K13" i="7"/>
  <c r="J16" i="7"/>
  <c r="N16" i="7"/>
  <c r="K17" i="7"/>
  <c r="J20" i="7"/>
  <c r="N20" i="7"/>
  <c r="K21" i="7"/>
  <c r="J24" i="7"/>
  <c r="N24" i="7"/>
  <c r="K25" i="7"/>
  <c r="J28" i="7"/>
  <c r="N28" i="7"/>
  <c r="K29" i="7"/>
  <c r="J32" i="7"/>
  <c r="N32" i="7"/>
  <c r="K33" i="7"/>
  <c r="O33" i="7"/>
  <c r="J3" i="7"/>
  <c r="K4" i="7"/>
  <c r="J7" i="7"/>
  <c r="J11" i="7"/>
  <c r="J15" i="7"/>
  <c r="K16" i="7"/>
  <c r="J19" i="7"/>
  <c r="K20" i="7"/>
  <c r="J23" i="7"/>
  <c r="K24" i="7"/>
  <c r="J27" i="7"/>
  <c r="K28" i="7"/>
  <c r="J31" i="7"/>
  <c r="K32" i="7"/>
  <c r="D14" i="21" l="1"/>
  <c r="L10" i="14"/>
  <c r="Q19" i="14"/>
  <c r="Q3" i="21"/>
  <c r="L6" i="14"/>
  <c r="H17" i="29" s="1"/>
  <c r="D15" i="27"/>
  <c r="P14" i="14"/>
  <c r="D14" i="26"/>
  <c r="Q3" i="26"/>
  <c r="D14" i="24"/>
  <c r="D14" i="23"/>
  <c r="D14" i="22"/>
  <c r="P23" i="7"/>
  <c r="Q23" i="7" s="1"/>
  <c r="P3" i="7"/>
  <c r="Q3" i="7" s="1"/>
  <c r="P30" i="7"/>
  <c r="Q30" i="7" s="1"/>
  <c r="P6" i="7"/>
  <c r="Q6" i="7" s="1"/>
  <c r="P26" i="7"/>
  <c r="Q26" i="7" s="1"/>
  <c r="P18" i="7"/>
  <c r="Q18" i="7" s="1"/>
  <c r="P14" i="7"/>
  <c r="Q14" i="7" s="1"/>
  <c r="P27" i="7"/>
  <c r="Q27" i="7" s="1"/>
  <c r="P19" i="7"/>
  <c r="Q19" i="7" s="1"/>
  <c r="P7" i="7"/>
  <c r="Q7" i="7" s="1"/>
  <c r="P24" i="7"/>
  <c r="Q24" i="7" s="1"/>
  <c r="P8" i="7"/>
  <c r="Q8" i="7" s="1"/>
  <c r="P4" i="7"/>
  <c r="Q4" i="7" s="1"/>
  <c r="P29" i="7"/>
  <c r="Q29" i="7" s="1"/>
  <c r="P22" i="7"/>
  <c r="Q22" i="7" s="1"/>
  <c r="P5" i="7"/>
  <c r="Q5" i="7" s="1"/>
  <c r="P10" i="7"/>
  <c r="Q10" i="7" s="1"/>
  <c r="P12" i="7"/>
  <c r="Q12" i="7" s="1"/>
  <c r="P25" i="7"/>
  <c r="Q25" i="7" s="1"/>
  <c r="P31" i="7"/>
  <c r="Q31" i="7" s="1"/>
  <c r="P15" i="7"/>
  <c r="Q15" i="7" s="1"/>
  <c r="P32" i="7"/>
  <c r="Q32" i="7" s="1"/>
  <c r="P16" i="7"/>
  <c r="Q16" i="7" s="1"/>
  <c r="P21" i="7"/>
  <c r="Q21" i="7" s="1"/>
  <c r="P17" i="7"/>
  <c r="Q17" i="7" s="1"/>
  <c r="P13" i="7"/>
  <c r="Q13" i="7" s="1"/>
  <c r="P11" i="7"/>
  <c r="Q11" i="7" s="1"/>
  <c r="P20" i="7"/>
  <c r="Q20" i="7" s="1"/>
  <c r="P33" i="7"/>
  <c r="Q33" i="7" s="1"/>
  <c r="P9" i="7"/>
  <c r="Q9" i="7" s="1"/>
  <c r="P28" i="7"/>
  <c r="Q28" i="7" s="1"/>
  <c r="D17" i="27" l="1"/>
  <c r="M29" i="14"/>
  <c r="L7" i="14"/>
  <c r="L8" i="14"/>
  <c r="D18" i="27"/>
  <c r="N29" i="14" s="1"/>
  <c r="D15" i="21"/>
  <c r="Q15" i="14"/>
  <c r="L16" i="14" s="1"/>
  <c r="L20" i="14"/>
  <c r="Q16" i="14"/>
  <c r="L17" i="14" s="1"/>
  <c r="Q17" i="14"/>
  <c r="L18" i="14" s="1"/>
  <c r="Q20" i="14"/>
  <c r="L21" i="14" s="1"/>
  <c r="L11" i="14"/>
  <c r="Q18" i="14"/>
  <c r="L19" i="14" s="1"/>
  <c r="L9" i="14"/>
  <c r="D15" i="26"/>
  <c r="M30" i="14" s="1"/>
  <c r="D15" i="24"/>
  <c r="D15" i="23"/>
  <c r="M27" i="14" s="1"/>
  <c r="D15" i="22"/>
  <c r="M26" i="14" s="1"/>
  <c r="D14" i="7"/>
  <c r="D17" i="24" l="1"/>
  <c r="M28" i="14"/>
  <c r="D19" i="27"/>
  <c r="L5" i="14"/>
  <c r="O29" i="14"/>
  <c r="L29" i="14"/>
  <c r="M25" i="14"/>
  <c r="J18" i="29" s="1"/>
  <c r="D36" i="29" s="1"/>
  <c r="E36" i="29" s="1"/>
  <c r="G36" i="29" s="1"/>
  <c r="D17" i="21"/>
  <c r="O25" i="14" s="1"/>
  <c r="C36" i="29" s="1"/>
  <c r="D18" i="24"/>
  <c r="N28" i="14" s="1"/>
  <c r="Q14" i="14"/>
  <c r="L15" i="14" s="1"/>
  <c r="D17" i="26"/>
  <c r="D17" i="23"/>
  <c r="D17" i="22"/>
  <c r="D15" i="7"/>
  <c r="M24" i="14" s="1"/>
  <c r="D19" i="24" l="1"/>
  <c r="O30" i="14"/>
  <c r="L30" i="14"/>
  <c r="L26" i="14"/>
  <c r="O26" i="14"/>
  <c r="O27" i="14"/>
  <c r="L27" i="14"/>
  <c r="O28" i="14"/>
  <c r="L28" i="14"/>
  <c r="D18" i="21"/>
  <c r="D19" i="21" s="1"/>
  <c r="L25" i="14"/>
  <c r="D18" i="23"/>
  <c r="D18" i="26"/>
  <c r="D18" i="22"/>
  <c r="D17" i="7"/>
  <c r="L24" i="14" l="1"/>
  <c r="O24" i="14"/>
  <c r="N30" i="14"/>
  <c r="D19" i="26"/>
  <c r="N27" i="14"/>
  <c r="D19" i="23"/>
  <c r="N25" i="14"/>
  <c r="J19" i="29" s="1"/>
  <c r="I36" i="29" s="1"/>
  <c r="N26" i="14"/>
  <c r="D19" i="22"/>
  <c r="D18" i="7"/>
  <c r="N24" i="14" l="1"/>
  <c r="D19" i="7"/>
  <c r="J32" i="29"/>
  <c r="J33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2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3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4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4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4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5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6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6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6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6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6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7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7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7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7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7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HENRIQUE FELICIO</author>
  </authors>
  <commentList>
    <comment ref="I2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 xml:space="preserve">Horas Trabalhadas
</t>
        </r>
      </text>
    </comment>
    <comment ref="J2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 xml:space="preserve">Horas Normais
</t>
        </r>
      </text>
    </comment>
    <comment ref="L2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 xml:space="preserve">Horas Especiais: Acima de 8 horas trabalhadas
</t>
        </r>
      </text>
    </comment>
    <comment ref="M2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Horas sabado</t>
        </r>
      </text>
    </comment>
    <comment ref="N2" authorId="0" shapeId="0" xr:uid="{00000000-0006-0000-0800-000005000000}">
      <text>
        <r>
          <rPr>
            <b/>
            <sz val="9"/>
            <color indexed="81"/>
            <rFont val="Segoe UI"/>
            <family val="2"/>
          </rPr>
          <t>Horas Domingo</t>
        </r>
      </text>
    </comment>
    <comment ref="O2" authorId="0" shapeId="0" xr:uid="{00000000-0006-0000-0800-000006000000}">
      <text>
        <r>
          <rPr>
            <b/>
            <sz val="9"/>
            <color indexed="81"/>
            <rFont val="Segoe UI"/>
            <family val="2"/>
          </rPr>
          <t>Valor do antigo salario</t>
        </r>
      </text>
    </comment>
    <comment ref="P2" authorId="0" shapeId="0" xr:uid="{00000000-0006-0000-0800-000007000000}">
      <text>
        <r>
          <rPr>
            <b/>
            <sz val="9"/>
            <color indexed="81"/>
            <rFont val="Segoe UI"/>
            <family val="2"/>
          </rPr>
          <t>Salario novo sem descontos</t>
        </r>
      </text>
    </comment>
    <comment ref="Q2" authorId="0" shapeId="0" xr:uid="{00000000-0006-0000-0800-000008000000}">
      <text>
        <r>
          <rPr>
            <sz val="9"/>
            <color indexed="81"/>
            <rFont val="Segoe UI"/>
            <family val="2"/>
          </rPr>
          <t>diferença entre salario bruto antigo e novo</t>
        </r>
      </text>
    </comment>
  </commentList>
</comments>
</file>

<file path=xl/sharedStrings.xml><?xml version="1.0" encoding="utf-8"?>
<sst xmlns="http://schemas.openxmlformats.org/spreadsheetml/2006/main" count="252" uniqueCount="82">
  <si>
    <t>Fatec Automotive</t>
  </si>
  <si>
    <t>dia</t>
  </si>
  <si>
    <t>Htrab</t>
  </si>
  <si>
    <t>HN</t>
  </si>
  <si>
    <t>HE</t>
  </si>
  <si>
    <t>Hsab</t>
  </si>
  <si>
    <t>Hdom</t>
  </si>
  <si>
    <t>DSemana</t>
  </si>
  <si>
    <t>Carlão</t>
  </si>
  <si>
    <t>Renatão</t>
  </si>
  <si>
    <t>Jorjão</t>
  </si>
  <si>
    <t>Betão</t>
  </si>
  <si>
    <t>Tonhão</t>
  </si>
  <si>
    <t>Zelão</t>
  </si>
  <si>
    <t>Ditão</t>
  </si>
  <si>
    <t>Dia</t>
  </si>
  <si>
    <t>diferença</t>
  </si>
  <si>
    <t>SalAnt</t>
  </si>
  <si>
    <t>SalAtual</t>
  </si>
  <si>
    <t>pascal</t>
  </si>
  <si>
    <t>ads</t>
  </si>
  <si>
    <t>evento</t>
  </si>
  <si>
    <t>Feriado</t>
  </si>
  <si>
    <t>HFeriado</t>
  </si>
  <si>
    <t xml:space="preserve">Base de calculo </t>
  </si>
  <si>
    <t>Aliquota</t>
  </si>
  <si>
    <t>Parcela a Deduzir</t>
  </si>
  <si>
    <t>INSS</t>
  </si>
  <si>
    <t>N° de  dependentes</t>
  </si>
  <si>
    <t>Salario base</t>
  </si>
  <si>
    <t>Irrf</t>
  </si>
  <si>
    <t>Salario Liquido</t>
  </si>
  <si>
    <t>Informacões Mensais</t>
  </si>
  <si>
    <t>Bruto Antigo</t>
  </si>
  <si>
    <t>Bruto Atual</t>
  </si>
  <si>
    <t>Nome</t>
  </si>
  <si>
    <t>diferença de salarios</t>
  </si>
  <si>
    <r>
      <rPr>
        <sz val="11"/>
        <rFont val="Calibri"/>
        <family val="2"/>
        <scheme val="minor"/>
      </rPr>
      <t>Nome</t>
    </r>
    <r>
      <rPr>
        <sz val="11"/>
        <color theme="0"/>
        <rFont val="Calibri"/>
        <family val="2"/>
        <scheme val="minor"/>
      </rPr>
      <t>n</t>
    </r>
    <r>
      <rPr>
        <b/>
        <sz val="11"/>
        <color theme="0"/>
        <rFont val="Calibri"/>
        <family val="2"/>
        <scheme val="minor"/>
      </rPr>
      <t>ome</t>
    </r>
  </si>
  <si>
    <t>Configurações</t>
  </si>
  <si>
    <t>Informações Mensais</t>
  </si>
  <si>
    <t>Base Cálc. IRRF</t>
  </si>
  <si>
    <t>FGTS do Mês</t>
  </si>
  <si>
    <t>Base Cálc.FGTS</t>
  </si>
  <si>
    <t>Base Cálc. INSS</t>
  </si>
  <si>
    <t>Salário Base</t>
  </si>
  <si>
    <t>/</t>
  </si>
  <si>
    <t>Líquido a Receber-&gt;</t>
  </si>
  <si>
    <t>Total dos Descontos</t>
  </si>
  <si>
    <t>Total dos Vencimentos</t>
  </si>
  <si>
    <t>MENSAGENS</t>
  </si>
  <si>
    <t>DATA</t>
  </si>
  <si>
    <t>Descontos</t>
  </si>
  <si>
    <t>Proventos</t>
  </si>
  <si>
    <t>Referência</t>
  </si>
  <si>
    <t>Descrição</t>
  </si>
  <si>
    <t>Cód.</t>
  </si>
  <si>
    <t>FUNÇÃO</t>
  </si>
  <si>
    <t>CBO</t>
  </si>
  <si>
    <t>NOME DO FUNCIONÁRIO</t>
  </si>
  <si>
    <t>CÓDIGO</t>
  </si>
  <si>
    <t>CNPJ</t>
  </si>
  <si>
    <t>Endereço</t>
  </si>
  <si>
    <t>ASSINATURA DO FUNCIONÁRIO</t>
  </si>
  <si>
    <t>Recibo de Pagamento de Salário</t>
  </si>
  <si>
    <t>EMPREGADOR</t>
  </si>
  <si>
    <t>DECLARO TER RECEBIDO A IMPORTÂNCIA LÍQUIDA DISCRIMINADA NESTE RECIBO.</t>
  </si>
  <si>
    <t>xxxxxxxxxxxxxxxxxxxxxx</t>
  </si>
  <si>
    <t>xxxxx</t>
  </si>
  <si>
    <t>plantonista</t>
  </si>
  <si>
    <t>Rua das empresas, n°42, fatecland</t>
  </si>
  <si>
    <t>inss</t>
  </si>
  <si>
    <t>irrf</t>
  </si>
  <si>
    <t>xxx</t>
  </si>
  <si>
    <t>Salariobase</t>
  </si>
  <si>
    <t>Gráficos</t>
  </si>
  <si>
    <t>Holerite</t>
  </si>
  <si>
    <t>SALÁRIO BRUTO</t>
  </si>
  <si>
    <t>Salario antigo</t>
  </si>
  <si>
    <t>Salario Base</t>
  </si>
  <si>
    <t xml:space="preserve">Gerente </t>
  </si>
  <si>
    <t xml:space="preserve"> </t>
  </si>
  <si>
    <t>Salario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</si>
</sst>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ddd"/>
    <numFmt numFmtId="165" formatCode="&quot;R$&quot;\ #,##0.00"/>
    <numFmt numFmtId="166" formatCode="mmmm\-yy"/>
    <numFmt numFmtId="167" formatCode="mm/yyyy"/>
    <numFmt numFmtId="168" formatCode="mmmm/yyyy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48"/>
      <color rgb="FFFF0000"/>
      <name val="Calibri"/>
      <family val="2"/>
      <scheme val="minor"/>
    </font>
    <font>
      <sz val="48"/>
      <color theme="1"/>
      <name val="Baskerville Old Face"/>
      <family val="1"/>
    </font>
    <font>
      <sz val="12"/>
      <color theme="1"/>
      <name val="Arial"/>
      <family val="2"/>
    </font>
    <font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2" fillId="4" borderId="0" xfId="0" applyFont="1" applyFill="1"/>
    <xf numFmtId="0" fontId="8" fillId="0" borderId="0" xfId="0" applyFont="1" applyFill="1"/>
    <xf numFmtId="0" fontId="0" fillId="5" borderId="0" xfId="0" applyFill="1"/>
    <xf numFmtId="165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5" fontId="0" fillId="7" borderId="0" xfId="0" applyNumberFormat="1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165" fontId="0" fillId="7" borderId="0" xfId="0" applyNumberFormat="1" applyFill="1" applyAlignment="1">
      <alignment horizontal="center"/>
    </xf>
    <xf numFmtId="0" fontId="9" fillId="0" borderId="0" xfId="0" applyFont="1" applyFill="1"/>
    <xf numFmtId="165" fontId="0" fillId="0" borderId="0" xfId="0" applyNumberFormat="1" applyFill="1"/>
    <xf numFmtId="165" fontId="0" fillId="0" borderId="0" xfId="0" applyNumberFormat="1" applyFill="1" applyAlignment="1">
      <alignment horizontal="center"/>
    </xf>
    <xf numFmtId="0" fontId="14" fillId="2" borderId="0" xfId="0" applyFont="1" applyFill="1"/>
    <xf numFmtId="0" fontId="14" fillId="2" borderId="1" xfId="0" applyFont="1" applyFill="1" applyBorder="1"/>
    <xf numFmtId="0" fontId="14" fillId="2" borderId="1" xfId="0" applyFont="1" applyFill="1" applyBorder="1" applyAlignment="1">
      <alignment horizontal="right"/>
    </xf>
    <xf numFmtId="4" fontId="14" fillId="2" borderId="3" xfId="0" applyNumberFormat="1" applyFont="1" applyFill="1" applyBorder="1" applyAlignment="1">
      <alignment horizontal="right"/>
    </xf>
    <xf numFmtId="0" fontId="14" fillId="2" borderId="3" xfId="0" applyFont="1" applyFill="1" applyBorder="1" applyAlignment="1">
      <alignment horizontal="right"/>
    </xf>
    <xf numFmtId="0" fontId="13" fillId="2" borderId="0" xfId="0" applyFont="1" applyFill="1"/>
    <xf numFmtId="0" fontId="13" fillId="2" borderId="4" xfId="0" applyFont="1" applyFill="1" applyBorder="1"/>
    <xf numFmtId="0" fontId="13" fillId="2" borderId="6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4" fillId="2" borderId="4" xfId="0" applyFont="1" applyFill="1" applyBorder="1"/>
    <xf numFmtId="0" fontId="14" fillId="2" borderId="3" xfId="0" applyFont="1" applyFill="1" applyBorder="1"/>
    <xf numFmtId="0" fontId="14" fillId="2" borderId="2" xfId="0" applyFont="1" applyFill="1" applyBorder="1"/>
    <xf numFmtId="0" fontId="18" fillId="2" borderId="4" xfId="0" applyFont="1" applyFill="1" applyBorder="1" applyAlignment="1">
      <alignment textRotation="90"/>
    </xf>
    <xf numFmtId="4" fontId="14" fillId="2" borderId="11" xfId="0" applyNumberFormat="1" applyFont="1" applyFill="1" applyBorder="1"/>
    <xf numFmtId="0" fontId="13" fillId="2" borderId="10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10" xfId="0" applyFont="1" applyFill="1" applyBorder="1" applyAlignment="1">
      <alignment horizontal="left"/>
    </xf>
    <xf numFmtId="4" fontId="14" fillId="2" borderId="11" xfId="1" applyNumberFormat="1" applyFont="1" applyFill="1" applyBorder="1"/>
    <xf numFmtId="2" fontId="14" fillId="2" borderId="11" xfId="0" applyNumberFormat="1" applyFont="1" applyFill="1" applyBorder="1" applyAlignment="1">
      <alignment horizontal="right"/>
    </xf>
    <xf numFmtId="0" fontId="14" fillId="2" borderId="11" xfId="0" applyFont="1" applyFill="1" applyBorder="1" applyAlignment="1">
      <alignment horizontal="right"/>
    </xf>
    <xf numFmtId="0" fontId="14" fillId="2" borderId="0" xfId="0" applyFont="1" applyFill="1" applyBorder="1"/>
    <xf numFmtId="4" fontId="14" fillId="2" borderId="11" xfId="1" applyNumberFormat="1" applyFont="1" applyFill="1" applyBorder="1" applyAlignment="1">
      <alignment vertical="center"/>
    </xf>
    <xf numFmtId="2" fontId="14" fillId="2" borderId="11" xfId="0" applyNumberFormat="1" applyFont="1" applyFill="1" applyBorder="1" applyAlignment="1">
      <alignment horizontal="right" vertical="center"/>
    </xf>
    <xf numFmtId="0" fontId="14" fillId="2" borderId="11" xfId="0" applyFont="1" applyFill="1" applyBorder="1" applyAlignment="1">
      <alignment horizontal="right" vertical="center"/>
    </xf>
    <xf numFmtId="2" fontId="14" fillId="2" borderId="11" xfId="0" quotePrefix="1" applyNumberFormat="1" applyFont="1" applyFill="1" applyBorder="1" applyAlignment="1">
      <alignment horizontal="center" vertical="center"/>
    </xf>
    <xf numFmtId="0" fontId="14" fillId="2" borderId="11" xfId="0" quotePrefix="1" applyFont="1" applyFill="1" applyBorder="1" applyAlignment="1">
      <alignment horizontal="right" vertical="center"/>
    </xf>
    <xf numFmtId="0" fontId="19" fillId="2" borderId="11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14" fillId="2" borderId="0" xfId="0" applyFont="1" applyFill="1" applyAlignment="1">
      <alignment vertical="center"/>
    </xf>
    <xf numFmtId="0" fontId="14" fillId="2" borderId="4" xfId="0" applyFont="1" applyFill="1" applyBorder="1" applyAlignment="1">
      <alignment vertical="center"/>
    </xf>
    <xf numFmtId="0" fontId="16" fillId="2" borderId="5" xfId="0" quotePrefix="1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13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20" fillId="2" borderId="0" xfId="0" applyFont="1" applyFill="1"/>
    <xf numFmtId="0" fontId="20" fillId="2" borderId="4" xfId="0" applyFont="1" applyFill="1" applyBorder="1"/>
    <xf numFmtId="0" fontId="20" fillId="2" borderId="0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14" fillId="2" borderId="8" xfId="0" applyFont="1" applyFill="1" applyBorder="1"/>
    <xf numFmtId="0" fontId="14" fillId="2" borderId="7" xfId="0" applyFont="1" applyFill="1" applyBorder="1"/>
    <xf numFmtId="0" fontId="16" fillId="2" borderId="7" xfId="0" applyFont="1" applyFill="1" applyBorder="1"/>
    <xf numFmtId="0" fontId="14" fillId="2" borderId="6" xfId="0" applyFont="1" applyFill="1" applyBorder="1"/>
    <xf numFmtId="0" fontId="16" fillId="2" borderId="0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right"/>
    </xf>
    <xf numFmtId="0" fontId="21" fillId="2" borderId="0" xfId="0" applyFont="1" applyFill="1"/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1" xfId="0" applyFont="1" applyFill="1" applyBorder="1"/>
    <xf numFmtId="0" fontId="11" fillId="0" borderId="0" xfId="0" applyFont="1" applyFill="1" applyAlignment="1">
      <alignment vertical="center"/>
    </xf>
    <xf numFmtId="0" fontId="7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Protection="1"/>
    <xf numFmtId="0" fontId="11" fillId="0" borderId="0" xfId="0" applyFont="1" applyFill="1" applyAlignment="1" applyProtection="1">
      <alignment vertical="center"/>
    </xf>
    <xf numFmtId="165" fontId="0" fillId="0" borderId="0" xfId="0" applyNumberFormat="1" applyAlignment="1" applyProtection="1">
      <alignment horizontal="center"/>
    </xf>
    <xf numFmtId="0" fontId="0" fillId="6" borderId="0" xfId="0" applyFill="1" applyAlignment="1" applyProtection="1"/>
    <xf numFmtId="0" fontId="0" fillId="6" borderId="0" xfId="0" applyFill="1" applyAlignment="1" applyProtection="1">
      <alignment horizontal="center"/>
    </xf>
    <xf numFmtId="16" fontId="0" fillId="0" borderId="0" xfId="0" applyNumberFormat="1" applyProtection="1"/>
    <xf numFmtId="0" fontId="0" fillId="7" borderId="0" xfId="0" applyFill="1" applyProtection="1"/>
    <xf numFmtId="165" fontId="0" fillId="7" borderId="0" xfId="0" applyNumberFormat="1" applyFill="1" applyAlignment="1" applyProtection="1">
      <alignment horizontal="center"/>
    </xf>
    <xf numFmtId="0" fontId="0" fillId="8" borderId="0" xfId="0" applyFill="1" applyAlignment="1" applyProtection="1"/>
    <xf numFmtId="0" fontId="0" fillId="8" borderId="0" xfId="0" applyFill="1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8" borderId="0" xfId="0" applyFill="1" applyProtection="1"/>
    <xf numFmtId="167" fontId="0" fillId="0" borderId="0" xfId="0" applyNumberFormat="1" applyProtection="1"/>
    <xf numFmtId="0" fontId="9" fillId="9" borderId="0" xfId="0" applyFont="1" applyFill="1" applyProtection="1"/>
    <xf numFmtId="0" fontId="9" fillId="0" borderId="0" xfId="0" applyFont="1" applyFill="1" applyProtection="1"/>
    <xf numFmtId="165" fontId="0" fillId="0" borderId="0" xfId="0" applyNumberFormat="1" applyProtection="1"/>
    <xf numFmtId="0" fontId="0" fillId="0" borderId="0" xfId="0" applyFill="1" applyProtection="1"/>
    <xf numFmtId="165" fontId="0" fillId="7" borderId="0" xfId="0" applyNumberFormat="1" applyFill="1" applyProtection="1"/>
    <xf numFmtId="0" fontId="19" fillId="2" borderId="5" xfId="0" applyFont="1" applyFill="1" applyBorder="1" applyAlignment="1">
      <alignment horizontal="right"/>
    </xf>
    <xf numFmtId="4" fontId="14" fillId="2" borderId="2" xfId="0" applyNumberFormat="1" applyFont="1" applyFill="1" applyBorder="1" applyAlignment="1"/>
    <xf numFmtId="4" fontId="14" fillId="2" borderId="3" xfId="0" applyNumberFormat="1" applyFont="1" applyFill="1" applyBorder="1" applyAlignment="1"/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4" fontId="16" fillId="2" borderId="10" xfId="0" applyNumberFormat="1" applyFont="1" applyFill="1" applyBorder="1" applyAlignment="1">
      <alignment horizontal="right" vertical="center"/>
    </xf>
    <xf numFmtId="4" fontId="16" fillId="2" borderId="9" xfId="0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4" xfId="0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 vertical="center" textRotation="90"/>
    </xf>
    <xf numFmtId="166" fontId="16" fillId="2" borderId="4" xfId="0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9" fillId="2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5" fillId="2" borderId="8" xfId="0" applyFont="1" applyFill="1" applyBorder="1" applyAlignment="1">
      <alignment horizontal="left" textRotation="90"/>
    </xf>
    <xf numFmtId="0" fontId="15" fillId="2" borderId="5" xfId="0" applyFont="1" applyFill="1" applyBorder="1" applyAlignment="1">
      <alignment horizontal="left" textRotation="90"/>
    </xf>
    <xf numFmtId="0" fontId="15" fillId="2" borderId="2" xfId="0" applyFont="1" applyFill="1" applyBorder="1" applyAlignment="1">
      <alignment horizontal="left" textRotation="90"/>
    </xf>
    <xf numFmtId="0" fontId="14" fillId="2" borderId="5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168" fontId="14" fillId="2" borderId="0" xfId="0" applyNumberFormat="1" applyFont="1" applyFill="1" applyBorder="1" applyAlignment="1">
      <alignment horizontal="center"/>
    </xf>
    <xf numFmtId="168" fontId="14" fillId="2" borderId="4" xfId="0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 vertical="justify" textRotation="90"/>
    </xf>
    <xf numFmtId="0" fontId="14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1" fillId="7" borderId="0" xfId="0" applyFont="1" applyFill="1" applyAlignment="1" applyProtection="1">
      <alignment horizontal="center" vertical="center"/>
    </xf>
  </cellXfs>
  <cellStyles count="2">
    <cellStyle name="Moeda" xfId="1" builtinId="4"/>
    <cellStyle name="Normal" xfId="0" builtinId="0"/>
  </cellStyles>
  <dxfs count="121">
    <dxf>
      <protection locked="1" hidden="0"/>
    </dxf>
    <dxf>
      <numFmt numFmtId="21" formatCode="dd/mmm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1" formatCode="dd/mmm"/>
      <protection locked="1" hidden="0"/>
    </dxf>
    <dxf>
      <numFmt numFmtId="21" formatCode="dd/mmm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colors>
    <mruColors>
      <color rgb="FFFF8E1D"/>
      <color rgb="FFFF99FF"/>
      <color rgb="FFCCECFF"/>
      <color rgb="FFCCFFFF"/>
      <color rgb="FF99FF99"/>
      <color rgb="FF66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Bruta Mensal entre salario antigo e novo</a:t>
            </a:r>
          </a:p>
        </c:rich>
      </c:tx>
      <c:layout>
        <c:manualLayout>
          <c:xMode val="edge"/>
          <c:yMode val="edge"/>
          <c:x val="0.15706624458202265"/>
          <c:y val="8.85927720573389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797364615137394"/>
          <c:y val="0.28327796234772978"/>
          <c:w val="0.76121002731801379"/>
          <c:h val="0.441155204436654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Configurações!$P$13</c:f>
              <c:strCache>
                <c:ptCount val="1"/>
                <c:pt idx="0">
                  <c:v>Bruto Antigo</c:v>
                </c:pt>
              </c:strCache>
            </c:strRef>
          </c:tx>
          <c:spPr>
            <a:solidFill>
              <a:srgbClr val="FF8E1D"/>
            </a:solidFill>
            <a:ln w="9525" cap="flat" cmpd="sng" algn="ctr">
              <a:solidFill>
                <a:srgbClr val="FF8E1D"/>
              </a:solidFill>
              <a:round/>
            </a:ln>
            <a:effectLst/>
            <a:sp3d contourW="9525">
              <a:contourClr>
                <a:srgbClr val="FF8E1D"/>
              </a:contourClr>
            </a:sp3d>
          </c:spPr>
          <c:invertIfNegative val="0"/>
          <c:cat>
            <c:strRef>
              <c:f>Configurações!$O$14:$O$20</c:f>
              <c:strCache>
                <c:ptCount val="7"/>
                <c:pt idx="0">
                  <c:v>Carlão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Zelão</c:v>
                </c:pt>
                <c:pt idx="6">
                  <c:v>Ditão</c:v>
                </c:pt>
              </c:strCache>
            </c:strRef>
          </c:cat>
          <c:val>
            <c:numRef>
              <c:f>Configurações!$P$14:$P$20</c:f>
              <c:numCache>
                <c:formatCode>"R$"\ #,##0.00</c:formatCode>
                <c:ptCount val="7"/>
                <c:pt idx="0">
                  <c:v>3434</c:v>
                </c:pt>
                <c:pt idx="1">
                  <c:v>3383</c:v>
                </c:pt>
                <c:pt idx="2">
                  <c:v>3247</c:v>
                </c:pt>
                <c:pt idx="3">
                  <c:v>1156</c:v>
                </c:pt>
                <c:pt idx="4">
                  <c:v>4692</c:v>
                </c:pt>
                <c:pt idx="5">
                  <c:v>3196</c:v>
                </c:pt>
                <c:pt idx="6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E-4D94-A96E-57AEADB9DE0D}"/>
            </c:ext>
          </c:extLst>
        </c:ser>
        <c:ser>
          <c:idx val="1"/>
          <c:order val="1"/>
          <c:tx>
            <c:strRef>
              <c:f>Configurações!$Q$13</c:f>
              <c:strCache>
                <c:ptCount val="1"/>
                <c:pt idx="0">
                  <c:v>Bruto Atual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Configurações!$O$14:$O$20</c:f>
              <c:strCache>
                <c:ptCount val="7"/>
                <c:pt idx="0">
                  <c:v>Carlão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Zelão</c:v>
                </c:pt>
                <c:pt idx="6">
                  <c:v>Ditão</c:v>
                </c:pt>
              </c:strCache>
            </c:strRef>
          </c:cat>
          <c:val>
            <c:numRef>
              <c:f>Configurações!$Q$14:$Q$20</c:f>
              <c:numCache>
                <c:formatCode>"R$"\ #,##0.00</c:formatCode>
                <c:ptCount val="7"/>
                <c:pt idx="0">
                  <c:v>4423.2</c:v>
                </c:pt>
                <c:pt idx="1">
                  <c:v>4206.8</c:v>
                </c:pt>
                <c:pt idx="2">
                  <c:v>4182.6999999999989</c:v>
                </c:pt>
                <c:pt idx="3">
                  <c:v>1428.1999999999998</c:v>
                </c:pt>
                <c:pt idx="4">
                  <c:v>6023.7</c:v>
                </c:pt>
                <c:pt idx="5">
                  <c:v>4006.2000000000003</c:v>
                </c:pt>
                <c:pt idx="6">
                  <c:v>5790.6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E-4D94-A96E-57AEADB9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269328"/>
        <c:axId val="183269888"/>
        <c:axId val="0"/>
      </c:bar3DChart>
      <c:catAx>
        <c:axId val="1832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69888"/>
        <c:crosses val="autoZero"/>
        <c:auto val="1"/>
        <c:lblAlgn val="ctr"/>
        <c:lblOffset val="100"/>
        <c:noMultiLvlLbl val="0"/>
      </c:catAx>
      <c:valAx>
        <c:axId val="1832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</a:t>
            </a:r>
            <a:r>
              <a:rPr lang="en-US" baseline="0"/>
              <a:t> de gastos com novos salários (atual - antigo)</a:t>
            </a:r>
            <a:endParaRPr lang="en-US"/>
          </a:p>
        </c:rich>
      </c:tx>
      <c:layout>
        <c:manualLayout>
          <c:xMode val="edge"/>
          <c:yMode val="edge"/>
          <c:x val="0.10640476075642796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425719992015541"/>
          <c:y val="0.32822366230769817"/>
          <c:w val="0.80070769771489148"/>
          <c:h val="0.593714369619881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Configurações!$L$14</c:f>
              <c:strCache>
                <c:ptCount val="1"/>
                <c:pt idx="0">
                  <c:v>diferença de salarios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Configurações!$K$15:$K$21</c:f>
              <c:strCache>
                <c:ptCount val="7"/>
                <c:pt idx="0">
                  <c:v>Carlão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Zelão</c:v>
                </c:pt>
                <c:pt idx="6">
                  <c:v>Ditão</c:v>
                </c:pt>
              </c:strCache>
            </c:strRef>
          </c:cat>
          <c:val>
            <c:numRef>
              <c:f>Configurações!$L$15:$L$21</c:f>
              <c:numCache>
                <c:formatCode>"R$"\ #,##0.00</c:formatCode>
                <c:ptCount val="7"/>
                <c:pt idx="0">
                  <c:v>989.19999999999982</c:v>
                </c:pt>
                <c:pt idx="1">
                  <c:v>823.80000000000018</c:v>
                </c:pt>
                <c:pt idx="2">
                  <c:v>935.69999999999891</c:v>
                </c:pt>
                <c:pt idx="3">
                  <c:v>272.19999999999982</c:v>
                </c:pt>
                <c:pt idx="4">
                  <c:v>1331.6999999999998</c:v>
                </c:pt>
                <c:pt idx="5">
                  <c:v>810.20000000000027</c:v>
                </c:pt>
                <c:pt idx="6">
                  <c:v>1268.6000000000004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5D9-9FB0-1B283FC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272688"/>
        <c:axId val="183273248"/>
        <c:axId val="0"/>
      </c:bar3DChart>
      <c:catAx>
        <c:axId val="1832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73248"/>
        <c:crosses val="autoZero"/>
        <c:auto val="1"/>
        <c:lblAlgn val="ctr"/>
        <c:lblOffset val="100"/>
        <c:noMultiLvlLbl val="0"/>
      </c:catAx>
      <c:valAx>
        <c:axId val="183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Parcela de gastos totais com funcionarios atualmente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13279132791322E-2"/>
          <c:y val="0.21284754939798828"/>
          <c:w val="0.74179981408573925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34-4A06-9F44-C33FDD357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34-4A06-9F44-C33FDD3578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34-4A06-9F44-C33FDD3578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34-4A06-9F44-C33FDD3578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34-4A06-9F44-C33FDD3578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34-4A06-9F44-C33FDD3578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34-4A06-9F44-C33FDD3578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Configurações!$K$5:$K$11</c:f>
              <c:strCache>
                <c:ptCount val="7"/>
                <c:pt idx="0">
                  <c:v>Carlão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Zelão</c:v>
                </c:pt>
                <c:pt idx="6">
                  <c:v>Ditão</c:v>
                </c:pt>
              </c:strCache>
            </c:strRef>
          </c:cat>
          <c:val>
            <c:numRef>
              <c:f>Configurações!$L$5:$L$11</c:f>
              <c:numCache>
                <c:formatCode>"R$"\ #,##0.00</c:formatCode>
                <c:ptCount val="7"/>
                <c:pt idx="0">
                  <c:v>4423.2</c:v>
                </c:pt>
                <c:pt idx="1">
                  <c:v>4206.8</c:v>
                </c:pt>
                <c:pt idx="2">
                  <c:v>4182.6999999999989</c:v>
                </c:pt>
                <c:pt idx="3">
                  <c:v>1428.1999999999998</c:v>
                </c:pt>
                <c:pt idx="4">
                  <c:v>6023.7</c:v>
                </c:pt>
                <c:pt idx="5">
                  <c:v>4006.2000000000003</c:v>
                </c:pt>
                <c:pt idx="6">
                  <c:v>5790.6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34-4A06-9F44-C33FDD3578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figura&#231;&#245;es!A1"/><Relationship Id="rId3" Type="http://schemas.openxmlformats.org/officeDocument/2006/relationships/hyperlink" Target="#Jorj&#227;o!A1"/><Relationship Id="rId7" Type="http://schemas.openxmlformats.org/officeDocument/2006/relationships/hyperlink" Target="#Dit&#227;o!A1"/><Relationship Id="rId2" Type="http://schemas.openxmlformats.org/officeDocument/2006/relationships/hyperlink" Target="#Tonh&#227;o!A1"/><Relationship Id="rId1" Type="http://schemas.openxmlformats.org/officeDocument/2006/relationships/hyperlink" Target="#Carl&#227;o!A1"/><Relationship Id="rId6" Type="http://schemas.openxmlformats.org/officeDocument/2006/relationships/hyperlink" Target="#Zel&#227;o!A1"/><Relationship Id="rId11" Type="http://schemas.openxmlformats.org/officeDocument/2006/relationships/hyperlink" Target="#Gr&#225;ficos!A1"/><Relationship Id="rId5" Type="http://schemas.openxmlformats.org/officeDocument/2006/relationships/hyperlink" Target="#Bet&#227;o!A1"/><Relationship Id="rId10" Type="http://schemas.openxmlformats.org/officeDocument/2006/relationships/hyperlink" Target="#Holerite!A1"/><Relationship Id="rId4" Type="http://schemas.openxmlformats.org/officeDocument/2006/relationships/hyperlink" Target="#Renat&#227;o!A1"/><Relationship Id="rId9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4</xdr:col>
      <xdr:colOff>600075</xdr:colOff>
      <xdr:row>7</xdr:row>
      <xdr:rowOff>180975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390525"/>
          <a:ext cx="2428875" cy="1123950"/>
        </a:xfrm>
        <a:custGeom>
          <a:avLst/>
          <a:gdLst>
            <a:gd name="connsiteX0" fmla="*/ 0 w 2505075"/>
            <a:gd name="connsiteY0" fmla="*/ 0 h 1219200"/>
            <a:gd name="connsiteX1" fmla="*/ 2505075 w 2505075"/>
            <a:gd name="connsiteY1" fmla="*/ 0 h 1219200"/>
            <a:gd name="connsiteX2" fmla="*/ 2505075 w 2505075"/>
            <a:gd name="connsiteY2" fmla="*/ 1219200 h 1219200"/>
            <a:gd name="connsiteX3" fmla="*/ 0 w 2505075"/>
            <a:gd name="connsiteY3" fmla="*/ 1219200 h 1219200"/>
            <a:gd name="connsiteX4" fmla="*/ 0 w 2505075"/>
            <a:gd name="connsiteY4" fmla="*/ 0 h 1219200"/>
            <a:gd name="connsiteX0" fmla="*/ 9525 w 2514600"/>
            <a:gd name="connsiteY0" fmla="*/ 0 h 1219200"/>
            <a:gd name="connsiteX1" fmla="*/ 2514600 w 2514600"/>
            <a:gd name="connsiteY1" fmla="*/ 0 h 1219200"/>
            <a:gd name="connsiteX2" fmla="*/ 2514600 w 2514600"/>
            <a:gd name="connsiteY2" fmla="*/ 1219200 h 1219200"/>
            <a:gd name="connsiteX3" fmla="*/ 0 w 2514600"/>
            <a:gd name="connsiteY3" fmla="*/ 1219200 h 1219200"/>
            <a:gd name="connsiteX4" fmla="*/ 9525 w 2514600"/>
            <a:gd name="connsiteY4" fmla="*/ 0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14600" h="1219200">
              <a:moveTo>
                <a:pt x="9525" y="0"/>
              </a:moveTo>
              <a:lnTo>
                <a:pt x="2514600" y="0"/>
              </a:lnTo>
              <a:lnTo>
                <a:pt x="2514600" y="1219200"/>
              </a:lnTo>
              <a:lnTo>
                <a:pt x="0" y="1219200"/>
              </a:lnTo>
              <a:lnTo>
                <a:pt x="9525" y="0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Carlão</a:t>
          </a:r>
        </a:p>
      </xdr:txBody>
    </xdr:sp>
    <xdr:clientData/>
  </xdr:twoCellAnchor>
  <xdr:twoCellAnchor>
    <xdr:from>
      <xdr:col>5</xdr:col>
      <xdr:colOff>600076</xdr:colOff>
      <xdr:row>22</xdr:row>
      <xdr:rowOff>9525</xdr:rowOff>
    </xdr:from>
    <xdr:to>
      <xdr:col>10</xdr:col>
      <xdr:colOff>9526</xdr:colOff>
      <xdr:row>28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48076" y="4200525"/>
          <a:ext cx="2457450" cy="11334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Tonhão</a:t>
          </a:r>
        </a:p>
      </xdr:txBody>
    </xdr:sp>
    <xdr:clientData/>
  </xdr:twoCellAnchor>
  <xdr:twoCellAnchor>
    <xdr:from>
      <xdr:col>6</xdr:col>
      <xdr:colOff>9526</xdr:colOff>
      <xdr:row>2</xdr:row>
      <xdr:rowOff>9525</xdr:rowOff>
    </xdr:from>
    <xdr:to>
      <xdr:col>10</xdr:col>
      <xdr:colOff>9526</xdr:colOff>
      <xdr:row>7</xdr:row>
      <xdr:rowOff>180975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667126" y="390525"/>
          <a:ext cx="2438400" cy="11239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Jorjão</a:t>
          </a:r>
        </a:p>
      </xdr:txBody>
    </xdr:sp>
    <xdr:clientData/>
  </xdr:twoCellAnchor>
  <xdr:twoCellAnchor>
    <xdr:from>
      <xdr:col>1</xdr:col>
      <xdr:colOff>0</xdr:colOff>
      <xdr:row>22</xdr:row>
      <xdr:rowOff>9525</xdr:rowOff>
    </xdr:from>
    <xdr:to>
      <xdr:col>4</xdr:col>
      <xdr:colOff>600075</xdr:colOff>
      <xdr:row>27</xdr:row>
      <xdr:rowOff>171450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4200525"/>
          <a:ext cx="2428875" cy="11144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Renatão</a:t>
          </a: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15</xdr:col>
      <xdr:colOff>600075</xdr:colOff>
      <xdr:row>8</xdr:row>
      <xdr:rowOff>9525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315200" y="381000"/>
          <a:ext cx="2428875" cy="1152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Betão</a:t>
          </a:r>
        </a:p>
      </xdr:txBody>
    </xdr:sp>
    <xdr:clientData/>
  </xdr:twoCellAnchor>
  <xdr:twoCellAnchor>
    <xdr:from>
      <xdr:col>12</xdr:col>
      <xdr:colOff>0</xdr:colOff>
      <xdr:row>22</xdr:row>
      <xdr:rowOff>9525</xdr:rowOff>
    </xdr:from>
    <xdr:to>
      <xdr:col>15</xdr:col>
      <xdr:colOff>600075</xdr:colOff>
      <xdr:row>28</xdr:row>
      <xdr:rowOff>9525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315200" y="4200525"/>
          <a:ext cx="2428875" cy="1143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Zelão</a:t>
          </a:r>
        </a:p>
      </xdr:txBody>
    </xdr:sp>
    <xdr:clientData/>
  </xdr:twoCellAnchor>
  <xdr:twoCellAnchor>
    <xdr:from>
      <xdr:col>17</xdr:col>
      <xdr:colOff>9526</xdr:colOff>
      <xdr:row>2</xdr:row>
      <xdr:rowOff>0</xdr:rowOff>
    </xdr:from>
    <xdr:to>
      <xdr:col>20</xdr:col>
      <xdr:colOff>600076</xdr:colOff>
      <xdr:row>8</xdr:row>
      <xdr:rowOff>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372726" y="381000"/>
          <a:ext cx="2419350" cy="1143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Ditão</a:t>
          </a:r>
        </a:p>
      </xdr:txBody>
    </xdr:sp>
    <xdr:clientData/>
  </xdr:twoCellAnchor>
  <xdr:twoCellAnchor>
    <xdr:from>
      <xdr:col>16</xdr:col>
      <xdr:colOff>600075</xdr:colOff>
      <xdr:row>21</xdr:row>
      <xdr:rowOff>180975</xdr:rowOff>
    </xdr:from>
    <xdr:to>
      <xdr:col>21</xdr:col>
      <xdr:colOff>0</xdr:colOff>
      <xdr:row>28</xdr:row>
      <xdr:rowOff>9525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0353675" y="4181475"/>
          <a:ext cx="2447925" cy="1162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Configurações</a:t>
          </a:r>
        </a:p>
      </xdr:txBody>
    </xdr:sp>
    <xdr:clientData/>
  </xdr:twoCellAnchor>
  <xdr:twoCellAnchor editAs="oneCell">
    <xdr:from>
      <xdr:col>13</xdr:col>
      <xdr:colOff>180975</xdr:colOff>
      <xdr:row>11</xdr:row>
      <xdr:rowOff>171450</xdr:rowOff>
    </xdr:from>
    <xdr:to>
      <xdr:col>15</xdr:col>
      <xdr:colOff>276225</xdr:colOff>
      <xdr:row>18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" r="659"/>
        <a:stretch/>
      </xdr:blipFill>
      <xdr:spPr>
        <a:xfrm>
          <a:off x="8105775" y="2266950"/>
          <a:ext cx="1314450" cy="13144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0</xdr:rowOff>
    </xdr:from>
    <xdr:to>
      <xdr:col>5</xdr:col>
      <xdr:colOff>0</xdr:colOff>
      <xdr:row>17</xdr:row>
      <xdr:rowOff>180975</xdr:rowOff>
    </xdr:to>
    <xdr:sp macro="" textlink="">
      <xdr:nvSpPr>
        <xdr:cNvPr id="11" name="Retângulo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9125" y="2286000"/>
          <a:ext cx="2428875" cy="11334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Holerite</a:t>
          </a:r>
        </a:p>
      </xdr:txBody>
    </xdr:sp>
    <xdr:clientData/>
  </xdr:twoCellAnchor>
  <xdr:twoCellAnchor>
    <xdr:from>
      <xdr:col>17</xdr:col>
      <xdr:colOff>9526</xdr:colOff>
      <xdr:row>12</xdr:row>
      <xdr:rowOff>0</xdr:rowOff>
    </xdr:from>
    <xdr:to>
      <xdr:col>20</xdr:col>
      <xdr:colOff>600076</xdr:colOff>
      <xdr:row>18</xdr:row>
      <xdr:rowOff>9525</xdr:rowOff>
    </xdr:to>
    <xdr:sp macro="" textlink="">
      <xdr:nvSpPr>
        <xdr:cNvPr id="14" name="Retâ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372726" y="2286000"/>
          <a:ext cx="2419350" cy="1152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390527</xdr:colOff>
      <xdr:row>3</xdr:row>
      <xdr:rowOff>1</xdr:rowOff>
    </xdr:from>
    <xdr:to>
      <xdr:col>14</xdr:col>
      <xdr:colOff>123824</xdr:colOff>
      <xdr:row>22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533397</xdr:colOff>
      <xdr:row>2</xdr:row>
      <xdr:rowOff>180975</xdr:rowOff>
    </xdr:from>
    <xdr:to>
      <xdr:col>21</xdr:col>
      <xdr:colOff>295274</xdr:colOff>
      <xdr:row>21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3</xdr:row>
      <xdr:rowOff>19050</xdr:rowOff>
    </xdr:from>
    <xdr:to>
      <xdr:col>6</xdr:col>
      <xdr:colOff>600075</xdr:colOff>
      <xdr:row>22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266700</xdr:colOff>
      <xdr:row>0</xdr:row>
      <xdr:rowOff>0</xdr:rowOff>
    </xdr:from>
    <xdr:to>
      <xdr:col>21</xdr:col>
      <xdr:colOff>190500</xdr:colOff>
      <xdr:row>2</xdr:row>
      <xdr:rowOff>152400</xdr:rowOff>
    </xdr:to>
    <xdr:pic>
      <xdr:nvPicPr>
        <xdr:cNvPr id="7" name="Imagem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3475" y="0"/>
          <a:ext cx="533400" cy="533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371475</xdr:colOff>
      <xdr:row>0</xdr:row>
      <xdr:rowOff>66675</xdr:rowOff>
    </xdr:from>
    <xdr:to>
      <xdr:col>20</xdr:col>
      <xdr:colOff>295275</xdr:colOff>
      <xdr:row>3</xdr:row>
      <xdr:rowOff>19050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7300" y="66675"/>
          <a:ext cx="53340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571500</xdr:colOff>
      <xdr:row>3</xdr:row>
      <xdr:rowOff>161925</xdr:rowOff>
    </xdr:from>
    <xdr:to>
      <xdr:col>21</xdr:col>
      <xdr:colOff>495300</xdr:colOff>
      <xdr:row>7</xdr:row>
      <xdr:rowOff>9525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0" y="676275"/>
          <a:ext cx="533400" cy="533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124094</xdr:colOff>
      <xdr:row>0</xdr:row>
      <xdr:rowOff>116447</xdr:rowOff>
    </xdr:from>
    <xdr:to>
      <xdr:col>20</xdr:col>
      <xdr:colOff>47894</xdr:colOff>
      <xdr:row>3</xdr:row>
      <xdr:rowOff>68822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7944" y="116447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</xdr:row>
      <xdr:rowOff>9525</xdr:rowOff>
    </xdr:from>
    <xdr:to>
      <xdr:col>3</xdr:col>
      <xdr:colOff>0</xdr:colOff>
      <xdr:row>7</xdr:row>
      <xdr:rowOff>189091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400050"/>
          <a:ext cx="1209674" cy="11320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61978</xdr:colOff>
      <xdr:row>0</xdr:row>
      <xdr:rowOff>75808</xdr:rowOff>
    </xdr:from>
    <xdr:to>
      <xdr:col>19</xdr:col>
      <xdr:colOff>595378</xdr:colOff>
      <xdr:row>3</xdr:row>
      <xdr:rowOff>22963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5828" y="75808"/>
          <a:ext cx="533400" cy="5281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</xdr:row>
      <xdr:rowOff>9525</xdr:rowOff>
    </xdr:from>
    <xdr:to>
      <xdr:col>3</xdr:col>
      <xdr:colOff>19050</xdr:colOff>
      <xdr:row>8</xdr:row>
      <xdr:rowOff>19051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00050"/>
          <a:ext cx="1228725" cy="11525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99786</xdr:colOff>
      <xdr:row>0</xdr:row>
      <xdr:rowOff>68036</xdr:rowOff>
    </xdr:from>
    <xdr:to>
      <xdr:col>20</xdr:col>
      <xdr:colOff>26307</xdr:colOff>
      <xdr:row>3</xdr:row>
      <xdr:rowOff>29483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636" y="68036"/>
          <a:ext cx="536121" cy="54247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190500</xdr:rowOff>
    </xdr:from>
    <xdr:to>
      <xdr:col>3</xdr:col>
      <xdr:colOff>0</xdr:colOff>
      <xdr:row>7</xdr:row>
      <xdr:rowOff>6984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81000"/>
          <a:ext cx="1209675" cy="9690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85312</xdr:colOff>
      <xdr:row>0</xdr:row>
      <xdr:rowOff>59497</xdr:rowOff>
    </xdr:from>
    <xdr:to>
      <xdr:col>20</xdr:col>
      <xdr:colOff>6903</xdr:colOff>
      <xdr:row>3</xdr:row>
      <xdr:rowOff>9111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9162" y="59497"/>
          <a:ext cx="531191" cy="530639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</xdr:row>
      <xdr:rowOff>0</xdr:rowOff>
    </xdr:from>
    <xdr:to>
      <xdr:col>3</xdr:col>
      <xdr:colOff>9524</xdr:colOff>
      <xdr:row>8</xdr:row>
      <xdr:rowOff>3810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390525"/>
          <a:ext cx="1228725" cy="1146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28576</xdr:colOff>
      <xdr:row>0</xdr:row>
      <xdr:rowOff>76200</xdr:rowOff>
    </xdr:from>
    <xdr:to>
      <xdr:col>19</xdr:col>
      <xdr:colOff>561976</xdr:colOff>
      <xdr:row>3</xdr:row>
      <xdr:rowOff>28575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76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9525</xdr:colOff>
      <xdr:row>8</xdr:row>
      <xdr:rowOff>26309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0525"/>
          <a:ext cx="1228725" cy="11693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54349</xdr:colOff>
      <xdr:row>0</xdr:row>
      <xdr:rowOff>104215</xdr:rowOff>
    </xdr:from>
    <xdr:to>
      <xdr:col>19</xdr:col>
      <xdr:colOff>594473</xdr:colOff>
      <xdr:row>3</xdr:row>
      <xdr:rowOff>56590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8199" y="104215"/>
          <a:ext cx="540124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190501</xdr:rowOff>
    </xdr:from>
    <xdr:to>
      <xdr:col>3</xdr:col>
      <xdr:colOff>9525</xdr:colOff>
      <xdr:row>7</xdr:row>
      <xdr:rowOff>180976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81001"/>
          <a:ext cx="1219200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104776</xdr:colOff>
      <xdr:row>0</xdr:row>
      <xdr:rowOff>38100</xdr:rowOff>
    </xdr:from>
    <xdr:to>
      <xdr:col>20</xdr:col>
      <xdr:colOff>28576</xdr:colOff>
      <xdr:row>2</xdr:row>
      <xdr:rowOff>180975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6" y="381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0</xdr:colOff>
      <xdr:row>8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0525"/>
          <a:ext cx="1219200" cy="1162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Renatão3" displayName="TabRenatão3" ref="F2:Q33" totalsRowShown="0" headerRowDxfId="120" dataDxfId="119">
  <autoFilter ref="F2:Q33" xr:uid="{00000000-0009-0000-0100-000002000000}"/>
  <tableColumns count="12">
    <tableColumn id="1" xr3:uid="{00000000-0010-0000-0000-000001000000}" name="dia" dataDxfId="118"/>
    <tableColumn id="2" xr3:uid="{00000000-0010-0000-0000-000002000000}" name="DSemana" dataDxfId="117">
      <calculatedColumnFormula>WEEKDAY(F3)</calculatedColumnFormula>
    </tableColumn>
    <tableColumn id="12" xr3:uid="{00000000-0010-0000-0000-00000C000000}" name="Feriado" dataDxfId="116">
      <calculatedColumnFormula>IF(TabRenatão3[[#This Row],[dia]]=IFERROR(VLOOKUP(TabRenatão3[[#This Row],[dia]],Tabela1[],1,FALSE),"erro"),"Sim","Não")</calculatedColumnFormula>
    </tableColumn>
    <tableColumn id="3" xr3:uid="{00000000-0010-0000-0000-000003000000}" name="Htrab" dataDxfId="115">
      <calculatedColumnFormula>VLOOKUP(TabRenatão3[[#This Row],[dia]],Horarios,2,0)</calculatedColumnFormula>
    </tableColumn>
    <tableColumn id="4" xr3:uid="{00000000-0010-0000-0000-000004000000}" name="HN" dataDxfId="114">
      <calculatedColumnFormula>IF(TabRenatão3[[#This Row],[Feriado]]="Sim",0,IF(TabRenatão3[[#This Row],[DSemana]]=1,0,IF(TabRenatão3[[#This Row],[DSemana]]=7,0,IF(TabRenatão3[[#This Row],[Htrab]]&gt;8,8,TabRenatão3[[#This Row],[Htrab]]))))</calculatedColumnFormula>
    </tableColumn>
    <tableColumn id="13" xr3:uid="{00000000-0010-0000-0000-00000D000000}" name="HFeriado" dataDxfId="113">
      <calculatedColumnFormula>IF(TabRenatão3[[#This Row],[Feriado]]="Sim",TabRenatão3[[#This Row],[Htrab]],0)</calculatedColumnFormula>
    </tableColumn>
    <tableColumn id="5" xr3:uid="{00000000-0010-0000-0000-000005000000}" name="HE" dataDxfId="112">
      <calculatedColumnFormula>IF(TabRenatão3[[#This Row],[Feriado]]="Sim",0,IF(TabRenatão3[[#This Row],[DSemana]]=1,0,IF(TabRenatão3[[#This Row],[DSemana]]=7,0,IF(TabRenatão3[[#This Row],[Htrab]]&gt;8,TabRenatão3[[#This Row],[Htrab]]-8,0))))</calculatedColumnFormula>
    </tableColumn>
    <tableColumn id="6" xr3:uid="{00000000-0010-0000-0000-000006000000}" name="Hsab" dataDxfId="111">
      <calculatedColumnFormula>IF(TabRenatão3[[#This Row],[Feriado]]="SIM",0,IF(TabRenatão3[[#This Row],[DSemana]]=7,TabRenatão3[[#This Row],[Htrab]],0))</calculatedColumnFormula>
    </tableColumn>
    <tableColumn id="7" xr3:uid="{00000000-0010-0000-0000-000007000000}" name="Hdom" dataDxfId="110">
      <calculatedColumnFormula>IF(TabRenatão3[[#This Row],[Feriado]]="SIM",0,IF(TabRenatão3[[#This Row],[DSemana]]=1,TabRenatão3[[#This Row],[Htrab]],0))</calculatedColumnFormula>
    </tableColumn>
    <tableColumn id="8" xr3:uid="{00000000-0010-0000-0000-000008000000}" name="SalAnt" dataDxfId="109">
      <calculatedColumnFormula>TabRenatão3[[#This Row],[Htrab]]*17</calculatedColumnFormula>
    </tableColumn>
    <tableColumn id="9" xr3:uid="{00000000-0010-0000-0000-000009000000}" name="SalAtual" dataDxfId="108">
      <calculatedColumnFormula>TabRenatão3[[#This Row],[HN]]*17.9+TabRenatão3[[#This Row],[HFeriado]]*29+TabRenatão3[[#This Row],[HE]]*22.6+TabRenatão3[[#This Row],[Hsab]]*27.9+TabRenatão3[[#This Row],[Hdom]]*29</calculatedColumnFormula>
    </tableColumn>
    <tableColumn id="11" xr3:uid="{00000000-0010-0000-0000-00000B000000}" name="diferença" dataDxfId="107">
      <calculatedColumnFormula>TabRenatão3[[#This Row],[SalAtual]]-TabRenatão3[[#This Row],[SalAnt]]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Renatão34" displayName="TabRenatão34" ref="F2:Q33" totalsRowShown="0" headerRowDxfId="106" dataDxfId="105">
  <autoFilter ref="F2:Q33" xr:uid="{00000000-0009-0000-0100-000003000000}"/>
  <tableColumns count="12">
    <tableColumn id="1" xr3:uid="{00000000-0010-0000-0100-000001000000}" name="dia" dataDxfId="104"/>
    <tableColumn id="2" xr3:uid="{00000000-0010-0000-0100-000002000000}" name="DSemana" dataDxfId="103">
      <calculatedColumnFormula>WEEKDAY(F3)</calculatedColumnFormula>
    </tableColumn>
    <tableColumn id="12" xr3:uid="{00000000-0010-0000-0100-00000C000000}" name="Feriado" dataDxfId="102">
      <calculatedColumnFormula>IF(TabRenatão34[[#This Row],[dia]]=IFERROR(VLOOKUP(TabRenatão34[[#This Row],[dia]],Tabela1[],1,FALSE),"erro"),"Sim","Não")</calculatedColumnFormula>
    </tableColumn>
    <tableColumn id="3" xr3:uid="{00000000-0010-0000-0100-000003000000}" name="Htrab" dataDxfId="101">
      <calculatedColumnFormula>VLOOKUP(TabRenatão34[[#This Row],[dia]],Horarios,3,0)</calculatedColumnFormula>
    </tableColumn>
    <tableColumn id="4" xr3:uid="{00000000-0010-0000-0100-000004000000}" name="HN" dataDxfId="100">
      <calculatedColumnFormula>IF(TabRenatão34[[#This Row],[Feriado]]="Sim",0,IF(TabRenatão34[[#This Row],[DSemana]]=1,0,IF(TabRenatão34[[#This Row],[DSemana]]=7,0,IF(TabRenatão34[[#This Row],[Htrab]]&gt;8,8,TabRenatão34[[#This Row],[Htrab]]))))</calculatedColumnFormula>
    </tableColumn>
    <tableColumn id="13" xr3:uid="{00000000-0010-0000-0100-00000D000000}" name="HFeriado" dataDxfId="99">
      <calculatedColumnFormula>IF(TabRenatão34[[#This Row],[Feriado]]="Sim",TabRenatão34[[#This Row],[Htrab]],0)</calculatedColumnFormula>
    </tableColumn>
    <tableColumn id="5" xr3:uid="{00000000-0010-0000-0100-000005000000}" name="HE" dataDxfId="98">
      <calculatedColumnFormula>IF(TabRenatão34[[#This Row],[Feriado]]="Sim",0,IF(TabRenatão34[[#This Row],[DSemana]]=1,0,IF(TabRenatão34[[#This Row],[DSemana]]=7,0,IF(TabRenatão34[[#This Row],[Htrab]]&gt;8,TabRenatão34[[#This Row],[Htrab]]-8,0))))</calculatedColumnFormula>
    </tableColumn>
    <tableColumn id="6" xr3:uid="{00000000-0010-0000-0100-000006000000}" name="Hsab" dataDxfId="97">
      <calculatedColumnFormula>IF(TabRenatão34[[#This Row],[Feriado]]="SIM",0,IF(TabRenatão34[[#This Row],[DSemana]]=7,TabRenatão34[[#This Row],[Htrab]],0))</calculatedColumnFormula>
    </tableColumn>
    <tableColumn id="7" xr3:uid="{00000000-0010-0000-0100-000007000000}" name="Hdom" dataDxfId="96">
      <calculatedColumnFormula>IF(TabRenatão34[[#This Row],[Feriado]]="SIM",0,IF(TabRenatão34[[#This Row],[DSemana]]=1,TabRenatão34[[#This Row],[Htrab]],0))</calculatedColumnFormula>
    </tableColumn>
    <tableColumn id="8" xr3:uid="{00000000-0010-0000-0100-000008000000}" name="SalAnt" dataDxfId="95">
      <calculatedColumnFormula>TabRenatão34[[#This Row],[Htrab]]*17</calculatedColumnFormula>
    </tableColumn>
    <tableColumn id="9" xr3:uid="{00000000-0010-0000-0100-000009000000}" name="SalAtual" dataDxfId="94">
      <calculatedColumnFormula>TabRenatão34[[#This Row],[HN]]*17.9+TabRenatão34[[#This Row],[HFeriado]]*29+TabRenatão34[[#This Row],[HE]]*22.6+TabRenatão34[[#This Row],[Hsab]]*27.9+TabRenatão34[[#This Row],[Hdom]]*29</calculatedColumnFormula>
    </tableColumn>
    <tableColumn id="11" xr3:uid="{00000000-0010-0000-0100-00000B000000}" name="diferença" dataDxfId="93">
      <calculatedColumnFormula>TabRenatão34[[#This Row],[SalAtual]]-TabRenatão34[[#This Row],[SalAnt]]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Renatão35" displayName="TabRenatão35" ref="F2:Q33" totalsRowShown="0" headerRowDxfId="92" dataDxfId="91">
  <autoFilter ref="F2:Q33" xr:uid="{00000000-0009-0000-0100-000004000000}"/>
  <tableColumns count="12">
    <tableColumn id="1" xr3:uid="{00000000-0010-0000-0200-000001000000}" name="dia" dataDxfId="90"/>
    <tableColumn id="2" xr3:uid="{00000000-0010-0000-0200-000002000000}" name="DSemana" dataDxfId="89">
      <calculatedColumnFormula>WEEKDAY(F3)</calculatedColumnFormula>
    </tableColumn>
    <tableColumn id="12" xr3:uid="{00000000-0010-0000-0200-00000C000000}" name="Feriado" dataDxfId="88">
      <calculatedColumnFormula>IF(TabRenatão35[[#This Row],[dia]]=IFERROR(VLOOKUP(TabRenatão35[[#This Row],[dia]],Tabela1[],1,FALSE),"erro"),"Sim","Não")</calculatedColumnFormula>
    </tableColumn>
    <tableColumn id="3" xr3:uid="{00000000-0010-0000-0200-000003000000}" name="Htrab" dataDxfId="87">
      <calculatedColumnFormula>VLOOKUP(TabRenatão35[[#This Row],[dia]],Horarios,4,0)</calculatedColumnFormula>
    </tableColumn>
    <tableColumn id="4" xr3:uid="{00000000-0010-0000-0200-000004000000}" name="HN" dataDxfId="86">
      <calculatedColumnFormula>IF(TabRenatão35[[#This Row],[Feriado]]="Sim",0,IF(TabRenatão35[[#This Row],[DSemana]]=1,0,IF(TabRenatão35[[#This Row],[DSemana]]=7,0,IF(TabRenatão35[[#This Row],[Htrab]]&gt;8,8,TabRenatão35[[#This Row],[Htrab]]))))</calculatedColumnFormula>
    </tableColumn>
    <tableColumn id="13" xr3:uid="{00000000-0010-0000-0200-00000D000000}" name="HFeriado" dataDxfId="85">
      <calculatedColumnFormula>IF(TabRenatão35[[#This Row],[Feriado]]="Sim",TabRenatão35[[#This Row],[Htrab]],0)</calculatedColumnFormula>
    </tableColumn>
    <tableColumn id="5" xr3:uid="{00000000-0010-0000-0200-000005000000}" name="HE" dataDxfId="84">
      <calculatedColumnFormula>IF(TabRenatão35[[#This Row],[Feriado]]="Sim",0,IF(TabRenatão35[[#This Row],[DSemana]]=1,0,IF(TabRenatão35[[#This Row],[DSemana]]=7,0,IF(TabRenatão35[[#This Row],[Htrab]]&gt;8,TabRenatão35[[#This Row],[Htrab]]-8,0))))</calculatedColumnFormula>
    </tableColumn>
    <tableColumn id="6" xr3:uid="{00000000-0010-0000-0200-000006000000}" name="Hsab" dataDxfId="83">
      <calculatedColumnFormula>IF(TabRenatão35[[#This Row],[Feriado]]="SIM",0,IF(TabRenatão35[[#This Row],[DSemana]]=7,TabRenatão35[[#This Row],[Htrab]],0))</calculatedColumnFormula>
    </tableColumn>
    <tableColumn id="7" xr3:uid="{00000000-0010-0000-0200-000007000000}" name="Hdom" dataDxfId="82">
      <calculatedColumnFormula>IF(TabRenatão35[[#This Row],[Feriado]]="SIM",0,IF(TabRenatão35[[#This Row],[DSemana]]=1,TabRenatão35[[#This Row],[Htrab]],0))</calculatedColumnFormula>
    </tableColumn>
    <tableColumn id="8" xr3:uid="{00000000-0010-0000-0200-000008000000}" name="SalAnt" dataDxfId="81">
      <calculatedColumnFormula>TabRenatão35[[#This Row],[Htrab]]*17</calculatedColumnFormula>
    </tableColumn>
    <tableColumn id="9" xr3:uid="{00000000-0010-0000-0200-000009000000}" name="SalAtual" dataDxfId="80">
      <calculatedColumnFormula>TabRenatão35[[#This Row],[HN]]*17.9+TabRenatão35[[#This Row],[HFeriado]]*29+TabRenatão35[[#This Row],[HE]]*22.6+TabRenatão35[[#This Row],[Hsab]]*27.9+TabRenatão35[[#This Row],[Hdom]]*29</calculatedColumnFormula>
    </tableColumn>
    <tableColumn id="11" xr3:uid="{00000000-0010-0000-0200-00000B000000}" name="diferença" dataDxfId="79">
      <calculatedColumnFormula>TabRenatão35[[#This Row],[SalAtual]]-TabRenatão35[[#This Row],[SalAnt]]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Renatão36" displayName="TabRenatão36" ref="F2:Q33" totalsRowShown="0" headerRowDxfId="78" dataDxfId="77">
  <autoFilter ref="F2:Q33" xr:uid="{00000000-0009-0000-0100-000005000000}"/>
  <tableColumns count="12">
    <tableColumn id="1" xr3:uid="{00000000-0010-0000-0300-000001000000}" name="dia" dataDxfId="76"/>
    <tableColumn id="2" xr3:uid="{00000000-0010-0000-0300-000002000000}" name="DSemana" dataDxfId="75">
      <calculatedColumnFormula>WEEKDAY(F3)</calculatedColumnFormula>
    </tableColumn>
    <tableColumn id="12" xr3:uid="{00000000-0010-0000-0300-00000C000000}" name="Feriado" dataDxfId="74">
      <calculatedColumnFormula>IF(TabRenatão36[[#This Row],[dia]]=IFERROR(VLOOKUP(TabRenatão36[[#This Row],[dia]],Tabela1[],1,FALSE),"erro"),"Sim","Não")</calculatedColumnFormula>
    </tableColumn>
    <tableColumn id="3" xr3:uid="{00000000-0010-0000-0300-000003000000}" name="Htrab" dataDxfId="73">
      <calculatedColumnFormula>VLOOKUP(TabRenatão36[[#This Row],[dia]],Horarios,5,0)</calculatedColumnFormula>
    </tableColumn>
    <tableColumn id="4" xr3:uid="{00000000-0010-0000-0300-000004000000}" name="HN" dataDxfId="72">
      <calculatedColumnFormula>IF(TabRenatão36[[#This Row],[Feriado]]="Sim",0,IF(TabRenatão36[[#This Row],[DSemana]]=1,0,IF(TabRenatão36[[#This Row],[DSemana]]=7,0,IF(TabRenatão36[[#This Row],[Htrab]]&gt;8,8,TabRenatão36[[#This Row],[Htrab]]))))</calculatedColumnFormula>
    </tableColumn>
    <tableColumn id="13" xr3:uid="{00000000-0010-0000-0300-00000D000000}" name="HFeriado" dataDxfId="71">
      <calculatedColumnFormula>IF(TabRenatão36[[#This Row],[Feriado]]="Sim",TabRenatão36[[#This Row],[Htrab]],0)</calculatedColumnFormula>
    </tableColumn>
    <tableColumn id="5" xr3:uid="{00000000-0010-0000-0300-000005000000}" name="HE" dataDxfId="70">
      <calculatedColumnFormula>IF(TabRenatão36[[#This Row],[Feriado]]="Sim",0,IF(TabRenatão36[[#This Row],[DSemana]]=1,0,IF(TabRenatão36[[#This Row],[DSemana]]=7,0,IF(TabRenatão36[[#This Row],[Htrab]]&gt;8,TabRenatão36[[#This Row],[Htrab]]-8,0))))</calculatedColumnFormula>
    </tableColumn>
    <tableColumn id="6" xr3:uid="{00000000-0010-0000-0300-000006000000}" name="Hsab" dataDxfId="69">
      <calculatedColumnFormula>IF(TabRenatão36[[#This Row],[Feriado]]="SIM",0,IF(TabRenatão36[[#This Row],[DSemana]]=7,TabRenatão36[[#This Row],[Htrab]],0))</calculatedColumnFormula>
    </tableColumn>
    <tableColumn id="7" xr3:uid="{00000000-0010-0000-0300-000007000000}" name="Hdom" dataDxfId="68">
      <calculatedColumnFormula>IF(TabRenatão36[[#This Row],[Feriado]]="SIM",0,IF(TabRenatão36[[#This Row],[DSemana]]=1,TabRenatão36[[#This Row],[Htrab]],0))</calculatedColumnFormula>
    </tableColumn>
    <tableColumn id="8" xr3:uid="{00000000-0010-0000-0300-000008000000}" name="SalAnt" dataDxfId="67">
      <calculatedColumnFormula>TabRenatão36[[#This Row],[Htrab]]*17</calculatedColumnFormula>
    </tableColumn>
    <tableColumn id="9" xr3:uid="{00000000-0010-0000-0300-000009000000}" name="SalAtual" dataDxfId="66">
      <calculatedColumnFormula>TabRenatão36[[#This Row],[HN]]*17.9+TabRenatão36[[#This Row],[HFeriado]]*29+TabRenatão36[[#This Row],[HE]]*22.6+TabRenatão36[[#This Row],[Hsab]]*27.9+TabRenatão36[[#This Row],[Hdom]]*29</calculatedColumnFormula>
    </tableColumn>
    <tableColumn id="11" xr3:uid="{00000000-0010-0000-0300-00000B000000}" name="diferença" dataDxfId="65">
      <calculatedColumnFormula>TabRenatão36[[#This Row],[SalAtual]]-TabRenatão36[[#This Row],[SalAnt]]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Renatão367" displayName="TabRenatão367" ref="F2:Q33" totalsRowShown="0" headerRowDxfId="64" dataDxfId="63">
  <autoFilter ref="F2:Q33" xr:uid="{00000000-0009-0000-0100-000006000000}"/>
  <tableColumns count="12">
    <tableColumn id="1" xr3:uid="{00000000-0010-0000-0400-000001000000}" name="dia" dataDxfId="62"/>
    <tableColumn id="2" xr3:uid="{00000000-0010-0000-0400-000002000000}" name="DSemana" dataDxfId="61">
      <calculatedColumnFormula>WEEKDAY(F3)</calculatedColumnFormula>
    </tableColumn>
    <tableColumn id="12" xr3:uid="{00000000-0010-0000-0400-00000C000000}" name="Feriado" dataDxfId="60">
      <calculatedColumnFormula>IF(TabRenatão367[[#This Row],[dia]]=IFERROR(VLOOKUP(TabRenatão367[[#This Row],[dia]],Tabela1[],1,FALSE),"erro"),"Sim","Não")</calculatedColumnFormula>
    </tableColumn>
    <tableColumn id="3" xr3:uid="{00000000-0010-0000-0400-000003000000}" name="Htrab" dataDxfId="59">
      <calculatedColumnFormula>VLOOKUP(TabRenatão367[[#This Row],[dia]],Horarios,6,0)</calculatedColumnFormula>
    </tableColumn>
    <tableColumn id="4" xr3:uid="{00000000-0010-0000-0400-000004000000}" name="HN" dataDxfId="58">
      <calculatedColumnFormula>IF(TabRenatão367[[#This Row],[Feriado]]="Sim",0,IF(TabRenatão367[[#This Row],[DSemana]]=1,0,IF(TabRenatão367[[#This Row],[DSemana]]=7,0,IF(TabRenatão367[[#This Row],[Htrab]]&gt;8,8,TabRenatão367[[#This Row],[Htrab]]))))</calculatedColumnFormula>
    </tableColumn>
    <tableColumn id="13" xr3:uid="{00000000-0010-0000-0400-00000D000000}" name="HFeriado" dataDxfId="57">
      <calculatedColumnFormula>IF(TabRenatão367[[#This Row],[Feriado]]="Sim",TabRenatão367[[#This Row],[Htrab]],0)</calculatedColumnFormula>
    </tableColumn>
    <tableColumn id="5" xr3:uid="{00000000-0010-0000-0400-000005000000}" name="HE" dataDxfId="56">
      <calculatedColumnFormula>IF(TabRenatão367[[#This Row],[Feriado]]="Sim",0,IF(TabRenatão367[[#This Row],[DSemana]]=1,0,IF(TabRenatão367[[#This Row],[DSemana]]=7,0,IF(TabRenatão367[[#This Row],[Htrab]]&gt;8,TabRenatão367[[#This Row],[Htrab]]-8,0))))</calculatedColumnFormula>
    </tableColumn>
    <tableColumn id="6" xr3:uid="{00000000-0010-0000-0400-000006000000}" name="Hsab" dataDxfId="55">
      <calculatedColumnFormula>IF(TabRenatão367[[#This Row],[Feriado]]="SIM",0,IF(TabRenatão367[[#This Row],[DSemana]]=7,TabRenatão367[[#This Row],[Htrab]],0))</calculatedColumnFormula>
    </tableColumn>
    <tableColumn id="7" xr3:uid="{00000000-0010-0000-0400-000007000000}" name="Hdom" dataDxfId="54">
      <calculatedColumnFormula>IF(TabRenatão367[[#This Row],[Feriado]]="SIM",0,IF(TabRenatão367[[#This Row],[DSemana]]=1,TabRenatão367[[#This Row],[Htrab]],0))</calculatedColumnFormula>
    </tableColumn>
    <tableColumn id="8" xr3:uid="{00000000-0010-0000-0400-000008000000}" name="SalAnt" dataDxfId="53">
      <calculatedColumnFormula>TabRenatão367[[#This Row],[Htrab]]*17</calculatedColumnFormula>
    </tableColumn>
    <tableColumn id="9" xr3:uid="{00000000-0010-0000-0400-000009000000}" name="SalAtual" dataDxfId="52">
      <calculatedColumnFormula>TabRenatão367[[#This Row],[HN]]*17.9+TabRenatão367[[#This Row],[HFeriado]]*29+TabRenatão367[[#This Row],[HE]]*22.6+TabRenatão367[[#This Row],[Hsab]]*27.9+TabRenatão367[[#This Row],[Hdom]]*29</calculatedColumnFormula>
    </tableColumn>
    <tableColumn id="11" xr3:uid="{00000000-0010-0000-0400-00000B000000}" name="diferença" dataDxfId="51">
      <calculatedColumnFormula>TabRenatão367[[#This Row],[SalAtual]]-TabRenatão367[[#This Row],[SalAnt]]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Renatão38" displayName="TabRenatão38" ref="F2:Q33" totalsRowShown="0" headerRowDxfId="50" dataDxfId="49">
  <autoFilter ref="F2:Q33" xr:uid="{00000000-0009-0000-0100-000007000000}"/>
  <tableColumns count="12">
    <tableColumn id="1" xr3:uid="{00000000-0010-0000-0500-000001000000}" name="dia" dataDxfId="48"/>
    <tableColumn id="2" xr3:uid="{00000000-0010-0000-0500-000002000000}" name="DSemana" dataDxfId="47">
      <calculatedColumnFormula>WEEKDAY(F3)</calculatedColumnFormula>
    </tableColumn>
    <tableColumn id="12" xr3:uid="{00000000-0010-0000-0500-00000C000000}" name="Feriado" dataDxfId="46">
      <calculatedColumnFormula>IF(TabRenatão38[[#This Row],[dia]]=IFERROR(VLOOKUP(TabRenatão38[[#This Row],[dia]],Tabela1[],1,FALSE),"erro"),"Sim","Não")</calculatedColumnFormula>
    </tableColumn>
    <tableColumn id="3" xr3:uid="{00000000-0010-0000-0500-000003000000}" name="Htrab" dataDxfId="45">
      <calculatedColumnFormula>VLOOKUP(TabRenatão38[[#This Row],[dia]],Horarios,7,0)</calculatedColumnFormula>
    </tableColumn>
    <tableColumn id="4" xr3:uid="{00000000-0010-0000-0500-000004000000}" name="HN" dataDxfId="44">
      <calculatedColumnFormula>IF(TabRenatão38[[#This Row],[Feriado]]="Sim",0,IF(TabRenatão38[[#This Row],[DSemana]]=1,0,IF(TabRenatão38[[#This Row],[DSemana]]=7,0,IF(TabRenatão38[[#This Row],[Htrab]]&gt;8,8,TabRenatão38[[#This Row],[Htrab]]))))</calculatedColumnFormula>
    </tableColumn>
    <tableColumn id="13" xr3:uid="{00000000-0010-0000-0500-00000D000000}" name="HFeriado" dataDxfId="43">
      <calculatedColumnFormula>IF(TabRenatão38[[#This Row],[Feriado]]="Sim",TabRenatão38[[#This Row],[Htrab]],0)</calculatedColumnFormula>
    </tableColumn>
    <tableColumn id="5" xr3:uid="{00000000-0010-0000-0500-000005000000}" name="HE" dataDxfId="42">
      <calculatedColumnFormula>IF(TabRenatão38[[#This Row],[Feriado]]="Sim",0,IF(TabRenatão38[[#This Row],[DSemana]]=1,0,IF(TabRenatão38[[#This Row],[DSemana]]=7,0,IF(TabRenatão38[[#This Row],[Htrab]]&gt;8,TabRenatão38[[#This Row],[Htrab]]-8,0))))</calculatedColumnFormula>
    </tableColumn>
    <tableColumn id="6" xr3:uid="{00000000-0010-0000-0500-000006000000}" name="Hsab" dataDxfId="41">
      <calculatedColumnFormula>IF(TabRenatão38[[#This Row],[Feriado]]="SIM",0,IF(TabRenatão38[[#This Row],[DSemana]]=7,TabRenatão38[[#This Row],[Htrab]],0))</calculatedColumnFormula>
    </tableColumn>
    <tableColumn id="7" xr3:uid="{00000000-0010-0000-0500-000007000000}" name="Hdom" dataDxfId="40">
      <calculatedColumnFormula>IF(TabRenatão38[[#This Row],[Feriado]]="SIM",0,IF(TabRenatão38[[#This Row],[DSemana]]=1,TabRenatão38[[#This Row],[Htrab]],0))</calculatedColumnFormula>
    </tableColumn>
    <tableColumn id="8" xr3:uid="{00000000-0010-0000-0500-000008000000}" name="SalAnt" dataDxfId="39">
      <calculatedColumnFormula>TabRenatão38[[#This Row],[Htrab]]*17</calculatedColumnFormula>
    </tableColumn>
    <tableColumn id="9" xr3:uid="{00000000-0010-0000-0500-000009000000}" name="SalAtual" dataDxfId="38">
      <calculatedColumnFormula>TabRenatão38[[#This Row],[HN]]*17.9+TabRenatão38[[#This Row],[HFeriado]]*29+TabRenatão38[[#This Row],[HE]]*22.6+TabRenatão38[[#This Row],[Hsab]]*27.9+TabRenatão38[[#This Row],[Hdom]]*29</calculatedColumnFormula>
    </tableColumn>
    <tableColumn id="11" xr3:uid="{00000000-0010-0000-0500-00000B000000}" name="diferença" dataDxfId="37">
      <calculatedColumnFormula>TabRenatão38[[#This Row],[SalAtual]]-TabRenatão38[[#This Row],[SalAnt]]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Renatão36789" displayName="TabRenatão36789" ref="F2:Q33" totalsRowShown="0" headerRowDxfId="36" dataDxfId="35">
  <autoFilter ref="F2:Q33" xr:uid="{00000000-0009-0000-0100-000008000000}"/>
  <tableColumns count="12">
    <tableColumn id="1" xr3:uid="{00000000-0010-0000-0600-000001000000}" name="dia" dataDxfId="34"/>
    <tableColumn id="2" xr3:uid="{00000000-0010-0000-0600-000002000000}" name="DSemana" dataDxfId="33">
      <calculatedColumnFormula>WEEKDAY(F3)</calculatedColumnFormula>
    </tableColumn>
    <tableColumn id="12" xr3:uid="{00000000-0010-0000-0600-00000C000000}" name="Feriado" dataDxfId="32">
      <calculatedColumnFormula>IF(TabRenatão36789[[#This Row],[dia]]=IFERROR(VLOOKUP(TabRenatão36789[[#This Row],[dia]],Tabela1[],1,FALSE),"erro"),"Sim","Não")</calculatedColumnFormula>
    </tableColumn>
    <tableColumn id="3" xr3:uid="{00000000-0010-0000-0600-000003000000}" name="Htrab" dataDxfId="31">
      <calculatedColumnFormula>VLOOKUP(TabRenatão36789[[#This Row],[dia]],Horarios,8,0)</calculatedColumnFormula>
    </tableColumn>
    <tableColumn id="4" xr3:uid="{00000000-0010-0000-0600-000004000000}" name="HN" dataDxfId="30">
      <calculatedColumnFormula>IF(TabRenatão36789[[#This Row],[Feriado]]="Sim",0,IF(TabRenatão36789[[#This Row],[DSemana]]=1,0,IF(TabRenatão36789[[#This Row],[DSemana]]=7,0,IF(TabRenatão36789[[#This Row],[Htrab]]&gt;8,8,TabRenatão36789[[#This Row],[Htrab]]))))</calculatedColumnFormula>
    </tableColumn>
    <tableColumn id="13" xr3:uid="{00000000-0010-0000-0600-00000D000000}" name="HFeriado" dataDxfId="29">
      <calculatedColumnFormula>IF(TabRenatão36789[[#This Row],[Feriado]]="Sim",TabRenatão36789[[#This Row],[Htrab]],0)</calculatedColumnFormula>
    </tableColumn>
    <tableColumn id="5" xr3:uid="{00000000-0010-0000-0600-000005000000}" name="HE" dataDxfId="28">
      <calculatedColumnFormula>IF(TabRenatão36789[[#This Row],[Feriado]]="Sim",0,IF(TabRenatão36789[[#This Row],[DSemana]]=1,0,IF(TabRenatão36789[[#This Row],[DSemana]]=7,0,IF(TabRenatão36789[[#This Row],[Htrab]]&gt;8,TabRenatão36789[[#This Row],[Htrab]]-8,0))))</calculatedColumnFormula>
    </tableColumn>
    <tableColumn id="6" xr3:uid="{00000000-0010-0000-0600-000006000000}" name="Hsab" dataDxfId="27">
      <calculatedColumnFormula>IF(TabRenatão36789[[#This Row],[Feriado]]="SIM",0,IF(TabRenatão36789[[#This Row],[DSemana]]=7,TabRenatão36789[[#This Row],[Htrab]],0))</calculatedColumnFormula>
    </tableColumn>
    <tableColumn id="7" xr3:uid="{00000000-0010-0000-0600-000007000000}" name="Hdom" dataDxfId="26">
      <calculatedColumnFormula>IF(TabRenatão36789[[#This Row],[Feriado]]="SIM",0,IF(TabRenatão36789[[#This Row],[DSemana]]=1,TabRenatão36789[[#This Row],[Htrab]],0))</calculatedColumnFormula>
    </tableColumn>
    <tableColumn id="8" xr3:uid="{00000000-0010-0000-0600-000008000000}" name="SalAnt" dataDxfId="25">
      <calculatedColumnFormula>TabRenatão36789[[#This Row],[Htrab]]*17</calculatedColumnFormula>
    </tableColumn>
    <tableColumn id="9" xr3:uid="{00000000-0010-0000-0600-000009000000}" name="SalAtual" dataDxfId="24">
      <calculatedColumnFormula>TabRenatão36789[[#This Row],[HN]]*17.9+TabRenatão36789[[#This Row],[HFeriado]]*29+TabRenatão36789[[#This Row],[HE]]*22.6+TabRenatão36789[[#This Row],[Hsab]]*27.9+TabRenatão36789[[#This Row],[Hdom]]*29</calculatedColumnFormula>
    </tableColumn>
    <tableColumn id="11" xr3:uid="{00000000-0010-0000-0600-00000B000000}" name="diferença" dataDxfId="23">
      <calculatedColumnFormula>TabRenatão36789[[#This Row],[SalAtual]]-TabRenatão36789[[#This Row],[SalAnt]]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Tabela16" displayName="Tabela16" ref="B5:I37" totalsRowCount="1" headerRowDxfId="22" dataDxfId="21" totalsRowDxfId="20">
  <autoFilter ref="B5:I36" xr:uid="{00000000-0009-0000-0100-000010000000}"/>
  <tableColumns count="8">
    <tableColumn id="1" xr3:uid="{00000000-0010-0000-0700-000001000000}" name="Dia" dataDxfId="19" totalsRowDxfId="18"/>
    <tableColumn id="2" xr3:uid="{00000000-0010-0000-0700-000002000000}" name="Carlão" dataDxfId="17" totalsRowDxfId="16"/>
    <tableColumn id="3" xr3:uid="{00000000-0010-0000-0700-000003000000}" name="Renatão" dataDxfId="15" totalsRowDxfId="14"/>
    <tableColumn id="4" xr3:uid="{00000000-0010-0000-0700-000004000000}" name="Jorjão" dataDxfId="13" totalsRowDxfId="12"/>
    <tableColumn id="5" xr3:uid="{00000000-0010-0000-0700-000005000000}" name="Betão" dataDxfId="11" totalsRowDxfId="10"/>
    <tableColumn id="6" xr3:uid="{00000000-0010-0000-0700-000006000000}" name="Tonhão" dataDxfId="9" totalsRowDxfId="8"/>
    <tableColumn id="7" xr3:uid="{00000000-0010-0000-0700-000007000000}" name="Zelão" dataDxfId="7" totalsRowDxfId="6"/>
    <tableColumn id="8" xr3:uid="{00000000-0010-0000-0700-000008000000}" name="Ditão" dataDxfId="5" totalsRowDxfId="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ela1" displayName="Tabela1" ref="B40:C42" totalsRowShown="0" headerRowDxfId="3" dataDxfId="2">
  <autoFilter ref="B40:C42" xr:uid="{00000000-0009-0000-0100-000001000000}"/>
  <tableColumns count="2">
    <tableColumn id="1" xr3:uid="{00000000-0010-0000-0800-000001000000}" name="dia" dataDxfId="1"/>
    <tableColumn id="2" xr3:uid="{00000000-0010-0000-0800-000002000000}" name="ev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U74"/>
  <sheetViews>
    <sheetView showGridLines="0" workbookViewId="0"/>
  </sheetViews>
  <sheetFormatPr defaultRowHeight="15" x14ac:dyDescent="0.25"/>
  <sheetData>
    <row r="1" spans="1:4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3"/>
      <c r="B10" s="3"/>
      <c r="C10" s="3"/>
      <c r="D10" s="3"/>
      <c r="E10" s="3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3"/>
      <c r="B12" s="3"/>
      <c r="C12" s="3"/>
      <c r="D12" s="3"/>
      <c r="E12" s="3"/>
      <c r="F12" s="3"/>
      <c r="G12" s="105" t="s">
        <v>0</v>
      </c>
      <c r="H12" s="106"/>
      <c r="I12" s="106"/>
      <c r="J12" s="106"/>
      <c r="K12" s="106"/>
      <c r="L12" s="106"/>
      <c r="M12" s="106"/>
      <c r="N12" s="106"/>
      <c r="O12" s="106"/>
      <c r="P12" s="10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" customHeight="1" x14ac:dyDescent="0.25">
      <c r="A13" s="3"/>
      <c r="B13" s="3"/>
      <c r="C13" s="3"/>
      <c r="D13" s="3"/>
      <c r="E13" s="3"/>
      <c r="F13" s="3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" customHeight="1" x14ac:dyDescent="0.25">
      <c r="A14" s="3"/>
      <c r="B14" s="3"/>
      <c r="C14" s="3"/>
      <c r="D14" s="3"/>
      <c r="E14" s="3"/>
      <c r="F14" s="3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3"/>
      <c r="B15" s="3"/>
      <c r="C15" s="3"/>
      <c r="D15" s="3"/>
      <c r="E15" s="3"/>
      <c r="F15" s="3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3"/>
      <c r="B16" s="3"/>
      <c r="C16" s="3"/>
      <c r="D16" s="3"/>
      <c r="E16" s="3"/>
      <c r="F16" s="3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3"/>
      <c r="B17" s="3"/>
      <c r="C17" s="3"/>
      <c r="D17" s="3"/>
      <c r="E17" s="3"/>
      <c r="F17" s="3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3"/>
      <c r="B18" s="3"/>
      <c r="C18" s="3"/>
      <c r="D18" s="3"/>
      <c r="E18" s="3"/>
      <c r="F18" s="3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3"/>
      <c r="B19" s="3"/>
      <c r="C19" s="3"/>
      <c r="D19" s="3"/>
      <c r="E19" s="3"/>
      <c r="F19" s="3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</sheetData>
  <mergeCells count="1">
    <mergeCell ref="G12:P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/>
  <dimension ref="C1:O12"/>
  <sheetViews>
    <sheetView showGridLines="0" workbookViewId="0">
      <selection activeCell="L25" sqref="L25"/>
    </sheetView>
  </sheetViews>
  <sheetFormatPr defaultRowHeight="15" x14ac:dyDescent="0.25"/>
  <cols>
    <col min="4" max="4" width="10.7109375" bestFit="1" customWidth="1"/>
  </cols>
  <sheetData>
    <row r="1" spans="3:15" ht="15" customHeight="1" x14ac:dyDescent="0.25">
      <c r="H1" s="80"/>
      <c r="I1" s="107" t="s">
        <v>74</v>
      </c>
      <c r="J1" s="107"/>
      <c r="K1" s="107"/>
      <c r="L1" s="107"/>
      <c r="M1" s="107"/>
      <c r="N1" s="107"/>
      <c r="O1" s="147"/>
    </row>
    <row r="2" spans="3:15" ht="15" customHeight="1" x14ac:dyDescent="0.25">
      <c r="H2" s="80"/>
      <c r="I2" s="107"/>
      <c r="J2" s="107"/>
      <c r="K2" s="107"/>
      <c r="L2" s="107"/>
      <c r="M2" s="107"/>
      <c r="N2" s="107"/>
      <c r="O2" s="147"/>
    </row>
    <row r="5" spans="3:15" x14ac:dyDescent="0.25">
      <c r="C5" s="19"/>
      <c r="D5" s="19"/>
      <c r="E5" s="19"/>
    </row>
    <row r="6" spans="3:15" x14ac:dyDescent="0.25">
      <c r="C6" s="17"/>
      <c r="D6" s="20"/>
      <c r="E6" s="21"/>
    </row>
    <row r="7" spans="3:15" x14ac:dyDescent="0.25">
      <c r="C7" s="17"/>
      <c r="D7" s="20"/>
      <c r="E7" s="21"/>
    </row>
    <row r="8" spans="3:15" x14ac:dyDescent="0.25">
      <c r="C8" s="17"/>
      <c r="D8" s="20"/>
      <c r="E8" s="21"/>
    </row>
    <row r="9" spans="3:15" x14ac:dyDescent="0.25">
      <c r="C9" s="17"/>
      <c r="D9" s="20"/>
      <c r="E9" s="21"/>
    </row>
    <row r="10" spans="3:15" x14ac:dyDescent="0.25">
      <c r="C10" s="17"/>
      <c r="D10" s="20"/>
      <c r="E10" s="21"/>
    </row>
    <row r="11" spans="3:15" x14ac:dyDescent="0.25">
      <c r="C11" s="17"/>
      <c r="D11" s="20"/>
      <c r="E11" s="21"/>
    </row>
    <row r="12" spans="3:15" x14ac:dyDescent="0.25">
      <c r="D12" s="8"/>
      <c r="E12" s="11"/>
    </row>
  </sheetData>
  <mergeCells count="2">
    <mergeCell ref="I1:N2"/>
    <mergeCell ref="O1:O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/>
  <dimension ref="A1:S42"/>
  <sheetViews>
    <sheetView showGridLines="0" topLeftCell="A19" workbookViewId="0">
      <selection activeCell="O25" sqref="O25"/>
    </sheetView>
  </sheetViews>
  <sheetFormatPr defaultRowHeight="15" x14ac:dyDescent="0.25"/>
  <cols>
    <col min="1" max="6" width="9.140625" style="83"/>
    <col min="7" max="7" width="10.42578125" style="83" customWidth="1"/>
    <col min="8" max="9" width="9.140625" style="83"/>
    <col min="10" max="10" width="9.7109375" style="83" customWidth="1"/>
    <col min="11" max="11" width="9.140625" style="83"/>
    <col min="12" max="12" width="10.7109375" style="83" bestFit="1" customWidth="1"/>
    <col min="13" max="14" width="9.140625" style="83" bestFit="1" customWidth="1"/>
    <col min="15" max="15" width="12" style="83" customWidth="1"/>
    <col min="16" max="16" width="11" style="83" customWidth="1"/>
    <col min="17" max="17" width="10.7109375" style="83" customWidth="1"/>
    <col min="18" max="18" width="9.42578125" style="83" customWidth="1"/>
    <col min="19" max="19" width="10.7109375" style="83" bestFit="1" customWidth="1"/>
    <col min="20" max="16384" width="9.140625" style="83"/>
  </cols>
  <sheetData>
    <row r="1" spans="1:19" ht="15.75" customHeight="1" x14ac:dyDescent="0.25">
      <c r="A1" s="81"/>
      <c r="B1" s="82"/>
      <c r="H1" s="84"/>
      <c r="I1" s="148" t="s">
        <v>38</v>
      </c>
      <c r="J1" s="148"/>
      <c r="K1" s="148"/>
      <c r="L1" s="148"/>
      <c r="M1" s="148"/>
      <c r="N1" s="148"/>
    </row>
    <row r="2" spans="1:19" ht="15" customHeight="1" x14ac:dyDescent="0.25">
      <c r="H2" s="84"/>
      <c r="I2" s="148"/>
      <c r="J2" s="148"/>
      <c r="K2" s="148"/>
      <c r="L2" s="148"/>
      <c r="M2" s="148"/>
      <c r="N2" s="148"/>
    </row>
    <row r="5" spans="1:19" x14ac:dyDescent="0.25">
      <c r="B5" s="83" t="s">
        <v>15</v>
      </c>
      <c r="C5" s="83" t="s">
        <v>8</v>
      </c>
      <c r="D5" s="83" t="s">
        <v>9</v>
      </c>
      <c r="E5" s="83" t="s">
        <v>10</v>
      </c>
      <c r="F5" s="83" t="s">
        <v>11</v>
      </c>
      <c r="G5" s="83" t="s">
        <v>12</v>
      </c>
      <c r="H5" s="83" t="s">
        <v>13</v>
      </c>
      <c r="I5" s="83" t="s">
        <v>14</v>
      </c>
      <c r="K5" s="83" t="s">
        <v>8</v>
      </c>
      <c r="L5" s="85">
        <f>Carlão!D14</f>
        <v>4423.2</v>
      </c>
      <c r="O5" s="86" t="s">
        <v>24</v>
      </c>
      <c r="P5" s="86"/>
      <c r="Q5" s="87" t="s">
        <v>25</v>
      </c>
      <c r="R5" s="86" t="s">
        <v>26</v>
      </c>
      <c r="S5" s="86"/>
    </row>
    <row r="6" spans="1:19" x14ac:dyDescent="0.25">
      <c r="B6" s="88">
        <v>43678</v>
      </c>
      <c r="C6" s="83">
        <v>8</v>
      </c>
      <c r="D6" s="83">
        <v>2</v>
      </c>
      <c r="E6" s="83">
        <v>4</v>
      </c>
      <c r="F6" s="83">
        <v>0</v>
      </c>
      <c r="G6" s="83">
        <v>8</v>
      </c>
      <c r="H6" s="83">
        <v>8</v>
      </c>
      <c r="I6" s="83">
        <v>8</v>
      </c>
      <c r="K6" s="89" t="s">
        <v>9</v>
      </c>
      <c r="L6" s="90">
        <f>Renatão!D14</f>
        <v>4206.8</v>
      </c>
      <c r="O6" s="91">
        <v>0</v>
      </c>
      <c r="P6" s="91"/>
      <c r="Q6" s="92">
        <v>0</v>
      </c>
      <c r="R6" s="91">
        <v>0</v>
      </c>
      <c r="S6" s="91"/>
    </row>
    <row r="7" spans="1:19" x14ac:dyDescent="0.25">
      <c r="B7" s="88">
        <v>43679</v>
      </c>
      <c r="C7" s="83">
        <v>8</v>
      </c>
      <c r="D7" s="83">
        <v>0</v>
      </c>
      <c r="E7" s="83">
        <v>10</v>
      </c>
      <c r="F7" s="83">
        <v>2</v>
      </c>
      <c r="G7" s="83">
        <v>9</v>
      </c>
      <c r="H7" s="83">
        <v>8</v>
      </c>
      <c r="I7" s="83">
        <v>8</v>
      </c>
      <c r="K7" s="83" t="s">
        <v>10</v>
      </c>
      <c r="L7" s="85">
        <f>Jorjão!D14</f>
        <v>4182.6999999999989</v>
      </c>
      <c r="O7" s="93">
        <v>1903.99</v>
      </c>
      <c r="P7" s="93"/>
      <c r="Q7" s="94">
        <v>7.4999999999999997E-2</v>
      </c>
      <c r="R7" s="93">
        <v>142.80000000000001</v>
      </c>
      <c r="S7" s="93"/>
    </row>
    <row r="8" spans="1:19" x14ac:dyDescent="0.25">
      <c r="B8" s="88">
        <v>43680</v>
      </c>
      <c r="C8" s="83">
        <v>8</v>
      </c>
      <c r="D8" s="83">
        <v>4</v>
      </c>
      <c r="E8" s="83">
        <v>8</v>
      </c>
      <c r="F8" s="83">
        <v>0</v>
      </c>
      <c r="G8" s="83">
        <v>9</v>
      </c>
      <c r="H8" s="83">
        <v>10</v>
      </c>
      <c r="I8" s="83">
        <v>8</v>
      </c>
      <c r="K8" s="89" t="s">
        <v>11</v>
      </c>
      <c r="L8" s="90">
        <f>Betão!D14</f>
        <v>1428.1999999999998</v>
      </c>
      <c r="O8" s="91">
        <v>2826.66</v>
      </c>
      <c r="P8" s="91"/>
      <c r="Q8" s="92">
        <v>0.15</v>
      </c>
      <c r="R8" s="91">
        <v>354.8</v>
      </c>
      <c r="S8" s="91"/>
    </row>
    <row r="9" spans="1:19" x14ac:dyDescent="0.25">
      <c r="B9" s="88">
        <v>43681</v>
      </c>
      <c r="C9" s="83">
        <v>12</v>
      </c>
      <c r="D9" s="83">
        <v>2</v>
      </c>
      <c r="E9" s="83">
        <v>4</v>
      </c>
      <c r="F9" s="83">
        <v>2</v>
      </c>
      <c r="G9" s="83">
        <v>8</v>
      </c>
      <c r="H9" s="83">
        <v>8</v>
      </c>
      <c r="I9" s="83">
        <v>8</v>
      </c>
      <c r="K9" s="83" t="s">
        <v>12</v>
      </c>
      <c r="L9" s="85">
        <f>Tonhão!D14</f>
        <v>6023.7</v>
      </c>
      <c r="O9" s="93">
        <v>3751.06</v>
      </c>
      <c r="P9" s="93"/>
      <c r="Q9" s="94">
        <v>0.22500000000000001</v>
      </c>
      <c r="R9" s="93">
        <v>636.13</v>
      </c>
      <c r="S9" s="93"/>
    </row>
    <row r="10" spans="1:19" x14ac:dyDescent="0.25">
      <c r="B10" s="88">
        <v>43682</v>
      </c>
      <c r="C10" s="83">
        <v>0</v>
      </c>
      <c r="D10" s="83">
        <v>8</v>
      </c>
      <c r="E10" s="83">
        <v>10</v>
      </c>
      <c r="F10" s="83">
        <v>2</v>
      </c>
      <c r="G10" s="83">
        <v>8</v>
      </c>
      <c r="H10" s="83">
        <v>8</v>
      </c>
      <c r="I10" s="83">
        <v>10</v>
      </c>
      <c r="K10" s="89" t="s">
        <v>13</v>
      </c>
      <c r="L10" s="90">
        <f>Zelão!D14</f>
        <v>4006.2000000000003</v>
      </c>
      <c r="O10" s="91">
        <v>4664.68</v>
      </c>
      <c r="P10" s="91"/>
      <c r="Q10" s="92">
        <v>0.27500000000000002</v>
      </c>
      <c r="R10" s="91">
        <v>869.36</v>
      </c>
      <c r="S10" s="95"/>
    </row>
    <row r="11" spans="1:19" x14ac:dyDescent="0.25">
      <c r="B11" s="88">
        <v>43683</v>
      </c>
      <c r="C11" s="83">
        <v>5</v>
      </c>
      <c r="D11" s="83">
        <v>9</v>
      </c>
      <c r="E11" s="83">
        <v>8</v>
      </c>
      <c r="F11" s="83">
        <v>3</v>
      </c>
      <c r="G11" s="83">
        <v>10</v>
      </c>
      <c r="H11" s="83">
        <v>7</v>
      </c>
      <c r="I11" s="83">
        <v>8</v>
      </c>
      <c r="K11" s="83" t="s">
        <v>14</v>
      </c>
      <c r="L11" s="85">
        <f>Ditão!D14</f>
        <v>5790.6</v>
      </c>
    </row>
    <row r="12" spans="1:19" x14ac:dyDescent="0.25">
      <c r="B12" s="88">
        <v>43684</v>
      </c>
      <c r="C12" s="83">
        <v>8</v>
      </c>
      <c r="D12" s="83">
        <v>10</v>
      </c>
      <c r="E12" s="83">
        <v>4</v>
      </c>
      <c r="F12" s="83">
        <v>5</v>
      </c>
      <c r="G12" s="83">
        <v>9</v>
      </c>
      <c r="H12" s="83">
        <v>8</v>
      </c>
      <c r="I12" s="83">
        <v>10</v>
      </c>
      <c r="K12" s="96"/>
    </row>
    <row r="13" spans="1:19" x14ac:dyDescent="0.25">
      <c r="B13" s="88">
        <v>43685</v>
      </c>
      <c r="C13" s="83">
        <v>8</v>
      </c>
      <c r="D13" s="83">
        <v>10</v>
      </c>
      <c r="E13" s="83">
        <v>0</v>
      </c>
      <c r="F13" s="83">
        <v>0</v>
      </c>
      <c r="G13" s="83">
        <v>10</v>
      </c>
      <c r="H13" s="83">
        <v>8</v>
      </c>
      <c r="I13" s="83">
        <v>12</v>
      </c>
      <c r="O13" s="97" t="s">
        <v>35</v>
      </c>
      <c r="P13" s="97" t="s">
        <v>33</v>
      </c>
      <c r="Q13" s="97" t="s">
        <v>34</v>
      </c>
    </row>
    <row r="14" spans="1:19" x14ac:dyDescent="0.25">
      <c r="B14" s="88">
        <v>43686</v>
      </c>
      <c r="C14" s="83">
        <v>8</v>
      </c>
      <c r="D14" s="83">
        <v>10</v>
      </c>
      <c r="E14" s="83">
        <v>8</v>
      </c>
      <c r="F14" s="83">
        <v>0</v>
      </c>
      <c r="G14" s="83">
        <v>12</v>
      </c>
      <c r="H14" s="83">
        <v>9</v>
      </c>
      <c r="I14" s="83">
        <v>8</v>
      </c>
      <c r="K14" s="98" t="s">
        <v>37</v>
      </c>
      <c r="L14" s="83" t="s">
        <v>36</v>
      </c>
      <c r="O14" s="83" t="s">
        <v>8</v>
      </c>
      <c r="P14" s="99">
        <f>SUM(TabRenatão3[SalAnt])</f>
        <v>3434</v>
      </c>
      <c r="Q14" s="85">
        <f>Carlão!D14</f>
        <v>4423.2</v>
      </c>
      <c r="S14" s="83" t="s">
        <v>8</v>
      </c>
    </row>
    <row r="15" spans="1:19" x14ac:dyDescent="0.25">
      <c r="B15" s="88">
        <v>43687</v>
      </c>
      <c r="C15" s="83">
        <v>8</v>
      </c>
      <c r="D15" s="83">
        <v>4</v>
      </c>
      <c r="E15" s="83">
        <v>4</v>
      </c>
      <c r="F15" s="83">
        <v>0</v>
      </c>
      <c r="G15" s="83">
        <v>12</v>
      </c>
      <c r="H15" s="83">
        <v>9</v>
      </c>
      <c r="I15" s="83">
        <v>8</v>
      </c>
      <c r="K15" s="100" t="s">
        <v>8</v>
      </c>
      <c r="L15" s="99">
        <f t="shared" ref="L15:L21" si="0">Q14-P14</f>
        <v>989.19999999999982</v>
      </c>
      <c r="O15" s="89" t="s">
        <v>9</v>
      </c>
      <c r="P15" s="101">
        <f>SUM(TabRenatão34[SalAnt])</f>
        <v>3383</v>
      </c>
      <c r="Q15" s="90">
        <f>Renatão!D14</f>
        <v>4206.8</v>
      </c>
      <c r="S15" s="89" t="s">
        <v>9</v>
      </c>
    </row>
    <row r="16" spans="1:19" x14ac:dyDescent="0.25">
      <c r="B16" s="88">
        <v>43688</v>
      </c>
      <c r="C16" s="83">
        <v>0</v>
      </c>
      <c r="D16" s="83">
        <v>8</v>
      </c>
      <c r="E16" s="83">
        <v>10</v>
      </c>
      <c r="F16" s="83">
        <v>0</v>
      </c>
      <c r="G16" s="83">
        <v>8</v>
      </c>
      <c r="H16" s="83">
        <v>8</v>
      </c>
      <c r="I16" s="83">
        <v>4</v>
      </c>
      <c r="K16" s="100" t="s">
        <v>9</v>
      </c>
      <c r="L16" s="99">
        <f t="shared" si="0"/>
        <v>823.80000000000018</v>
      </c>
      <c r="O16" s="83" t="s">
        <v>10</v>
      </c>
      <c r="P16" s="99">
        <f>SUM(TabRenatão35[SalAnt])</f>
        <v>3247</v>
      </c>
      <c r="Q16" s="85">
        <f>Jorjão!D14</f>
        <v>4182.6999999999989</v>
      </c>
      <c r="S16" s="83" t="s">
        <v>10</v>
      </c>
    </row>
    <row r="17" spans="2:19" x14ac:dyDescent="0.25">
      <c r="B17" s="88">
        <v>43689</v>
      </c>
      <c r="C17" s="83">
        <v>2</v>
      </c>
      <c r="D17" s="83">
        <v>8</v>
      </c>
      <c r="E17" s="83">
        <v>2</v>
      </c>
      <c r="F17" s="83">
        <v>2</v>
      </c>
      <c r="G17" s="83">
        <v>9</v>
      </c>
      <c r="H17" s="83">
        <v>2</v>
      </c>
      <c r="I17" s="83">
        <v>4</v>
      </c>
      <c r="K17" s="100" t="s">
        <v>10</v>
      </c>
      <c r="L17" s="99">
        <f t="shared" si="0"/>
        <v>935.69999999999891</v>
      </c>
      <c r="O17" s="89" t="s">
        <v>11</v>
      </c>
      <c r="P17" s="101">
        <f>SUM(TabRenatão36[SalAnt])</f>
        <v>1156</v>
      </c>
      <c r="Q17" s="90">
        <f>Betão!D14</f>
        <v>1428.1999999999998</v>
      </c>
      <c r="S17" s="89" t="s">
        <v>11</v>
      </c>
    </row>
    <row r="18" spans="2:19" x14ac:dyDescent="0.25">
      <c r="B18" s="88">
        <v>43690</v>
      </c>
      <c r="C18" s="83">
        <v>13</v>
      </c>
      <c r="D18" s="83">
        <v>8</v>
      </c>
      <c r="E18" s="83">
        <v>4</v>
      </c>
      <c r="F18" s="83">
        <v>4</v>
      </c>
      <c r="G18" s="83">
        <v>10</v>
      </c>
      <c r="H18" s="83">
        <v>8</v>
      </c>
      <c r="I18" s="83">
        <v>14</v>
      </c>
      <c r="K18" s="100" t="s">
        <v>11</v>
      </c>
      <c r="L18" s="99">
        <f t="shared" si="0"/>
        <v>272.19999999999982</v>
      </c>
      <c r="O18" s="83" t="s">
        <v>12</v>
      </c>
      <c r="P18" s="99">
        <f>SUM(TabRenatão367[SalAnt])</f>
        <v>4692</v>
      </c>
      <c r="Q18" s="85">
        <f>Tonhão!D14</f>
        <v>6023.7</v>
      </c>
      <c r="S18" s="83" t="s">
        <v>12</v>
      </c>
    </row>
    <row r="19" spans="2:19" x14ac:dyDescent="0.25">
      <c r="B19" s="88">
        <v>43691</v>
      </c>
      <c r="C19" s="83">
        <v>12</v>
      </c>
      <c r="D19" s="83">
        <v>6</v>
      </c>
      <c r="E19" s="83">
        <v>10</v>
      </c>
      <c r="F19" s="83">
        <v>2</v>
      </c>
      <c r="G19" s="83">
        <v>9</v>
      </c>
      <c r="H19" s="83">
        <v>8</v>
      </c>
      <c r="I19" s="83">
        <v>12</v>
      </c>
      <c r="K19" s="100" t="s">
        <v>12</v>
      </c>
      <c r="L19" s="99">
        <f t="shared" si="0"/>
        <v>1331.6999999999998</v>
      </c>
      <c r="O19" s="89" t="s">
        <v>13</v>
      </c>
      <c r="P19" s="101">
        <f>SUM(TabRenatão38[SalAnt])</f>
        <v>3196</v>
      </c>
      <c r="Q19" s="90">
        <f>Zelão!D14</f>
        <v>4006.2000000000003</v>
      </c>
      <c r="S19" s="89" t="s">
        <v>13</v>
      </c>
    </row>
    <row r="20" spans="2:19" x14ac:dyDescent="0.25">
      <c r="B20" s="88">
        <v>43692</v>
      </c>
      <c r="C20" s="83">
        <v>8</v>
      </c>
      <c r="D20" s="83">
        <v>8</v>
      </c>
      <c r="E20" s="83">
        <v>10</v>
      </c>
      <c r="F20" s="83">
        <v>3</v>
      </c>
      <c r="G20" s="83">
        <v>8</v>
      </c>
      <c r="H20" s="83">
        <v>5</v>
      </c>
      <c r="I20" s="83">
        <v>10</v>
      </c>
      <c r="K20" s="100" t="s">
        <v>13</v>
      </c>
      <c r="L20" s="99">
        <f t="shared" si="0"/>
        <v>810.20000000000027</v>
      </c>
      <c r="O20" s="83" t="s">
        <v>14</v>
      </c>
      <c r="P20" s="99">
        <f>SUM(TabRenatão36789[SalAnt])</f>
        <v>4522</v>
      </c>
      <c r="Q20" s="85">
        <f>Ditão!D14</f>
        <v>5790.6</v>
      </c>
      <c r="S20" s="83" t="s">
        <v>14</v>
      </c>
    </row>
    <row r="21" spans="2:19" x14ac:dyDescent="0.25">
      <c r="B21" s="88">
        <v>43693</v>
      </c>
      <c r="C21" s="83">
        <v>8</v>
      </c>
      <c r="D21" s="83">
        <v>10</v>
      </c>
      <c r="E21" s="83">
        <v>5</v>
      </c>
      <c r="F21" s="83">
        <v>5</v>
      </c>
      <c r="G21" s="83">
        <v>8</v>
      </c>
      <c r="H21" s="83">
        <v>6</v>
      </c>
      <c r="I21" s="83">
        <v>8</v>
      </c>
      <c r="K21" s="100" t="s">
        <v>14</v>
      </c>
      <c r="L21" s="99">
        <f t="shared" si="0"/>
        <v>1268.6000000000004</v>
      </c>
    </row>
    <row r="22" spans="2:19" x14ac:dyDescent="0.25">
      <c r="B22" s="88">
        <v>43694</v>
      </c>
      <c r="C22" s="83">
        <v>5</v>
      </c>
      <c r="D22" s="83">
        <v>6</v>
      </c>
      <c r="E22" s="83">
        <v>7</v>
      </c>
      <c r="F22" s="83">
        <v>2</v>
      </c>
      <c r="G22" s="83">
        <v>0</v>
      </c>
      <c r="H22" s="83">
        <v>2</v>
      </c>
      <c r="I22" s="83">
        <v>6</v>
      </c>
    </row>
    <row r="23" spans="2:19" x14ac:dyDescent="0.25">
      <c r="B23" s="88">
        <v>43695</v>
      </c>
      <c r="C23" s="83">
        <v>5</v>
      </c>
      <c r="D23" s="83">
        <v>4</v>
      </c>
      <c r="E23" s="83">
        <v>4</v>
      </c>
      <c r="F23" s="83">
        <v>0</v>
      </c>
      <c r="G23" s="83">
        <v>10</v>
      </c>
      <c r="H23" s="83">
        <v>2</v>
      </c>
      <c r="I23" s="83">
        <v>8</v>
      </c>
      <c r="K23" s="83" t="s">
        <v>35</v>
      </c>
      <c r="L23" s="83" t="s">
        <v>73</v>
      </c>
      <c r="M23" s="83" t="s">
        <v>70</v>
      </c>
      <c r="N23" s="83" t="s">
        <v>71</v>
      </c>
      <c r="O23" s="83" t="s">
        <v>78</v>
      </c>
    </row>
    <row r="24" spans="2:19" x14ac:dyDescent="0.25">
      <c r="B24" s="88">
        <v>43696</v>
      </c>
      <c r="C24" s="83">
        <v>0</v>
      </c>
      <c r="D24" s="83">
        <v>10</v>
      </c>
      <c r="E24" s="83">
        <v>4</v>
      </c>
      <c r="F24" s="83">
        <v>0</v>
      </c>
      <c r="G24" s="83">
        <v>8</v>
      </c>
      <c r="H24" s="83">
        <v>4</v>
      </c>
      <c r="I24" s="83">
        <v>4</v>
      </c>
      <c r="K24" s="83" t="s">
        <v>8</v>
      </c>
      <c r="L24" s="99">
        <f>Carlão!D17</f>
        <v>3747.0579999999995</v>
      </c>
      <c r="M24" s="99">
        <f>Carlão!D15</f>
        <v>486.55199999999996</v>
      </c>
      <c r="N24" s="99">
        <f>Carlão!D18</f>
        <v>207.25869999999992</v>
      </c>
      <c r="O24" s="83">
        <f>Carlão!D17</f>
        <v>3747.0579999999995</v>
      </c>
    </row>
    <row r="25" spans="2:19" x14ac:dyDescent="0.25">
      <c r="B25" s="88">
        <v>43697</v>
      </c>
      <c r="C25" s="83">
        <v>8</v>
      </c>
      <c r="D25" s="83">
        <v>6</v>
      </c>
      <c r="E25" s="83">
        <v>4</v>
      </c>
      <c r="F25" s="83">
        <v>0</v>
      </c>
      <c r="G25" s="83">
        <v>9</v>
      </c>
      <c r="H25" s="83">
        <v>6</v>
      </c>
      <c r="I25" s="83">
        <v>12</v>
      </c>
      <c r="K25" s="89" t="s">
        <v>9</v>
      </c>
      <c r="L25" s="99">
        <f>Renatão!D17</f>
        <v>3364.8720000000003</v>
      </c>
      <c r="M25" s="99">
        <f>Renatão!D15</f>
        <v>462.74800000000005</v>
      </c>
      <c r="N25" s="99">
        <f>Renatão!D18</f>
        <v>149.93080000000003</v>
      </c>
      <c r="O25" s="83">
        <f>Renatão!D17</f>
        <v>3364.8720000000003</v>
      </c>
    </row>
    <row r="26" spans="2:19" x14ac:dyDescent="0.25">
      <c r="B26" s="88">
        <v>43698</v>
      </c>
      <c r="C26" s="83">
        <v>8</v>
      </c>
      <c r="D26" s="83">
        <v>6</v>
      </c>
      <c r="E26" s="83">
        <v>4</v>
      </c>
      <c r="F26" s="83">
        <v>2</v>
      </c>
      <c r="G26" s="83">
        <v>8</v>
      </c>
      <c r="H26" s="83">
        <v>6</v>
      </c>
      <c r="I26" s="83">
        <v>10</v>
      </c>
      <c r="K26" s="83" t="s">
        <v>10</v>
      </c>
      <c r="L26" s="99">
        <f>Jorjão!D17</f>
        <v>3533.012999999999</v>
      </c>
      <c r="M26" s="99">
        <f>Jorjão!D15</f>
        <v>460.09699999999987</v>
      </c>
      <c r="N26" s="99">
        <f>Jorjão!D18</f>
        <v>175.15194999999977</v>
      </c>
      <c r="O26" s="83">
        <f>Jorjão!D17</f>
        <v>3533.012999999999</v>
      </c>
    </row>
    <row r="27" spans="2:19" x14ac:dyDescent="0.25">
      <c r="B27" s="88">
        <v>43699</v>
      </c>
      <c r="C27" s="83">
        <v>4</v>
      </c>
      <c r="D27" s="83">
        <v>8</v>
      </c>
      <c r="E27" s="83">
        <v>10</v>
      </c>
      <c r="F27" s="83">
        <v>4</v>
      </c>
      <c r="G27" s="83">
        <v>12</v>
      </c>
      <c r="H27" s="83">
        <v>6</v>
      </c>
      <c r="I27" s="83">
        <v>12</v>
      </c>
      <c r="K27" s="89" t="s">
        <v>11</v>
      </c>
      <c r="L27" s="99">
        <f>Betão!D17</f>
        <v>1124.3539999999998</v>
      </c>
      <c r="M27" s="99">
        <f>Betão!D15</f>
        <v>114.25599999999999</v>
      </c>
      <c r="N27" s="99">
        <f>Betão!D18</f>
        <v>0</v>
      </c>
      <c r="O27" s="83">
        <f>Betão!D17</f>
        <v>1124.3539999999998</v>
      </c>
    </row>
    <row r="28" spans="2:19" x14ac:dyDescent="0.25">
      <c r="B28" s="88">
        <v>43700</v>
      </c>
      <c r="C28" s="83">
        <v>4</v>
      </c>
      <c r="D28" s="83">
        <v>8</v>
      </c>
      <c r="E28" s="83">
        <v>10</v>
      </c>
      <c r="F28" s="83">
        <v>2</v>
      </c>
      <c r="G28" s="83">
        <v>12</v>
      </c>
      <c r="H28" s="83">
        <v>6</v>
      </c>
      <c r="I28" s="83">
        <v>12</v>
      </c>
      <c r="K28" s="83" t="s">
        <v>12</v>
      </c>
      <c r="L28" s="99">
        <f>Tonhão!D17</f>
        <v>5171.5029999999997</v>
      </c>
      <c r="M28" s="99">
        <f>Tonhão!D15</f>
        <v>662.60699999999997</v>
      </c>
      <c r="N28" s="99">
        <f>Tonhão!D18</f>
        <v>552.80332499999997</v>
      </c>
      <c r="O28" s="83">
        <f>Tonhão!D17</f>
        <v>5171.5029999999997</v>
      </c>
    </row>
    <row r="29" spans="2:19" x14ac:dyDescent="0.25">
      <c r="B29" s="88">
        <v>43701</v>
      </c>
      <c r="C29" s="83">
        <v>6</v>
      </c>
      <c r="D29" s="83">
        <v>4</v>
      </c>
      <c r="E29" s="83">
        <v>4</v>
      </c>
      <c r="F29" s="83">
        <v>3</v>
      </c>
      <c r="G29" s="83">
        <v>10</v>
      </c>
      <c r="H29" s="83">
        <v>0</v>
      </c>
      <c r="I29" s="83">
        <v>0</v>
      </c>
      <c r="K29" s="89" t="s">
        <v>13</v>
      </c>
      <c r="L29" s="99">
        <f>Zelão!D17</f>
        <v>3375.9279999999999</v>
      </c>
      <c r="M29" s="99">
        <f>Zelão!D15</f>
        <v>440.68200000000002</v>
      </c>
      <c r="N29" s="99">
        <f>Zelão!D18</f>
        <v>151.58919999999995</v>
      </c>
      <c r="O29" s="83">
        <f>Zelão!D17</f>
        <v>3375.9279999999999</v>
      </c>
    </row>
    <row r="30" spans="2:19" x14ac:dyDescent="0.25">
      <c r="B30" s="88">
        <v>43702</v>
      </c>
      <c r="C30" s="83">
        <v>8</v>
      </c>
      <c r="D30" s="83">
        <v>2</v>
      </c>
      <c r="E30" s="83">
        <v>2</v>
      </c>
      <c r="F30" s="83">
        <v>5</v>
      </c>
      <c r="G30" s="83">
        <v>4</v>
      </c>
      <c r="H30" s="83">
        <v>4</v>
      </c>
      <c r="I30" s="83">
        <v>4</v>
      </c>
      <c r="K30" s="83" t="s">
        <v>14</v>
      </c>
      <c r="L30" s="99">
        <f>Ditão!D17</f>
        <v>4964.0439999999999</v>
      </c>
      <c r="M30" s="99">
        <f>Ditão!D15</f>
        <v>636.96600000000001</v>
      </c>
      <c r="N30" s="99">
        <f>Ditão!D18</f>
        <v>495.75210000000004</v>
      </c>
      <c r="O30" s="83">
        <f>Ditão!D17</f>
        <v>4964.0439999999999</v>
      </c>
    </row>
    <row r="31" spans="2:19" x14ac:dyDescent="0.25">
      <c r="B31" s="88">
        <v>43703</v>
      </c>
      <c r="C31" s="83">
        <v>6</v>
      </c>
      <c r="D31" s="83">
        <v>2</v>
      </c>
      <c r="E31" s="83">
        <v>5</v>
      </c>
      <c r="F31" s="83">
        <v>2</v>
      </c>
      <c r="G31" s="83">
        <v>9</v>
      </c>
      <c r="H31" s="83">
        <v>0</v>
      </c>
      <c r="I31" s="83">
        <v>6</v>
      </c>
    </row>
    <row r="32" spans="2:19" x14ac:dyDescent="0.25">
      <c r="B32" s="88">
        <v>43704</v>
      </c>
      <c r="C32" s="83">
        <v>8</v>
      </c>
      <c r="D32" s="83">
        <v>8</v>
      </c>
      <c r="E32" s="83">
        <v>8</v>
      </c>
      <c r="F32" s="83">
        <v>0</v>
      </c>
      <c r="G32" s="83">
        <v>6</v>
      </c>
      <c r="H32" s="83">
        <v>8</v>
      </c>
      <c r="I32" s="83">
        <v>6</v>
      </c>
    </row>
    <row r="33" spans="2:9" x14ac:dyDescent="0.25">
      <c r="B33" s="88">
        <v>43705</v>
      </c>
      <c r="C33" s="83">
        <v>8</v>
      </c>
      <c r="D33" s="83">
        <v>6</v>
      </c>
      <c r="E33" s="83">
        <v>4</v>
      </c>
      <c r="F33" s="83">
        <v>8</v>
      </c>
      <c r="G33" s="83">
        <v>9</v>
      </c>
      <c r="H33" s="83">
        <v>6</v>
      </c>
      <c r="I33" s="83">
        <v>12</v>
      </c>
    </row>
    <row r="34" spans="2:9" x14ac:dyDescent="0.25">
      <c r="B34" s="88">
        <v>43706</v>
      </c>
      <c r="C34" s="83">
        <v>8</v>
      </c>
      <c r="D34" s="83">
        <v>6</v>
      </c>
      <c r="E34" s="83">
        <v>4</v>
      </c>
      <c r="F34" s="83">
        <v>2</v>
      </c>
      <c r="G34" s="83">
        <v>8</v>
      </c>
      <c r="H34" s="83">
        <v>6</v>
      </c>
      <c r="I34" s="83">
        <v>10</v>
      </c>
    </row>
    <row r="35" spans="2:9" x14ac:dyDescent="0.25">
      <c r="B35" s="88">
        <v>43707</v>
      </c>
      <c r="C35" s="83">
        <v>4</v>
      </c>
      <c r="D35" s="83">
        <v>8</v>
      </c>
      <c r="E35" s="83">
        <v>10</v>
      </c>
      <c r="F35" s="83">
        <v>3</v>
      </c>
      <c r="G35" s="83">
        <v>12</v>
      </c>
      <c r="H35" s="83">
        <v>6</v>
      </c>
      <c r="I35" s="83">
        <v>12</v>
      </c>
    </row>
    <row r="36" spans="2:9" x14ac:dyDescent="0.25">
      <c r="B36" s="88">
        <v>43708</v>
      </c>
      <c r="C36" s="83">
        <v>4</v>
      </c>
      <c r="D36" s="83">
        <v>8</v>
      </c>
      <c r="E36" s="83">
        <v>10</v>
      </c>
      <c r="F36" s="83">
        <v>5</v>
      </c>
      <c r="G36" s="83">
        <v>12</v>
      </c>
      <c r="H36" s="83">
        <v>6</v>
      </c>
      <c r="I36" s="83">
        <v>12</v>
      </c>
    </row>
    <row r="37" spans="2:9" x14ac:dyDescent="0.25">
      <c r="B37" s="88"/>
    </row>
    <row r="40" spans="2:9" x14ac:dyDescent="0.25">
      <c r="B40" s="83" t="s">
        <v>1</v>
      </c>
      <c r="C40" s="83" t="s">
        <v>21</v>
      </c>
    </row>
    <row r="41" spans="2:9" x14ac:dyDescent="0.25">
      <c r="B41" s="88">
        <v>43692</v>
      </c>
      <c r="C41" s="83" t="s">
        <v>19</v>
      </c>
    </row>
    <row r="42" spans="2:9" x14ac:dyDescent="0.25">
      <c r="B42" s="88">
        <v>43697</v>
      </c>
      <c r="C42" s="83" t="s">
        <v>20</v>
      </c>
    </row>
  </sheetData>
  <sheetProtection selectLockedCells="1"/>
  <mergeCells count="1">
    <mergeCell ref="I1:N2"/>
  </mergeCells>
  <pageMargins left="0.511811024" right="0.511811024" top="0.78740157499999996" bottom="0.78740157499999996" header="0.31496062000000002" footer="0.31496062000000002"/>
  <pageSetup orientation="portrait" horizont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B1:N37"/>
  <sheetViews>
    <sheetView showGridLines="0" topLeftCell="A10" workbookViewId="0">
      <selection activeCell="C12" sqref="C12:H12"/>
    </sheetView>
  </sheetViews>
  <sheetFormatPr defaultRowHeight="15" customHeight="1" x14ac:dyDescent="0.25"/>
  <sheetData>
    <row r="1" spans="2:14" ht="13.7" customHeight="1" x14ac:dyDescent="0.25">
      <c r="I1" s="107" t="s">
        <v>75</v>
      </c>
      <c r="J1" s="107"/>
      <c r="K1" s="107"/>
      <c r="L1" s="107"/>
      <c r="M1" s="107"/>
      <c r="N1" s="107"/>
    </row>
    <row r="2" spans="2:14" ht="13.7" customHeight="1" x14ac:dyDescent="0.25">
      <c r="I2" s="107"/>
      <c r="J2" s="107"/>
      <c r="K2" s="107"/>
      <c r="L2" s="107"/>
      <c r="M2" s="107"/>
      <c r="N2" s="107"/>
    </row>
    <row r="3" spans="2:14" ht="13.7" customHeight="1" x14ac:dyDescent="0.25">
      <c r="B3" s="75"/>
      <c r="C3" s="75"/>
      <c r="D3" s="75"/>
      <c r="E3" s="75"/>
      <c r="F3" s="75"/>
      <c r="G3" s="75"/>
      <c r="H3" s="75"/>
      <c r="I3" s="75"/>
      <c r="J3" s="1"/>
      <c r="L3" s="1"/>
      <c r="M3" s="1"/>
      <c r="N3" s="1"/>
    </row>
    <row r="4" spans="2:14" ht="13.7" customHeight="1" x14ac:dyDescent="0.25">
      <c r="B4" s="69"/>
      <c r="C4" s="70"/>
      <c r="D4" s="70"/>
      <c r="E4" s="70"/>
      <c r="F4" s="70"/>
      <c r="G4" s="71"/>
      <c r="H4" s="70"/>
      <c r="I4" s="70"/>
      <c r="J4" s="72"/>
      <c r="K4" s="64"/>
      <c r="L4" s="126" t="s">
        <v>65</v>
      </c>
      <c r="M4" s="68"/>
      <c r="N4" s="67"/>
    </row>
    <row r="5" spans="2:14" ht="13.7" customHeight="1" x14ac:dyDescent="0.25">
      <c r="B5" s="129" t="s">
        <v>64</v>
      </c>
      <c r="C5" s="130"/>
      <c r="D5" s="45"/>
      <c r="E5" s="45"/>
      <c r="F5" s="45"/>
      <c r="G5" s="73"/>
      <c r="H5" s="73" t="s">
        <v>63</v>
      </c>
      <c r="I5" s="45"/>
      <c r="J5" s="32"/>
      <c r="K5" s="64"/>
      <c r="L5" s="127"/>
      <c r="M5" s="66"/>
      <c r="N5" s="65"/>
    </row>
    <row r="6" spans="2:14" ht="13.7" customHeight="1" x14ac:dyDescent="0.25">
      <c r="B6" s="74" t="s">
        <v>35</v>
      </c>
      <c r="C6" t="s">
        <v>79</v>
      </c>
      <c r="I6" s="131">
        <f>Configurações!B6</f>
        <v>43678</v>
      </c>
      <c r="J6" s="132"/>
      <c r="K6" s="1"/>
      <c r="L6" s="127"/>
      <c r="M6" s="53"/>
      <c r="N6" s="114" t="s">
        <v>62</v>
      </c>
    </row>
    <row r="7" spans="2:14" ht="13.7" customHeight="1" x14ac:dyDescent="0.25">
      <c r="B7" s="74" t="s">
        <v>61</v>
      </c>
      <c r="C7" s="113" t="s">
        <v>69</v>
      </c>
      <c r="D7" s="113"/>
      <c r="E7" s="113"/>
      <c r="F7" s="113"/>
      <c r="G7" s="113"/>
      <c r="H7" s="113"/>
      <c r="I7" s="76"/>
      <c r="J7" s="115"/>
      <c r="K7" s="1"/>
      <c r="L7" s="127"/>
      <c r="M7" s="53"/>
      <c r="N7" s="114"/>
    </row>
    <row r="8" spans="2:14" ht="13.7" customHeight="1" x14ac:dyDescent="0.25">
      <c r="B8" s="74" t="s">
        <v>60</v>
      </c>
      <c r="C8" s="113" t="s">
        <v>66</v>
      </c>
      <c r="D8" s="113"/>
      <c r="E8" s="113"/>
      <c r="F8" s="113"/>
      <c r="G8" s="113"/>
      <c r="H8" s="113"/>
      <c r="I8" s="76"/>
      <c r="J8" s="115"/>
      <c r="K8" s="1"/>
      <c r="L8" s="127"/>
      <c r="M8" s="53"/>
      <c r="N8" s="114"/>
    </row>
    <row r="9" spans="2:14" ht="13.7" customHeight="1" x14ac:dyDescent="0.25">
      <c r="B9" s="77"/>
      <c r="C9" s="78"/>
      <c r="D9" s="78"/>
      <c r="E9" s="78"/>
      <c r="F9" s="78"/>
      <c r="G9" s="78"/>
      <c r="H9" s="78"/>
      <c r="I9" s="78"/>
      <c r="J9" s="79"/>
      <c r="K9" s="1"/>
      <c r="L9" s="127"/>
      <c r="M9" s="53"/>
      <c r="N9" s="114"/>
    </row>
    <row r="10" spans="2:14" ht="13.7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27"/>
      <c r="M10" s="53"/>
      <c r="N10" s="114"/>
    </row>
    <row r="11" spans="2:14" ht="13.7" customHeight="1" x14ac:dyDescent="0.25">
      <c r="B11" s="63" t="s">
        <v>59</v>
      </c>
      <c r="C11" s="61" t="s">
        <v>58</v>
      </c>
      <c r="D11" s="62"/>
      <c r="E11" s="62"/>
      <c r="F11" s="62"/>
      <c r="G11" s="62"/>
      <c r="H11" s="61" t="s">
        <v>57</v>
      </c>
      <c r="I11" s="61" t="s">
        <v>56</v>
      </c>
      <c r="J11" s="60"/>
      <c r="K11" s="1"/>
      <c r="L11" s="127"/>
      <c r="M11" s="53"/>
      <c r="N11" s="114"/>
    </row>
    <row r="12" spans="2:14" ht="13.7" customHeight="1" x14ac:dyDescent="0.25">
      <c r="B12" s="59" t="s">
        <v>67</v>
      </c>
      <c r="C12" s="113" t="s">
        <v>9</v>
      </c>
      <c r="D12" s="113"/>
      <c r="E12" s="113"/>
      <c r="F12" s="113"/>
      <c r="G12" s="113"/>
      <c r="H12" s="113"/>
      <c r="I12" s="116" t="s">
        <v>68</v>
      </c>
      <c r="J12" s="117"/>
      <c r="K12" s="57"/>
      <c r="L12" s="127"/>
      <c r="M12" s="58"/>
      <c r="N12" s="114"/>
    </row>
    <row r="13" spans="2:14" ht="13.7" customHeight="1" x14ac:dyDescent="0.25">
      <c r="B13" s="56"/>
      <c r="C13" s="55"/>
      <c r="D13" s="55"/>
      <c r="E13" s="55"/>
      <c r="F13" s="55"/>
      <c r="G13" s="55"/>
      <c r="H13" s="55"/>
      <c r="I13" s="55"/>
      <c r="J13" s="54"/>
      <c r="K13" s="1"/>
      <c r="L13" s="127"/>
      <c r="M13" s="53"/>
      <c r="N13" s="114"/>
    </row>
    <row r="14" spans="2:14" ht="13.7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27"/>
      <c r="M14" s="53"/>
      <c r="N14" s="114"/>
    </row>
    <row r="15" spans="2:14" ht="13.7" customHeight="1" x14ac:dyDescent="0.25">
      <c r="B15" s="52" t="s">
        <v>55</v>
      </c>
      <c r="C15" s="123" t="s">
        <v>54</v>
      </c>
      <c r="D15" s="124"/>
      <c r="E15" s="124"/>
      <c r="F15" s="124"/>
      <c r="G15" s="125"/>
      <c r="H15" s="52" t="s">
        <v>53</v>
      </c>
      <c r="I15" s="52" t="s">
        <v>52</v>
      </c>
      <c r="J15" s="52" t="s">
        <v>51</v>
      </c>
      <c r="K15" s="22"/>
      <c r="L15" s="127"/>
      <c r="M15" s="32"/>
      <c r="N15" s="114"/>
    </row>
    <row r="16" spans="2:14" ht="13.7" customHeight="1" x14ac:dyDescent="0.25">
      <c r="B16" s="102"/>
      <c r="C16" s="118"/>
      <c r="D16" s="119"/>
      <c r="E16" s="119"/>
      <c r="F16" s="119"/>
      <c r="G16" s="120"/>
      <c r="H16" s="49"/>
      <c r="I16" s="51"/>
      <c r="J16" s="51"/>
      <c r="K16" s="22"/>
      <c r="L16" s="127"/>
      <c r="M16" s="32"/>
      <c r="N16" s="114"/>
    </row>
    <row r="17" spans="2:14" ht="13.7" customHeight="1" x14ac:dyDescent="0.25">
      <c r="B17" s="50" t="s">
        <v>72</v>
      </c>
      <c r="C17" s="118" t="s">
        <v>76</v>
      </c>
      <c r="D17" s="119"/>
      <c r="E17" s="119"/>
      <c r="F17" s="119"/>
      <c r="G17" s="120"/>
      <c r="H17" s="49">
        <f>VLOOKUP(C12,TabSalBruto,2,0)</f>
        <v>4206.8</v>
      </c>
      <c r="I17" s="46"/>
      <c r="J17" s="46"/>
      <c r="K17" s="22"/>
      <c r="L17" s="127"/>
      <c r="M17" s="32"/>
      <c r="N17" s="114"/>
    </row>
    <row r="18" spans="2:14" ht="13.7" customHeight="1" x14ac:dyDescent="0.25">
      <c r="B18" s="48" t="s">
        <v>72</v>
      </c>
      <c r="C18" s="118" t="s">
        <v>27</v>
      </c>
      <c r="D18" s="119"/>
      <c r="E18" s="119"/>
      <c r="F18" s="119"/>
      <c r="G18" s="120"/>
      <c r="H18" s="47"/>
      <c r="I18" s="46"/>
      <c r="J18" s="46">
        <f>VLOOKUP(C12,Configurações!K23:N30,3,0)</f>
        <v>462.74800000000005</v>
      </c>
      <c r="K18" s="22"/>
      <c r="L18" s="127"/>
      <c r="M18" s="32"/>
      <c r="N18" s="114"/>
    </row>
    <row r="19" spans="2:14" ht="13.7" customHeight="1" x14ac:dyDescent="0.25">
      <c r="B19" s="48" t="s">
        <v>72</v>
      </c>
      <c r="C19" s="118" t="s">
        <v>71</v>
      </c>
      <c r="D19" s="121"/>
      <c r="E19" s="121"/>
      <c r="F19" s="121"/>
      <c r="G19" s="122"/>
      <c r="H19" s="47"/>
      <c r="I19" s="46"/>
      <c r="J19" s="46">
        <f>VLOOKUP(C12,Configurações!K23:N30,4,0)</f>
        <v>149.93080000000003</v>
      </c>
      <c r="K19" s="22"/>
      <c r="L19" s="127"/>
      <c r="M19" s="32"/>
      <c r="N19" s="114"/>
    </row>
    <row r="20" spans="2:14" ht="13.7" customHeight="1" x14ac:dyDescent="0.25">
      <c r="B20" s="48"/>
      <c r="C20" s="118"/>
      <c r="D20" s="121"/>
      <c r="E20" s="121"/>
      <c r="F20" s="121"/>
      <c r="G20" s="122"/>
      <c r="H20" s="47"/>
      <c r="I20" s="46"/>
      <c r="J20" s="46"/>
      <c r="K20" s="22"/>
      <c r="L20" s="127"/>
      <c r="M20" s="32"/>
      <c r="N20" s="114"/>
    </row>
    <row r="21" spans="2:14" ht="13.7" customHeight="1" x14ac:dyDescent="0.25">
      <c r="B21" s="48"/>
      <c r="C21" s="118"/>
      <c r="D21" s="121"/>
      <c r="E21" s="121"/>
      <c r="F21" s="121"/>
      <c r="G21" s="122"/>
      <c r="H21" s="47"/>
      <c r="I21" s="46"/>
      <c r="J21" s="46"/>
      <c r="K21" s="22"/>
      <c r="L21" s="127"/>
      <c r="M21" s="32"/>
      <c r="N21" s="114"/>
    </row>
    <row r="22" spans="2:14" ht="13.7" customHeight="1" x14ac:dyDescent="0.25">
      <c r="B22" s="48"/>
      <c r="C22" s="118"/>
      <c r="D22" s="121"/>
      <c r="E22" s="121"/>
      <c r="F22" s="121"/>
      <c r="G22" s="122"/>
      <c r="H22" s="47"/>
      <c r="I22" s="46"/>
      <c r="J22" s="46"/>
      <c r="K22" s="22"/>
      <c r="L22" s="127"/>
      <c r="M22" s="32"/>
      <c r="N22" s="114"/>
    </row>
    <row r="23" spans="2:14" ht="13.7" customHeight="1" x14ac:dyDescent="0.25">
      <c r="B23" s="48"/>
      <c r="C23" s="118"/>
      <c r="D23" s="121"/>
      <c r="E23" s="121"/>
      <c r="F23" s="121"/>
      <c r="G23" s="122"/>
      <c r="H23" s="47"/>
      <c r="I23" s="46"/>
      <c r="J23" s="46"/>
      <c r="K23" s="22"/>
      <c r="L23" s="127"/>
      <c r="M23" s="32"/>
      <c r="N23" s="114"/>
    </row>
    <row r="24" spans="2:14" ht="13.7" customHeight="1" x14ac:dyDescent="0.25">
      <c r="B24" s="44"/>
      <c r="C24" s="110"/>
      <c r="D24" s="111"/>
      <c r="E24" s="111"/>
      <c r="F24" s="111"/>
      <c r="G24" s="112"/>
      <c r="H24" s="43"/>
      <c r="I24" s="42"/>
      <c r="J24" s="42"/>
      <c r="K24" s="22"/>
      <c r="L24" s="127"/>
      <c r="M24" s="32"/>
      <c r="N24" s="114"/>
    </row>
    <row r="25" spans="2:14" ht="13.7" customHeight="1" x14ac:dyDescent="0.25">
      <c r="B25" s="44"/>
      <c r="C25" s="110"/>
      <c r="D25" s="111"/>
      <c r="E25" s="111"/>
      <c r="F25" s="111"/>
      <c r="G25" s="112"/>
      <c r="H25" s="43"/>
      <c r="I25" s="42"/>
      <c r="J25" s="42"/>
      <c r="K25" s="22"/>
      <c r="L25" s="127"/>
      <c r="M25" s="45"/>
      <c r="N25" s="32"/>
    </row>
    <row r="26" spans="2:14" ht="13.7" customHeight="1" x14ac:dyDescent="0.25">
      <c r="B26" s="44"/>
      <c r="C26" s="110"/>
      <c r="D26" s="111"/>
      <c r="E26" s="111"/>
      <c r="F26" s="111"/>
      <c r="G26" s="112"/>
      <c r="H26" s="43"/>
      <c r="I26" s="42"/>
      <c r="J26" s="42"/>
      <c r="K26" s="22"/>
      <c r="L26" s="127"/>
      <c r="M26" s="32"/>
      <c r="N26" s="32"/>
    </row>
    <row r="27" spans="2:14" ht="13.7" customHeight="1" x14ac:dyDescent="0.25">
      <c r="B27" s="44"/>
      <c r="C27" s="110"/>
      <c r="D27" s="111"/>
      <c r="E27" s="111"/>
      <c r="F27" s="111"/>
      <c r="G27" s="112"/>
      <c r="H27" s="43"/>
      <c r="I27" s="42"/>
      <c r="J27" s="42"/>
      <c r="K27" s="22"/>
      <c r="L27" s="127"/>
      <c r="M27" s="32"/>
      <c r="N27" s="32"/>
    </row>
    <row r="28" spans="2:14" ht="13.7" customHeight="1" x14ac:dyDescent="0.25">
      <c r="B28" s="44"/>
      <c r="C28" s="110"/>
      <c r="D28" s="111"/>
      <c r="E28" s="111"/>
      <c r="F28" s="111"/>
      <c r="G28" s="112"/>
      <c r="H28" s="43"/>
      <c r="I28" s="42"/>
      <c r="J28" s="42"/>
      <c r="K28" s="22"/>
      <c r="L28" s="127"/>
      <c r="M28" s="35"/>
      <c r="N28" s="32"/>
    </row>
    <row r="29" spans="2:14" ht="13.7" customHeight="1" x14ac:dyDescent="0.25">
      <c r="B29" s="44"/>
      <c r="C29" s="110"/>
      <c r="D29" s="111"/>
      <c r="E29" s="111"/>
      <c r="F29" s="111"/>
      <c r="G29" s="112"/>
      <c r="H29" s="43"/>
      <c r="I29" s="42"/>
      <c r="J29" s="42"/>
      <c r="K29" s="22"/>
      <c r="L29" s="127"/>
      <c r="M29" s="32"/>
      <c r="N29" s="133" t="s">
        <v>50</v>
      </c>
    </row>
    <row r="30" spans="2:14" ht="13.7" customHeight="1" x14ac:dyDescent="0.25">
      <c r="B30" s="44"/>
      <c r="C30" s="134"/>
      <c r="D30" s="135"/>
      <c r="E30" s="135"/>
      <c r="F30" s="135"/>
      <c r="G30" s="136"/>
      <c r="H30" s="43"/>
      <c r="I30" s="42"/>
      <c r="J30" s="42"/>
      <c r="K30" s="22"/>
      <c r="L30" s="127"/>
      <c r="M30" s="35" t="s">
        <v>45</v>
      </c>
      <c r="N30" s="133"/>
    </row>
    <row r="31" spans="2:14" ht="13.7" customHeight="1" x14ac:dyDescent="0.25">
      <c r="B31" s="41" t="s">
        <v>49</v>
      </c>
      <c r="C31" s="40"/>
      <c r="D31" s="40"/>
      <c r="E31" s="40"/>
      <c r="F31" s="40"/>
      <c r="G31" s="40"/>
      <c r="H31" s="39"/>
      <c r="I31" s="38" t="s">
        <v>48</v>
      </c>
      <c r="J31" s="37" t="s">
        <v>47</v>
      </c>
      <c r="K31" s="27"/>
      <c r="L31" s="127"/>
      <c r="M31" s="28"/>
      <c r="N31" s="133"/>
    </row>
    <row r="32" spans="2:14" ht="13.7" customHeight="1" x14ac:dyDescent="0.25">
      <c r="B32" s="110"/>
      <c r="C32" s="137"/>
      <c r="D32" s="137"/>
      <c r="E32" s="137"/>
      <c r="F32" s="137"/>
      <c r="G32" s="137"/>
      <c r="H32" s="138"/>
      <c r="I32" s="36">
        <f>SUM(I17:I30)</f>
        <v>0</v>
      </c>
      <c r="J32" s="36">
        <f>SUM(J17:J30)</f>
        <v>612.67880000000014</v>
      </c>
      <c r="K32" s="22"/>
      <c r="L32" s="127"/>
      <c r="M32" s="35"/>
      <c r="N32" s="32"/>
    </row>
    <row r="33" spans="2:14" ht="13.7" customHeight="1" x14ac:dyDescent="0.25">
      <c r="B33" s="110"/>
      <c r="C33" s="137"/>
      <c r="D33" s="137"/>
      <c r="E33" s="137"/>
      <c r="F33" s="137"/>
      <c r="G33" s="137"/>
      <c r="H33" s="138"/>
      <c r="I33" s="139" t="s">
        <v>46</v>
      </c>
      <c r="J33" s="108">
        <f>H17-J32</f>
        <v>3594.1212</v>
      </c>
      <c r="K33" s="27"/>
      <c r="L33" s="127"/>
      <c r="M33" s="35" t="s">
        <v>45</v>
      </c>
      <c r="N33" s="28"/>
    </row>
    <row r="34" spans="2:14" ht="13.7" customHeight="1" x14ac:dyDescent="0.25">
      <c r="B34" s="34"/>
      <c r="C34" s="33"/>
      <c r="D34" s="33"/>
      <c r="E34" s="33"/>
      <c r="F34" s="33"/>
      <c r="G34" s="33"/>
      <c r="H34" s="23"/>
      <c r="I34" s="140"/>
      <c r="J34" s="109"/>
      <c r="K34" s="22"/>
      <c r="L34" s="127"/>
      <c r="M34" s="32"/>
      <c r="N34" s="32"/>
    </row>
    <row r="35" spans="2:14" ht="13.7" customHeight="1" x14ac:dyDescent="0.25">
      <c r="B35" s="141" t="s">
        <v>44</v>
      </c>
      <c r="C35" s="142"/>
      <c r="D35" s="31" t="s">
        <v>43</v>
      </c>
      <c r="E35" s="31" t="s">
        <v>42</v>
      </c>
      <c r="F35" s="31"/>
      <c r="G35" s="31" t="s">
        <v>41</v>
      </c>
      <c r="H35" s="31"/>
      <c r="I35" s="30" t="s">
        <v>40</v>
      </c>
      <c r="J35" s="29" t="s">
        <v>80</v>
      </c>
      <c r="K35" s="27"/>
      <c r="L35" s="127"/>
      <c r="M35" s="28"/>
      <c r="N35" s="28"/>
    </row>
    <row r="36" spans="2:14" ht="13.7" customHeight="1" x14ac:dyDescent="0.25">
      <c r="B36" s="103"/>
      <c r="C36" s="104">
        <f>VLOOKUP(C12,Configurações!K24:O30,5,0)</f>
        <v>3364.8720000000003</v>
      </c>
      <c r="D36" s="25">
        <f>J18</f>
        <v>462.74800000000005</v>
      </c>
      <c r="E36" s="25">
        <f>D36</f>
        <v>462.74800000000005</v>
      </c>
      <c r="F36" s="26"/>
      <c r="G36" s="25">
        <f>E36*8%</f>
        <v>37.019840000000002</v>
      </c>
      <c r="H36" s="26"/>
      <c r="I36" s="25">
        <f>J19</f>
        <v>149.93080000000003</v>
      </c>
      <c r="J36" s="24"/>
      <c r="K36" s="22"/>
      <c r="L36" s="128"/>
      <c r="M36" s="23"/>
      <c r="N36" s="23"/>
    </row>
    <row r="37" spans="2:14" ht="13.7" customHeight="1" x14ac:dyDescent="0.25"/>
  </sheetData>
  <mergeCells count="32">
    <mergeCell ref="L4:L36"/>
    <mergeCell ref="C17:G17"/>
    <mergeCell ref="B5:C5"/>
    <mergeCell ref="I6:J6"/>
    <mergeCell ref="N29:N31"/>
    <mergeCell ref="C30:G30"/>
    <mergeCell ref="B32:H32"/>
    <mergeCell ref="B33:H33"/>
    <mergeCell ref="I33:I34"/>
    <mergeCell ref="B35:C35"/>
    <mergeCell ref="C20:G20"/>
    <mergeCell ref="C21:G21"/>
    <mergeCell ref="C22:G22"/>
    <mergeCell ref="C23:G23"/>
    <mergeCell ref="C24:G24"/>
    <mergeCell ref="C25:G25"/>
    <mergeCell ref="I1:N2"/>
    <mergeCell ref="J33:J34"/>
    <mergeCell ref="C28:G28"/>
    <mergeCell ref="C29:G29"/>
    <mergeCell ref="C26:G26"/>
    <mergeCell ref="C27:G27"/>
    <mergeCell ref="C12:H12"/>
    <mergeCell ref="N6:N24"/>
    <mergeCell ref="C7:H7"/>
    <mergeCell ref="J7:J8"/>
    <mergeCell ref="C8:H8"/>
    <mergeCell ref="I12:J12"/>
    <mergeCell ref="C18:G18"/>
    <mergeCell ref="C19:G19"/>
    <mergeCell ref="C15:G15"/>
    <mergeCell ref="C16:G16"/>
  </mergeCells>
  <dataValidations count="1">
    <dataValidation type="list" allowBlank="1" showInputMessage="1" showErrorMessage="1" sqref="C12:H12" xr:uid="{00000000-0002-0000-0100-000000000000}">
      <formula1>nomefunc</formula1>
    </dataValidation>
  </dataValidations>
  <pageMargins left="0.511811024" right="0.511811024" top="0.78740157499999996" bottom="0.78740157499999996" header="0.31496062000000002" footer="0.31496062000000002"/>
  <pageSetup orientation="landscape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B2:T33"/>
  <sheetViews>
    <sheetView showGridLines="0" tabSelected="1" topLeftCell="A7" zoomScaleNormal="100" workbookViewId="0">
      <selection activeCell="B18" sqref="B18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8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17"/>
      <c r="C3" s="17"/>
      <c r="F3" s="9">
        <v>43678</v>
      </c>
      <c r="G3" s="2">
        <f>WEEKDAY(F3)</f>
        <v>5</v>
      </c>
      <c r="H3" s="2" t="str">
        <f>IF(TabRenatão3[[#This Row],[dia]]=IFERROR(VLOOKUP(TabRenatão3[[#This Row],[dia]],Tabela1[],1,FALSE),"erro"),"Sim","Não")</f>
        <v>Não</v>
      </c>
      <c r="I3" s="10">
        <f>VLOOKUP(TabRenatão3[[#This Row],[dia]],Horarios,2,0)</f>
        <v>8</v>
      </c>
      <c r="J3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3" s="10">
        <f>IF(TabRenatão3[[#This Row],[Feriado]]="Sim",TabRenatão3[[#This Row],[Htrab]],0)</f>
        <v>0</v>
      </c>
      <c r="L3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3" s="10">
        <f>IF(TabRenatão3[[#This Row],[Feriado]]="SIM",0,IF(TabRenatão3[[#This Row],[DSemana]]=7,TabRenatão3[[#This Row],[Htrab]],0))</f>
        <v>0</v>
      </c>
      <c r="N3" s="10">
        <f>IF(TabRenatão3[[#This Row],[Feriado]]="SIM",0,IF(TabRenatão3[[#This Row],[DSemana]]=1,TabRenatão3[[#This Row],[Htrab]],0))</f>
        <v>0</v>
      </c>
      <c r="O3" s="11">
        <f>TabRenatão3[[#This Row],[Htrab]]*17</f>
        <v>136</v>
      </c>
      <c r="P3" s="11">
        <f>TabRenatão3[[#This Row],[HN]]*17.9+TabRenatão3[[#This Row],[HFeriado]]*29+TabRenatão3[[#This Row],[HE]]*22.6+TabRenatão3[[#This Row],[Hsab]]*27.9+TabRenatão3[[#This Row],[Hdom]]*29</f>
        <v>143.19999999999999</v>
      </c>
      <c r="Q3" s="11">
        <f>TabRenatão3[[#This Row],[SalAtual]]-TabRenatão3[[#This Row],[SalAnt]]</f>
        <v>7.1999999999999886</v>
      </c>
    </row>
    <row r="4" spans="2:20" x14ac:dyDescent="0.25">
      <c r="B4" s="17"/>
      <c r="C4" s="17"/>
      <c r="F4" s="9">
        <v>43679</v>
      </c>
      <c r="G4" s="2">
        <f t="shared" ref="G4:G33" si="0">WEEKDAY(F4)</f>
        <v>6</v>
      </c>
      <c r="H4" s="2" t="str">
        <f>IF(TabRenatão3[[#This Row],[dia]]=IFERROR(VLOOKUP(TabRenatão3[[#This Row],[dia]],Tabela1[],1,FALSE),"erro"),"Sim","Não")</f>
        <v>Não</v>
      </c>
      <c r="I4" s="10">
        <f>VLOOKUP(TabRenatão3[[#This Row],[dia]],Horarios,2,0)</f>
        <v>8</v>
      </c>
      <c r="J4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4" s="10">
        <f>IF(TabRenatão3[[#This Row],[Feriado]]="Sim",TabRenatão3[[#This Row],[Htrab]],0)</f>
        <v>0</v>
      </c>
      <c r="L4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4" s="10">
        <f>IF(TabRenatão3[[#This Row],[Feriado]]="SIM",0,IF(TabRenatão3[[#This Row],[DSemana]]=7,TabRenatão3[[#This Row],[Htrab]],0))</f>
        <v>0</v>
      </c>
      <c r="N4" s="10">
        <f>IF(TabRenatão3[[#This Row],[Feriado]]="SIM",0,IF(TabRenatão3[[#This Row],[DSemana]]=1,TabRenatão3[[#This Row],[Htrab]],0))</f>
        <v>0</v>
      </c>
      <c r="O4" s="11">
        <f>TabRenatão3[[#This Row],[Htrab]]*17</f>
        <v>136</v>
      </c>
      <c r="P4" s="11">
        <f>TabRenatão3[[#This Row],[HN]]*17.9+TabRenatão3[[#This Row],[HFeriado]]*29+TabRenatão3[[#This Row],[HE]]*22.6+TabRenatão3[[#This Row],[Hsab]]*27.9+TabRenatão3[[#This Row],[Hdom]]*29</f>
        <v>143.19999999999999</v>
      </c>
      <c r="Q4" s="11">
        <f>TabRenatão3[[#This Row],[SalAtual]]-TabRenatão3[[#This Row],[SalAnt]]</f>
        <v>7.1999999999999886</v>
      </c>
    </row>
    <row r="5" spans="2:20" x14ac:dyDescent="0.25">
      <c r="B5" s="17"/>
      <c r="C5" s="17"/>
      <c r="F5" s="9">
        <v>43680</v>
      </c>
      <c r="G5" s="2">
        <f t="shared" si="0"/>
        <v>7</v>
      </c>
      <c r="H5" s="2" t="str">
        <f>IF(TabRenatão3[[#This Row],[dia]]=IFERROR(VLOOKUP(TabRenatão3[[#This Row],[dia]],Tabela1[],1,FALSE),"erro"),"Sim","Não")</f>
        <v>Não</v>
      </c>
      <c r="I5" s="10">
        <f>VLOOKUP(TabRenatão3[[#This Row],[dia]],Horarios,2,0)</f>
        <v>8</v>
      </c>
      <c r="J5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5" s="10">
        <f>IF(TabRenatão3[[#This Row],[Feriado]]="Sim",TabRenatão3[[#This Row],[Htrab]],0)</f>
        <v>0</v>
      </c>
      <c r="L5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5" s="10">
        <f>IF(TabRenatão3[[#This Row],[Feriado]]="SIM",0,IF(TabRenatão3[[#This Row],[DSemana]]=7,TabRenatão3[[#This Row],[Htrab]],0))</f>
        <v>8</v>
      </c>
      <c r="N5" s="10">
        <f>IF(TabRenatão3[[#This Row],[Feriado]]="SIM",0,IF(TabRenatão3[[#This Row],[DSemana]]=1,TabRenatão3[[#This Row],[Htrab]],0))</f>
        <v>0</v>
      </c>
      <c r="O5" s="11">
        <f>TabRenatão3[[#This Row],[Htrab]]*17</f>
        <v>136</v>
      </c>
      <c r="P5" s="11">
        <f>TabRenatão3[[#This Row],[HN]]*17.9+TabRenatão3[[#This Row],[HFeriado]]*29+TabRenatão3[[#This Row],[HE]]*22.6+TabRenatão3[[#This Row],[Hsab]]*27.9+TabRenatão3[[#This Row],[Hdom]]*29</f>
        <v>223.2</v>
      </c>
      <c r="Q5" s="11">
        <f>TabRenatão3[[#This Row],[SalAtual]]-TabRenatão3[[#This Row],[SalAnt]]</f>
        <v>87.199999999999989</v>
      </c>
    </row>
    <row r="6" spans="2:20" x14ac:dyDescent="0.25">
      <c r="B6" s="17"/>
      <c r="C6" s="17"/>
      <c r="F6" s="9">
        <v>43681</v>
      </c>
      <c r="G6" s="2">
        <f t="shared" si="0"/>
        <v>1</v>
      </c>
      <c r="H6" s="2" t="str">
        <f>IF(TabRenatão3[[#This Row],[dia]]=IFERROR(VLOOKUP(TabRenatão3[[#This Row],[dia]],Tabela1[],1,FALSE),"erro"),"Sim","Não")</f>
        <v>Não</v>
      </c>
      <c r="I6" s="10">
        <f>VLOOKUP(TabRenatão3[[#This Row],[dia]],Horarios,2,0)</f>
        <v>12</v>
      </c>
      <c r="J6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6" s="10">
        <f>IF(TabRenatão3[[#This Row],[Feriado]]="Sim",TabRenatão3[[#This Row],[Htrab]],0)</f>
        <v>0</v>
      </c>
      <c r="L6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6" s="10">
        <f>IF(TabRenatão3[[#This Row],[Feriado]]="SIM",0,IF(TabRenatão3[[#This Row],[DSemana]]=7,TabRenatão3[[#This Row],[Htrab]],0))</f>
        <v>0</v>
      </c>
      <c r="N6" s="10">
        <f>IF(TabRenatão3[[#This Row],[Feriado]]="SIM",0,IF(TabRenatão3[[#This Row],[DSemana]]=1,TabRenatão3[[#This Row],[Htrab]],0))</f>
        <v>12</v>
      </c>
      <c r="O6" s="11">
        <f>TabRenatão3[[#This Row],[Htrab]]*17</f>
        <v>204</v>
      </c>
      <c r="P6" s="11">
        <f>TabRenatão3[[#This Row],[HN]]*17.9+TabRenatão3[[#This Row],[HFeriado]]*29+TabRenatão3[[#This Row],[HE]]*22.6+TabRenatão3[[#This Row],[Hsab]]*27.9+TabRenatão3[[#This Row],[Hdom]]*29</f>
        <v>348</v>
      </c>
      <c r="Q6" s="11">
        <f>TabRenatão3[[#This Row],[SalAtual]]-TabRenatão3[[#This Row],[SalAnt]]</f>
        <v>144</v>
      </c>
    </row>
    <row r="7" spans="2:20" x14ac:dyDescent="0.25">
      <c r="B7" s="17"/>
      <c r="C7" s="17"/>
      <c r="F7" s="9">
        <v>43682</v>
      </c>
      <c r="G7" s="2">
        <f t="shared" si="0"/>
        <v>2</v>
      </c>
      <c r="H7" s="2" t="str">
        <f>IF(TabRenatão3[[#This Row],[dia]]=IFERROR(VLOOKUP(TabRenatão3[[#This Row],[dia]],Tabela1[],1,FALSE),"erro"),"Sim","Não")</f>
        <v>Não</v>
      </c>
      <c r="I7" s="10">
        <f>VLOOKUP(TabRenatão3[[#This Row],[dia]],Horarios,2,0)</f>
        <v>0</v>
      </c>
      <c r="J7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7" s="10">
        <f>IF(TabRenatão3[[#This Row],[Feriado]]="Sim",TabRenatão3[[#This Row],[Htrab]],0)</f>
        <v>0</v>
      </c>
      <c r="L7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7" s="10">
        <f>IF(TabRenatão3[[#This Row],[Feriado]]="SIM",0,IF(TabRenatão3[[#This Row],[DSemana]]=7,TabRenatão3[[#This Row],[Htrab]],0))</f>
        <v>0</v>
      </c>
      <c r="N7" s="10">
        <f>IF(TabRenatão3[[#This Row],[Feriado]]="SIM",0,IF(TabRenatão3[[#This Row],[DSemana]]=1,TabRenatão3[[#This Row],[Htrab]],0))</f>
        <v>0</v>
      </c>
      <c r="O7" s="11">
        <f>TabRenatão3[[#This Row],[Htrab]]*17</f>
        <v>0</v>
      </c>
      <c r="P7" s="11">
        <f>TabRenatão3[[#This Row],[HN]]*17.9+TabRenatão3[[#This Row],[HFeriado]]*29+TabRenatão3[[#This Row],[HE]]*22.6+TabRenatão3[[#This Row],[Hsab]]*27.9+TabRenatão3[[#This Row],[Hdom]]*29</f>
        <v>0</v>
      </c>
      <c r="Q7" s="11">
        <f>TabRenatão3[[#This Row],[SalAtual]]-TabRenatão3[[#This Row],[SalAnt]]</f>
        <v>0</v>
      </c>
    </row>
    <row r="8" spans="2:20" x14ac:dyDescent="0.25">
      <c r="B8" s="17"/>
      <c r="C8" s="17"/>
      <c r="F8" s="9">
        <v>43683</v>
      </c>
      <c r="G8" s="2">
        <f t="shared" si="0"/>
        <v>3</v>
      </c>
      <c r="H8" s="2" t="str">
        <f>IF(TabRenatão3[[#This Row],[dia]]=IFERROR(VLOOKUP(TabRenatão3[[#This Row],[dia]],Tabela1[],1,FALSE),"erro"),"Sim","Não")</f>
        <v>Não</v>
      </c>
      <c r="I8" s="10">
        <f>VLOOKUP(TabRenatão3[[#This Row],[dia]],Horarios,2,0)</f>
        <v>5</v>
      </c>
      <c r="J8" s="10">
        <f>IF(TabRenatão3[[#This Row],[Feriado]]="Sim",0,IF(TabRenatão3[[#This Row],[DSemana]]=1,0,IF(TabRenatão3[[#This Row],[DSemana]]=7,0,IF(TabRenatão3[[#This Row],[Htrab]]&gt;8,8,TabRenatão3[[#This Row],[Htrab]]))))</f>
        <v>5</v>
      </c>
      <c r="K8" s="10">
        <f>IF(TabRenatão3[[#This Row],[Feriado]]="Sim",TabRenatão3[[#This Row],[Htrab]],0)</f>
        <v>0</v>
      </c>
      <c r="L8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8" s="10">
        <f>IF(TabRenatão3[[#This Row],[Feriado]]="SIM",0,IF(TabRenatão3[[#This Row],[DSemana]]=7,TabRenatão3[[#This Row],[Htrab]],0))</f>
        <v>0</v>
      </c>
      <c r="N8" s="10">
        <f>IF(TabRenatão3[[#This Row],[Feriado]]="SIM",0,IF(TabRenatão3[[#This Row],[DSemana]]=1,TabRenatão3[[#This Row],[Htrab]],0))</f>
        <v>0</v>
      </c>
      <c r="O8" s="11">
        <f>TabRenatão3[[#This Row],[Htrab]]*17</f>
        <v>85</v>
      </c>
      <c r="P8" s="11">
        <f>TabRenatão3[[#This Row],[HN]]*17.9+TabRenatão3[[#This Row],[HFeriado]]*29+TabRenatão3[[#This Row],[HE]]*22.6+TabRenatão3[[#This Row],[Hsab]]*27.9+TabRenatão3[[#This Row],[Hdom]]*29</f>
        <v>89.5</v>
      </c>
      <c r="Q8" s="11">
        <f>TabRenatão3[[#This Row],[SalAtual]]-TabRenatão3[[#This Row],[SalAnt]]</f>
        <v>4.5</v>
      </c>
    </row>
    <row r="9" spans="2:20" x14ac:dyDescent="0.25">
      <c r="B9" s="17"/>
      <c r="C9" s="17"/>
      <c r="F9" s="9">
        <v>43684</v>
      </c>
      <c r="G9" s="2">
        <f t="shared" si="0"/>
        <v>4</v>
      </c>
      <c r="H9" s="2" t="str">
        <f>IF(TabRenatão3[[#This Row],[dia]]=IFERROR(VLOOKUP(TabRenatão3[[#This Row],[dia]],Tabela1[],1,FALSE),"erro"),"Sim","Não")</f>
        <v>Não</v>
      </c>
      <c r="I9" s="10">
        <f>VLOOKUP(TabRenatão3[[#This Row],[dia]],Horarios,2,0)</f>
        <v>8</v>
      </c>
      <c r="J9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9" s="10">
        <f>IF(TabRenatão3[[#This Row],[Feriado]]="Sim",TabRenatão3[[#This Row],[Htrab]],0)</f>
        <v>0</v>
      </c>
      <c r="L9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9" s="10">
        <f>IF(TabRenatão3[[#This Row],[Feriado]]="SIM",0,IF(TabRenatão3[[#This Row],[DSemana]]=7,TabRenatão3[[#This Row],[Htrab]],0))</f>
        <v>0</v>
      </c>
      <c r="N9" s="10">
        <f>IF(TabRenatão3[[#This Row],[Feriado]]="SIM",0,IF(TabRenatão3[[#This Row],[DSemana]]=1,TabRenatão3[[#This Row],[Htrab]],0))</f>
        <v>0</v>
      </c>
      <c r="O9" s="11">
        <f>TabRenatão3[[#This Row],[Htrab]]*17</f>
        <v>136</v>
      </c>
      <c r="P9" s="11">
        <f>TabRenatão3[[#This Row],[HN]]*17.9+TabRenatão3[[#This Row],[HFeriado]]*29+TabRenatão3[[#This Row],[HE]]*22.6+TabRenatão3[[#This Row],[Hsab]]*27.9+TabRenatão3[[#This Row],[Hdom]]*29</f>
        <v>143.19999999999999</v>
      </c>
      <c r="Q9" s="11">
        <f>TabRenatão3[[#This Row],[SalAtual]]-TabRenatão3[[#This Row],[SalAnt]]</f>
        <v>7.1999999999999886</v>
      </c>
    </row>
    <row r="10" spans="2:20" x14ac:dyDescent="0.25">
      <c r="F10" s="9">
        <v>43685</v>
      </c>
      <c r="G10" s="2">
        <f t="shared" si="0"/>
        <v>5</v>
      </c>
      <c r="H10" s="2" t="str">
        <f>IF(TabRenatão3[[#This Row],[dia]]=IFERROR(VLOOKUP(TabRenatão3[[#This Row],[dia]],Tabela1[],1,FALSE),"erro"),"Sim","Não")</f>
        <v>Não</v>
      </c>
      <c r="I10" s="10">
        <f>VLOOKUP(TabRenatão3[[#This Row],[dia]],Horarios,2,0)</f>
        <v>8</v>
      </c>
      <c r="J10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10" s="10">
        <f>IF(TabRenatão3[[#This Row],[Feriado]]="Sim",TabRenatão3[[#This Row],[Htrab]],0)</f>
        <v>0</v>
      </c>
      <c r="L10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0" s="10">
        <f>IF(TabRenatão3[[#This Row],[Feriado]]="SIM",0,IF(TabRenatão3[[#This Row],[DSemana]]=7,TabRenatão3[[#This Row],[Htrab]],0))</f>
        <v>0</v>
      </c>
      <c r="N10" s="10">
        <f>IF(TabRenatão3[[#This Row],[Feriado]]="SIM",0,IF(TabRenatão3[[#This Row],[DSemana]]=1,TabRenatão3[[#This Row],[Htrab]],0))</f>
        <v>0</v>
      </c>
      <c r="O10" s="11">
        <f>TabRenatão3[[#This Row],[Htrab]]*17</f>
        <v>136</v>
      </c>
      <c r="P10" s="11">
        <f>TabRenatão3[[#This Row],[HN]]*17.9+TabRenatão3[[#This Row],[HFeriado]]*29+TabRenatão3[[#This Row],[HE]]*22.6+TabRenatão3[[#This Row],[Hsab]]*27.9+TabRenatão3[[#This Row],[Hdom]]*29</f>
        <v>143.19999999999999</v>
      </c>
      <c r="Q10" s="11">
        <f>TabRenatão3[[#This Row],[SalAtual]]-TabRenatão3[[#This Row],[SalAnt]]</f>
        <v>7.1999999999999886</v>
      </c>
    </row>
    <row r="11" spans="2:20" x14ac:dyDescent="0.25">
      <c r="F11" s="9">
        <v>43686</v>
      </c>
      <c r="G11" s="2">
        <f t="shared" si="0"/>
        <v>6</v>
      </c>
      <c r="H11" s="2" t="str">
        <f>IF(TabRenatão3[[#This Row],[dia]]=IFERROR(VLOOKUP(TabRenatão3[[#This Row],[dia]],Tabela1[],1,FALSE),"erro"),"Sim","Não")</f>
        <v>Não</v>
      </c>
      <c r="I11" s="10">
        <f>VLOOKUP(TabRenatão3[[#This Row],[dia]],Horarios,2,0)</f>
        <v>8</v>
      </c>
      <c r="J11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11" s="10">
        <f>IF(TabRenatão3[[#This Row],[Feriado]]="Sim",TabRenatão3[[#This Row],[Htrab]],0)</f>
        <v>0</v>
      </c>
      <c r="L11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1" s="10">
        <f>IF(TabRenatão3[[#This Row],[Feriado]]="SIM",0,IF(TabRenatão3[[#This Row],[DSemana]]=7,TabRenatão3[[#This Row],[Htrab]],0))</f>
        <v>0</v>
      </c>
      <c r="N11" s="10">
        <f>IF(TabRenatão3[[#This Row],[Feriado]]="SIM",0,IF(TabRenatão3[[#This Row],[DSemana]]=1,TabRenatão3[[#This Row],[Htrab]],0))</f>
        <v>0</v>
      </c>
      <c r="O11" s="11">
        <f>TabRenatão3[[#This Row],[Htrab]]*17</f>
        <v>136</v>
      </c>
      <c r="P11" s="11">
        <f>TabRenatão3[[#This Row],[HN]]*17.9+TabRenatão3[[#This Row],[HFeriado]]*29+TabRenatão3[[#This Row],[HE]]*22.6+TabRenatão3[[#This Row],[Hsab]]*27.9+TabRenatão3[[#This Row],[Hdom]]*29</f>
        <v>143.19999999999999</v>
      </c>
      <c r="Q11" s="11">
        <f>TabRenatão3[[#This Row],[SalAtual]]-TabRenatão3[[#This Row],[SalAnt]]</f>
        <v>7.1999999999999886</v>
      </c>
    </row>
    <row r="12" spans="2:20" x14ac:dyDescent="0.25">
      <c r="F12" s="9">
        <v>43687</v>
      </c>
      <c r="G12" s="2">
        <f t="shared" si="0"/>
        <v>7</v>
      </c>
      <c r="H12" s="2" t="str">
        <f>IF(TabRenatão3[[#This Row],[dia]]=IFERROR(VLOOKUP(TabRenatão3[[#This Row],[dia]],Tabela1[],1,FALSE),"erro"),"Sim","Não")</f>
        <v>Não</v>
      </c>
      <c r="I12" s="10">
        <f>VLOOKUP(TabRenatão3[[#This Row],[dia]],Horarios,2,0)</f>
        <v>8</v>
      </c>
      <c r="J12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12" s="10">
        <f>IF(TabRenatão3[[#This Row],[Feriado]]="Sim",TabRenatão3[[#This Row],[Htrab]],0)</f>
        <v>0</v>
      </c>
      <c r="L12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2" s="10">
        <f>IF(TabRenatão3[[#This Row],[Feriado]]="SIM",0,IF(TabRenatão3[[#This Row],[DSemana]]=7,TabRenatão3[[#This Row],[Htrab]],0))</f>
        <v>8</v>
      </c>
      <c r="N12" s="10">
        <f>IF(TabRenatão3[[#This Row],[Feriado]]="SIM",0,IF(TabRenatão3[[#This Row],[DSemana]]=1,TabRenatão3[[#This Row],[Htrab]],0))</f>
        <v>0</v>
      </c>
      <c r="O12" s="11">
        <f>TabRenatão3[[#This Row],[Htrab]]*17</f>
        <v>136</v>
      </c>
      <c r="P12" s="11">
        <f>TabRenatão3[[#This Row],[HN]]*17.9+TabRenatão3[[#This Row],[HFeriado]]*29+TabRenatão3[[#This Row],[HE]]*22.6+TabRenatão3[[#This Row],[Hsab]]*27.9+TabRenatão3[[#This Row],[Hdom]]*29</f>
        <v>223.2</v>
      </c>
      <c r="Q12" s="11">
        <f>TabRenatão3[[#This Row],[SalAtual]]-TabRenatão3[[#This Row],[SalAnt]]</f>
        <v>87.199999999999989</v>
      </c>
    </row>
    <row r="13" spans="2:20" x14ac:dyDescent="0.25">
      <c r="B13" s="144" t="s">
        <v>32</v>
      </c>
      <c r="C13" s="144"/>
      <c r="D13" s="144"/>
      <c r="F13" s="9">
        <v>43688</v>
      </c>
      <c r="G13" s="2">
        <f t="shared" si="0"/>
        <v>1</v>
      </c>
      <c r="H13" s="2" t="str">
        <f>IF(TabRenatão3[[#This Row],[dia]]=IFERROR(VLOOKUP(TabRenatão3[[#This Row],[dia]],Tabela1[],1,FALSE),"erro"),"Sim","Não")</f>
        <v>Não</v>
      </c>
      <c r="I13" s="10">
        <f>VLOOKUP(TabRenatão3[[#This Row],[dia]],Horarios,2,0)</f>
        <v>0</v>
      </c>
      <c r="J13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13" s="10">
        <f>IF(TabRenatão3[[#This Row],[Feriado]]="Sim",TabRenatão3[[#This Row],[Htrab]],0)</f>
        <v>0</v>
      </c>
      <c r="L13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3" s="10">
        <f>IF(TabRenatão3[[#This Row],[Feriado]]="SIM",0,IF(TabRenatão3[[#This Row],[DSemana]]=7,TabRenatão3[[#This Row],[Htrab]],0))</f>
        <v>0</v>
      </c>
      <c r="N13" s="10">
        <f>IF(TabRenatão3[[#This Row],[Feriado]]="SIM",0,IF(TabRenatão3[[#This Row],[DSemana]]=1,TabRenatão3[[#This Row],[Htrab]],0))</f>
        <v>0</v>
      </c>
      <c r="O13" s="11">
        <f>TabRenatão3[[#This Row],[Htrab]]*17</f>
        <v>0</v>
      </c>
      <c r="P13" s="11">
        <f>TabRenatão3[[#This Row],[HN]]*17.9+TabRenatão3[[#This Row],[HFeriado]]*29+TabRenatão3[[#This Row],[HE]]*22.6+TabRenatão3[[#This Row],[Hsab]]*27.9+TabRenatão3[[#This Row],[Hdom]]*29</f>
        <v>0</v>
      </c>
      <c r="Q13" s="11">
        <f>TabRenatão3[[#This Row],[SalAtual]]-TabRenatão3[[#This Row],[SalAnt]]</f>
        <v>0</v>
      </c>
    </row>
    <row r="14" spans="2:20" x14ac:dyDescent="0.25">
      <c r="B14" s="146" t="s">
        <v>81</v>
      </c>
      <c r="C14" s="146"/>
      <c r="D14" s="8">
        <f>SUM(P3:P33)</f>
        <v>4423.2</v>
      </c>
      <c r="F14" s="9">
        <v>43689</v>
      </c>
      <c r="G14" s="2">
        <f t="shared" si="0"/>
        <v>2</v>
      </c>
      <c r="H14" s="2" t="str">
        <f>IF(TabRenatão3[[#This Row],[dia]]=IFERROR(VLOOKUP(TabRenatão3[[#This Row],[dia]],Tabela1[],1,FALSE),"erro"),"Sim","Não")</f>
        <v>Não</v>
      </c>
      <c r="I14" s="10">
        <f>VLOOKUP(TabRenatão3[[#This Row],[dia]],Horarios,2,0)</f>
        <v>2</v>
      </c>
      <c r="J14" s="10">
        <f>IF(TabRenatão3[[#This Row],[Feriado]]="Sim",0,IF(TabRenatão3[[#This Row],[DSemana]]=1,0,IF(TabRenatão3[[#This Row],[DSemana]]=7,0,IF(TabRenatão3[[#This Row],[Htrab]]&gt;8,8,TabRenatão3[[#This Row],[Htrab]]))))</f>
        <v>2</v>
      </c>
      <c r="K14" s="10">
        <f>IF(TabRenatão3[[#This Row],[Feriado]]="Sim",TabRenatão3[[#This Row],[Htrab]],0)</f>
        <v>0</v>
      </c>
      <c r="L14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4" s="10">
        <f>IF(TabRenatão3[[#This Row],[Feriado]]="SIM",0,IF(TabRenatão3[[#This Row],[DSemana]]=7,TabRenatão3[[#This Row],[Htrab]],0))</f>
        <v>0</v>
      </c>
      <c r="N14" s="10">
        <f>IF(TabRenatão3[[#This Row],[Feriado]]="SIM",0,IF(TabRenatão3[[#This Row],[DSemana]]=1,TabRenatão3[[#This Row],[Htrab]],0))</f>
        <v>0</v>
      </c>
      <c r="O14" s="11">
        <f>TabRenatão3[[#This Row],[Htrab]]*17</f>
        <v>34</v>
      </c>
      <c r="P14" s="11">
        <f>TabRenatão3[[#This Row],[HN]]*17.9+TabRenatão3[[#This Row],[HFeriado]]*29+TabRenatão3[[#This Row],[HE]]*22.6+TabRenatão3[[#This Row],[Hsab]]*27.9+TabRenatão3[[#This Row],[Hdom]]*29</f>
        <v>35.799999999999997</v>
      </c>
      <c r="Q14" s="11">
        <f>TabRenatão3[[#This Row],[SalAtual]]-TabRenatão3[[#This Row],[SalAnt]]</f>
        <v>1.7999999999999972</v>
      </c>
    </row>
    <row r="15" spans="2:20" x14ac:dyDescent="0.25">
      <c r="B15" s="15" t="s">
        <v>27</v>
      </c>
      <c r="C15" s="15"/>
      <c r="D15" s="14">
        <f>IF(D14&lt;=1751.81,D14*0.08,IF(D14&lt;=2919.72,D14*0.09,D14*0.11))</f>
        <v>486.55199999999996</v>
      </c>
      <c r="F15" s="9">
        <v>43690</v>
      </c>
      <c r="G15" s="2">
        <f t="shared" si="0"/>
        <v>3</v>
      </c>
      <c r="H15" s="2" t="str">
        <f>IF(TabRenatão3[[#This Row],[dia]]=IFERROR(VLOOKUP(TabRenatão3[[#This Row],[dia]],Tabela1[],1,FALSE),"erro"),"Sim","Não")</f>
        <v>Não</v>
      </c>
      <c r="I15" s="10">
        <f>VLOOKUP(TabRenatão3[[#This Row],[dia]],Horarios,2,0)</f>
        <v>13</v>
      </c>
      <c r="J15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15" s="10">
        <f>IF(TabRenatão3[[#This Row],[Feriado]]="Sim",TabRenatão3[[#This Row],[Htrab]],0)</f>
        <v>0</v>
      </c>
      <c r="L15" s="10">
        <f>IF(TabRenatão3[[#This Row],[Feriado]]="Sim",0,IF(TabRenatão3[[#This Row],[DSemana]]=1,0,IF(TabRenatão3[[#This Row],[DSemana]]=7,0,IF(TabRenatão3[[#This Row],[Htrab]]&gt;8,TabRenatão3[[#This Row],[Htrab]]-8,0))))</f>
        <v>5</v>
      </c>
      <c r="M15" s="10">
        <f>IF(TabRenatão3[[#This Row],[Feriado]]="SIM",0,IF(TabRenatão3[[#This Row],[DSemana]]=7,TabRenatão3[[#This Row],[Htrab]],0))</f>
        <v>0</v>
      </c>
      <c r="N15" s="10">
        <f>IF(TabRenatão3[[#This Row],[Feriado]]="SIM",0,IF(TabRenatão3[[#This Row],[DSemana]]=1,TabRenatão3[[#This Row],[Htrab]],0))</f>
        <v>0</v>
      </c>
      <c r="O15" s="11">
        <f>TabRenatão3[[#This Row],[Htrab]]*17</f>
        <v>221</v>
      </c>
      <c r="P15" s="11">
        <f>TabRenatão3[[#This Row],[HN]]*17.9+TabRenatão3[[#This Row],[HFeriado]]*29+TabRenatão3[[#This Row],[HE]]*22.6+TabRenatão3[[#This Row],[Hsab]]*27.9+TabRenatão3[[#This Row],[Hdom]]*29</f>
        <v>256.2</v>
      </c>
      <c r="Q15" s="11">
        <f>TabRenatão3[[#This Row],[SalAtual]]-TabRenatão3[[#This Row],[SalAnt]]</f>
        <v>35.199999999999989</v>
      </c>
    </row>
    <row r="16" spans="2:20" x14ac:dyDescent="0.25">
      <c r="B16" s="16" t="s">
        <v>28</v>
      </c>
      <c r="C16" s="16"/>
      <c r="D16">
        <v>1</v>
      </c>
      <c r="F16" s="9">
        <v>43691</v>
      </c>
      <c r="G16" s="2">
        <f t="shared" si="0"/>
        <v>4</v>
      </c>
      <c r="H16" s="2" t="str">
        <f>IF(TabRenatão3[[#This Row],[dia]]=IFERROR(VLOOKUP(TabRenatão3[[#This Row],[dia]],Tabela1[],1,FALSE),"erro"),"Sim","Não")</f>
        <v>Não</v>
      </c>
      <c r="I16" s="10">
        <f>VLOOKUP(TabRenatão3[[#This Row],[dia]],Horarios,2,0)</f>
        <v>12</v>
      </c>
      <c r="J16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16" s="10">
        <f>IF(TabRenatão3[[#This Row],[Feriado]]="Sim",TabRenatão3[[#This Row],[Htrab]],0)</f>
        <v>0</v>
      </c>
      <c r="L16" s="10">
        <f>IF(TabRenatão3[[#This Row],[Feriado]]="Sim",0,IF(TabRenatão3[[#This Row],[DSemana]]=1,0,IF(TabRenatão3[[#This Row],[DSemana]]=7,0,IF(TabRenatão3[[#This Row],[Htrab]]&gt;8,TabRenatão3[[#This Row],[Htrab]]-8,0))))</f>
        <v>4</v>
      </c>
      <c r="M16" s="10">
        <f>IF(TabRenatão3[[#This Row],[Feriado]]="SIM",0,IF(TabRenatão3[[#This Row],[DSemana]]=7,TabRenatão3[[#This Row],[Htrab]],0))</f>
        <v>0</v>
      </c>
      <c r="N16" s="10">
        <f>IF(TabRenatão3[[#This Row],[Feriado]]="SIM",0,IF(TabRenatão3[[#This Row],[DSemana]]=1,TabRenatão3[[#This Row],[Htrab]],0))</f>
        <v>0</v>
      </c>
      <c r="O16" s="11">
        <f>TabRenatão3[[#This Row],[Htrab]]*17</f>
        <v>204</v>
      </c>
      <c r="P16" s="11">
        <f>TabRenatão3[[#This Row],[HN]]*17.9+TabRenatão3[[#This Row],[HFeriado]]*29+TabRenatão3[[#This Row],[HE]]*22.6+TabRenatão3[[#This Row],[Hsab]]*27.9+TabRenatão3[[#This Row],[Hdom]]*29</f>
        <v>233.6</v>
      </c>
      <c r="Q16" s="11">
        <f>TabRenatão3[[#This Row],[SalAtual]]-TabRenatão3[[#This Row],[SalAnt]]</f>
        <v>29.599999999999994</v>
      </c>
    </row>
    <row r="17" spans="2:17" x14ac:dyDescent="0.25">
      <c r="B17" s="15" t="s">
        <v>29</v>
      </c>
      <c r="C17" s="15"/>
      <c r="D17" s="14">
        <f>D14-D15-(D16*189.59)</f>
        <v>3747.0579999999995</v>
      </c>
      <c r="F17" s="9">
        <v>43692</v>
      </c>
      <c r="G17" s="2">
        <f t="shared" si="0"/>
        <v>5</v>
      </c>
      <c r="H17" s="2" t="str">
        <f>IF(TabRenatão3[[#This Row],[dia]]=IFERROR(VLOOKUP(TabRenatão3[[#This Row],[dia]],Tabela1[],1,FALSE),"erro"),"Sim","Não")</f>
        <v>Sim</v>
      </c>
      <c r="I17" s="10">
        <f>VLOOKUP(TabRenatão3[[#This Row],[dia]],Horarios,2,0)</f>
        <v>8</v>
      </c>
      <c r="J17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17" s="10">
        <f>IF(TabRenatão3[[#This Row],[Feriado]]="Sim",TabRenatão3[[#This Row],[Htrab]],0)</f>
        <v>8</v>
      </c>
      <c r="L17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7" s="10">
        <f>IF(TabRenatão3[[#This Row],[Feriado]]="SIM",0,IF(TabRenatão3[[#This Row],[DSemana]]=7,TabRenatão3[[#This Row],[Htrab]],0))</f>
        <v>0</v>
      </c>
      <c r="N17" s="10">
        <f>IF(TabRenatão3[[#This Row],[Feriado]]="SIM",0,IF(TabRenatão3[[#This Row],[DSemana]]=1,TabRenatão3[[#This Row],[Htrab]],0))</f>
        <v>0</v>
      </c>
      <c r="O17" s="11">
        <f>TabRenatão3[[#This Row],[Htrab]]*17</f>
        <v>136</v>
      </c>
      <c r="P17" s="11">
        <f>TabRenatão3[[#This Row],[HN]]*17.9+TabRenatão3[[#This Row],[HFeriado]]*29+TabRenatão3[[#This Row],[HE]]*22.6+TabRenatão3[[#This Row],[Hsab]]*27.9+TabRenatão3[[#This Row],[Hdom]]*29</f>
        <v>232</v>
      </c>
      <c r="Q17" s="11">
        <f>TabRenatão3[[#This Row],[SalAtual]]-TabRenatão3[[#This Row],[SalAnt]]</f>
        <v>96</v>
      </c>
    </row>
    <row r="18" spans="2:17" x14ac:dyDescent="0.25">
      <c r="B18" s="16" t="s">
        <v>30</v>
      </c>
      <c r="C18" s="16"/>
      <c r="D18" s="8">
        <f>D17*VLOOKUP(D17,irrf,3)-VLOOKUP(D17,irrf,4)</f>
        <v>207.25869999999992</v>
      </c>
      <c r="F18" s="9">
        <v>43693</v>
      </c>
      <c r="G18" s="2">
        <f t="shared" si="0"/>
        <v>6</v>
      </c>
      <c r="H18" s="2" t="str">
        <f>IF(TabRenatão3[[#This Row],[dia]]=IFERROR(VLOOKUP(TabRenatão3[[#This Row],[dia]],Tabela1[],1,FALSE),"erro"),"Sim","Não")</f>
        <v>Não</v>
      </c>
      <c r="I18" s="10">
        <f>VLOOKUP(TabRenatão3[[#This Row],[dia]],Horarios,2,0)</f>
        <v>8</v>
      </c>
      <c r="J18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18" s="10">
        <f>IF(TabRenatão3[[#This Row],[Feriado]]="Sim",TabRenatão3[[#This Row],[Htrab]],0)</f>
        <v>0</v>
      </c>
      <c r="L18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8" s="10">
        <f>IF(TabRenatão3[[#This Row],[Feriado]]="SIM",0,IF(TabRenatão3[[#This Row],[DSemana]]=7,TabRenatão3[[#This Row],[Htrab]],0))</f>
        <v>0</v>
      </c>
      <c r="N18" s="10">
        <f>IF(TabRenatão3[[#This Row],[Feriado]]="SIM",0,IF(TabRenatão3[[#This Row],[DSemana]]=1,TabRenatão3[[#This Row],[Htrab]],0))</f>
        <v>0</v>
      </c>
      <c r="O18" s="11">
        <f>TabRenatão3[[#This Row],[Htrab]]*17</f>
        <v>136</v>
      </c>
      <c r="P18" s="11">
        <f>TabRenatão3[[#This Row],[HN]]*17.9+TabRenatão3[[#This Row],[HFeriado]]*29+TabRenatão3[[#This Row],[HE]]*22.6+TabRenatão3[[#This Row],[Hsab]]*27.9+TabRenatão3[[#This Row],[Hdom]]*29</f>
        <v>143.19999999999999</v>
      </c>
      <c r="Q18" s="11">
        <f>TabRenatão3[[#This Row],[SalAtual]]-TabRenatão3[[#This Row],[SalAnt]]</f>
        <v>7.1999999999999886</v>
      </c>
    </row>
    <row r="19" spans="2:17" x14ac:dyDescent="0.25">
      <c r="B19" s="15" t="s">
        <v>31</v>
      </c>
      <c r="C19" s="15"/>
      <c r="D19" s="14">
        <f>D14-D15-D18</f>
        <v>3729.3892999999998</v>
      </c>
      <c r="F19" s="9">
        <v>43694</v>
      </c>
      <c r="G19" s="2">
        <f t="shared" si="0"/>
        <v>7</v>
      </c>
      <c r="H19" s="2" t="str">
        <f>IF(TabRenatão3[[#This Row],[dia]]=IFERROR(VLOOKUP(TabRenatão3[[#This Row],[dia]],Tabela1[],1,FALSE),"erro"),"Sim","Não")</f>
        <v>Não</v>
      </c>
      <c r="I19" s="10">
        <f>VLOOKUP(TabRenatão3[[#This Row],[dia]],Horarios,2,0)</f>
        <v>5</v>
      </c>
      <c r="J19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19" s="10">
        <f>IF(TabRenatão3[[#This Row],[Feriado]]="Sim",TabRenatão3[[#This Row],[Htrab]],0)</f>
        <v>0</v>
      </c>
      <c r="L19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19" s="10">
        <f>IF(TabRenatão3[[#This Row],[Feriado]]="SIM",0,IF(TabRenatão3[[#This Row],[DSemana]]=7,TabRenatão3[[#This Row],[Htrab]],0))</f>
        <v>5</v>
      </c>
      <c r="N19" s="10">
        <f>IF(TabRenatão3[[#This Row],[Feriado]]="SIM",0,IF(TabRenatão3[[#This Row],[DSemana]]=1,TabRenatão3[[#This Row],[Htrab]],0))</f>
        <v>0</v>
      </c>
      <c r="O19" s="11">
        <f>TabRenatão3[[#This Row],[Htrab]]*17</f>
        <v>85</v>
      </c>
      <c r="P19" s="11">
        <f>TabRenatão3[[#This Row],[HN]]*17.9+TabRenatão3[[#This Row],[HFeriado]]*29+TabRenatão3[[#This Row],[HE]]*22.6+TabRenatão3[[#This Row],[Hsab]]*27.9+TabRenatão3[[#This Row],[Hdom]]*29</f>
        <v>139.5</v>
      </c>
      <c r="Q19" s="11">
        <f>TabRenatão3[[#This Row],[SalAtual]]-TabRenatão3[[#This Row],[SalAnt]]</f>
        <v>54.5</v>
      </c>
    </row>
    <row r="20" spans="2:17" x14ac:dyDescent="0.25">
      <c r="F20" s="9">
        <v>43695</v>
      </c>
      <c r="G20" s="2">
        <f t="shared" si="0"/>
        <v>1</v>
      </c>
      <c r="H20" s="2" t="str">
        <f>IF(TabRenatão3[[#This Row],[dia]]=IFERROR(VLOOKUP(TabRenatão3[[#This Row],[dia]],Tabela1[],1,FALSE),"erro"),"Sim","Não")</f>
        <v>Não</v>
      </c>
      <c r="I20" s="10">
        <f>VLOOKUP(TabRenatão3[[#This Row],[dia]],Horarios,2,0)</f>
        <v>5</v>
      </c>
      <c r="J20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20" s="10">
        <f>IF(TabRenatão3[[#This Row],[Feriado]]="Sim",TabRenatão3[[#This Row],[Htrab]],0)</f>
        <v>0</v>
      </c>
      <c r="L20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0" s="10">
        <f>IF(TabRenatão3[[#This Row],[Feriado]]="SIM",0,IF(TabRenatão3[[#This Row],[DSemana]]=7,TabRenatão3[[#This Row],[Htrab]],0))</f>
        <v>0</v>
      </c>
      <c r="N20" s="10">
        <f>IF(TabRenatão3[[#This Row],[Feriado]]="SIM",0,IF(TabRenatão3[[#This Row],[DSemana]]=1,TabRenatão3[[#This Row],[Htrab]],0))</f>
        <v>5</v>
      </c>
      <c r="O20" s="11">
        <f>TabRenatão3[[#This Row],[Htrab]]*17</f>
        <v>85</v>
      </c>
      <c r="P20" s="11">
        <f>TabRenatão3[[#This Row],[HN]]*17.9+TabRenatão3[[#This Row],[HFeriado]]*29+TabRenatão3[[#This Row],[HE]]*22.6+TabRenatão3[[#This Row],[Hsab]]*27.9+TabRenatão3[[#This Row],[Hdom]]*29</f>
        <v>145</v>
      </c>
      <c r="Q20" s="11">
        <f>TabRenatão3[[#This Row],[SalAtual]]-TabRenatão3[[#This Row],[SalAnt]]</f>
        <v>60</v>
      </c>
    </row>
    <row r="21" spans="2:17" x14ac:dyDescent="0.25">
      <c r="B21" s="145" t="s">
        <v>77</v>
      </c>
      <c r="C21" s="145"/>
      <c r="D21" s="14">
        <f>SUM(TabRenatão3[SalAnt])</f>
        <v>3434</v>
      </c>
      <c r="F21" s="9">
        <v>43696</v>
      </c>
      <c r="G21" s="2">
        <f t="shared" si="0"/>
        <v>2</v>
      </c>
      <c r="H21" s="2" t="str">
        <f>IF(TabRenatão3[[#This Row],[dia]]=IFERROR(VLOOKUP(TabRenatão3[[#This Row],[dia]],Tabela1[],1,FALSE),"erro"),"Sim","Não")</f>
        <v>Não</v>
      </c>
      <c r="I21" s="10">
        <f>VLOOKUP(TabRenatão3[[#This Row],[dia]],Horarios,2,0)</f>
        <v>0</v>
      </c>
      <c r="J21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21" s="10">
        <f>IF(TabRenatão3[[#This Row],[Feriado]]="Sim",TabRenatão3[[#This Row],[Htrab]],0)</f>
        <v>0</v>
      </c>
      <c r="L21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1" s="10">
        <f>IF(TabRenatão3[[#This Row],[Feriado]]="SIM",0,IF(TabRenatão3[[#This Row],[DSemana]]=7,TabRenatão3[[#This Row],[Htrab]],0))</f>
        <v>0</v>
      </c>
      <c r="N21" s="10">
        <f>IF(TabRenatão3[[#This Row],[Feriado]]="SIM",0,IF(TabRenatão3[[#This Row],[DSemana]]=1,TabRenatão3[[#This Row],[Htrab]],0))</f>
        <v>0</v>
      </c>
      <c r="O21" s="11">
        <f>TabRenatão3[[#This Row],[Htrab]]*17</f>
        <v>0</v>
      </c>
      <c r="P21" s="11">
        <f>TabRenatão3[[#This Row],[HN]]*17.9+TabRenatão3[[#This Row],[HFeriado]]*29+TabRenatão3[[#This Row],[HE]]*22.6+TabRenatão3[[#This Row],[Hsab]]*27.9+TabRenatão3[[#This Row],[Hdom]]*29</f>
        <v>0</v>
      </c>
      <c r="Q21" s="11">
        <f>TabRenatão3[[#This Row],[SalAtual]]-TabRenatão3[[#This Row],[SalAnt]]</f>
        <v>0</v>
      </c>
    </row>
    <row r="22" spans="2:17" x14ac:dyDescent="0.25">
      <c r="F22" s="9">
        <v>43697</v>
      </c>
      <c r="G22" s="2">
        <f t="shared" si="0"/>
        <v>3</v>
      </c>
      <c r="H22" s="2" t="str">
        <f>IF(TabRenatão3[[#This Row],[dia]]=IFERROR(VLOOKUP(TabRenatão3[[#This Row],[dia]],Tabela1[],1,FALSE),"erro"),"Sim","Não")</f>
        <v>Sim</v>
      </c>
      <c r="I22" s="10">
        <f>VLOOKUP(TabRenatão3[[#This Row],[dia]],Horarios,2,0)</f>
        <v>8</v>
      </c>
      <c r="J22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22" s="10">
        <f>IF(TabRenatão3[[#This Row],[Feriado]]="Sim",TabRenatão3[[#This Row],[Htrab]],0)</f>
        <v>8</v>
      </c>
      <c r="L22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2" s="10">
        <f>IF(TabRenatão3[[#This Row],[Feriado]]="SIM",0,IF(TabRenatão3[[#This Row],[DSemana]]=7,TabRenatão3[[#This Row],[Htrab]],0))</f>
        <v>0</v>
      </c>
      <c r="N22" s="10">
        <f>IF(TabRenatão3[[#This Row],[Feriado]]="SIM",0,IF(TabRenatão3[[#This Row],[DSemana]]=1,TabRenatão3[[#This Row],[Htrab]],0))</f>
        <v>0</v>
      </c>
      <c r="O22" s="11">
        <f>TabRenatão3[[#This Row],[Htrab]]*17</f>
        <v>136</v>
      </c>
      <c r="P22" s="11">
        <f>TabRenatão3[[#This Row],[HN]]*17.9+TabRenatão3[[#This Row],[HFeriado]]*29+TabRenatão3[[#This Row],[HE]]*22.6+TabRenatão3[[#This Row],[Hsab]]*27.9+TabRenatão3[[#This Row],[Hdom]]*29</f>
        <v>232</v>
      </c>
      <c r="Q22" s="11">
        <f>TabRenatão3[[#This Row],[SalAtual]]-TabRenatão3[[#This Row],[SalAnt]]</f>
        <v>96</v>
      </c>
    </row>
    <row r="23" spans="2:17" x14ac:dyDescent="0.25">
      <c r="F23" s="9">
        <v>43698</v>
      </c>
      <c r="G23" s="2">
        <f t="shared" si="0"/>
        <v>4</v>
      </c>
      <c r="H23" s="2" t="str">
        <f>IF(TabRenatão3[[#This Row],[dia]]=IFERROR(VLOOKUP(TabRenatão3[[#This Row],[dia]],Tabela1[],1,FALSE),"erro"),"Sim","Não")</f>
        <v>Não</v>
      </c>
      <c r="I23" s="10">
        <f>VLOOKUP(TabRenatão3[[#This Row],[dia]],Horarios,2,0)</f>
        <v>8</v>
      </c>
      <c r="J23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23" s="10">
        <f>IF(TabRenatão3[[#This Row],[Feriado]]="Sim",TabRenatão3[[#This Row],[Htrab]],0)</f>
        <v>0</v>
      </c>
      <c r="L23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3" s="10">
        <f>IF(TabRenatão3[[#This Row],[Feriado]]="SIM",0,IF(TabRenatão3[[#This Row],[DSemana]]=7,TabRenatão3[[#This Row],[Htrab]],0))</f>
        <v>0</v>
      </c>
      <c r="N23" s="10">
        <f>IF(TabRenatão3[[#This Row],[Feriado]]="SIM",0,IF(TabRenatão3[[#This Row],[DSemana]]=1,TabRenatão3[[#This Row],[Htrab]],0))</f>
        <v>0</v>
      </c>
      <c r="O23" s="11">
        <f>TabRenatão3[[#This Row],[Htrab]]*17</f>
        <v>136</v>
      </c>
      <c r="P23" s="11">
        <f>TabRenatão3[[#This Row],[HN]]*17.9+TabRenatão3[[#This Row],[HFeriado]]*29+TabRenatão3[[#This Row],[HE]]*22.6+TabRenatão3[[#This Row],[Hsab]]*27.9+TabRenatão3[[#This Row],[Hdom]]*29</f>
        <v>143.19999999999999</v>
      </c>
      <c r="Q23" s="11">
        <f>TabRenatão3[[#This Row],[SalAtual]]-TabRenatão3[[#This Row],[SalAnt]]</f>
        <v>7.1999999999999886</v>
      </c>
    </row>
    <row r="24" spans="2:17" x14ac:dyDescent="0.25">
      <c r="F24" s="9">
        <v>43699</v>
      </c>
      <c r="G24" s="2">
        <f t="shared" si="0"/>
        <v>5</v>
      </c>
      <c r="H24" s="2" t="str">
        <f>IF(TabRenatão3[[#This Row],[dia]]=IFERROR(VLOOKUP(TabRenatão3[[#This Row],[dia]],Tabela1[],1,FALSE),"erro"),"Sim","Não")</f>
        <v>Não</v>
      </c>
      <c r="I24" s="10">
        <f>VLOOKUP(TabRenatão3[[#This Row],[dia]],Horarios,2,0)</f>
        <v>4</v>
      </c>
      <c r="J24" s="10">
        <f>IF(TabRenatão3[[#This Row],[Feriado]]="Sim",0,IF(TabRenatão3[[#This Row],[DSemana]]=1,0,IF(TabRenatão3[[#This Row],[DSemana]]=7,0,IF(TabRenatão3[[#This Row],[Htrab]]&gt;8,8,TabRenatão3[[#This Row],[Htrab]]))))</f>
        <v>4</v>
      </c>
      <c r="K24" s="10">
        <f>IF(TabRenatão3[[#This Row],[Feriado]]="Sim",TabRenatão3[[#This Row],[Htrab]],0)</f>
        <v>0</v>
      </c>
      <c r="L24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4" s="10">
        <f>IF(TabRenatão3[[#This Row],[Feriado]]="SIM",0,IF(TabRenatão3[[#This Row],[DSemana]]=7,TabRenatão3[[#This Row],[Htrab]],0))</f>
        <v>0</v>
      </c>
      <c r="N24" s="10">
        <f>IF(TabRenatão3[[#This Row],[Feriado]]="SIM",0,IF(TabRenatão3[[#This Row],[DSemana]]=1,TabRenatão3[[#This Row],[Htrab]],0))</f>
        <v>0</v>
      </c>
      <c r="O24" s="11">
        <f>TabRenatão3[[#This Row],[Htrab]]*17</f>
        <v>68</v>
      </c>
      <c r="P24" s="11">
        <f>TabRenatão3[[#This Row],[HN]]*17.9+TabRenatão3[[#This Row],[HFeriado]]*29+TabRenatão3[[#This Row],[HE]]*22.6+TabRenatão3[[#This Row],[Hsab]]*27.9+TabRenatão3[[#This Row],[Hdom]]*29</f>
        <v>71.599999999999994</v>
      </c>
      <c r="Q24" s="11">
        <f>TabRenatão3[[#This Row],[SalAtual]]-TabRenatão3[[#This Row],[SalAnt]]</f>
        <v>3.5999999999999943</v>
      </c>
    </row>
    <row r="25" spans="2:17" x14ac:dyDescent="0.25">
      <c r="F25" s="9">
        <v>43700</v>
      </c>
      <c r="G25" s="2">
        <f t="shared" si="0"/>
        <v>6</v>
      </c>
      <c r="H25" s="2" t="str">
        <f>IF(TabRenatão3[[#This Row],[dia]]=IFERROR(VLOOKUP(TabRenatão3[[#This Row],[dia]],Tabela1[],1,FALSE),"erro"),"Sim","Não")</f>
        <v>Não</v>
      </c>
      <c r="I25" s="10">
        <f>VLOOKUP(TabRenatão3[[#This Row],[dia]],Horarios,2,0)</f>
        <v>4</v>
      </c>
      <c r="J25" s="10">
        <f>IF(TabRenatão3[[#This Row],[Feriado]]="Sim",0,IF(TabRenatão3[[#This Row],[DSemana]]=1,0,IF(TabRenatão3[[#This Row],[DSemana]]=7,0,IF(TabRenatão3[[#This Row],[Htrab]]&gt;8,8,TabRenatão3[[#This Row],[Htrab]]))))</f>
        <v>4</v>
      </c>
      <c r="K25" s="10">
        <f>IF(TabRenatão3[[#This Row],[Feriado]]="Sim",TabRenatão3[[#This Row],[Htrab]],0)</f>
        <v>0</v>
      </c>
      <c r="L25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5" s="10">
        <f>IF(TabRenatão3[[#This Row],[Feriado]]="SIM",0,IF(TabRenatão3[[#This Row],[DSemana]]=7,TabRenatão3[[#This Row],[Htrab]],0))</f>
        <v>0</v>
      </c>
      <c r="N25" s="10">
        <f>IF(TabRenatão3[[#This Row],[Feriado]]="SIM",0,IF(TabRenatão3[[#This Row],[DSemana]]=1,TabRenatão3[[#This Row],[Htrab]],0))</f>
        <v>0</v>
      </c>
      <c r="O25" s="11">
        <f>TabRenatão3[[#This Row],[Htrab]]*17</f>
        <v>68</v>
      </c>
      <c r="P25" s="11">
        <f>TabRenatão3[[#This Row],[HN]]*17.9+TabRenatão3[[#This Row],[HFeriado]]*29+TabRenatão3[[#This Row],[HE]]*22.6+TabRenatão3[[#This Row],[Hsab]]*27.9+TabRenatão3[[#This Row],[Hdom]]*29</f>
        <v>71.599999999999994</v>
      </c>
      <c r="Q25" s="11">
        <f>TabRenatão3[[#This Row],[SalAtual]]-TabRenatão3[[#This Row],[SalAnt]]</f>
        <v>3.5999999999999943</v>
      </c>
    </row>
    <row r="26" spans="2:17" x14ac:dyDescent="0.25">
      <c r="F26" s="9">
        <v>43701</v>
      </c>
      <c r="G26" s="2">
        <f t="shared" si="0"/>
        <v>7</v>
      </c>
      <c r="H26" s="2" t="str">
        <f>IF(TabRenatão3[[#This Row],[dia]]=IFERROR(VLOOKUP(TabRenatão3[[#This Row],[dia]],Tabela1[],1,FALSE),"erro"),"Sim","Não")</f>
        <v>Não</v>
      </c>
      <c r="I26" s="10">
        <f>VLOOKUP(TabRenatão3[[#This Row],[dia]],Horarios,2,0)</f>
        <v>6</v>
      </c>
      <c r="J26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26" s="10">
        <f>IF(TabRenatão3[[#This Row],[Feriado]]="Sim",TabRenatão3[[#This Row],[Htrab]],0)</f>
        <v>0</v>
      </c>
      <c r="L26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6" s="10">
        <f>IF(TabRenatão3[[#This Row],[Feriado]]="SIM",0,IF(TabRenatão3[[#This Row],[DSemana]]=7,TabRenatão3[[#This Row],[Htrab]],0))</f>
        <v>6</v>
      </c>
      <c r="N26" s="10">
        <f>IF(TabRenatão3[[#This Row],[Feriado]]="SIM",0,IF(TabRenatão3[[#This Row],[DSemana]]=1,TabRenatão3[[#This Row],[Htrab]],0))</f>
        <v>0</v>
      </c>
      <c r="O26" s="11">
        <f>TabRenatão3[[#This Row],[Htrab]]*17</f>
        <v>102</v>
      </c>
      <c r="P26" s="11">
        <f>TabRenatão3[[#This Row],[HN]]*17.9+TabRenatão3[[#This Row],[HFeriado]]*29+TabRenatão3[[#This Row],[HE]]*22.6+TabRenatão3[[#This Row],[Hsab]]*27.9+TabRenatão3[[#This Row],[Hdom]]*29</f>
        <v>167.39999999999998</v>
      </c>
      <c r="Q26" s="11">
        <f>TabRenatão3[[#This Row],[SalAtual]]-TabRenatão3[[#This Row],[SalAnt]]</f>
        <v>65.399999999999977</v>
      </c>
    </row>
    <row r="27" spans="2:17" x14ac:dyDescent="0.25">
      <c r="F27" s="9">
        <v>43702</v>
      </c>
      <c r="G27" s="2">
        <f t="shared" si="0"/>
        <v>1</v>
      </c>
      <c r="H27" s="2" t="str">
        <f>IF(TabRenatão3[[#This Row],[dia]]=IFERROR(VLOOKUP(TabRenatão3[[#This Row],[dia]],Tabela1[],1,FALSE),"erro"),"Sim","Não")</f>
        <v>Não</v>
      </c>
      <c r="I27" s="10">
        <f>VLOOKUP(TabRenatão3[[#This Row],[dia]],Horarios,2,0)</f>
        <v>8</v>
      </c>
      <c r="J27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27" s="10">
        <f>IF(TabRenatão3[[#This Row],[Feriado]]="Sim",TabRenatão3[[#This Row],[Htrab]],0)</f>
        <v>0</v>
      </c>
      <c r="L27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7" s="10">
        <f>IF(TabRenatão3[[#This Row],[Feriado]]="SIM",0,IF(TabRenatão3[[#This Row],[DSemana]]=7,TabRenatão3[[#This Row],[Htrab]],0))</f>
        <v>0</v>
      </c>
      <c r="N27" s="10">
        <f>IF(TabRenatão3[[#This Row],[Feriado]]="SIM",0,IF(TabRenatão3[[#This Row],[DSemana]]=1,TabRenatão3[[#This Row],[Htrab]],0))</f>
        <v>8</v>
      </c>
      <c r="O27" s="11">
        <f>TabRenatão3[[#This Row],[Htrab]]*17</f>
        <v>136</v>
      </c>
      <c r="P27" s="11">
        <f>TabRenatão3[[#This Row],[HN]]*17.9+TabRenatão3[[#This Row],[HFeriado]]*29+TabRenatão3[[#This Row],[HE]]*22.6+TabRenatão3[[#This Row],[Hsab]]*27.9+TabRenatão3[[#This Row],[Hdom]]*29</f>
        <v>232</v>
      </c>
      <c r="Q27" s="11">
        <f>TabRenatão3[[#This Row],[SalAtual]]-TabRenatão3[[#This Row],[SalAnt]]</f>
        <v>96</v>
      </c>
    </row>
    <row r="28" spans="2:17" x14ac:dyDescent="0.25">
      <c r="F28" s="9">
        <v>43703</v>
      </c>
      <c r="G28" s="2">
        <f t="shared" si="0"/>
        <v>2</v>
      </c>
      <c r="H28" s="2" t="str">
        <f>IF(TabRenatão3[[#This Row],[dia]]=IFERROR(VLOOKUP(TabRenatão3[[#This Row],[dia]],Tabela1[],1,FALSE),"erro"),"Sim","Não")</f>
        <v>Não</v>
      </c>
      <c r="I28" s="10">
        <f>VLOOKUP(TabRenatão3[[#This Row],[dia]],Horarios,2,0)</f>
        <v>6</v>
      </c>
      <c r="J28" s="10">
        <f>IF(TabRenatão3[[#This Row],[Feriado]]="Sim",0,IF(TabRenatão3[[#This Row],[DSemana]]=1,0,IF(TabRenatão3[[#This Row],[DSemana]]=7,0,IF(TabRenatão3[[#This Row],[Htrab]]&gt;8,8,TabRenatão3[[#This Row],[Htrab]]))))</f>
        <v>6</v>
      </c>
      <c r="K28" s="10">
        <f>IF(TabRenatão3[[#This Row],[Feriado]]="Sim",TabRenatão3[[#This Row],[Htrab]],0)</f>
        <v>0</v>
      </c>
      <c r="L28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8" s="10">
        <f>IF(TabRenatão3[[#This Row],[Feriado]]="SIM",0,IF(TabRenatão3[[#This Row],[DSemana]]=7,TabRenatão3[[#This Row],[Htrab]],0))</f>
        <v>0</v>
      </c>
      <c r="N28" s="10">
        <f>IF(TabRenatão3[[#This Row],[Feriado]]="SIM",0,IF(TabRenatão3[[#This Row],[DSemana]]=1,TabRenatão3[[#This Row],[Htrab]],0))</f>
        <v>0</v>
      </c>
      <c r="O28" s="11">
        <f>TabRenatão3[[#This Row],[Htrab]]*17</f>
        <v>102</v>
      </c>
      <c r="P28" s="11">
        <f>TabRenatão3[[#This Row],[HN]]*17.9+TabRenatão3[[#This Row],[HFeriado]]*29+TabRenatão3[[#This Row],[HE]]*22.6+TabRenatão3[[#This Row],[Hsab]]*27.9+TabRenatão3[[#This Row],[Hdom]]*29</f>
        <v>107.39999999999999</v>
      </c>
      <c r="Q28" s="11">
        <f>TabRenatão3[[#This Row],[SalAtual]]-TabRenatão3[[#This Row],[SalAnt]]</f>
        <v>5.3999999999999915</v>
      </c>
    </row>
    <row r="29" spans="2:17" x14ac:dyDescent="0.25">
      <c r="F29" s="9">
        <v>43704</v>
      </c>
      <c r="G29" s="2">
        <f t="shared" si="0"/>
        <v>3</v>
      </c>
      <c r="H29" s="2" t="str">
        <f>IF(TabRenatão3[[#This Row],[dia]]=IFERROR(VLOOKUP(TabRenatão3[[#This Row],[dia]],Tabela1[],1,FALSE),"erro"),"Sim","Não")</f>
        <v>Não</v>
      </c>
      <c r="I29" s="10">
        <f>VLOOKUP(TabRenatão3[[#This Row],[dia]],Horarios,2,0)</f>
        <v>8</v>
      </c>
      <c r="J29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29" s="10">
        <f>IF(TabRenatão3[[#This Row],[Feriado]]="Sim",TabRenatão3[[#This Row],[Htrab]],0)</f>
        <v>0</v>
      </c>
      <c r="L29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29" s="10">
        <f>IF(TabRenatão3[[#This Row],[Feriado]]="SIM",0,IF(TabRenatão3[[#This Row],[DSemana]]=7,TabRenatão3[[#This Row],[Htrab]],0))</f>
        <v>0</v>
      </c>
      <c r="N29" s="10">
        <f>IF(TabRenatão3[[#This Row],[Feriado]]="SIM",0,IF(TabRenatão3[[#This Row],[DSemana]]=1,TabRenatão3[[#This Row],[Htrab]],0))</f>
        <v>0</v>
      </c>
      <c r="O29" s="11">
        <f>TabRenatão3[[#This Row],[Htrab]]*17</f>
        <v>136</v>
      </c>
      <c r="P29" s="11">
        <f>TabRenatão3[[#This Row],[HN]]*17.9+TabRenatão3[[#This Row],[HFeriado]]*29+TabRenatão3[[#This Row],[HE]]*22.6+TabRenatão3[[#This Row],[Hsab]]*27.9+TabRenatão3[[#This Row],[Hdom]]*29</f>
        <v>143.19999999999999</v>
      </c>
      <c r="Q29" s="11">
        <f>TabRenatão3[[#This Row],[SalAtual]]-TabRenatão3[[#This Row],[SalAnt]]</f>
        <v>7.1999999999999886</v>
      </c>
    </row>
    <row r="30" spans="2:17" x14ac:dyDescent="0.25">
      <c r="F30" s="9">
        <v>43705</v>
      </c>
      <c r="G30" s="2">
        <f t="shared" si="0"/>
        <v>4</v>
      </c>
      <c r="H30" s="2" t="str">
        <f>IF(TabRenatão3[[#This Row],[dia]]=IFERROR(VLOOKUP(TabRenatão3[[#This Row],[dia]],Tabela1[],1,FALSE),"erro"),"Sim","Não")</f>
        <v>Não</v>
      </c>
      <c r="I30" s="10">
        <f>VLOOKUP(TabRenatão3[[#This Row],[dia]],Horarios,2,0)</f>
        <v>8</v>
      </c>
      <c r="J30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30" s="10">
        <f>IF(TabRenatão3[[#This Row],[Feriado]]="Sim",TabRenatão3[[#This Row],[Htrab]],0)</f>
        <v>0</v>
      </c>
      <c r="L30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30" s="10">
        <f>IF(TabRenatão3[[#This Row],[Feriado]]="SIM",0,IF(TabRenatão3[[#This Row],[DSemana]]=7,TabRenatão3[[#This Row],[Htrab]],0))</f>
        <v>0</v>
      </c>
      <c r="N30" s="10">
        <f>IF(TabRenatão3[[#This Row],[Feriado]]="SIM",0,IF(TabRenatão3[[#This Row],[DSemana]]=1,TabRenatão3[[#This Row],[Htrab]],0))</f>
        <v>0</v>
      </c>
      <c r="O30" s="11">
        <f>TabRenatão3[[#This Row],[Htrab]]*17</f>
        <v>136</v>
      </c>
      <c r="P30" s="11">
        <f>TabRenatão3[[#This Row],[HN]]*17.9+TabRenatão3[[#This Row],[HFeriado]]*29+TabRenatão3[[#This Row],[HE]]*22.6+TabRenatão3[[#This Row],[Hsab]]*27.9+TabRenatão3[[#This Row],[Hdom]]*29</f>
        <v>143.19999999999999</v>
      </c>
      <c r="Q30" s="11">
        <f>TabRenatão3[[#This Row],[SalAtual]]-TabRenatão3[[#This Row],[SalAnt]]</f>
        <v>7.1999999999999886</v>
      </c>
    </row>
    <row r="31" spans="2:17" x14ac:dyDescent="0.25">
      <c r="F31" s="9">
        <v>43706</v>
      </c>
      <c r="G31" s="2">
        <f t="shared" si="0"/>
        <v>5</v>
      </c>
      <c r="H31" s="2" t="str">
        <f>IF(TabRenatão3[[#This Row],[dia]]=IFERROR(VLOOKUP(TabRenatão3[[#This Row],[dia]],Tabela1[],1,FALSE),"erro"),"Sim","Não")</f>
        <v>Não</v>
      </c>
      <c r="I31" s="10">
        <f>VLOOKUP(TabRenatão3[[#This Row],[dia]],Horarios,2,0)</f>
        <v>8</v>
      </c>
      <c r="J31" s="10">
        <f>IF(TabRenatão3[[#This Row],[Feriado]]="Sim",0,IF(TabRenatão3[[#This Row],[DSemana]]=1,0,IF(TabRenatão3[[#This Row],[DSemana]]=7,0,IF(TabRenatão3[[#This Row],[Htrab]]&gt;8,8,TabRenatão3[[#This Row],[Htrab]]))))</f>
        <v>8</v>
      </c>
      <c r="K31" s="10">
        <f>IF(TabRenatão3[[#This Row],[Feriado]]="Sim",TabRenatão3[[#This Row],[Htrab]],0)</f>
        <v>0</v>
      </c>
      <c r="L31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31" s="10">
        <f>IF(TabRenatão3[[#This Row],[Feriado]]="SIM",0,IF(TabRenatão3[[#This Row],[DSemana]]=7,TabRenatão3[[#This Row],[Htrab]],0))</f>
        <v>0</v>
      </c>
      <c r="N31" s="10">
        <f>IF(TabRenatão3[[#This Row],[Feriado]]="SIM",0,IF(TabRenatão3[[#This Row],[DSemana]]=1,TabRenatão3[[#This Row],[Htrab]],0))</f>
        <v>0</v>
      </c>
      <c r="O31" s="11">
        <f>TabRenatão3[[#This Row],[Htrab]]*17</f>
        <v>136</v>
      </c>
      <c r="P31" s="11">
        <f>TabRenatão3[[#This Row],[HN]]*17.9+TabRenatão3[[#This Row],[HFeriado]]*29+TabRenatão3[[#This Row],[HE]]*22.6+TabRenatão3[[#This Row],[Hsab]]*27.9+TabRenatão3[[#This Row],[Hdom]]*29</f>
        <v>143.19999999999999</v>
      </c>
      <c r="Q31" s="11">
        <f>TabRenatão3[[#This Row],[SalAtual]]-TabRenatão3[[#This Row],[SalAnt]]</f>
        <v>7.1999999999999886</v>
      </c>
    </row>
    <row r="32" spans="2:17" x14ac:dyDescent="0.25">
      <c r="F32" s="9">
        <v>43707</v>
      </c>
      <c r="G32" s="2">
        <f t="shared" si="0"/>
        <v>6</v>
      </c>
      <c r="H32" s="2" t="str">
        <f>IF(TabRenatão3[[#This Row],[dia]]=IFERROR(VLOOKUP(TabRenatão3[[#This Row],[dia]],Tabela1[],1,FALSE),"erro"),"Sim","Não")</f>
        <v>Não</v>
      </c>
      <c r="I32" s="10">
        <f>VLOOKUP(TabRenatão3[[#This Row],[dia]],Horarios,2,0)</f>
        <v>4</v>
      </c>
      <c r="J32" s="10">
        <f>IF(TabRenatão3[[#This Row],[Feriado]]="Sim",0,IF(TabRenatão3[[#This Row],[DSemana]]=1,0,IF(TabRenatão3[[#This Row],[DSemana]]=7,0,IF(TabRenatão3[[#This Row],[Htrab]]&gt;8,8,TabRenatão3[[#This Row],[Htrab]]))))</f>
        <v>4</v>
      </c>
      <c r="K32" s="10">
        <f>IF(TabRenatão3[[#This Row],[Feriado]]="Sim",TabRenatão3[[#This Row],[Htrab]],0)</f>
        <v>0</v>
      </c>
      <c r="L32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32" s="10">
        <f>IF(TabRenatão3[[#This Row],[Feriado]]="SIM",0,IF(TabRenatão3[[#This Row],[DSemana]]=7,TabRenatão3[[#This Row],[Htrab]],0))</f>
        <v>0</v>
      </c>
      <c r="N32" s="10">
        <f>IF(TabRenatão3[[#This Row],[Feriado]]="SIM",0,IF(TabRenatão3[[#This Row],[DSemana]]=1,TabRenatão3[[#This Row],[Htrab]],0))</f>
        <v>0</v>
      </c>
      <c r="O32" s="11">
        <f>TabRenatão3[[#This Row],[Htrab]]*17</f>
        <v>68</v>
      </c>
      <c r="P32" s="11">
        <f>TabRenatão3[[#This Row],[HN]]*17.9+TabRenatão3[[#This Row],[HFeriado]]*29+TabRenatão3[[#This Row],[HE]]*22.6+TabRenatão3[[#This Row],[Hsab]]*27.9+TabRenatão3[[#This Row],[Hdom]]*29</f>
        <v>71.599999999999994</v>
      </c>
      <c r="Q32" s="11">
        <f>TabRenatão3[[#This Row],[SalAtual]]-TabRenatão3[[#This Row],[SalAnt]]</f>
        <v>3.5999999999999943</v>
      </c>
    </row>
    <row r="33" spans="6:17" x14ac:dyDescent="0.25">
      <c r="F33" s="9">
        <v>43708</v>
      </c>
      <c r="G33" s="2">
        <f t="shared" si="0"/>
        <v>7</v>
      </c>
      <c r="H33" s="2" t="str">
        <f>IF(TabRenatão3[[#This Row],[dia]]=IFERROR(VLOOKUP(TabRenatão3[[#This Row],[dia]],Tabela1[],1,FALSE),"erro"),"Sim","Não")</f>
        <v>Não</v>
      </c>
      <c r="I33" s="10">
        <f>VLOOKUP(TabRenatão3[[#This Row],[dia]],Horarios,2,0)</f>
        <v>4</v>
      </c>
      <c r="J33" s="10">
        <f>IF(TabRenatão3[[#This Row],[Feriado]]="Sim",0,IF(TabRenatão3[[#This Row],[DSemana]]=1,0,IF(TabRenatão3[[#This Row],[DSemana]]=7,0,IF(TabRenatão3[[#This Row],[Htrab]]&gt;8,8,TabRenatão3[[#This Row],[Htrab]]))))</f>
        <v>0</v>
      </c>
      <c r="K33" s="10">
        <f>IF(TabRenatão3[[#This Row],[Feriado]]="Sim",TabRenatão3[[#This Row],[Htrab]],0)</f>
        <v>0</v>
      </c>
      <c r="L33" s="10">
        <f>IF(TabRenatão3[[#This Row],[Feriado]]="Sim",0,IF(TabRenatão3[[#This Row],[DSemana]]=1,0,IF(TabRenatão3[[#This Row],[DSemana]]=7,0,IF(TabRenatão3[[#This Row],[Htrab]]&gt;8,TabRenatão3[[#This Row],[Htrab]]-8,0))))</f>
        <v>0</v>
      </c>
      <c r="M33" s="10">
        <f>IF(TabRenatão3[[#This Row],[Feriado]]="SIM",0,IF(TabRenatão3[[#This Row],[DSemana]]=7,TabRenatão3[[#This Row],[Htrab]],0))</f>
        <v>4</v>
      </c>
      <c r="N33" s="10">
        <f>IF(TabRenatão3[[#This Row],[Feriado]]="SIM",0,IF(TabRenatão3[[#This Row],[DSemana]]=1,TabRenatão3[[#This Row],[Htrab]],0))</f>
        <v>0</v>
      </c>
      <c r="O33" s="11">
        <f>TabRenatão3[[#This Row],[Htrab]]*17</f>
        <v>68</v>
      </c>
      <c r="P33" s="11">
        <f>TabRenatão3[[#This Row],[HN]]*17.9+TabRenatão3[[#This Row],[HFeriado]]*29+TabRenatão3[[#This Row],[HE]]*22.6+TabRenatão3[[#This Row],[Hsab]]*27.9+TabRenatão3[[#This Row],[Hdom]]*29</f>
        <v>111.6</v>
      </c>
      <c r="Q33" s="11">
        <f>TabRenatão3[[#This Row],[SalAtual]]-TabRenatão3[[#This Row],[SalAnt]]</f>
        <v>43.599999999999994</v>
      </c>
    </row>
  </sheetData>
  <mergeCells count="4">
    <mergeCell ref="B2:C2"/>
    <mergeCell ref="B13:D13"/>
    <mergeCell ref="B21:C21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B2:T33"/>
  <sheetViews>
    <sheetView showGridLines="0" zoomScaleNormal="100" workbookViewId="0">
      <selection activeCell="B18" sqref="B18:C18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9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IF(TabRenatão34[[#This Row],[dia]]=IFERROR(VLOOKUP(TabRenatão34[[#This Row],[dia]],Tabela1[],1,FALSE),"erro"),"Sim","Não")</f>
        <v>Não</v>
      </c>
      <c r="I3" s="12">
        <f>VLOOKUP(TabRenatão34[[#This Row],[dia]],Horarios,3,0)</f>
        <v>2</v>
      </c>
      <c r="J3" s="12">
        <f>IF(TabRenatão34[[#This Row],[Feriado]]="Sim",0,IF(TabRenatão34[[#This Row],[DSemana]]=1,0,IF(TabRenatão34[[#This Row],[DSemana]]=7,0,IF(TabRenatão34[[#This Row],[Htrab]]&gt;8,8,TabRenatão34[[#This Row],[Htrab]]))))</f>
        <v>2</v>
      </c>
      <c r="K3" s="12">
        <f>IF(TabRenatão34[[#This Row],[Feriado]]="Sim",TabRenatão34[[#This Row],[Htrab]],0)</f>
        <v>0</v>
      </c>
      <c r="L3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3" s="12">
        <f>IF(TabRenatão34[[#This Row],[Feriado]]="SIM",0,IF(TabRenatão34[[#This Row],[DSemana]]=7,TabRenatão34[[#This Row],[Htrab]],0))</f>
        <v>0</v>
      </c>
      <c r="N3" s="12">
        <f>IF(TabRenatão34[[#This Row],[Feriado]]="SIM",0,IF(TabRenatão34[[#This Row],[DSemana]]=1,TabRenatão34[[#This Row],[Htrab]],0))</f>
        <v>0</v>
      </c>
      <c r="O3" s="11">
        <f>TabRenatão34[[#This Row],[Htrab]]*17</f>
        <v>34</v>
      </c>
      <c r="P3" s="11">
        <f>TabRenatão34[[#This Row],[HN]]*17.9+TabRenatão34[[#This Row],[HFeriado]]*29+TabRenatão34[[#This Row],[HE]]*22.6+TabRenatão34[[#This Row],[Hsab]]*27.9+TabRenatão34[[#This Row],[Hdom]]*29</f>
        <v>35.799999999999997</v>
      </c>
      <c r="Q3" s="11">
        <f>TabRenatão34[[#This Row],[SalAtual]]-TabRenatão34[[#This Row],[SalAnt]]</f>
        <v>1.7999999999999972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IF(TabRenatão34[[#This Row],[dia]]=IFERROR(VLOOKUP(TabRenatão34[[#This Row],[dia]],Tabela1[],1,FALSE),"erro"),"Sim","Não")</f>
        <v>Não</v>
      </c>
      <c r="I4" s="12">
        <f>VLOOKUP(TabRenatão34[[#This Row],[dia]],Horarios,3,0)</f>
        <v>0</v>
      </c>
      <c r="J4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4" s="12">
        <f>IF(TabRenatão34[[#This Row],[Feriado]]="Sim",TabRenatão34[[#This Row],[Htrab]],0)</f>
        <v>0</v>
      </c>
      <c r="L4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4" s="12">
        <f>IF(TabRenatão34[[#This Row],[Feriado]]="SIM",0,IF(TabRenatão34[[#This Row],[DSemana]]=7,TabRenatão34[[#This Row],[Htrab]],0))</f>
        <v>0</v>
      </c>
      <c r="N4" s="12">
        <f>IF(TabRenatão34[[#This Row],[Feriado]]="SIM",0,IF(TabRenatão34[[#This Row],[DSemana]]=1,TabRenatão34[[#This Row],[Htrab]],0))</f>
        <v>0</v>
      </c>
      <c r="O4" s="11">
        <f>TabRenatão34[[#This Row],[Htrab]]*17</f>
        <v>0</v>
      </c>
      <c r="P4" s="11">
        <f>TabRenatão34[[#This Row],[HN]]*17.9+TabRenatão34[[#This Row],[HFeriado]]*29+TabRenatão34[[#This Row],[HE]]*22.6+TabRenatão34[[#This Row],[Hsab]]*27.9+TabRenatão34[[#This Row],[Hdom]]*29</f>
        <v>0</v>
      </c>
      <c r="Q4" s="11">
        <f>TabRenatão34[[#This Row],[SalAtual]]-TabRenatão34[[#This Row],[SalAnt]]</f>
        <v>0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IF(TabRenatão34[[#This Row],[dia]]=IFERROR(VLOOKUP(TabRenatão34[[#This Row],[dia]],Tabela1[],1,FALSE),"erro"),"Sim","Não")</f>
        <v>Não</v>
      </c>
      <c r="I5" s="12">
        <f>VLOOKUP(TabRenatão34[[#This Row],[dia]],Horarios,3,0)</f>
        <v>4</v>
      </c>
      <c r="J5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5" s="12">
        <f>IF(TabRenatão34[[#This Row],[Feriado]]="Sim",TabRenatão34[[#This Row],[Htrab]],0)</f>
        <v>0</v>
      </c>
      <c r="L5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5" s="12">
        <f>IF(TabRenatão34[[#This Row],[Feriado]]="SIM",0,IF(TabRenatão34[[#This Row],[DSemana]]=7,TabRenatão34[[#This Row],[Htrab]],0))</f>
        <v>4</v>
      </c>
      <c r="N5" s="12">
        <f>IF(TabRenatão34[[#This Row],[Feriado]]="SIM",0,IF(TabRenatão34[[#This Row],[DSemana]]=1,TabRenatão34[[#This Row],[Htrab]],0))</f>
        <v>0</v>
      </c>
      <c r="O5" s="11">
        <f>TabRenatão34[[#This Row],[Htrab]]*17</f>
        <v>68</v>
      </c>
      <c r="P5" s="11">
        <f>TabRenatão34[[#This Row],[HN]]*17.9+TabRenatão34[[#This Row],[HFeriado]]*29+TabRenatão34[[#This Row],[HE]]*22.6+TabRenatão34[[#This Row],[Hsab]]*27.9+TabRenatão34[[#This Row],[Hdom]]*29</f>
        <v>111.6</v>
      </c>
      <c r="Q5" s="11">
        <f>TabRenatão34[[#This Row],[SalAtual]]-TabRenatão34[[#This Row],[SalAnt]]</f>
        <v>43.599999999999994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IF(TabRenatão34[[#This Row],[dia]]=IFERROR(VLOOKUP(TabRenatão34[[#This Row],[dia]],Tabela1[],1,FALSE),"erro"),"Sim","Não")</f>
        <v>Não</v>
      </c>
      <c r="I6" s="12">
        <f>VLOOKUP(TabRenatão34[[#This Row],[dia]],Horarios,3,0)</f>
        <v>2</v>
      </c>
      <c r="J6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6" s="12">
        <f>IF(TabRenatão34[[#This Row],[Feriado]]="Sim",TabRenatão34[[#This Row],[Htrab]],0)</f>
        <v>0</v>
      </c>
      <c r="L6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6" s="12">
        <f>IF(TabRenatão34[[#This Row],[Feriado]]="SIM",0,IF(TabRenatão34[[#This Row],[DSemana]]=7,TabRenatão34[[#This Row],[Htrab]],0))</f>
        <v>0</v>
      </c>
      <c r="N6" s="12">
        <f>IF(TabRenatão34[[#This Row],[Feriado]]="SIM",0,IF(TabRenatão34[[#This Row],[DSemana]]=1,TabRenatão34[[#This Row],[Htrab]],0))</f>
        <v>2</v>
      </c>
      <c r="O6" s="11">
        <f>TabRenatão34[[#This Row],[Htrab]]*17</f>
        <v>34</v>
      </c>
      <c r="P6" s="11">
        <f>TabRenatão34[[#This Row],[HN]]*17.9+TabRenatão34[[#This Row],[HFeriado]]*29+TabRenatão34[[#This Row],[HE]]*22.6+TabRenatão34[[#This Row],[Hsab]]*27.9+TabRenatão34[[#This Row],[Hdom]]*29</f>
        <v>58</v>
      </c>
      <c r="Q6" s="11">
        <f>TabRenatão34[[#This Row],[SalAtual]]-TabRenatão34[[#This Row],[SalAnt]]</f>
        <v>24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IF(TabRenatão34[[#This Row],[dia]]=IFERROR(VLOOKUP(TabRenatão34[[#This Row],[dia]],Tabela1[],1,FALSE),"erro"),"Sim","Não")</f>
        <v>Não</v>
      </c>
      <c r="I7" s="12">
        <f>VLOOKUP(TabRenatão34[[#This Row],[dia]],Horarios,3,0)</f>
        <v>8</v>
      </c>
      <c r="J7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7" s="12">
        <f>IF(TabRenatão34[[#This Row],[Feriado]]="Sim",TabRenatão34[[#This Row],[Htrab]],0)</f>
        <v>0</v>
      </c>
      <c r="L7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7" s="12">
        <f>IF(TabRenatão34[[#This Row],[Feriado]]="SIM",0,IF(TabRenatão34[[#This Row],[DSemana]]=7,TabRenatão34[[#This Row],[Htrab]],0))</f>
        <v>0</v>
      </c>
      <c r="N7" s="12">
        <f>IF(TabRenatão34[[#This Row],[Feriado]]="SIM",0,IF(TabRenatão34[[#This Row],[DSemana]]=1,TabRenatão34[[#This Row],[Htrab]],0))</f>
        <v>0</v>
      </c>
      <c r="O7" s="11">
        <f>TabRenatão34[[#This Row],[Htrab]]*17</f>
        <v>136</v>
      </c>
      <c r="P7" s="11">
        <f>TabRenatão34[[#This Row],[HN]]*17.9+TabRenatão34[[#This Row],[HFeriado]]*29+TabRenatão34[[#This Row],[HE]]*22.6+TabRenatão34[[#This Row],[Hsab]]*27.9+TabRenatão34[[#This Row],[Hdom]]*29</f>
        <v>143.19999999999999</v>
      </c>
      <c r="Q7" s="11">
        <f>TabRenatão34[[#This Row],[SalAtual]]-TabRenatão34[[#This Row],[SalAnt]]</f>
        <v>7.1999999999999886</v>
      </c>
    </row>
    <row r="8" spans="2:20" x14ac:dyDescent="0.25">
      <c r="F8" s="9">
        <v>43683</v>
      </c>
      <c r="G8" s="2">
        <f t="shared" si="0"/>
        <v>3</v>
      </c>
      <c r="H8" s="2" t="str">
        <f>IF(TabRenatão34[[#This Row],[dia]]=IFERROR(VLOOKUP(TabRenatão34[[#This Row],[dia]],Tabela1[],1,FALSE),"erro"),"Sim","Não")</f>
        <v>Não</v>
      </c>
      <c r="I8" s="12">
        <f>VLOOKUP(TabRenatão34[[#This Row],[dia]],Horarios,3,0)</f>
        <v>9</v>
      </c>
      <c r="J8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8" s="12">
        <f>IF(TabRenatão34[[#This Row],[Feriado]]="Sim",TabRenatão34[[#This Row],[Htrab]],0)</f>
        <v>0</v>
      </c>
      <c r="L8" s="12">
        <f>IF(TabRenatão34[[#This Row],[Feriado]]="Sim",0,IF(TabRenatão34[[#This Row],[DSemana]]=1,0,IF(TabRenatão34[[#This Row],[DSemana]]=7,0,IF(TabRenatão34[[#This Row],[Htrab]]&gt;8,TabRenatão34[[#This Row],[Htrab]]-8,0))))</f>
        <v>1</v>
      </c>
      <c r="M8" s="12">
        <f>IF(TabRenatão34[[#This Row],[Feriado]]="SIM",0,IF(TabRenatão34[[#This Row],[DSemana]]=7,TabRenatão34[[#This Row],[Htrab]],0))</f>
        <v>0</v>
      </c>
      <c r="N8" s="12">
        <f>IF(TabRenatão34[[#This Row],[Feriado]]="SIM",0,IF(TabRenatão34[[#This Row],[DSemana]]=1,TabRenatão34[[#This Row],[Htrab]],0))</f>
        <v>0</v>
      </c>
      <c r="O8" s="11">
        <f>TabRenatão34[[#This Row],[Htrab]]*17</f>
        <v>153</v>
      </c>
      <c r="P8" s="11">
        <f>TabRenatão34[[#This Row],[HN]]*17.9+TabRenatão34[[#This Row],[HFeriado]]*29+TabRenatão34[[#This Row],[HE]]*22.6+TabRenatão34[[#This Row],[Hsab]]*27.9+TabRenatão34[[#This Row],[Hdom]]*29</f>
        <v>165.79999999999998</v>
      </c>
      <c r="Q8" s="11">
        <f>TabRenatão34[[#This Row],[SalAtual]]-TabRenatão34[[#This Row],[SalAnt]]</f>
        <v>12.799999999999983</v>
      </c>
    </row>
    <row r="9" spans="2:20" x14ac:dyDescent="0.25">
      <c r="F9" s="9">
        <v>43684</v>
      </c>
      <c r="G9" s="2">
        <f t="shared" si="0"/>
        <v>4</v>
      </c>
      <c r="H9" s="2" t="str">
        <f>IF(TabRenatão34[[#This Row],[dia]]=IFERROR(VLOOKUP(TabRenatão34[[#This Row],[dia]],Tabela1[],1,FALSE),"erro"),"Sim","Não")</f>
        <v>Não</v>
      </c>
      <c r="I9" s="12">
        <f>VLOOKUP(TabRenatão34[[#This Row],[dia]],Horarios,3,0)</f>
        <v>10</v>
      </c>
      <c r="J9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9" s="12">
        <f>IF(TabRenatão34[[#This Row],[Feriado]]="Sim",TabRenatão34[[#This Row],[Htrab]],0)</f>
        <v>0</v>
      </c>
      <c r="L9" s="12">
        <f>IF(TabRenatão34[[#This Row],[Feriado]]="Sim",0,IF(TabRenatão34[[#This Row],[DSemana]]=1,0,IF(TabRenatão34[[#This Row],[DSemana]]=7,0,IF(TabRenatão34[[#This Row],[Htrab]]&gt;8,TabRenatão34[[#This Row],[Htrab]]-8,0))))</f>
        <v>2</v>
      </c>
      <c r="M9" s="12">
        <f>IF(TabRenatão34[[#This Row],[Feriado]]="SIM",0,IF(TabRenatão34[[#This Row],[DSemana]]=7,TabRenatão34[[#This Row],[Htrab]],0))</f>
        <v>0</v>
      </c>
      <c r="N9" s="12">
        <f>IF(TabRenatão34[[#This Row],[Feriado]]="SIM",0,IF(TabRenatão34[[#This Row],[DSemana]]=1,TabRenatão34[[#This Row],[Htrab]],0))</f>
        <v>0</v>
      </c>
      <c r="O9" s="11">
        <f>TabRenatão34[[#This Row],[Htrab]]*17</f>
        <v>170</v>
      </c>
      <c r="P9" s="11">
        <f>TabRenatão34[[#This Row],[HN]]*17.9+TabRenatão34[[#This Row],[HFeriado]]*29+TabRenatão34[[#This Row],[HE]]*22.6+TabRenatão34[[#This Row],[Hsab]]*27.9+TabRenatão34[[#This Row],[Hdom]]*29</f>
        <v>188.39999999999998</v>
      </c>
      <c r="Q9" s="11">
        <f>TabRenatão34[[#This Row],[SalAtual]]-TabRenatão34[[#This Row],[SalAnt]]</f>
        <v>18.399999999999977</v>
      </c>
    </row>
    <row r="10" spans="2:20" x14ac:dyDescent="0.25">
      <c r="F10" s="9">
        <v>43685</v>
      </c>
      <c r="G10" s="2">
        <f t="shared" si="0"/>
        <v>5</v>
      </c>
      <c r="H10" s="2" t="str">
        <f>IF(TabRenatão34[[#This Row],[dia]]=IFERROR(VLOOKUP(TabRenatão34[[#This Row],[dia]],Tabela1[],1,FALSE),"erro"),"Sim","Não")</f>
        <v>Não</v>
      </c>
      <c r="I10" s="12">
        <f>VLOOKUP(TabRenatão34[[#This Row],[dia]],Horarios,3,0)</f>
        <v>10</v>
      </c>
      <c r="J10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10" s="12">
        <f>IF(TabRenatão34[[#This Row],[Feriado]]="Sim",TabRenatão34[[#This Row],[Htrab]],0)</f>
        <v>0</v>
      </c>
      <c r="L10" s="12">
        <f>IF(TabRenatão34[[#This Row],[Feriado]]="Sim",0,IF(TabRenatão34[[#This Row],[DSemana]]=1,0,IF(TabRenatão34[[#This Row],[DSemana]]=7,0,IF(TabRenatão34[[#This Row],[Htrab]]&gt;8,TabRenatão34[[#This Row],[Htrab]]-8,0))))</f>
        <v>2</v>
      </c>
      <c r="M10" s="12">
        <f>IF(TabRenatão34[[#This Row],[Feriado]]="SIM",0,IF(TabRenatão34[[#This Row],[DSemana]]=7,TabRenatão34[[#This Row],[Htrab]],0))</f>
        <v>0</v>
      </c>
      <c r="N10" s="12">
        <f>IF(TabRenatão34[[#This Row],[Feriado]]="SIM",0,IF(TabRenatão34[[#This Row],[DSemana]]=1,TabRenatão34[[#This Row],[Htrab]],0))</f>
        <v>0</v>
      </c>
      <c r="O10" s="11">
        <f>TabRenatão34[[#This Row],[Htrab]]*17</f>
        <v>170</v>
      </c>
      <c r="P10" s="11">
        <f>TabRenatão34[[#This Row],[HN]]*17.9+TabRenatão34[[#This Row],[HFeriado]]*29+TabRenatão34[[#This Row],[HE]]*22.6+TabRenatão34[[#This Row],[Hsab]]*27.9+TabRenatão34[[#This Row],[Hdom]]*29</f>
        <v>188.39999999999998</v>
      </c>
      <c r="Q10" s="11">
        <f>TabRenatão34[[#This Row],[SalAtual]]-TabRenatão34[[#This Row],[SalAnt]]</f>
        <v>18.399999999999977</v>
      </c>
    </row>
    <row r="11" spans="2:20" x14ac:dyDescent="0.25">
      <c r="F11" s="9">
        <v>43686</v>
      </c>
      <c r="G11" s="2">
        <f t="shared" si="0"/>
        <v>6</v>
      </c>
      <c r="H11" s="2" t="str">
        <f>IF(TabRenatão34[[#This Row],[dia]]=IFERROR(VLOOKUP(TabRenatão34[[#This Row],[dia]],Tabela1[],1,FALSE),"erro"),"Sim","Não")</f>
        <v>Não</v>
      </c>
      <c r="I11" s="12">
        <f>VLOOKUP(TabRenatão34[[#This Row],[dia]],Horarios,3,0)</f>
        <v>10</v>
      </c>
      <c r="J11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11" s="12">
        <f>IF(TabRenatão34[[#This Row],[Feriado]]="Sim",TabRenatão34[[#This Row],[Htrab]],0)</f>
        <v>0</v>
      </c>
      <c r="L11" s="12">
        <f>IF(TabRenatão34[[#This Row],[Feriado]]="Sim",0,IF(TabRenatão34[[#This Row],[DSemana]]=1,0,IF(TabRenatão34[[#This Row],[DSemana]]=7,0,IF(TabRenatão34[[#This Row],[Htrab]]&gt;8,TabRenatão34[[#This Row],[Htrab]]-8,0))))</f>
        <v>2</v>
      </c>
      <c r="M11" s="12">
        <f>IF(TabRenatão34[[#This Row],[Feriado]]="SIM",0,IF(TabRenatão34[[#This Row],[DSemana]]=7,TabRenatão34[[#This Row],[Htrab]],0))</f>
        <v>0</v>
      </c>
      <c r="N11" s="12">
        <f>IF(TabRenatão34[[#This Row],[Feriado]]="SIM",0,IF(TabRenatão34[[#This Row],[DSemana]]=1,TabRenatão34[[#This Row],[Htrab]],0))</f>
        <v>0</v>
      </c>
      <c r="O11" s="11">
        <f>TabRenatão34[[#This Row],[Htrab]]*17</f>
        <v>170</v>
      </c>
      <c r="P11" s="11">
        <f>TabRenatão34[[#This Row],[HN]]*17.9+TabRenatão34[[#This Row],[HFeriado]]*29+TabRenatão34[[#This Row],[HE]]*22.6+TabRenatão34[[#This Row],[Hsab]]*27.9+TabRenatão34[[#This Row],[Hdom]]*29</f>
        <v>188.39999999999998</v>
      </c>
      <c r="Q11" s="11">
        <f>TabRenatão34[[#This Row],[SalAtual]]-TabRenatão34[[#This Row],[SalAnt]]</f>
        <v>18.399999999999977</v>
      </c>
    </row>
    <row r="12" spans="2:20" x14ac:dyDescent="0.25">
      <c r="F12" s="9">
        <v>43687</v>
      </c>
      <c r="G12" s="2">
        <f t="shared" si="0"/>
        <v>7</v>
      </c>
      <c r="H12" s="2" t="str">
        <f>IF(TabRenatão34[[#This Row],[dia]]=IFERROR(VLOOKUP(TabRenatão34[[#This Row],[dia]],Tabela1[],1,FALSE),"erro"),"Sim","Não")</f>
        <v>Não</v>
      </c>
      <c r="I12" s="12">
        <f>VLOOKUP(TabRenatão34[[#This Row],[dia]],Horarios,3,0)</f>
        <v>4</v>
      </c>
      <c r="J12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12" s="12">
        <f>IF(TabRenatão34[[#This Row],[Feriado]]="Sim",TabRenatão34[[#This Row],[Htrab]],0)</f>
        <v>0</v>
      </c>
      <c r="L12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2" s="12">
        <f>IF(TabRenatão34[[#This Row],[Feriado]]="SIM",0,IF(TabRenatão34[[#This Row],[DSemana]]=7,TabRenatão34[[#This Row],[Htrab]],0))</f>
        <v>4</v>
      </c>
      <c r="N12" s="12">
        <f>IF(TabRenatão34[[#This Row],[Feriado]]="SIM",0,IF(TabRenatão34[[#This Row],[DSemana]]=1,TabRenatão34[[#This Row],[Htrab]],0))</f>
        <v>0</v>
      </c>
      <c r="O12" s="11">
        <f>TabRenatão34[[#This Row],[Htrab]]*17</f>
        <v>68</v>
      </c>
      <c r="P12" s="11">
        <f>TabRenatão34[[#This Row],[HN]]*17.9+TabRenatão34[[#This Row],[HFeriado]]*29+TabRenatão34[[#This Row],[HE]]*22.6+TabRenatão34[[#This Row],[Hsab]]*27.9+TabRenatão34[[#This Row],[Hdom]]*29</f>
        <v>111.6</v>
      </c>
      <c r="Q12" s="11">
        <f>TabRenatão34[[#This Row],[SalAtual]]-TabRenatão34[[#This Row],[SalAnt]]</f>
        <v>43.599999999999994</v>
      </c>
    </row>
    <row r="13" spans="2:20" x14ac:dyDescent="0.25">
      <c r="B13" s="144" t="s">
        <v>39</v>
      </c>
      <c r="C13" s="144"/>
      <c r="D13" s="144"/>
      <c r="F13" s="9">
        <v>43688</v>
      </c>
      <c r="G13" s="2">
        <f t="shared" si="0"/>
        <v>1</v>
      </c>
      <c r="H13" s="2" t="str">
        <f>IF(TabRenatão34[[#This Row],[dia]]=IFERROR(VLOOKUP(TabRenatão34[[#This Row],[dia]],Tabela1[],1,FALSE),"erro"),"Sim","Não")</f>
        <v>Não</v>
      </c>
      <c r="I13" s="12">
        <f>VLOOKUP(TabRenatão34[[#This Row],[dia]],Horarios,3,0)</f>
        <v>8</v>
      </c>
      <c r="J13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13" s="12">
        <f>IF(TabRenatão34[[#This Row],[Feriado]]="Sim",TabRenatão34[[#This Row],[Htrab]],0)</f>
        <v>0</v>
      </c>
      <c r="L13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3" s="12">
        <f>IF(TabRenatão34[[#This Row],[Feriado]]="SIM",0,IF(TabRenatão34[[#This Row],[DSemana]]=7,TabRenatão34[[#This Row],[Htrab]],0))</f>
        <v>0</v>
      </c>
      <c r="N13" s="12">
        <f>IF(TabRenatão34[[#This Row],[Feriado]]="SIM",0,IF(TabRenatão34[[#This Row],[DSemana]]=1,TabRenatão34[[#This Row],[Htrab]],0))</f>
        <v>8</v>
      </c>
      <c r="O13" s="11">
        <f>TabRenatão34[[#This Row],[Htrab]]*17</f>
        <v>136</v>
      </c>
      <c r="P13" s="11">
        <f>TabRenatão34[[#This Row],[HN]]*17.9+TabRenatão34[[#This Row],[HFeriado]]*29+TabRenatão34[[#This Row],[HE]]*22.6+TabRenatão34[[#This Row],[Hsab]]*27.9+TabRenatão34[[#This Row],[Hdom]]*29</f>
        <v>232</v>
      </c>
      <c r="Q13" s="11">
        <f>TabRenatão34[[#This Row],[SalAtual]]-TabRenatão34[[#This Row],[SalAnt]]</f>
        <v>96</v>
      </c>
    </row>
    <row r="14" spans="2:20" x14ac:dyDescent="0.25">
      <c r="B14" s="146" t="s">
        <v>81</v>
      </c>
      <c r="C14" s="146"/>
      <c r="D14" s="11">
        <f>SUM(P3:P33)</f>
        <v>4206.8</v>
      </c>
      <c r="F14" s="9">
        <v>43689</v>
      </c>
      <c r="G14" s="2">
        <f t="shared" si="0"/>
        <v>2</v>
      </c>
      <c r="H14" s="2" t="str">
        <f>IF(TabRenatão34[[#This Row],[dia]]=IFERROR(VLOOKUP(TabRenatão34[[#This Row],[dia]],Tabela1[],1,FALSE),"erro"),"Sim","Não")</f>
        <v>Não</v>
      </c>
      <c r="I14" s="12">
        <f>VLOOKUP(TabRenatão34[[#This Row],[dia]],Horarios,3,0)</f>
        <v>8</v>
      </c>
      <c r="J14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14" s="12">
        <f>IF(TabRenatão34[[#This Row],[Feriado]]="Sim",TabRenatão34[[#This Row],[Htrab]],0)</f>
        <v>0</v>
      </c>
      <c r="L14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4" s="12">
        <f>IF(TabRenatão34[[#This Row],[Feriado]]="SIM",0,IF(TabRenatão34[[#This Row],[DSemana]]=7,TabRenatão34[[#This Row],[Htrab]],0))</f>
        <v>0</v>
      </c>
      <c r="N14" s="12">
        <f>IF(TabRenatão34[[#This Row],[Feriado]]="SIM",0,IF(TabRenatão34[[#This Row],[DSemana]]=1,TabRenatão34[[#This Row],[Htrab]],0))</f>
        <v>0</v>
      </c>
      <c r="O14" s="11">
        <f>TabRenatão34[[#This Row],[Htrab]]*17</f>
        <v>136</v>
      </c>
      <c r="P14" s="11">
        <f>TabRenatão34[[#This Row],[HN]]*17.9+TabRenatão34[[#This Row],[HFeriado]]*29+TabRenatão34[[#This Row],[HE]]*22.6+TabRenatão34[[#This Row],[Hsab]]*27.9+TabRenatão34[[#This Row],[Hdom]]*29</f>
        <v>143.19999999999999</v>
      </c>
      <c r="Q14" s="11">
        <f>TabRenatão34[[#This Row],[SalAtual]]-TabRenatão34[[#This Row],[SalAnt]]</f>
        <v>7.1999999999999886</v>
      </c>
    </row>
    <row r="15" spans="2:20" x14ac:dyDescent="0.25">
      <c r="B15" s="145" t="s">
        <v>27</v>
      </c>
      <c r="C15" s="145"/>
      <c r="D15" s="18">
        <f>IF(D14&lt;=1751.81,D14*0.08,IF(D14&lt;=2919.72,D14*0.09,D14*0.11))</f>
        <v>462.74800000000005</v>
      </c>
      <c r="F15" s="9">
        <v>43690</v>
      </c>
      <c r="G15" s="2">
        <f t="shared" si="0"/>
        <v>3</v>
      </c>
      <c r="H15" s="2" t="str">
        <f>IF(TabRenatão34[[#This Row],[dia]]=IFERROR(VLOOKUP(TabRenatão34[[#This Row],[dia]],Tabela1[],1,FALSE),"erro"),"Sim","Não")</f>
        <v>Não</v>
      </c>
      <c r="I15" s="12">
        <f>VLOOKUP(TabRenatão34[[#This Row],[dia]],Horarios,3,0)</f>
        <v>8</v>
      </c>
      <c r="J15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15" s="12">
        <f>IF(TabRenatão34[[#This Row],[Feriado]]="Sim",TabRenatão34[[#This Row],[Htrab]],0)</f>
        <v>0</v>
      </c>
      <c r="L15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5" s="12">
        <f>IF(TabRenatão34[[#This Row],[Feriado]]="SIM",0,IF(TabRenatão34[[#This Row],[DSemana]]=7,TabRenatão34[[#This Row],[Htrab]],0))</f>
        <v>0</v>
      </c>
      <c r="N15" s="12">
        <f>IF(TabRenatão34[[#This Row],[Feriado]]="SIM",0,IF(TabRenatão34[[#This Row],[DSemana]]=1,TabRenatão34[[#This Row],[Htrab]],0))</f>
        <v>0</v>
      </c>
      <c r="O15" s="11">
        <f>TabRenatão34[[#This Row],[Htrab]]*17</f>
        <v>136</v>
      </c>
      <c r="P15" s="11">
        <f>TabRenatão34[[#This Row],[HN]]*17.9+TabRenatão34[[#This Row],[HFeriado]]*29+TabRenatão34[[#This Row],[HE]]*22.6+TabRenatão34[[#This Row],[Hsab]]*27.9+TabRenatão34[[#This Row],[Hdom]]*29</f>
        <v>143.19999999999999</v>
      </c>
      <c r="Q15" s="11">
        <f>TabRenatão34[[#This Row],[SalAtual]]-TabRenatão34[[#This Row],[SalAnt]]</f>
        <v>7.1999999999999886</v>
      </c>
    </row>
    <row r="16" spans="2:20" x14ac:dyDescent="0.25">
      <c r="B16" s="146" t="s">
        <v>28</v>
      </c>
      <c r="C16" s="146"/>
      <c r="D16" s="12">
        <v>2</v>
      </c>
      <c r="F16" s="9">
        <v>43691</v>
      </c>
      <c r="G16" s="2">
        <f t="shared" si="0"/>
        <v>4</v>
      </c>
      <c r="H16" s="2" t="str">
        <f>IF(TabRenatão34[[#This Row],[dia]]=IFERROR(VLOOKUP(TabRenatão34[[#This Row],[dia]],Tabela1[],1,FALSE),"erro"),"Sim","Não")</f>
        <v>Não</v>
      </c>
      <c r="I16" s="12">
        <f>VLOOKUP(TabRenatão34[[#This Row],[dia]],Horarios,3,0)</f>
        <v>6</v>
      </c>
      <c r="J16" s="12">
        <f>IF(TabRenatão34[[#This Row],[Feriado]]="Sim",0,IF(TabRenatão34[[#This Row],[DSemana]]=1,0,IF(TabRenatão34[[#This Row],[DSemana]]=7,0,IF(TabRenatão34[[#This Row],[Htrab]]&gt;8,8,TabRenatão34[[#This Row],[Htrab]]))))</f>
        <v>6</v>
      </c>
      <c r="K16" s="12">
        <f>IF(TabRenatão34[[#This Row],[Feriado]]="Sim",TabRenatão34[[#This Row],[Htrab]],0)</f>
        <v>0</v>
      </c>
      <c r="L16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6" s="12">
        <f>IF(TabRenatão34[[#This Row],[Feriado]]="SIM",0,IF(TabRenatão34[[#This Row],[DSemana]]=7,TabRenatão34[[#This Row],[Htrab]],0))</f>
        <v>0</v>
      </c>
      <c r="N16" s="12">
        <f>IF(TabRenatão34[[#This Row],[Feriado]]="SIM",0,IF(TabRenatão34[[#This Row],[DSemana]]=1,TabRenatão34[[#This Row],[Htrab]],0))</f>
        <v>0</v>
      </c>
      <c r="O16" s="11">
        <f>TabRenatão34[[#This Row],[Htrab]]*17</f>
        <v>102</v>
      </c>
      <c r="P16" s="11">
        <f>TabRenatão34[[#This Row],[HN]]*17.9+TabRenatão34[[#This Row],[HFeriado]]*29+TabRenatão34[[#This Row],[HE]]*22.6+TabRenatão34[[#This Row],[Hsab]]*27.9+TabRenatão34[[#This Row],[Hdom]]*29</f>
        <v>107.39999999999999</v>
      </c>
      <c r="Q16" s="11">
        <f>TabRenatão34[[#This Row],[SalAtual]]-TabRenatão34[[#This Row],[SalAnt]]</f>
        <v>5.3999999999999915</v>
      </c>
    </row>
    <row r="17" spans="2:17" x14ac:dyDescent="0.25">
      <c r="B17" s="145" t="s">
        <v>29</v>
      </c>
      <c r="C17" s="145"/>
      <c r="D17" s="18">
        <f>D14-D15-(D16*189.59)</f>
        <v>3364.8720000000003</v>
      </c>
      <c r="F17" s="9">
        <v>43692</v>
      </c>
      <c r="G17" s="2">
        <f t="shared" si="0"/>
        <v>5</v>
      </c>
      <c r="H17" s="2" t="str">
        <f>IF(TabRenatão34[[#This Row],[dia]]=IFERROR(VLOOKUP(TabRenatão34[[#This Row],[dia]],Tabela1[],1,FALSE),"erro"),"Sim","Não")</f>
        <v>Sim</v>
      </c>
      <c r="I17" s="12">
        <f>VLOOKUP(TabRenatão34[[#This Row],[dia]],Horarios,3,0)</f>
        <v>8</v>
      </c>
      <c r="J17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17" s="12">
        <f>IF(TabRenatão34[[#This Row],[Feriado]]="Sim",TabRenatão34[[#This Row],[Htrab]],0)</f>
        <v>8</v>
      </c>
      <c r="L17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7" s="12">
        <f>IF(TabRenatão34[[#This Row],[Feriado]]="SIM",0,IF(TabRenatão34[[#This Row],[DSemana]]=7,TabRenatão34[[#This Row],[Htrab]],0))</f>
        <v>0</v>
      </c>
      <c r="N17" s="12">
        <f>IF(TabRenatão34[[#This Row],[Feriado]]="SIM",0,IF(TabRenatão34[[#This Row],[DSemana]]=1,TabRenatão34[[#This Row],[Htrab]],0))</f>
        <v>0</v>
      </c>
      <c r="O17" s="11">
        <f>TabRenatão34[[#This Row],[Htrab]]*17</f>
        <v>136</v>
      </c>
      <c r="P17" s="11">
        <f>TabRenatão34[[#This Row],[HN]]*17.9+TabRenatão34[[#This Row],[HFeriado]]*29+TabRenatão34[[#This Row],[HE]]*22.6+TabRenatão34[[#This Row],[Hsab]]*27.9+TabRenatão34[[#This Row],[Hdom]]*29</f>
        <v>232</v>
      </c>
      <c r="Q17" s="11">
        <f>TabRenatão34[[#This Row],[SalAtual]]-TabRenatão34[[#This Row],[SalAnt]]</f>
        <v>96</v>
      </c>
    </row>
    <row r="18" spans="2:17" x14ac:dyDescent="0.25">
      <c r="B18" s="146" t="s">
        <v>30</v>
      </c>
      <c r="C18" s="146"/>
      <c r="D18" s="11">
        <f>D17*VLOOKUP(D17,irrf,3,1)-VLOOKUP(D17,irrf,4,1)</f>
        <v>149.93080000000003</v>
      </c>
      <c r="F18" s="9">
        <v>43693</v>
      </c>
      <c r="G18" s="2">
        <f t="shared" si="0"/>
        <v>6</v>
      </c>
      <c r="H18" s="2" t="str">
        <f>IF(TabRenatão34[[#This Row],[dia]]=IFERROR(VLOOKUP(TabRenatão34[[#This Row],[dia]],Tabela1[],1,FALSE),"erro"),"Sim","Não")</f>
        <v>Não</v>
      </c>
      <c r="I18" s="12">
        <f>VLOOKUP(TabRenatão34[[#This Row],[dia]],Horarios,3,0)</f>
        <v>10</v>
      </c>
      <c r="J18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18" s="12">
        <f>IF(TabRenatão34[[#This Row],[Feriado]]="Sim",TabRenatão34[[#This Row],[Htrab]],0)</f>
        <v>0</v>
      </c>
      <c r="L18" s="12">
        <f>IF(TabRenatão34[[#This Row],[Feriado]]="Sim",0,IF(TabRenatão34[[#This Row],[DSemana]]=1,0,IF(TabRenatão34[[#This Row],[DSemana]]=7,0,IF(TabRenatão34[[#This Row],[Htrab]]&gt;8,TabRenatão34[[#This Row],[Htrab]]-8,0))))</f>
        <v>2</v>
      </c>
      <c r="M18" s="12">
        <f>IF(TabRenatão34[[#This Row],[Feriado]]="SIM",0,IF(TabRenatão34[[#This Row],[DSemana]]=7,TabRenatão34[[#This Row],[Htrab]],0))</f>
        <v>0</v>
      </c>
      <c r="N18" s="12">
        <f>IF(TabRenatão34[[#This Row],[Feriado]]="SIM",0,IF(TabRenatão34[[#This Row],[DSemana]]=1,TabRenatão34[[#This Row],[Htrab]],0))</f>
        <v>0</v>
      </c>
      <c r="O18" s="11">
        <f>TabRenatão34[[#This Row],[Htrab]]*17</f>
        <v>170</v>
      </c>
      <c r="P18" s="11">
        <f>TabRenatão34[[#This Row],[HN]]*17.9+TabRenatão34[[#This Row],[HFeriado]]*29+TabRenatão34[[#This Row],[HE]]*22.6+TabRenatão34[[#This Row],[Hsab]]*27.9+TabRenatão34[[#This Row],[Hdom]]*29</f>
        <v>188.39999999999998</v>
      </c>
      <c r="Q18" s="11">
        <f>TabRenatão34[[#This Row],[SalAtual]]-TabRenatão34[[#This Row],[SalAnt]]</f>
        <v>18.399999999999977</v>
      </c>
    </row>
    <row r="19" spans="2:17" x14ac:dyDescent="0.25">
      <c r="B19" s="145" t="s">
        <v>31</v>
      </c>
      <c r="C19" s="145"/>
      <c r="D19" s="18">
        <f>D14-D18-D15</f>
        <v>3594.1212</v>
      </c>
      <c r="F19" s="9">
        <v>43694</v>
      </c>
      <c r="G19" s="2">
        <f t="shared" si="0"/>
        <v>7</v>
      </c>
      <c r="H19" s="2" t="str">
        <f>IF(TabRenatão34[[#This Row],[dia]]=IFERROR(VLOOKUP(TabRenatão34[[#This Row],[dia]],Tabela1[],1,FALSE),"erro"),"Sim","Não")</f>
        <v>Não</v>
      </c>
      <c r="I19" s="12">
        <f>VLOOKUP(TabRenatão34[[#This Row],[dia]],Horarios,3,0)</f>
        <v>6</v>
      </c>
      <c r="J19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19" s="12">
        <f>IF(TabRenatão34[[#This Row],[Feriado]]="Sim",TabRenatão34[[#This Row],[Htrab]],0)</f>
        <v>0</v>
      </c>
      <c r="L19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19" s="12">
        <f>IF(TabRenatão34[[#This Row],[Feriado]]="SIM",0,IF(TabRenatão34[[#This Row],[DSemana]]=7,TabRenatão34[[#This Row],[Htrab]],0))</f>
        <v>6</v>
      </c>
      <c r="N19" s="12">
        <f>IF(TabRenatão34[[#This Row],[Feriado]]="SIM",0,IF(TabRenatão34[[#This Row],[DSemana]]=1,TabRenatão34[[#This Row],[Htrab]],0))</f>
        <v>0</v>
      </c>
      <c r="O19" s="11">
        <f>TabRenatão34[[#This Row],[Htrab]]*17</f>
        <v>102</v>
      </c>
      <c r="P19" s="11">
        <f>TabRenatão34[[#This Row],[HN]]*17.9+TabRenatão34[[#This Row],[HFeriado]]*29+TabRenatão34[[#This Row],[HE]]*22.6+TabRenatão34[[#This Row],[Hsab]]*27.9+TabRenatão34[[#This Row],[Hdom]]*29</f>
        <v>167.39999999999998</v>
      </c>
      <c r="Q19" s="11">
        <f>TabRenatão34[[#This Row],[SalAtual]]-TabRenatão34[[#This Row],[SalAnt]]</f>
        <v>65.399999999999977</v>
      </c>
    </row>
    <row r="20" spans="2:17" x14ac:dyDescent="0.25">
      <c r="F20" s="9">
        <v>43695</v>
      </c>
      <c r="G20" s="2">
        <f t="shared" si="0"/>
        <v>1</v>
      </c>
      <c r="H20" s="2" t="str">
        <f>IF(TabRenatão34[[#This Row],[dia]]=IFERROR(VLOOKUP(TabRenatão34[[#This Row],[dia]],Tabela1[],1,FALSE),"erro"),"Sim","Não")</f>
        <v>Não</v>
      </c>
      <c r="I20" s="12">
        <f>VLOOKUP(TabRenatão34[[#This Row],[dia]],Horarios,3,0)</f>
        <v>4</v>
      </c>
      <c r="J20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20" s="12">
        <f>IF(TabRenatão34[[#This Row],[Feriado]]="Sim",TabRenatão34[[#This Row],[Htrab]],0)</f>
        <v>0</v>
      </c>
      <c r="L20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0" s="12">
        <f>IF(TabRenatão34[[#This Row],[Feriado]]="SIM",0,IF(TabRenatão34[[#This Row],[DSemana]]=7,TabRenatão34[[#This Row],[Htrab]],0))</f>
        <v>0</v>
      </c>
      <c r="N20" s="12">
        <f>IF(TabRenatão34[[#This Row],[Feriado]]="SIM",0,IF(TabRenatão34[[#This Row],[DSemana]]=1,TabRenatão34[[#This Row],[Htrab]],0))</f>
        <v>4</v>
      </c>
      <c r="O20" s="11">
        <f>TabRenatão34[[#This Row],[Htrab]]*17</f>
        <v>68</v>
      </c>
      <c r="P20" s="11">
        <f>TabRenatão34[[#This Row],[HN]]*17.9+TabRenatão34[[#This Row],[HFeriado]]*29+TabRenatão34[[#This Row],[HE]]*22.6+TabRenatão34[[#This Row],[Hsab]]*27.9+TabRenatão34[[#This Row],[Hdom]]*29</f>
        <v>116</v>
      </c>
      <c r="Q20" s="11">
        <f>TabRenatão34[[#This Row],[SalAtual]]-TabRenatão34[[#This Row],[SalAnt]]</f>
        <v>48</v>
      </c>
    </row>
    <row r="21" spans="2:17" x14ac:dyDescent="0.25">
      <c r="B21" s="145" t="s">
        <v>77</v>
      </c>
      <c r="C21" s="145"/>
      <c r="D21" s="14">
        <f>SUM(TabRenatão34[SalAnt])</f>
        <v>3383</v>
      </c>
      <c r="F21" s="9">
        <v>43696</v>
      </c>
      <c r="G21" s="2">
        <f t="shared" si="0"/>
        <v>2</v>
      </c>
      <c r="H21" s="2" t="str">
        <f>IF(TabRenatão34[[#This Row],[dia]]=IFERROR(VLOOKUP(TabRenatão34[[#This Row],[dia]],Tabela1[],1,FALSE),"erro"),"Sim","Não")</f>
        <v>Não</v>
      </c>
      <c r="I21" s="12">
        <f>VLOOKUP(TabRenatão34[[#This Row],[dia]],Horarios,3,0)</f>
        <v>10</v>
      </c>
      <c r="J21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21" s="12">
        <f>IF(TabRenatão34[[#This Row],[Feriado]]="Sim",TabRenatão34[[#This Row],[Htrab]],0)</f>
        <v>0</v>
      </c>
      <c r="L21" s="12">
        <f>IF(TabRenatão34[[#This Row],[Feriado]]="Sim",0,IF(TabRenatão34[[#This Row],[DSemana]]=1,0,IF(TabRenatão34[[#This Row],[DSemana]]=7,0,IF(TabRenatão34[[#This Row],[Htrab]]&gt;8,TabRenatão34[[#This Row],[Htrab]]-8,0))))</f>
        <v>2</v>
      </c>
      <c r="M21" s="12">
        <f>IF(TabRenatão34[[#This Row],[Feriado]]="SIM",0,IF(TabRenatão34[[#This Row],[DSemana]]=7,TabRenatão34[[#This Row],[Htrab]],0))</f>
        <v>0</v>
      </c>
      <c r="N21" s="12">
        <f>IF(TabRenatão34[[#This Row],[Feriado]]="SIM",0,IF(TabRenatão34[[#This Row],[DSemana]]=1,TabRenatão34[[#This Row],[Htrab]],0))</f>
        <v>0</v>
      </c>
      <c r="O21" s="11">
        <f>TabRenatão34[[#This Row],[Htrab]]*17</f>
        <v>170</v>
      </c>
      <c r="P21" s="11">
        <f>TabRenatão34[[#This Row],[HN]]*17.9+TabRenatão34[[#This Row],[HFeriado]]*29+TabRenatão34[[#This Row],[HE]]*22.6+TabRenatão34[[#This Row],[Hsab]]*27.9+TabRenatão34[[#This Row],[Hdom]]*29</f>
        <v>188.39999999999998</v>
      </c>
      <c r="Q21" s="11">
        <f>TabRenatão34[[#This Row],[SalAtual]]-TabRenatão34[[#This Row],[SalAnt]]</f>
        <v>18.399999999999977</v>
      </c>
    </row>
    <row r="22" spans="2:17" x14ac:dyDescent="0.25">
      <c r="F22" s="9">
        <v>43697</v>
      </c>
      <c r="G22" s="2">
        <f t="shared" si="0"/>
        <v>3</v>
      </c>
      <c r="H22" s="2" t="str">
        <f>IF(TabRenatão34[[#This Row],[dia]]=IFERROR(VLOOKUP(TabRenatão34[[#This Row],[dia]],Tabela1[],1,FALSE),"erro"),"Sim","Não")</f>
        <v>Sim</v>
      </c>
      <c r="I22" s="12">
        <f>VLOOKUP(TabRenatão34[[#This Row],[dia]],Horarios,3,0)</f>
        <v>6</v>
      </c>
      <c r="J22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22" s="12">
        <f>IF(TabRenatão34[[#This Row],[Feriado]]="Sim",TabRenatão34[[#This Row],[Htrab]],0)</f>
        <v>6</v>
      </c>
      <c r="L22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2" s="12">
        <f>IF(TabRenatão34[[#This Row],[Feriado]]="SIM",0,IF(TabRenatão34[[#This Row],[DSemana]]=7,TabRenatão34[[#This Row],[Htrab]],0))</f>
        <v>0</v>
      </c>
      <c r="N22" s="12">
        <f>IF(TabRenatão34[[#This Row],[Feriado]]="SIM",0,IF(TabRenatão34[[#This Row],[DSemana]]=1,TabRenatão34[[#This Row],[Htrab]],0))</f>
        <v>0</v>
      </c>
      <c r="O22" s="11">
        <f>TabRenatão34[[#This Row],[Htrab]]*17</f>
        <v>102</v>
      </c>
      <c r="P22" s="11">
        <f>TabRenatão34[[#This Row],[HN]]*17.9+TabRenatão34[[#This Row],[HFeriado]]*29+TabRenatão34[[#This Row],[HE]]*22.6+TabRenatão34[[#This Row],[Hsab]]*27.9+TabRenatão34[[#This Row],[Hdom]]*29</f>
        <v>174</v>
      </c>
      <c r="Q22" s="11">
        <f>TabRenatão34[[#This Row],[SalAtual]]-TabRenatão34[[#This Row],[SalAnt]]</f>
        <v>72</v>
      </c>
    </row>
    <row r="23" spans="2:17" x14ac:dyDescent="0.25">
      <c r="F23" s="9">
        <v>43698</v>
      </c>
      <c r="G23" s="2">
        <f t="shared" si="0"/>
        <v>4</v>
      </c>
      <c r="H23" s="2" t="str">
        <f>IF(TabRenatão34[[#This Row],[dia]]=IFERROR(VLOOKUP(TabRenatão34[[#This Row],[dia]],Tabela1[],1,FALSE),"erro"),"Sim","Não")</f>
        <v>Não</v>
      </c>
      <c r="I23" s="12">
        <f>VLOOKUP(TabRenatão34[[#This Row],[dia]],Horarios,3,0)</f>
        <v>6</v>
      </c>
      <c r="J23" s="12">
        <f>IF(TabRenatão34[[#This Row],[Feriado]]="Sim",0,IF(TabRenatão34[[#This Row],[DSemana]]=1,0,IF(TabRenatão34[[#This Row],[DSemana]]=7,0,IF(TabRenatão34[[#This Row],[Htrab]]&gt;8,8,TabRenatão34[[#This Row],[Htrab]]))))</f>
        <v>6</v>
      </c>
      <c r="K23" s="12">
        <f>IF(TabRenatão34[[#This Row],[Feriado]]="Sim",TabRenatão34[[#This Row],[Htrab]],0)</f>
        <v>0</v>
      </c>
      <c r="L23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3" s="12">
        <f>IF(TabRenatão34[[#This Row],[Feriado]]="SIM",0,IF(TabRenatão34[[#This Row],[DSemana]]=7,TabRenatão34[[#This Row],[Htrab]],0))</f>
        <v>0</v>
      </c>
      <c r="N23" s="12">
        <f>IF(TabRenatão34[[#This Row],[Feriado]]="SIM",0,IF(TabRenatão34[[#This Row],[DSemana]]=1,TabRenatão34[[#This Row],[Htrab]],0))</f>
        <v>0</v>
      </c>
      <c r="O23" s="11">
        <f>TabRenatão34[[#This Row],[Htrab]]*17</f>
        <v>102</v>
      </c>
      <c r="P23" s="11">
        <f>TabRenatão34[[#This Row],[HN]]*17.9+TabRenatão34[[#This Row],[HFeriado]]*29+TabRenatão34[[#This Row],[HE]]*22.6+TabRenatão34[[#This Row],[Hsab]]*27.9+TabRenatão34[[#This Row],[Hdom]]*29</f>
        <v>107.39999999999999</v>
      </c>
      <c r="Q23" s="11">
        <f>TabRenatão34[[#This Row],[SalAtual]]-TabRenatão34[[#This Row],[SalAnt]]</f>
        <v>5.3999999999999915</v>
      </c>
    </row>
    <row r="24" spans="2:17" x14ac:dyDescent="0.25">
      <c r="F24" s="9">
        <v>43699</v>
      </c>
      <c r="G24" s="2">
        <f t="shared" si="0"/>
        <v>5</v>
      </c>
      <c r="H24" s="2" t="str">
        <f>IF(TabRenatão34[[#This Row],[dia]]=IFERROR(VLOOKUP(TabRenatão34[[#This Row],[dia]],Tabela1[],1,FALSE),"erro"),"Sim","Não")</f>
        <v>Não</v>
      </c>
      <c r="I24" s="12">
        <f>VLOOKUP(TabRenatão34[[#This Row],[dia]],Horarios,3,0)</f>
        <v>8</v>
      </c>
      <c r="J24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24" s="12">
        <f>IF(TabRenatão34[[#This Row],[Feriado]]="Sim",TabRenatão34[[#This Row],[Htrab]],0)</f>
        <v>0</v>
      </c>
      <c r="L24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4" s="12">
        <f>IF(TabRenatão34[[#This Row],[Feriado]]="SIM",0,IF(TabRenatão34[[#This Row],[DSemana]]=7,TabRenatão34[[#This Row],[Htrab]],0))</f>
        <v>0</v>
      </c>
      <c r="N24" s="12">
        <f>IF(TabRenatão34[[#This Row],[Feriado]]="SIM",0,IF(TabRenatão34[[#This Row],[DSemana]]=1,TabRenatão34[[#This Row],[Htrab]],0))</f>
        <v>0</v>
      </c>
      <c r="O24" s="11">
        <f>TabRenatão34[[#This Row],[Htrab]]*17</f>
        <v>136</v>
      </c>
      <c r="P24" s="11">
        <f>TabRenatão34[[#This Row],[HN]]*17.9+TabRenatão34[[#This Row],[HFeriado]]*29+TabRenatão34[[#This Row],[HE]]*22.6+TabRenatão34[[#This Row],[Hsab]]*27.9+TabRenatão34[[#This Row],[Hdom]]*29</f>
        <v>143.19999999999999</v>
      </c>
      <c r="Q24" s="11">
        <f>TabRenatão34[[#This Row],[SalAtual]]-TabRenatão34[[#This Row],[SalAnt]]</f>
        <v>7.1999999999999886</v>
      </c>
    </row>
    <row r="25" spans="2:17" x14ac:dyDescent="0.25">
      <c r="F25" s="9">
        <v>43700</v>
      </c>
      <c r="G25" s="2">
        <f t="shared" si="0"/>
        <v>6</v>
      </c>
      <c r="H25" s="2" t="str">
        <f>IF(TabRenatão34[[#This Row],[dia]]=IFERROR(VLOOKUP(TabRenatão34[[#This Row],[dia]],Tabela1[],1,FALSE),"erro"),"Sim","Não")</f>
        <v>Não</v>
      </c>
      <c r="I25" s="12">
        <f>VLOOKUP(TabRenatão34[[#This Row],[dia]],Horarios,3,0)</f>
        <v>8</v>
      </c>
      <c r="J25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25" s="12">
        <f>IF(TabRenatão34[[#This Row],[Feriado]]="Sim",TabRenatão34[[#This Row],[Htrab]],0)</f>
        <v>0</v>
      </c>
      <c r="L25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5" s="12">
        <f>IF(TabRenatão34[[#This Row],[Feriado]]="SIM",0,IF(TabRenatão34[[#This Row],[DSemana]]=7,TabRenatão34[[#This Row],[Htrab]],0))</f>
        <v>0</v>
      </c>
      <c r="N25" s="12">
        <f>IF(TabRenatão34[[#This Row],[Feriado]]="SIM",0,IF(TabRenatão34[[#This Row],[DSemana]]=1,TabRenatão34[[#This Row],[Htrab]],0))</f>
        <v>0</v>
      </c>
      <c r="O25" s="11">
        <f>TabRenatão34[[#This Row],[Htrab]]*17</f>
        <v>136</v>
      </c>
      <c r="P25" s="11">
        <f>TabRenatão34[[#This Row],[HN]]*17.9+TabRenatão34[[#This Row],[HFeriado]]*29+TabRenatão34[[#This Row],[HE]]*22.6+TabRenatão34[[#This Row],[Hsab]]*27.9+TabRenatão34[[#This Row],[Hdom]]*29</f>
        <v>143.19999999999999</v>
      </c>
      <c r="Q25" s="11">
        <f>TabRenatão34[[#This Row],[SalAtual]]-TabRenatão34[[#This Row],[SalAnt]]</f>
        <v>7.1999999999999886</v>
      </c>
    </row>
    <row r="26" spans="2:17" x14ac:dyDescent="0.25">
      <c r="F26" s="9">
        <v>43701</v>
      </c>
      <c r="G26" s="2">
        <f t="shared" si="0"/>
        <v>7</v>
      </c>
      <c r="H26" s="2" t="str">
        <f>IF(TabRenatão34[[#This Row],[dia]]=IFERROR(VLOOKUP(TabRenatão34[[#This Row],[dia]],Tabela1[],1,FALSE),"erro"),"Sim","Não")</f>
        <v>Não</v>
      </c>
      <c r="I26" s="12">
        <f>VLOOKUP(TabRenatão34[[#This Row],[dia]],Horarios,3,0)</f>
        <v>4</v>
      </c>
      <c r="J26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26" s="12">
        <f>IF(TabRenatão34[[#This Row],[Feriado]]="Sim",TabRenatão34[[#This Row],[Htrab]],0)</f>
        <v>0</v>
      </c>
      <c r="L26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6" s="12">
        <f>IF(TabRenatão34[[#This Row],[Feriado]]="SIM",0,IF(TabRenatão34[[#This Row],[DSemana]]=7,TabRenatão34[[#This Row],[Htrab]],0))</f>
        <v>4</v>
      </c>
      <c r="N26" s="12">
        <f>IF(TabRenatão34[[#This Row],[Feriado]]="SIM",0,IF(TabRenatão34[[#This Row],[DSemana]]=1,TabRenatão34[[#This Row],[Htrab]],0))</f>
        <v>0</v>
      </c>
      <c r="O26" s="11">
        <f>TabRenatão34[[#This Row],[Htrab]]*17</f>
        <v>68</v>
      </c>
      <c r="P26" s="11">
        <f>TabRenatão34[[#This Row],[HN]]*17.9+TabRenatão34[[#This Row],[HFeriado]]*29+TabRenatão34[[#This Row],[HE]]*22.6+TabRenatão34[[#This Row],[Hsab]]*27.9+TabRenatão34[[#This Row],[Hdom]]*29</f>
        <v>111.6</v>
      </c>
      <c r="Q26" s="11">
        <f>TabRenatão34[[#This Row],[SalAtual]]-TabRenatão34[[#This Row],[SalAnt]]</f>
        <v>43.599999999999994</v>
      </c>
    </row>
    <row r="27" spans="2:17" x14ac:dyDescent="0.25">
      <c r="F27" s="9">
        <v>43702</v>
      </c>
      <c r="G27" s="2">
        <f t="shared" si="0"/>
        <v>1</v>
      </c>
      <c r="H27" s="2" t="str">
        <f>IF(TabRenatão34[[#This Row],[dia]]=IFERROR(VLOOKUP(TabRenatão34[[#This Row],[dia]],Tabela1[],1,FALSE),"erro"),"Sim","Não")</f>
        <v>Não</v>
      </c>
      <c r="I27" s="12">
        <f>VLOOKUP(TabRenatão34[[#This Row],[dia]],Horarios,3,0)</f>
        <v>2</v>
      </c>
      <c r="J27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27" s="12">
        <f>IF(TabRenatão34[[#This Row],[Feriado]]="Sim",TabRenatão34[[#This Row],[Htrab]],0)</f>
        <v>0</v>
      </c>
      <c r="L27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7" s="12">
        <f>IF(TabRenatão34[[#This Row],[Feriado]]="SIM",0,IF(TabRenatão34[[#This Row],[DSemana]]=7,TabRenatão34[[#This Row],[Htrab]],0))</f>
        <v>0</v>
      </c>
      <c r="N27" s="12">
        <f>IF(TabRenatão34[[#This Row],[Feriado]]="SIM",0,IF(TabRenatão34[[#This Row],[DSemana]]=1,TabRenatão34[[#This Row],[Htrab]],0))</f>
        <v>2</v>
      </c>
      <c r="O27" s="11">
        <f>TabRenatão34[[#This Row],[Htrab]]*17</f>
        <v>34</v>
      </c>
      <c r="P27" s="11">
        <f>TabRenatão34[[#This Row],[HN]]*17.9+TabRenatão34[[#This Row],[HFeriado]]*29+TabRenatão34[[#This Row],[HE]]*22.6+TabRenatão34[[#This Row],[Hsab]]*27.9+TabRenatão34[[#This Row],[Hdom]]*29</f>
        <v>58</v>
      </c>
      <c r="Q27" s="11">
        <f>TabRenatão34[[#This Row],[SalAtual]]-TabRenatão34[[#This Row],[SalAnt]]</f>
        <v>24</v>
      </c>
    </row>
    <row r="28" spans="2:17" x14ac:dyDescent="0.25">
      <c r="F28" s="9">
        <v>43703</v>
      </c>
      <c r="G28" s="2">
        <f t="shared" si="0"/>
        <v>2</v>
      </c>
      <c r="H28" s="2" t="str">
        <f>IF(TabRenatão34[[#This Row],[dia]]=IFERROR(VLOOKUP(TabRenatão34[[#This Row],[dia]],Tabela1[],1,FALSE),"erro"),"Sim","Não")</f>
        <v>Não</v>
      </c>
      <c r="I28" s="12">
        <f>VLOOKUP(TabRenatão34[[#This Row],[dia]],Horarios,3,0)</f>
        <v>2</v>
      </c>
      <c r="J28" s="12">
        <f>IF(TabRenatão34[[#This Row],[Feriado]]="Sim",0,IF(TabRenatão34[[#This Row],[DSemana]]=1,0,IF(TabRenatão34[[#This Row],[DSemana]]=7,0,IF(TabRenatão34[[#This Row],[Htrab]]&gt;8,8,TabRenatão34[[#This Row],[Htrab]]))))</f>
        <v>2</v>
      </c>
      <c r="K28" s="12">
        <f>IF(TabRenatão34[[#This Row],[Feriado]]="Sim",TabRenatão34[[#This Row],[Htrab]],0)</f>
        <v>0</v>
      </c>
      <c r="L28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8" s="12">
        <f>IF(TabRenatão34[[#This Row],[Feriado]]="SIM",0,IF(TabRenatão34[[#This Row],[DSemana]]=7,TabRenatão34[[#This Row],[Htrab]],0))</f>
        <v>0</v>
      </c>
      <c r="N28" s="12">
        <f>IF(TabRenatão34[[#This Row],[Feriado]]="SIM",0,IF(TabRenatão34[[#This Row],[DSemana]]=1,TabRenatão34[[#This Row],[Htrab]],0))</f>
        <v>0</v>
      </c>
      <c r="O28" s="11">
        <f>TabRenatão34[[#This Row],[Htrab]]*17</f>
        <v>34</v>
      </c>
      <c r="P28" s="11">
        <f>TabRenatão34[[#This Row],[HN]]*17.9+TabRenatão34[[#This Row],[HFeriado]]*29+TabRenatão34[[#This Row],[HE]]*22.6+TabRenatão34[[#This Row],[Hsab]]*27.9+TabRenatão34[[#This Row],[Hdom]]*29</f>
        <v>35.799999999999997</v>
      </c>
      <c r="Q28" s="11">
        <f>TabRenatão34[[#This Row],[SalAtual]]-TabRenatão34[[#This Row],[SalAnt]]</f>
        <v>1.7999999999999972</v>
      </c>
    </row>
    <row r="29" spans="2:17" x14ac:dyDescent="0.25">
      <c r="F29" s="9">
        <v>43704</v>
      </c>
      <c r="G29" s="2">
        <f t="shared" si="0"/>
        <v>3</v>
      </c>
      <c r="H29" s="2" t="str">
        <f>IF(TabRenatão34[[#This Row],[dia]]=IFERROR(VLOOKUP(TabRenatão34[[#This Row],[dia]],Tabela1[],1,FALSE),"erro"),"Sim","Não")</f>
        <v>Não</v>
      </c>
      <c r="I29" s="12">
        <f>VLOOKUP(TabRenatão34[[#This Row],[dia]],Horarios,3,0)</f>
        <v>8</v>
      </c>
      <c r="J29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29" s="12">
        <f>IF(TabRenatão34[[#This Row],[Feriado]]="Sim",TabRenatão34[[#This Row],[Htrab]],0)</f>
        <v>0</v>
      </c>
      <c r="L29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29" s="12">
        <f>IF(TabRenatão34[[#This Row],[Feriado]]="SIM",0,IF(TabRenatão34[[#This Row],[DSemana]]=7,TabRenatão34[[#This Row],[Htrab]],0))</f>
        <v>0</v>
      </c>
      <c r="N29" s="12">
        <f>IF(TabRenatão34[[#This Row],[Feriado]]="SIM",0,IF(TabRenatão34[[#This Row],[DSemana]]=1,TabRenatão34[[#This Row],[Htrab]],0))</f>
        <v>0</v>
      </c>
      <c r="O29" s="11">
        <f>TabRenatão34[[#This Row],[Htrab]]*17</f>
        <v>136</v>
      </c>
      <c r="P29" s="11">
        <f>TabRenatão34[[#This Row],[HN]]*17.9+TabRenatão34[[#This Row],[HFeriado]]*29+TabRenatão34[[#This Row],[HE]]*22.6+TabRenatão34[[#This Row],[Hsab]]*27.9+TabRenatão34[[#This Row],[Hdom]]*29</f>
        <v>143.19999999999999</v>
      </c>
      <c r="Q29" s="11">
        <f>TabRenatão34[[#This Row],[SalAtual]]-TabRenatão34[[#This Row],[SalAnt]]</f>
        <v>7.1999999999999886</v>
      </c>
    </row>
    <row r="30" spans="2:17" x14ac:dyDescent="0.25">
      <c r="F30" s="9">
        <v>43705</v>
      </c>
      <c r="G30" s="2">
        <f t="shared" si="0"/>
        <v>4</v>
      </c>
      <c r="H30" s="2" t="str">
        <f>IF(TabRenatão34[[#This Row],[dia]]=IFERROR(VLOOKUP(TabRenatão34[[#This Row],[dia]],Tabela1[],1,FALSE),"erro"),"Sim","Não")</f>
        <v>Não</v>
      </c>
      <c r="I30" s="12">
        <f>VLOOKUP(TabRenatão34[[#This Row],[dia]],Horarios,3,0)</f>
        <v>6</v>
      </c>
      <c r="J30" s="12">
        <f>IF(TabRenatão34[[#This Row],[Feriado]]="Sim",0,IF(TabRenatão34[[#This Row],[DSemana]]=1,0,IF(TabRenatão34[[#This Row],[DSemana]]=7,0,IF(TabRenatão34[[#This Row],[Htrab]]&gt;8,8,TabRenatão34[[#This Row],[Htrab]]))))</f>
        <v>6</v>
      </c>
      <c r="K30" s="12">
        <f>IF(TabRenatão34[[#This Row],[Feriado]]="Sim",TabRenatão34[[#This Row],[Htrab]],0)</f>
        <v>0</v>
      </c>
      <c r="L30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30" s="12">
        <f>IF(TabRenatão34[[#This Row],[Feriado]]="SIM",0,IF(TabRenatão34[[#This Row],[DSemana]]=7,TabRenatão34[[#This Row],[Htrab]],0))</f>
        <v>0</v>
      </c>
      <c r="N30" s="12">
        <f>IF(TabRenatão34[[#This Row],[Feriado]]="SIM",0,IF(TabRenatão34[[#This Row],[DSemana]]=1,TabRenatão34[[#This Row],[Htrab]],0))</f>
        <v>0</v>
      </c>
      <c r="O30" s="11">
        <f>TabRenatão34[[#This Row],[Htrab]]*17</f>
        <v>102</v>
      </c>
      <c r="P30" s="11">
        <f>TabRenatão34[[#This Row],[HN]]*17.9+TabRenatão34[[#This Row],[HFeriado]]*29+TabRenatão34[[#This Row],[HE]]*22.6+TabRenatão34[[#This Row],[Hsab]]*27.9+TabRenatão34[[#This Row],[Hdom]]*29</f>
        <v>107.39999999999999</v>
      </c>
      <c r="Q30" s="11">
        <f>TabRenatão34[[#This Row],[SalAtual]]-TabRenatão34[[#This Row],[SalAnt]]</f>
        <v>5.3999999999999915</v>
      </c>
    </row>
    <row r="31" spans="2:17" x14ac:dyDescent="0.25">
      <c r="F31" s="9">
        <v>43706</v>
      </c>
      <c r="G31" s="2">
        <f t="shared" si="0"/>
        <v>5</v>
      </c>
      <c r="H31" s="2" t="str">
        <f>IF(TabRenatão34[[#This Row],[dia]]=IFERROR(VLOOKUP(TabRenatão34[[#This Row],[dia]],Tabela1[],1,FALSE),"erro"),"Sim","Não")</f>
        <v>Não</v>
      </c>
      <c r="I31" s="12">
        <f>VLOOKUP(TabRenatão34[[#This Row],[dia]],Horarios,3,0)</f>
        <v>6</v>
      </c>
      <c r="J31" s="12">
        <f>IF(TabRenatão34[[#This Row],[Feriado]]="Sim",0,IF(TabRenatão34[[#This Row],[DSemana]]=1,0,IF(TabRenatão34[[#This Row],[DSemana]]=7,0,IF(TabRenatão34[[#This Row],[Htrab]]&gt;8,8,TabRenatão34[[#This Row],[Htrab]]))))</f>
        <v>6</v>
      </c>
      <c r="K31" s="12">
        <f>IF(TabRenatão34[[#This Row],[Feriado]]="Sim",TabRenatão34[[#This Row],[Htrab]],0)</f>
        <v>0</v>
      </c>
      <c r="L31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31" s="12">
        <f>IF(TabRenatão34[[#This Row],[Feriado]]="SIM",0,IF(TabRenatão34[[#This Row],[DSemana]]=7,TabRenatão34[[#This Row],[Htrab]],0))</f>
        <v>0</v>
      </c>
      <c r="N31" s="12">
        <f>IF(TabRenatão34[[#This Row],[Feriado]]="SIM",0,IF(TabRenatão34[[#This Row],[DSemana]]=1,TabRenatão34[[#This Row],[Htrab]],0))</f>
        <v>0</v>
      </c>
      <c r="O31" s="11">
        <f>TabRenatão34[[#This Row],[Htrab]]*17</f>
        <v>102</v>
      </c>
      <c r="P31" s="11">
        <f>TabRenatão34[[#This Row],[HN]]*17.9+TabRenatão34[[#This Row],[HFeriado]]*29+TabRenatão34[[#This Row],[HE]]*22.6+TabRenatão34[[#This Row],[Hsab]]*27.9+TabRenatão34[[#This Row],[Hdom]]*29</f>
        <v>107.39999999999999</v>
      </c>
      <c r="Q31" s="11">
        <f>TabRenatão34[[#This Row],[SalAtual]]-TabRenatão34[[#This Row],[SalAnt]]</f>
        <v>5.3999999999999915</v>
      </c>
    </row>
    <row r="32" spans="2:17" x14ac:dyDescent="0.25">
      <c r="F32" s="9">
        <v>43707</v>
      </c>
      <c r="G32" s="2">
        <f t="shared" si="0"/>
        <v>6</v>
      </c>
      <c r="H32" s="2" t="str">
        <f>IF(TabRenatão34[[#This Row],[dia]]=IFERROR(VLOOKUP(TabRenatão34[[#This Row],[dia]],Tabela1[],1,FALSE),"erro"),"Sim","Não")</f>
        <v>Não</v>
      </c>
      <c r="I32" s="12">
        <f>VLOOKUP(TabRenatão34[[#This Row],[dia]],Horarios,3,0)</f>
        <v>8</v>
      </c>
      <c r="J32" s="12">
        <f>IF(TabRenatão34[[#This Row],[Feriado]]="Sim",0,IF(TabRenatão34[[#This Row],[DSemana]]=1,0,IF(TabRenatão34[[#This Row],[DSemana]]=7,0,IF(TabRenatão34[[#This Row],[Htrab]]&gt;8,8,TabRenatão34[[#This Row],[Htrab]]))))</f>
        <v>8</v>
      </c>
      <c r="K32" s="12">
        <f>IF(TabRenatão34[[#This Row],[Feriado]]="Sim",TabRenatão34[[#This Row],[Htrab]],0)</f>
        <v>0</v>
      </c>
      <c r="L32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32" s="12">
        <f>IF(TabRenatão34[[#This Row],[Feriado]]="SIM",0,IF(TabRenatão34[[#This Row],[DSemana]]=7,TabRenatão34[[#This Row],[Htrab]],0))</f>
        <v>0</v>
      </c>
      <c r="N32" s="12">
        <f>IF(TabRenatão34[[#This Row],[Feriado]]="SIM",0,IF(TabRenatão34[[#This Row],[DSemana]]=1,TabRenatão34[[#This Row],[Htrab]],0))</f>
        <v>0</v>
      </c>
      <c r="O32" s="11">
        <f>TabRenatão34[[#This Row],[Htrab]]*17</f>
        <v>136</v>
      </c>
      <c r="P32" s="11">
        <f>TabRenatão34[[#This Row],[HN]]*17.9+TabRenatão34[[#This Row],[HFeriado]]*29+TabRenatão34[[#This Row],[HE]]*22.6+TabRenatão34[[#This Row],[Hsab]]*27.9+TabRenatão34[[#This Row],[Hdom]]*29</f>
        <v>143.19999999999999</v>
      </c>
      <c r="Q32" s="11">
        <f>TabRenatão34[[#This Row],[SalAtual]]-TabRenatão34[[#This Row],[SalAnt]]</f>
        <v>7.1999999999999886</v>
      </c>
    </row>
    <row r="33" spans="6:17" x14ac:dyDescent="0.25">
      <c r="F33" s="9">
        <v>43708</v>
      </c>
      <c r="G33" s="2">
        <f t="shared" si="0"/>
        <v>7</v>
      </c>
      <c r="H33" s="2" t="str">
        <f>IF(TabRenatão34[[#This Row],[dia]]=IFERROR(VLOOKUP(TabRenatão34[[#This Row],[dia]],Tabela1[],1,FALSE),"erro"),"Sim","Não")</f>
        <v>Não</v>
      </c>
      <c r="I33" s="12">
        <f>VLOOKUP(TabRenatão34[[#This Row],[dia]],Horarios,3,0)</f>
        <v>8</v>
      </c>
      <c r="J33" s="12">
        <f>IF(TabRenatão34[[#This Row],[Feriado]]="Sim",0,IF(TabRenatão34[[#This Row],[DSemana]]=1,0,IF(TabRenatão34[[#This Row],[DSemana]]=7,0,IF(TabRenatão34[[#This Row],[Htrab]]&gt;8,8,TabRenatão34[[#This Row],[Htrab]]))))</f>
        <v>0</v>
      </c>
      <c r="K33" s="12">
        <f>IF(TabRenatão34[[#This Row],[Feriado]]="Sim",TabRenatão34[[#This Row],[Htrab]],0)</f>
        <v>0</v>
      </c>
      <c r="L33" s="12">
        <f>IF(TabRenatão34[[#This Row],[Feriado]]="Sim",0,IF(TabRenatão34[[#This Row],[DSemana]]=1,0,IF(TabRenatão34[[#This Row],[DSemana]]=7,0,IF(TabRenatão34[[#This Row],[Htrab]]&gt;8,TabRenatão34[[#This Row],[Htrab]]-8,0))))</f>
        <v>0</v>
      </c>
      <c r="M33" s="12">
        <f>IF(TabRenatão34[[#This Row],[Feriado]]="SIM",0,IF(TabRenatão34[[#This Row],[DSemana]]=7,TabRenatão34[[#This Row],[Htrab]],0))</f>
        <v>8</v>
      </c>
      <c r="N33" s="12">
        <f>IF(TabRenatão34[[#This Row],[Feriado]]="SIM",0,IF(TabRenatão34[[#This Row],[DSemana]]=1,TabRenatão34[[#This Row],[Htrab]],0))</f>
        <v>0</v>
      </c>
      <c r="O33" s="11">
        <f>TabRenatão34[[#This Row],[Htrab]]*17</f>
        <v>136</v>
      </c>
      <c r="P33" s="11">
        <f>TabRenatão34[[#This Row],[HN]]*17.9+TabRenatão34[[#This Row],[HFeriado]]*29+TabRenatão34[[#This Row],[HE]]*22.6+TabRenatão34[[#This Row],[Hsab]]*27.9+TabRenatão34[[#This Row],[Hdom]]*29</f>
        <v>223.2</v>
      </c>
      <c r="Q33" s="11">
        <f>TabRenatão34[[#This Row],[SalAtual]]-TabRenatão34[[#This Row],[SalAnt]]</f>
        <v>87.199999999999989</v>
      </c>
    </row>
  </sheetData>
  <mergeCells count="9">
    <mergeCell ref="B18:C18"/>
    <mergeCell ref="B19:C19"/>
    <mergeCell ref="B15:C15"/>
    <mergeCell ref="B21:C21"/>
    <mergeCell ref="B2:C2"/>
    <mergeCell ref="B14:C14"/>
    <mergeCell ref="B16:C16"/>
    <mergeCell ref="B13:D13"/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B2:T33"/>
  <sheetViews>
    <sheetView showGridLines="0" zoomScaleNormal="100" workbookViewId="0">
      <selection activeCell="B18" sqref="B18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10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IF(TabRenatão35[[#This Row],[dia]]=IFERROR(VLOOKUP(TabRenatão35[[#This Row],[dia]],Tabela1[],1,FALSE),"erro"),"Sim","Não")</f>
        <v>Não</v>
      </c>
      <c r="I3" s="12">
        <f>VLOOKUP(TabRenatão35[[#This Row],[dia]],Horarios,4,0)</f>
        <v>4</v>
      </c>
      <c r="J3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3" s="12">
        <f>IF(TabRenatão35[[#This Row],[Feriado]]="Sim",TabRenatão35[[#This Row],[Htrab]],0)</f>
        <v>0</v>
      </c>
      <c r="L3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3" s="12">
        <f>IF(TabRenatão35[[#This Row],[Feriado]]="SIM",0,IF(TabRenatão35[[#This Row],[DSemana]]=7,TabRenatão35[[#This Row],[Htrab]],0))</f>
        <v>0</v>
      </c>
      <c r="N3" s="12">
        <f>IF(TabRenatão35[[#This Row],[Feriado]]="SIM",0,IF(TabRenatão35[[#This Row],[DSemana]]=1,TabRenatão35[[#This Row],[Htrab]],0))</f>
        <v>0</v>
      </c>
      <c r="O3" s="11">
        <f>TabRenatão35[[#This Row],[Htrab]]*17</f>
        <v>68</v>
      </c>
      <c r="P3" s="11">
        <f>TabRenatão35[[#This Row],[HN]]*17.9+TabRenatão35[[#This Row],[HFeriado]]*29+TabRenatão35[[#This Row],[HE]]*22.6+TabRenatão35[[#This Row],[Hsab]]*27.9+TabRenatão35[[#This Row],[Hdom]]*29</f>
        <v>71.599999999999994</v>
      </c>
      <c r="Q3" s="11">
        <f>TabRenatão35[[#This Row],[SalAtual]]-TabRenatão35[[#This Row],[SalAnt]]</f>
        <v>3.5999999999999943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IF(TabRenatão35[[#This Row],[dia]]=IFERROR(VLOOKUP(TabRenatão35[[#This Row],[dia]],Tabela1[],1,FALSE),"erro"),"Sim","Não")</f>
        <v>Não</v>
      </c>
      <c r="I4" s="12">
        <f>VLOOKUP(TabRenatão35[[#This Row],[dia]],Horarios,4,0)</f>
        <v>10</v>
      </c>
      <c r="J4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4" s="12">
        <f>IF(TabRenatão35[[#This Row],[Feriado]]="Sim",TabRenatão35[[#This Row],[Htrab]],0)</f>
        <v>0</v>
      </c>
      <c r="L4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4" s="12">
        <f>IF(TabRenatão35[[#This Row],[Feriado]]="SIM",0,IF(TabRenatão35[[#This Row],[DSemana]]=7,TabRenatão35[[#This Row],[Htrab]],0))</f>
        <v>0</v>
      </c>
      <c r="N4" s="12">
        <f>IF(TabRenatão35[[#This Row],[Feriado]]="SIM",0,IF(TabRenatão35[[#This Row],[DSemana]]=1,TabRenatão35[[#This Row],[Htrab]],0))</f>
        <v>0</v>
      </c>
      <c r="O4" s="11">
        <f>TabRenatão35[[#This Row],[Htrab]]*17</f>
        <v>170</v>
      </c>
      <c r="P4" s="11">
        <f>TabRenatão35[[#This Row],[HN]]*17.9+TabRenatão35[[#This Row],[HFeriado]]*29+TabRenatão35[[#This Row],[HE]]*22.6+TabRenatão35[[#This Row],[Hsab]]*27.9+TabRenatão35[[#This Row],[Hdom]]*29</f>
        <v>188.39999999999998</v>
      </c>
      <c r="Q4" s="11">
        <f>TabRenatão35[[#This Row],[SalAtual]]-TabRenatão35[[#This Row],[SalAnt]]</f>
        <v>18.399999999999977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IF(TabRenatão35[[#This Row],[dia]]=IFERROR(VLOOKUP(TabRenatão35[[#This Row],[dia]],Tabela1[],1,FALSE),"erro"),"Sim","Não")</f>
        <v>Não</v>
      </c>
      <c r="I5" s="12">
        <f>VLOOKUP(TabRenatão35[[#This Row],[dia]],Horarios,4,0)</f>
        <v>8</v>
      </c>
      <c r="J5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5" s="12">
        <f>IF(TabRenatão35[[#This Row],[Feriado]]="Sim",TabRenatão35[[#This Row],[Htrab]],0)</f>
        <v>0</v>
      </c>
      <c r="L5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5" s="12">
        <f>IF(TabRenatão35[[#This Row],[Feriado]]="SIM",0,IF(TabRenatão35[[#This Row],[DSemana]]=7,TabRenatão35[[#This Row],[Htrab]],0))</f>
        <v>8</v>
      </c>
      <c r="N5" s="12">
        <f>IF(TabRenatão35[[#This Row],[Feriado]]="SIM",0,IF(TabRenatão35[[#This Row],[DSemana]]=1,TabRenatão35[[#This Row],[Htrab]],0))</f>
        <v>0</v>
      </c>
      <c r="O5" s="11">
        <f>TabRenatão35[[#This Row],[Htrab]]*17</f>
        <v>136</v>
      </c>
      <c r="P5" s="11">
        <f>TabRenatão35[[#This Row],[HN]]*17.9+TabRenatão35[[#This Row],[HFeriado]]*29+TabRenatão35[[#This Row],[HE]]*22.6+TabRenatão35[[#This Row],[Hsab]]*27.9+TabRenatão35[[#This Row],[Hdom]]*29</f>
        <v>223.2</v>
      </c>
      <c r="Q5" s="11">
        <f>TabRenatão35[[#This Row],[SalAtual]]-TabRenatão35[[#This Row],[SalAnt]]</f>
        <v>87.199999999999989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IF(TabRenatão35[[#This Row],[dia]]=IFERROR(VLOOKUP(TabRenatão35[[#This Row],[dia]],Tabela1[],1,FALSE),"erro"),"Sim","Não")</f>
        <v>Não</v>
      </c>
      <c r="I6" s="12">
        <f>VLOOKUP(TabRenatão35[[#This Row],[dia]],Horarios,4,0)</f>
        <v>4</v>
      </c>
      <c r="J6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6" s="12">
        <f>IF(TabRenatão35[[#This Row],[Feriado]]="Sim",TabRenatão35[[#This Row],[Htrab]],0)</f>
        <v>0</v>
      </c>
      <c r="L6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6" s="12">
        <f>IF(TabRenatão35[[#This Row],[Feriado]]="SIM",0,IF(TabRenatão35[[#This Row],[DSemana]]=7,TabRenatão35[[#This Row],[Htrab]],0))</f>
        <v>0</v>
      </c>
      <c r="N6" s="12">
        <f>IF(TabRenatão35[[#This Row],[Feriado]]="SIM",0,IF(TabRenatão35[[#This Row],[DSemana]]=1,TabRenatão35[[#This Row],[Htrab]],0))</f>
        <v>4</v>
      </c>
      <c r="O6" s="11">
        <f>TabRenatão35[[#This Row],[Htrab]]*17</f>
        <v>68</v>
      </c>
      <c r="P6" s="11">
        <f>TabRenatão35[[#This Row],[HN]]*17.9+TabRenatão35[[#This Row],[HFeriado]]*29+TabRenatão35[[#This Row],[HE]]*22.6+TabRenatão35[[#This Row],[Hsab]]*27.9+TabRenatão35[[#This Row],[Hdom]]*29</f>
        <v>116</v>
      </c>
      <c r="Q6" s="11">
        <f>TabRenatão35[[#This Row],[SalAtual]]-TabRenatão35[[#This Row],[SalAnt]]</f>
        <v>48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IF(TabRenatão35[[#This Row],[dia]]=IFERROR(VLOOKUP(TabRenatão35[[#This Row],[dia]],Tabela1[],1,FALSE),"erro"),"Sim","Não")</f>
        <v>Não</v>
      </c>
      <c r="I7" s="12">
        <f>VLOOKUP(TabRenatão35[[#This Row],[dia]],Horarios,4,0)</f>
        <v>10</v>
      </c>
      <c r="J7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7" s="12">
        <f>IF(TabRenatão35[[#This Row],[Feriado]]="Sim",TabRenatão35[[#This Row],[Htrab]],0)</f>
        <v>0</v>
      </c>
      <c r="L7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7" s="12">
        <f>IF(TabRenatão35[[#This Row],[Feriado]]="SIM",0,IF(TabRenatão35[[#This Row],[DSemana]]=7,TabRenatão35[[#This Row],[Htrab]],0))</f>
        <v>0</v>
      </c>
      <c r="N7" s="12">
        <f>IF(TabRenatão35[[#This Row],[Feriado]]="SIM",0,IF(TabRenatão35[[#This Row],[DSemana]]=1,TabRenatão35[[#This Row],[Htrab]],0))</f>
        <v>0</v>
      </c>
      <c r="O7" s="11">
        <f>TabRenatão35[[#This Row],[Htrab]]*17</f>
        <v>170</v>
      </c>
      <c r="P7" s="11">
        <f>TabRenatão35[[#This Row],[HN]]*17.9+TabRenatão35[[#This Row],[HFeriado]]*29+TabRenatão35[[#This Row],[HE]]*22.6+TabRenatão35[[#This Row],[Hsab]]*27.9+TabRenatão35[[#This Row],[Hdom]]*29</f>
        <v>188.39999999999998</v>
      </c>
      <c r="Q7" s="11">
        <f>TabRenatão35[[#This Row],[SalAtual]]-TabRenatão35[[#This Row],[SalAnt]]</f>
        <v>18.399999999999977</v>
      </c>
    </row>
    <row r="8" spans="2:20" x14ac:dyDescent="0.25">
      <c r="F8" s="9">
        <v>43683</v>
      </c>
      <c r="G8" s="2">
        <f t="shared" si="0"/>
        <v>3</v>
      </c>
      <c r="H8" s="2" t="str">
        <f>IF(TabRenatão35[[#This Row],[dia]]=IFERROR(VLOOKUP(TabRenatão35[[#This Row],[dia]],Tabela1[],1,FALSE),"erro"),"Sim","Não")</f>
        <v>Não</v>
      </c>
      <c r="I8" s="12">
        <f>VLOOKUP(TabRenatão35[[#This Row],[dia]],Horarios,4,0)</f>
        <v>8</v>
      </c>
      <c r="J8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8" s="12">
        <f>IF(TabRenatão35[[#This Row],[Feriado]]="Sim",TabRenatão35[[#This Row],[Htrab]],0)</f>
        <v>0</v>
      </c>
      <c r="L8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8" s="12">
        <f>IF(TabRenatão35[[#This Row],[Feriado]]="SIM",0,IF(TabRenatão35[[#This Row],[DSemana]]=7,TabRenatão35[[#This Row],[Htrab]],0))</f>
        <v>0</v>
      </c>
      <c r="N8" s="12">
        <f>IF(TabRenatão35[[#This Row],[Feriado]]="SIM",0,IF(TabRenatão35[[#This Row],[DSemana]]=1,TabRenatão35[[#This Row],[Htrab]],0))</f>
        <v>0</v>
      </c>
      <c r="O8" s="11">
        <f>TabRenatão35[[#This Row],[Htrab]]*17</f>
        <v>136</v>
      </c>
      <c r="P8" s="11">
        <f>TabRenatão35[[#This Row],[HN]]*17.9+TabRenatão35[[#This Row],[HFeriado]]*29+TabRenatão35[[#This Row],[HE]]*22.6+TabRenatão35[[#This Row],[Hsab]]*27.9+TabRenatão35[[#This Row],[Hdom]]*29</f>
        <v>143.19999999999999</v>
      </c>
      <c r="Q8" s="11">
        <f>TabRenatão35[[#This Row],[SalAtual]]-TabRenatão35[[#This Row],[SalAnt]]</f>
        <v>7.1999999999999886</v>
      </c>
    </row>
    <row r="9" spans="2:20" x14ac:dyDescent="0.25">
      <c r="F9" s="9">
        <v>43684</v>
      </c>
      <c r="G9" s="2">
        <f t="shared" si="0"/>
        <v>4</v>
      </c>
      <c r="H9" s="2" t="str">
        <f>IF(TabRenatão35[[#This Row],[dia]]=IFERROR(VLOOKUP(TabRenatão35[[#This Row],[dia]],Tabela1[],1,FALSE),"erro"),"Sim","Não")</f>
        <v>Não</v>
      </c>
      <c r="I9" s="12">
        <f>VLOOKUP(TabRenatão35[[#This Row],[dia]],Horarios,4,0)</f>
        <v>4</v>
      </c>
      <c r="J9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9" s="12">
        <f>IF(TabRenatão35[[#This Row],[Feriado]]="Sim",TabRenatão35[[#This Row],[Htrab]],0)</f>
        <v>0</v>
      </c>
      <c r="L9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9" s="12">
        <f>IF(TabRenatão35[[#This Row],[Feriado]]="SIM",0,IF(TabRenatão35[[#This Row],[DSemana]]=7,TabRenatão35[[#This Row],[Htrab]],0))</f>
        <v>0</v>
      </c>
      <c r="N9" s="12">
        <f>IF(TabRenatão35[[#This Row],[Feriado]]="SIM",0,IF(TabRenatão35[[#This Row],[DSemana]]=1,TabRenatão35[[#This Row],[Htrab]],0))</f>
        <v>0</v>
      </c>
      <c r="O9" s="11">
        <f>TabRenatão35[[#This Row],[Htrab]]*17</f>
        <v>68</v>
      </c>
      <c r="P9" s="11">
        <f>TabRenatão35[[#This Row],[HN]]*17.9+TabRenatão35[[#This Row],[HFeriado]]*29+TabRenatão35[[#This Row],[HE]]*22.6+TabRenatão35[[#This Row],[Hsab]]*27.9+TabRenatão35[[#This Row],[Hdom]]*29</f>
        <v>71.599999999999994</v>
      </c>
      <c r="Q9" s="11">
        <f>TabRenatão35[[#This Row],[SalAtual]]-TabRenatão35[[#This Row],[SalAnt]]</f>
        <v>3.5999999999999943</v>
      </c>
    </row>
    <row r="10" spans="2:20" x14ac:dyDescent="0.25">
      <c r="F10" s="9">
        <v>43685</v>
      </c>
      <c r="G10" s="2">
        <f t="shared" si="0"/>
        <v>5</v>
      </c>
      <c r="H10" s="2" t="str">
        <f>IF(TabRenatão35[[#This Row],[dia]]=IFERROR(VLOOKUP(TabRenatão35[[#This Row],[dia]],Tabela1[],1,FALSE),"erro"),"Sim","Não")</f>
        <v>Não</v>
      </c>
      <c r="I10" s="12">
        <f>VLOOKUP(TabRenatão35[[#This Row],[dia]],Horarios,4,0)</f>
        <v>0</v>
      </c>
      <c r="J10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10" s="12">
        <f>IF(TabRenatão35[[#This Row],[Feriado]]="Sim",TabRenatão35[[#This Row],[Htrab]],0)</f>
        <v>0</v>
      </c>
      <c r="L10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0" s="12">
        <f>IF(TabRenatão35[[#This Row],[Feriado]]="SIM",0,IF(TabRenatão35[[#This Row],[DSemana]]=7,TabRenatão35[[#This Row],[Htrab]],0))</f>
        <v>0</v>
      </c>
      <c r="N10" s="12">
        <f>IF(TabRenatão35[[#This Row],[Feriado]]="SIM",0,IF(TabRenatão35[[#This Row],[DSemana]]=1,TabRenatão35[[#This Row],[Htrab]],0))</f>
        <v>0</v>
      </c>
      <c r="O10" s="11">
        <f>TabRenatão35[[#This Row],[Htrab]]*17</f>
        <v>0</v>
      </c>
      <c r="P10" s="11">
        <f>TabRenatão35[[#This Row],[HN]]*17.9+TabRenatão35[[#This Row],[HFeriado]]*29+TabRenatão35[[#This Row],[HE]]*22.6+TabRenatão35[[#This Row],[Hsab]]*27.9+TabRenatão35[[#This Row],[Hdom]]*29</f>
        <v>0</v>
      </c>
      <c r="Q10" s="11">
        <f>TabRenatão35[[#This Row],[SalAtual]]-TabRenatão35[[#This Row],[SalAnt]]</f>
        <v>0</v>
      </c>
    </row>
    <row r="11" spans="2:20" x14ac:dyDescent="0.25">
      <c r="F11" s="9">
        <v>43686</v>
      </c>
      <c r="G11" s="2">
        <f t="shared" si="0"/>
        <v>6</v>
      </c>
      <c r="H11" s="2" t="str">
        <f>IF(TabRenatão35[[#This Row],[dia]]=IFERROR(VLOOKUP(TabRenatão35[[#This Row],[dia]],Tabela1[],1,FALSE),"erro"),"Sim","Não")</f>
        <v>Não</v>
      </c>
      <c r="I11" s="12">
        <f>VLOOKUP(TabRenatão35[[#This Row],[dia]],Horarios,4,0)</f>
        <v>8</v>
      </c>
      <c r="J11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11" s="12">
        <f>IF(TabRenatão35[[#This Row],[Feriado]]="Sim",TabRenatão35[[#This Row],[Htrab]],0)</f>
        <v>0</v>
      </c>
      <c r="L11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1" s="12">
        <f>IF(TabRenatão35[[#This Row],[Feriado]]="SIM",0,IF(TabRenatão35[[#This Row],[DSemana]]=7,TabRenatão35[[#This Row],[Htrab]],0))</f>
        <v>0</v>
      </c>
      <c r="N11" s="12">
        <f>IF(TabRenatão35[[#This Row],[Feriado]]="SIM",0,IF(TabRenatão35[[#This Row],[DSemana]]=1,TabRenatão35[[#This Row],[Htrab]],0))</f>
        <v>0</v>
      </c>
      <c r="O11" s="11">
        <f>TabRenatão35[[#This Row],[Htrab]]*17</f>
        <v>136</v>
      </c>
      <c r="P11" s="11">
        <f>TabRenatão35[[#This Row],[HN]]*17.9+TabRenatão35[[#This Row],[HFeriado]]*29+TabRenatão35[[#This Row],[HE]]*22.6+TabRenatão35[[#This Row],[Hsab]]*27.9+TabRenatão35[[#This Row],[Hdom]]*29</f>
        <v>143.19999999999999</v>
      </c>
      <c r="Q11" s="11">
        <f>TabRenatão35[[#This Row],[SalAtual]]-TabRenatão35[[#This Row],[SalAnt]]</f>
        <v>7.1999999999999886</v>
      </c>
    </row>
    <row r="12" spans="2:20" x14ac:dyDescent="0.25">
      <c r="F12" s="9">
        <v>43687</v>
      </c>
      <c r="G12" s="2">
        <f t="shared" si="0"/>
        <v>7</v>
      </c>
      <c r="H12" s="2" t="str">
        <f>IF(TabRenatão35[[#This Row],[dia]]=IFERROR(VLOOKUP(TabRenatão35[[#This Row],[dia]],Tabela1[],1,FALSE),"erro"),"Sim","Não")</f>
        <v>Não</v>
      </c>
      <c r="I12" s="12">
        <f>VLOOKUP(TabRenatão35[[#This Row],[dia]],Horarios,4,0)</f>
        <v>4</v>
      </c>
      <c r="J12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12" s="12">
        <f>IF(TabRenatão35[[#This Row],[Feriado]]="Sim",TabRenatão35[[#This Row],[Htrab]],0)</f>
        <v>0</v>
      </c>
      <c r="L12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2" s="12">
        <f>IF(TabRenatão35[[#This Row],[Feriado]]="SIM",0,IF(TabRenatão35[[#This Row],[DSemana]]=7,TabRenatão35[[#This Row],[Htrab]],0))</f>
        <v>4</v>
      </c>
      <c r="N12" s="12">
        <f>IF(TabRenatão35[[#This Row],[Feriado]]="SIM",0,IF(TabRenatão35[[#This Row],[DSemana]]=1,TabRenatão35[[#This Row],[Htrab]],0))</f>
        <v>0</v>
      </c>
      <c r="O12" s="11">
        <f>TabRenatão35[[#This Row],[Htrab]]*17</f>
        <v>68</v>
      </c>
      <c r="P12" s="11">
        <f>TabRenatão35[[#This Row],[HN]]*17.9+TabRenatão35[[#This Row],[HFeriado]]*29+TabRenatão35[[#This Row],[HE]]*22.6+TabRenatão35[[#This Row],[Hsab]]*27.9+TabRenatão35[[#This Row],[Hdom]]*29</f>
        <v>111.6</v>
      </c>
      <c r="Q12" s="11">
        <f>TabRenatão35[[#This Row],[SalAtual]]-TabRenatão35[[#This Row],[SalAnt]]</f>
        <v>43.599999999999994</v>
      </c>
    </row>
    <row r="13" spans="2:20" x14ac:dyDescent="0.25">
      <c r="B13" s="144" t="s">
        <v>39</v>
      </c>
      <c r="C13" s="144"/>
      <c r="D13" s="144"/>
      <c r="F13" s="9">
        <v>43688</v>
      </c>
      <c r="G13" s="2">
        <f t="shared" si="0"/>
        <v>1</v>
      </c>
      <c r="H13" s="2" t="str">
        <f>IF(TabRenatão35[[#This Row],[dia]]=IFERROR(VLOOKUP(TabRenatão35[[#This Row],[dia]],Tabela1[],1,FALSE),"erro"),"Sim","Não")</f>
        <v>Não</v>
      </c>
      <c r="I13" s="12">
        <f>VLOOKUP(TabRenatão35[[#This Row],[dia]],Horarios,4,0)</f>
        <v>10</v>
      </c>
      <c r="J13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13" s="12">
        <f>IF(TabRenatão35[[#This Row],[Feriado]]="Sim",TabRenatão35[[#This Row],[Htrab]],0)</f>
        <v>0</v>
      </c>
      <c r="L13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3" s="12">
        <f>IF(TabRenatão35[[#This Row],[Feriado]]="SIM",0,IF(TabRenatão35[[#This Row],[DSemana]]=7,TabRenatão35[[#This Row],[Htrab]],0))</f>
        <v>0</v>
      </c>
      <c r="N13" s="12">
        <f>IF(TabRenatão35[[#This Row],[Feriado]]="SIM",0,IF(TabRenatão35[[#This Row],[DSemana]]=1,TabRenatão35[[#This Row],[Htrab]],0))</f>
        <v>10</v>
      </c>
      <c r="O13" s="11">
        <f>TabRenatão35[[#This Row],[Htrab]]*17</f>
        <v>170</v>
      </c>
      <c r="P13" s="11">
        <f>TabRenatão35[[#This Row],[HN]]*17.9+TabRenatão35[[#This Row],[HFeriado]]*29+TabRenatão35[[#This Row],[HE]]*22.6+TabRenatão35[[#This Row],[Hsab]]*27.9+TabRenatão35[[#This Row],[Hdom]]*29</f>
        <v>290</v>
      </c>
      <c r="Q13" s="11">
        <f>TabRenatão35[[#This Row],[SalAtual]]-TabRenatão35[[#This Row],[SalAnt]]</f>
        <v>120</v>
      </c>
    </row>
    <row r="14" spans="2:20" x14ac:dyDescent="0.25">
      <c r="B14" s="146" t="s">
        <v>81</v>
      </c>
      <c r="C14" s="146"/>
      <c r="D14" s="8">
        <f>SUM(P3:P33)</f>
        <v>4182.6999999999989</v>
      </c>
      <c r="F14" s="9">
        <v>43689</v>
      </c>
      <c r="G14" s="2">
        <f t="shared" si="0"/>
        <v>2</v>
      </c>
      <c r="H14" s="2" t="str">
        <f>IF(TabRenatão35[[#This Row],[dia]]=IFERROR(VLOOKUP(TabRenatão35[[#This Row],[dia]],Tabela1[],1,FALSE),"erro"),"Sim","Não")</f>
        <v>Não</v>
      </c>
      <c r="I14" s="12">
        <f>VLOOKUP(TabRenatão35[[#This Row],[dia]],Horarios,4,0)</f>
        <v>2</v>
      </c>
      <c r="J14" s="12">
        <f>IF(TabRenatão35[[#This Row],[Feriado]]="Sim",0,IF(TabRenatão35[[#This Row],[DSemana]]=1,0,IF(TabRenatão35[[#This Row],[DSemana]]=7,0,IF(TabRenatão35[[#This Row],[Htrab]]&gt;8,8,TabRenatão35[[#This Row],[Htrab]]))))</f>
        <v>2</v>
      </c>
      <c r="K14" s="12">
        <f>IF(TabRenatão35[[#This Row],[Feriado]]="Sim",TabRenatão35[[#This Row],[Htrab]],0)</f>
        <v>0</v>
      </c>
      <c r="L14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4" s="12">
        <f>IF(TabRenatão35[[#This Row],[Feriado]]="SIM",0,IF(TabRenatão35[[#This Row],[DSemana]]=7,TabRenatão35[[#This Row],[Htrab]],0))</f>
        <v>0</v>
      </c>
      <c r="N14" s="12">
        <f>IF(TabRenatão35[[#This Row],[Feriado]]="SIM",0,IF(TabRenatão35[[#This Row],[DSemana]]=1,TabRenatão35[[#This Row],[Htrab]],0))</f>
        <v>0</v>
      </c>
      <c r="O14" s="11">
        <f>TabRenatão35[[#This Row],[Htrab]]*17</f>
        <v>34</v>
      </c>
      <c r="P14" s="11">
        <f>TabRenatão35[[#This Row],[HN]]*17.9+TabRenatão35[[#This Row],[HFeriado]]*29+TabRenatão35[[#This Row],[HE]]*22.6+TabRenatão35[[#This Row],[Hsab]]*27.9+TabRenatão35[[#This Row],[Hdom]]*29</f>
        <v>35.799999999999997</v>
      </c>
      <c r="Q14" s="11">
        <f>TabRenatão35[[#This Row],[SalAtual]]-TabRenatão35[[#This Row],[SalAnt]]</f>
        <v>1.7999999999999972</v>
      </c>
    </row>
    <row r="15" spans="2:20" x14ac:dyDescent="0.25">
      <c r="B15" s="15" t="s">
        <v>27</v>
      </c>
      <c r="C15" s="15"/>
      <c r="D15" s="14">
        <f>IF(D14&lt;=1751.81,D14*0.08,IF(D14&lt;=2919.72,D14*0.09,D14*0.11))</f>
        <v>460.09699999999987</v>
      </c>
      <c r="F15" s="9">
        <v>43690</v>
      </c>
      <c r="G15" s="2">
        <f t="shared" si="0"/>
        <v>3</v>
      </c>
      <c r="H15" s="2" t="str">
        <f>IF(TabRenatão35[[#This Row],[dia]]=IFERROR(VLOOKUP(TabRenatão35[[#This Row],[dia]],Tabela1[],1,FALSE),"erro"),"Sim","Não")</f>
        <v>Não</v>
      </c>
      <c r="I15" s="12">
        <f>VLOOKUP(TabRenatão35[[#This Row],[dia]],Horarios,4,0)</f>
        <v>4</v>
      </c>
      <c r="J15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15" s="12">
        <f>IF(TabRenatão35[[#This Row],[Feriado]]="Sim",TabRenatão35[[#This Row],[Htrab]],0)</f>
        <v>0</v>
      </c>
      <c r="L15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5" s="12">
        <f>IF(TabRenatão35[[#This Row],[Feriado]]="SIM",0,IF(TabRenatão35[[#This Row],[DSemana]]=7,TabRenatão35[[#This Row],[Htrab]],0))</f>
        <v>0</v>
      </c>
      <c r="N15" s="12">
        <f>IF(TabRenatão35[[#This Row],[Feriado]]="SIM",0,IF(TabRenatão35[[#This Row],[DSemana]]=1,TabRenatão35[[#This Row],[Htrab]],0))</f>
        <v>0</v>
      </c>
      <c r="O15" s="11">
        <f>TabRenatão35[[#This Row],[Htrab]]*17</f>
        <v>68</v>
      </c>
      <c r="P15" s="11">
        <f>TabRenatão35[[#This Row],[HN]]*17.9+TabRenatão35[[#This Row],[HFeriado]]*29+TabRenatão35[[#This Row],[HE]]*22.6+TabRenatão35[[#This Row],[Hsab]]*27.9+TabRenatão35[[#This Row],[Hdom]]*29</f>
        <v>71.599999999999994</v>
      </c>
      <c r="Q15" s="11">
        <f>TabRenatão35[[#This Row],[SalAtual]]-TabRenatão35[[#This Row],[SalAnt]]</f>
        <v>3.5999999999999943</v>
      </c>
    </row>
    <row r="16" spans="2:20" x14ac:dyDescent="0.25">
      <c r="B16" s="16" t="s">
        <v>28</v>
      </c>
      <c r="C16" s="16"/>
      <c r="D16">
        <v>1</v>
      </c>
      <c r="F16" s="9">
        <v>43691</v>
      </c>
      <c r="G16" s="2">
        <f t="shared" si="0"/>
        <v>4</v>
      </c>
      <c r="H16" s="2" t="str">
        <f>IF(TabRenatão35[[#This Row],[dia]]=IFERROR(VLOOKUP(TabRenatão35[[#This Row],[dia]],Tabela1[],1,FALSE),"erro"),"Sim","Não")</f>
        <v>Não</v>
      </c>
      <c r="I16" s="12">
        <f>VLOOKUP(TabRenatão35[[#This Row],[dia]],Horarios,4,0)</f>
        <v>10</v>
      </c>
      <c r="J16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16" s="12">
        <f>IF(TabRenatão35[[#This Row],[Feriado]]="Sim",TabRenatão35[[#This Row],[Htrab]],0)</f>
        <v>0</v>
      </c>
      <c r="L16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16" s="12">
        <f>IF(TabRenatão35[[#This Row],[Feriado]]="SIM",0,IF(TabRenatão35[[#This Row],[DSemana]]=7,TabRenatão35[[#This Row],[Htrab]],0))</f>
        <v>0</v>
      </c>
      <c r="N16" s="12">
        <f>IF(TabRenatão35[[#This Row],[Feriado]]="SIM",0,IF(TabRenatão35[[#This Row],[DSemana]]=1,TabRenatão35[[#This Row],[Htrab]],0))</f>
        <v>0</v>
      </c>
      <c r="O16" s="11">
        <f>TabRenatão35[[#This Row],[Htrab]]*17</f>
        <v>170</v>
      </c>
      <c r="P16" s="11">
        <f>TabRenatão35[[#This Row],[HN]]*17.9+TabRenatão35[[#This Row],[HFeriado]]*29+TabRenatão35[[#This Row],[HE]]*22.6+TabRenatão35[[#This Row],[Hsab]]*27.9+TabRenatão35[[#This Row],[Hdom]]*29</f>
        <v>188.39999999999998</v>
      </c>
      <c r="Q16" s="11">
        <f>TabRenatão35[[#This Row],[SalAtual]]-TabRenatão35[[#This Row],[SalAnt]]</f>
        <v>18.399999999999977</v>
      </c>
    </row>
    <row r="17" spans="2:17" x14ac:dyDescent="0.25">
      <c r="B17" s="15" t="s">
        <v>29</v>
      </c>
      <c r="C17" s="15"/>
      <c r="D17" s="14">
        <f>D14-D15-(D16*189.59)</f>
        <v>3533.012999999999</v>
      </c>
      <c r="F17" s="9">
        <v>43692</v>
      </c>
      <c r="G17" s="2">
        <f t="shared" si="0"/>
        <v>5</v>
      </c>
      <c r="H17" s="2" t="str">
        <f>IF(TabRenatão35[[#This Row],[dia]]=IFERROR(VLOOKUP(TabRenatão35[[#This Row],[dia]],Tabela1[],1,FALSE),"erro"),"Sim","Não")</f>
        <v>Sim</v>
      </c>
      <c r="I17" s="12">
        <f>VLOOKUP(TabRenatão35[[#This Row],[dia]],Horarios,4,0)</f>
        <v>10</v>
      </c>
      <c r="J17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17" s="12">
        <f>IF(TabRenatão35[[#This Row],[Feriado]]="Sim",TabRenatão35[[#This Row],[Htrab]],0)</f>
        <v>10</v>
      </c>
      <c r="L17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7" s="12">
        <f>IF(TabRenatão35[[#This Row],[Feriado]]="SIM",0,IF(TabRenatão35[[#This Row],[DSemana]]=7,TabRenatão35[[#This Row],[Htrab]],0))</f>
        <v>0</v>
      </c>
      <c r="N17" s="12">
        <f>IF(TabRenatão35[[#This Row],[Feriado]]="SIM",0,IF(TabRenatão35[[#This Row],[DSemana]]=1,TabRenatão35[[#This Row],[Htrab]],0))</f>
        <v>0</v>
      </c>
      <c r="O17" s="11">
        <f>TabRenatão35[[#This Row],[Htrab]]*17</f>
        <v>170</v>
      </c>
      <c r="P17" s="11">
        <f>TabRenatão35[[#This Row],[HN]]*17.9+TabRenatão35[[#This Row],[HFeriado]]*29+TabRenatão35[[#This Row],[HE]]*22.6+TabRenatão35[[#This Row],[Hsab]]*27.9+TabRenatão35[[#This Row],[Hdom]]*29</f>
        <v>290</v>
      </c>
      <c r="Q17" s="11">
        <f>TabRenatão35[[#This Row],[SalAtual]]-TabRenatão35[[#This Row],[SalAnt]]</f>
        <v>120</v>
      </c>
    </row>
    <row r="18" spans="2:17" x14ac:dyDescent="0.25">
      <c r="B18" s="16" t="s">
        <v>30</v>
      </c>
      <c r="C18" s="16"/>
      <c r="D18" s="8">
        <f>D17*VLOOKUP(D17,irrf,3)-VLOOKUP(D17,irrf,4)</f>
        <v>175.15194999999977</v>
      </c>
      <c r="F18" s="9">
        <v>43693</v>
      </c>
      <c r="G18" s="2">
        <f t="shared" si="0"/>
        <v>6</v>
      </c>
      <c r="H18" s="2" t="str">
        <f>IF(TabRenatão35[[#This Row],[dia]]=IFERROR(VLOOKUP(TabRenatão35[[#This Row],[dia]],Tabela1[],1,FALSE),"erro"),"Sim","Não")</f>
        <v>Não</v>
      </c>
      <c r="I18" s="12">
        <f>VLOOKUP(TabRenatão35[[#This Row],[dia]],Horarios,4,0)</f>
        <v>5</v>
      </c>
      <c r="J18" s="12">
        <f>IF(TabRenatão35[[#This Row],[Feriado]]="Sim",0,IF(TabRenatão35[[#This Row],[DSemana]]=1,0,IF(TabRenatão35[[#This Row],[DSemana]]=7,0,IF(TabRenatão35[[#This Row],[Htrab]]&gt;8,8,TabRenatão35[[#This Row],[Htrab]]))))</f>
        <v>5</v>
      </c>
      <c r="K18" s="12">
        <f>IF(TabRenatão35[[#This Row],[Feriado]]="Sim",TabRenatão35[[#This Row],[Htrab]],0)</f>
        <v>0</v>
      </c>
      <c r="L18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8" s="12">
        <f>IF(TabRenatão35[[#This Row],[Feriado]]="SIM",0,IF(TabRenatão35[[#This Row],[DSemana]]=7,TabRenatão35[[#This Row],[Htrab]],0))</f>
        <v>0</v>
      </c>
      <c r="N18" s="12">
        <f>IF(TabRenatão35[[#This Row],[Feriado]]="SIM",0,IF(TabRenatão35[[#This Row],[DSemana]]=1,TabRenatão35[[#This Row],[Htrab]],0))</f>
        <v>0</v>
      </c>
      <c r="O18" s="11">
        <f>TabRenatão35[[#This Row],[Htrab]]*17</f>
        <v>85</v>
      </c>
      <c r="P18" s="11">
        <f>TabRenatão35[[#This Row],[HN]]*17.9+TabRenatão35[[#This Row],[HFeriado]]*29+TabRenatão35[[#This Row],[HE]]*22.6+TabRenatão35[[#This Row],[Hsab]]*27.9+TabRenatão35[[#This Row],[Hdom]]*29</f>
        <v>89.5</v>
      </c>
      <c r="Q18" s="11">
        <f>TabRenatão35[[#This Row],[SalAtual]]-TabRenatão35[[#This Row],[SalAnt]]</f>
        <v>4.5</v>
      </c>
    </row>
    <row r="19" spans="2:17" x14ac:dyDescent="0.25">
      <c r="B19" s="15" t="s">
        <v>31</v>
      </c>
      <c r="C19" s="15"/>
      <c r="D19" s="14">
        <f>D14-D15-D18</f>
        <v>3547.4510499999992</v>
      </c>
      <c r="F19" s="9">
        <v>43694</v>
      </c>
      <c r="G19" s="2">
        <f t="shared" si="0"/>
        <v>7</v>
      </c>
      <c r="H19" s="2" t="str">
        <f>IF(TabRenatão35[[#This Row],[dia]]=IFERROR(VLOOKUP(TabRenatão35[[#This Row],[dia]],Tabela1[],1,FALSE),"erro"),"Sim","Não")</f>
        <v>Não</v>
      </c>
      <c r="I19" s="12">
        <f>VLOOKUP(TabRenatão35[[#This Row],[dia]],Horarios,4,0)</f>
        <v>7</v>
      </c>
      <c r="J19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19" s="12">
        <f>IF(TabRenatão35[[#This Row],[Feriado]]="Sim",TabRenatão35[[#This Row],[Htrab]],0)</f>
        <v>0</v>
      </c>
      <c r="L19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19" s="12">
        <f>IF(TabRenatão35[[#This Row],[Feriado]]="SIM",0,IF(TabRenatão35[[#This Row],[DSemana]]=7,TabRenatão35[[#This Row],[Htrab]],0))</f>
        <v>7</v>
      </c>
      <c r="N19" s="12">
        <f>IF(TabRenatão35[[#This Row],[Feriado]]="SIM",0,IF(TabRenatão35[[#This Row],[DSemana]]=1,TabRenatão35[[#This Row],[Htrab]],0))</f>
        <v>0</v>
      </c>
      <c r="O19" s="11">
        <f>TabRenatão35[[#This Row],[Htrab]]*17</f>
        <v>119</v>
      </c>
      <c r="P19" s="11">
        <f>TabRenatão35[[#This Row],[HN]]*17.9+TabRenatão35[[#This Row],[HFeriado]]*29+TabRenatão35[[#This Row],[HE]]*22.6+TabRenatão35[[#This Row],[Hsab]]*27.9+TabRenatão35[[#This Row],[Hdom]]*29</f>
        <v>195.29999999999998</v>
      </c>
      <c r="Q19" s="11">
        <f>TabRenatão35[[#This Row],[SalAtual]]-TabRenatão35[[#This Row],[SalAnt]]</f>
        <v>76.299999999999983</v>
      </c>
    </row>
    <row r="20" spans="2:17" x14ac:dyDescent="0.25">
      <c r="F20" s="9">
        <v>43695</v>
      </c>
      <c r="G20" s="2">
        <f t="shared" si="0"/>
        <v>1</v>
      </c>
      <c r="H20" s="2" t="str">
        <f>IF(TabRenatão35[[#This Row],[dia]]=IFERROR(VLOOKUP(TabRenatão35[[#This Row],[dia]],Tabela1[],1,FALSE),"erro"),"Sim","Não")</f>
        <v>Não</v>
      </c>
      <c r="I20" s="12">
        <f>VLOOKUP(TabRenatão35[[#This Row],[dia]],Horarios,4,0)</f>
        <v>4</v>
      </c>
      <c r="J20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20" s="12">
        <f>IF(TabRenatão35[[#This Row],[Feriado]]="Sim",TabRenatão35[[#This Row],[Htrab]],0)</f>
        <v>0</v>
      </c>
      <c r="L20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0" s="12">
        <f>IF(TabRenatão35[[#This Row],[Feriado]]="SIM",0,IF(TabRenatão35[[#This Row],[DSemana]]=7,TabRenatão35[[#This Row],[Htrab]],0))</f>
        <v>0</v>
      </c>
      <c r="N20" s="12">
        <f>IF(TabRenatão35[[#This Row],[Feriado]]="SIM",0,IF(TabRenatão35[[#This Row],[DSemana]]=1,TabRenatão35[[#This Row],[Htrab]],0))</f>
        <v>4</v>
      </c>
      <c r="O20" s="11">
        <f>TabRenatão35[[#This Row],[Htrab]]*17</f>
        <v>68</v>
      </c>
      <c r="P20" s="11">
        <f>TabRenatão35[[#This Row],[HN]]*17.9+TabRenatão35[[#This Row],[HFeriado]]*29+TabRenatão35[[#This Row],[HE]]*22.6+TabRenatão35[[#This Row],[Hsab]]*27.9+TabRenatão35[[#This Row],[Hdom]]*29</f>
        <v>116</v>
      </c>
      <c r="Q20" s="11">
        <f>TabRenatão35[[#This Row],[SalAtual]]-TabRenatão35[[#This Row],[SalAnt]]</f>
        <v>48</v>
      </c>
    </row>
    <row r="21" spans="2:17" x14ac:dyDescent="0.25">
      <c r="B21" s="145" t="s">
        <v>77</v>
      </c>
      <c r="C21" s="145"/>
      <c r="D21" s="14">
        <f>SUM(TabRenatão35[SalAnt])</f>
        <v>3247</v>
      </c>
      <c r="F21" s="9">
        <v>43696</v>
      </c>
      <c r="G21" s="2">
        <f t="shared" si="0"/>
        <v>2</v>
      </c>
      <c r="H21" s="2" t="str">
        <f>IF(TabRenatão35[[#This Row],[dia]]=IFERROR(VLOOKUP(TabRenatão35[[#This Row],[dia]],Tabela1[],1,FALSE),"erro"),"Sim","Não")</f>
        <v>Não</v>
      </c>
      <c r="I21" s="12">
        <f>VLOOKUP(TabRenatão35[[#This Row],[dia]],Horarios,4,0)</f>
        <v>4</v>
      </c>
      <c r="J21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21" s="12">
        <f>IF(TabRenatão35[[#This Row],[Feriado]]="Sim",TabRenatão35[[#This Row],[Htrab]],0)</f>
        <v>0</v>
      </c>
      <c r="L21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1" s="12">
        <f>IF(TabRenatão35[[#This Row],[Feriado]]="SIM",0,IF(TabRenatão35[[#This Row],[DSemana]]=7,TabRenatão35[[#This Row],[Htrab]],0))</f>
        <v>0</v>
      </c>
      <c r="N21" s="12">
        <f>IF(TabRenatão35[[#This Row],[Feriado]]="SIM",0,IF(TabRenatão35[[#This Row],[DSemana]]=1,TabRenatão35[[#This Row],[Htrab]],0))</f>
        <v>0</v>
      </c>
      <c r="O21" s="11">
        <f>TabRenatão35[[#This Row],[Htrab]]*17</f>
        <v>68</v>
      </c>
      <c r="P21" s="11">
        <f>TabRenatão35[[#This Row],[HN]]*17.9+TabRenatão35[[#This Row],[HFeriado]]*29+TabRenatão35[[#This Row],[HE]]*22.6+TabRenatão35[[#This Row],[Hsab]]*27.9+TabRenatão35[[#This Row],[Hdom]]*29</f>
        <v>71.599999999999994</v>
      </c>
      <c r="Q21" s="11">
        <f>TabRenatão35[[#This Row],[SalAtual]]-TabRenatão35[[#This Row],[SalAnt]]</f>
        <v>3.5999999999999943</v>
      </c>
    </row>
    <row r="22" spans="2:17" x14ac:dyDescent="0.25">
      <c r="F22" s="9">
        <v>43697</v>
      </c>
      <c r="G22" s="2">
        <f t="shared" si="0"/>
        <v>3</v>
      </c>
      <c r="H22" s="2" t="str">
        <f>IF(TabRenatão35[[#This Row],[dia]]=IFERROR(VLOOKUP(TabRenatão35[[#This Row],[dia]],Tabela1[],1,FALSE),"erro"),"Sim","Não")</f>
        <v>Sim</v>
      </c>
      <c r="I22" s="12">
        <f>VLOOKUP(TabRenatão35[[#This Row],[dia]],Horarios,4,0)</f>
        <v>4</v>
      </c>
      <c r="J22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22" s="12">
        <f>IF(TabRenatão35[[#This Row],[Feriado]]="Sim",TabRenatão35[[#This Row],[Htrab]],0)</f>
        <v>4</v>
      </c>
      <c r="L22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2" s="12">
        <f>IF(TabRenatão35[[#This Row],[Feriado]]="SIM",0,IF(TabRenatão35[[#This Row],[DSemana]]=7,TabRenatão35[[#This Row],[Htrab]],0))</f>
        <v>0</v>
      </c>
      <c r="N22" s="12">
        <f>IF(TabRenatão35[[#This Row],[Feriado]]="SIM",0,IF(TabRenatão35[[#This Row],[DSemana]]=1,TabRenatão35[[#This Row],[Htrab]],0))</f>
        <v>0</v>
      </c>
      <c r="O22" s="11">
        <f>TabRenatão35[[#This Row],[Htrab]]*17</f>
        <v>68</v>
      </c>
      <c r="P22" s="11">
        <f>TabRenatão35[[#This Row],[HN]]*17.9+TabRenatão35[[#This Row],[HFeriado]]*29+TabRenatão35[[#This Row],[HE]]*22.6+TabRenatão35[[#This Row],[Hsab]]*27.9+TabRenatão35[[#This Row],[Hdom]]*29</f>
        <v>116</v>
      </c>
      <c r="Q22" s="11">
        <f>TabRenatão35[[#This Row],[SalAtual]]-TabRenatão35[[#This Row],[SalAnt]]</f>
        <v>48</v>
      </c>
    </row>
    <row r="23" spans="2:17" x14ac:dyDescent="0.25">
      <c r="F23" s="9">
        <v>43698</v>
      </c>
      <c r="G23" s="2">
        <f t="shared" si="0"/>
        <v>4</v>
      </c>
      <c r="H23" s="2" t="str">
        <f>IF(TabRenatão35[[#This Row],[dia]]=IFERROR(VLOOKUP(TabRenatão35[[#This Row],[dia]],Tabela1[],1,FALSE),"erro"),"Sim","Não")</f>
        <v>Não</v>
      </c>
      <c r="I23" s="12">
        <f>VLOOKUP(TabRenatão35[[#This Row],[dia]],Horarios,4,0)</f>
        <v>4</v>
      </c>
      <c r="J23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23" s="12">
        <f>IF(TabRenatão35[[#This Row],[Feriado]]="Sim",TabRenatão35[[#This Row],[Htrab]],0)</f>
        <v>0</v>
      </c>
      <c r="L23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3" s="12">
        <f>IF(TabRenatão35[[#This Row],[Feriado]]="SIM",0,IF(TabRenatão35[[#This Row],[DSemana]]=7,TabRenatão35[[#This Row],[Htrab]],0))</f>
        <v>0</v>
      </c>
      <c r="N23" s="12">
        <f>IF(TabRenatão35[[#This Row],[Feriado]]="SIM",0,IF(TabRenatão35[[#This Row],[DSemana]]=1,TabRenatão35[[#This Row],[Htrab]],0))</f>
        <v>0</v>
      </c>
      <c r="O23" s="11">
        <f>TabRenatão35[[#This Row],[Htrab]]*17</f>
        <v>68</v>
      </c>
      <c r="P23" s="11">
        <f>TabRenatão35[[#This Row],[HN]]*17.9+TabRenatão35[[#This Row],[HFeriado]]*29+TabRenatão35[[#This Row],[HE]]*22.6+TabRenatão35[[#This Row],[Hsab]]*27.9+TabRenatão35[[#This Row],[Hdom]]*29</f>
        <v>71.599999999999994</v>
      </c>
      <c r="Q23" s="11">
        <f>TabRenatão35[[#This Row],[SalAtual]]-TabRenatão35[[#This Row],[SalAnt]]</f>
        <v>3.5999999999999943</v>
      </c>
    </row>
    <row r="24" spans="2:17" x14ac:dyDescent="0.25">
      <c r="F24" s="9">
        <v>43699</v>
      </c>
      <c r="G24" s="2">
        <f t="shared" si="0"/>
        <v>5</v>
      </c>
      <c r="H24" s="2" t="str">
        <f>IF(TabRenatão35[[#This Row],[dia]]=IFERROR(VLOOKUP(TabRenatão35[[#This Row],[dia]],Tabela1[],1,FALSE),"erro"),"Sim","Não")</f>
        <v>Não</v>
      </c>
      <c r="I24" s="12">
        <f>VLOOKUP(TabRenatão35[[#This Row],[dia]],Horarios,4,0)</f>
        <v>10</v>
      </c>
      <c r="J24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24" s="12">
        <f>IF(TabRenatão35[[#This Row],[Feriado]]="Sim",TabRenatão35[[#This Row],[Htrab]],0)</f>
        <v>0</v>
      </c>
      <c r="L24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24" s="12">
        <f>IF(TabRenatão35[[#This Row],[Feriado]]="SIM",0,IF(TabRenatão35[[#This Row],[DSemana]]=7,TabRenatão35[[#This Row],[Htrab]],0))</f>
        <v>0</v>
      </c>
      <c r="N24" s="12">
        <f>IF(TabRenatão35[[#This Row],[Feriado]]="SIM",0,IF(TabRenatão35[[#This Row],[DSemana]]=1,TabRenatão35[[#This Row],[Htrab]],0))</f>
        <v>0</v>
      </c>
      <c r="O24" s="11">
        <f>TabRenatão35[[#This Row],[Htrab]]*17</f>
        <v>170</v>
      </c>
      <c r="P24" s="11">
        <f>TabRenatão35[[#This Row],[HN]]*17.9+TabRenatão35[[#This Row],[HFeriado]]*29+TabRenatão35[[#This Row],[HE]]*22.6+TabRenatão35[[#This Row],[Hsab]]*27.9+TabRenatão35[[#This Row],[Hdom]]*29</f>
        <v>188.39999999999998</v>
      </c>
      <c r="Q24" s="11">
        <f>TabRenatão35[[#This Row],[SalAtual]]-TabRenatão35[[#This Row],[SalAnt]]</f>
        <v>18.399999999999977</v>
      </c>
    </row>
    <row r="25" spans="2:17" x14ac:dyDescent="0.25">
      <c r="F25" s="9">
        <v>43700</v>
      </c>
      <c r="G25" s="2">
        <f t="shared" si="0"/>
        <v>6</v>
      </c>
      <c r="H25" s="2" t="str">
        <f>IF(TabRenatão35[[#This Row],[dia]]=IFERROR(VLOOKUP(TabRenatão35[[#This Row],[dia]],Tabela1[],1,FALSE),"erro"),"Sim","Não")</f>
        <v>Não</v>
      </c>
      <c r="I25" s="12">
        <f>VLOOKUP(TabRenatão35[[#This Row],[dia]],Horarios,4,0)</f>
        <v>10</v>
      </c>
      <c r="J25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25" s="12">
        <f>IF(TabRenatão35[[#This Row],[Feriado]]="Sim",TabRenatão35[[#This Row],[Htrab]],0)</f>
        <v>0</v>
      </c>
      <c r="L25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25" s="12">
        <f>IF(TabRenatão35[[#This Row],[Feriado]]="SIM",0,IF(TabRenatão35[[#This Row],[DSemana]]=7,TabRenatão35[[#This Row],[Htrab]],0))</f>
        <v>0</v>
      </c>
      <c r="N25" s="12">
        <f>IF(TabRenatão35[[#This Row],[Feriado]]="SIM",0,IF(TabRenatão35[[#This Row],[DSemana]]=1,TabRenatão35[[#This Row],[Htrab]],0))</f>
        <v>0</v>
      </c>
      <c r="O25" s="11">
        <f>TabRenatão35[[#This Row],[Htrab]]*17</f>
        <v>170</v>
      </c>
      <c r="P25" s="11">
        <f>TabRenatão35[[#This Row],[HN]]*17.9+TabRenatão35[[#This Row],[HFeriado]]*29+TabRenatão35[[#This Row],[HE]]*22.6+TabRenatão35[[#This Row],[Hsab]]*27.9+TabRenatão35[[#This Row],[Hdom]]*29</f>
        <v>188.39999999999998</v>
      </c>
      <c r="Q25" s="11">
        <f>TabRenatão35[[#This Row],[SalAtual]]-TabRenatão35[[#This Row],[SalAnt]]</f>
        <v>18.399999999999977</v>
      </c>
    </row>
    <row r="26" spans="2:17" x14ac:dyDescent="0.25">
      <c r="F26" s="9">
        <v>43701</v>
      </c>
      <c r="G26" s="2">
        <f t="shared" si="0"/>
        <v>7</v>
      </c>
      <c r="H26" s="2" t="str">
        <f>IF(TabRenatão35[[#This Row],[dia]]=IFERROR(VLOOKUP(TabRenatão35[[#This Row],[dia]],Tabela1[],1,FALSE),"erro"),"Sim","Não")</f>
        <v>Não</v>
      </c>
      <c r="I26" s="12">
        <f>VLOOKUP(TabRenatão35[[#This Row],[dia]],Horarios,4,0)</f>
        <v>4</v>
      </c>
      <c r="J26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26" s="12">
        <f>IF(TabRenatão35[[#This Row],[Feriado]]="Sim",TabRenatão35[[#This Row],[Htrab]],0)</f>
        <v>0</v>
      </c>
      <c r="L26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6" s="12">
        <f>IF(TabRenatão35[[#This Row],[Feriado]]="SIM",0,IF(TabRenatão35[[#This Row],[DSemana]]=7,TabRenatão35[[#This Row],[Htrab]],0))</f>
        <v>4</v>
      </c>
      <c r="N26" s="12">
        <f>IF(TabRenatão35[[#This Row],[Feriado]]="SIM",0,IF(TabRenatão35[[#This Row],[DSemana]]=1,TabRenatão35[[#This Row],[Htrab]],0))</f>
        <v>0</v>
      </c>
      <c r="O26" s="11">
        <f>TabRenatão35[[#This Row],[Htrab]]*17</f>
        <v>68</v>
      </c>
      <c r="P26" s="11">
        <f>TabRenatão35[[#This Row],[HN]]*17.9+TabRenatão35[[#This Row],[HFeriado]]*29+TabRenatão35[[#This Row],[HE]]*22.6+TabRenatão35[[#This Row],[Hsab]]*27.9+TabRenatão35[[#This Row],[Hdom]]*29</f>
        <v>111.6</v>
      </c>
      <c r="Q26" s="11">
        <f>TabRenatão35[[#This Row],[SalAtual]]-TabRenatão35[[#This Row],[SalAnt]]</f>
        <v>43.599999999999994</v>
      </c>
    </row>
    <row r="27" spans="2:17" x14ac:dyDescent="0.25">
      <c r="F27" s="9">
        <v>43702</v>
      </c>
      <c r="G27" s="2">
        <f t="shared" si="0"/>
        <v>1</v>
      </c>
      <c r="H27" s="2" t="str">
        <f>IF(TabRenatão35[[#This Row],[dia]]=IFERROR(VLOOKUP(TabRenatão35[[#This Row],[dia]],Tabela1[],1,FALSE),"erro"),"Sim","Não")</f>
        <v>Não</v>
      </c>
      <c r="I27" s="12">
        <f>VLOOKUP(TabRenatão35[[#This Row],[dia]],Horarios,4,0)</f>
        <v>2</v>
      </c>
      <c r="J27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27" s="12">
        <f>IF(TabRenatão35[[#This Row],[Feriado]]="Sim",TabRenatão35[[#This Row],[Htrab]],0)</f>
        <v>0</v>
      </c>
      <c r="L27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7" s="12">
        <f>IF(TabRenatão35[[#This Row],[Feriado]]="SIM",0,IF(TabRenatão35[[#This Row],[DSemana]]=7,TabRenatão35[[#This Row],[Htrab]],0))</f>
        <v>0</v>
      </c>
      <c r="N27" s="12">
        <f>IF(TabRenatão35[[#This Row],[Feriado]]="SIM",0,IF(TabRenatão35[[#This Row],[DSemana]]=1,TabRenatão35[[#This Row],[Htrab]],0))</f>
        <v>2</v>
      </c>
      <c r="O27" s="11">
        <f>TabRenatão35[[#This Row],[Htrab]]*17</f>
        <v>34</v>
      </c>
      <c r="P27" s="11">
        <f>TabRenatão35[[#This Row],[HN]]*17.9+TabRenatão35[[#This Row],[HFeriado]]*29+TabRenatão35[[#This Row],[HE]]*22.6+TabRenatão35[[#This Row],[Hsab]]*27.9+TabRenatão35[[#This Row],[Hdom]]*29</f>
        <v>58</v>
      </c>
      <c r="Q27" s="11">
        <f>TabRenatão35[[#This Row],[SalAtual]]-TabRenatão35[[#This Row],[SalAnt]]</f>
        <v>24</v>
      </c>
    </row>
    <row r="28" spans="2:17" x14ac:dyDescent="0.25">
      <c r="F28" s="9">
        <v>43703</v>
      </c>
      <c r="G28" s="2">
        <f t="shared" si="0"/>
        <v>2</v>
      </c>
      <c r="H28" s="2" t="str">
        <f>IF(TabRenatão35[[#This Row],[dia]]=IFERROR(VLOOKUP(TabRenatão35[[#This Row],[dia]],Tabela1[],1,FALSE),"erro"),"Sim","Não")</f>
        <v>Não</v>
      </c>
      <c r="I28" s="12">
        <f>VLOOKUP(TabRenatão35[[#This Row],[dia]],Horarios,4,0)</f>
        <v>5</v>
      </c>
      <c r="J28" s="12">
        <f>IF(TabRenatão35[[#This Row],[Feriado]]="Sim",0,IF(TabRenatão35[[#This Row],[DSemana]]=1,0,IF(TabRenatão35[[#This Row],[DSemana]]=7,0,IF(TabRenatão35[[#This Row],[Htrab]]&gt;8,8,TabRenatão35[[#This Row],[Htrab]]))))</f>
        <v>5</v>
      </c>
      <c r="K28" s="12">
        <f>IF(TabRenatão35[[#This Row],[Feriado]]="Sim",TabRenatão35[[#This Row],[Htrab]],0)</f>
        <v>0</v>
      </c>
      <c r="L28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8" s="12">
        <f>IF(TabRenatão35[[#This Row],[Feriado]]="SIM",0,IF(TabRenatão35[[#This Row],[DSemana]]=7,TabRenatão35[[#This Row],[Htrab]],0))</f>
        <v>0</v>
      </c>
      <c r="N28" s="12">
        <f>IF(TabRenatão35[[#This Row],[Feriado]]="SIM",0,IF(TabRenatão35[[#This Row],[DSemana]]=1,TabRenatão35[[#This Row],[Htrab]],0))</f>
        <v>0</v>
      </c>
      <c r="O28" s="11">
        <f>TabRenatão35[[#This Row],[Htrab]]*17</f>
        <v>85</v>
      </c>
      <c r="P28" s="11">
        <f>TabRenatão35[[#This Row],[HN]]*17.9+TabRenatão35[[#This Row],[HFeriado]]*29+TabRenatão35[[#This Row],[HE]]*22.6+TabRenatão35[[#This Row],[Hsab]]*27.9+TabRenatão35[[#This Row],[Hdom]]*29</f>
        <v>89.5</v>
      </c>
      <c r="Q28" s="11">
        <f>TabRenatão35[[#This Row],[SalAtual]]-TabRenatão35[[#This Row],[SalAnt]]</f>
        <v>4.5</v>
      </c>
    </row>
    <row r="29" spans="2:17" x14ac:dyDescent="0.25">
      <c r="F29" s="9">
        <v>43704</v>
      </c>
      <c r="G29" s="2">
        <f t="shared" si="0"/>
        <v>3</v>
      </c>
      <c r="H29" s="2" t="str">
        <f>IF(TabRenatão35[[#This Row],[dia]]=IFERROR(VLOOKUP(TabRenatão35[[#This Row],[dia]],Tabela1[],1,FALSE),"erro"),"Sim","Não")</f>
        <v>Não</v>
      </c>
      <c r="I29" s="12">
        <f>VLOOKUP(TabRenatão35[[#This Row],[dia]],Horarios,4,0)</f>
        <v>8</v>
      </c>
      <c r="J29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29" s="12">
        <f>IF(TabRenatão35[[#This Row],[Feriado]]="Sim",TabRenatão35[[#This Row],[Htrab]],0)</f>
        <v>0</v>
      </c>
      <c r="L29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29" s="12">
        <f>IF(TabRenatão35[[#This Row],[Feriado]]="SIM",0,IF(TabRenatão35[[#This Row],[DSemana]]=7,TabRenatão35[[#This Row],[Htrab]],0))</f>
        <v>0</v>
      </c>
      <c r="N29" s="12">
        <f>IF(TabRenatão35[[#This Row],[Feriado]]="SIM",0,IF(TabRenatão35[[#This Row],[DSemana]]=1,TabRenatão35[[#This Row],[Htrab]],0))</f>
        <v>0</v>
      </c>
      <c r="O29" s="11">
        <f>TabRenatão35[[#This Row],[Htrab]]*17</f>
        <v>136</v>
      </c>
      <c r="P29" s="11">
        <f>TabRenatão35[[#This Row],[HN]]*17.9+TabRenatão35[[#This Row],[HFeriado]]*29+TabRenatão35[[#This Row],[HE]]*22.6+TabRenatão35[[#This Row],[Hsab]]*27.9+TabRenatão35[[#This Row],[Hdom]]*29</f>
        <v>143.19999999999999</v>
      </c>
      <c r="Q29" s="11">
        <f>TabRenatão35[[#This Row],[SalAtual]]-TabRenatão35[[#This Row],[SalAnt]]</f>
        <v>7.1999999999999886</v>
      </c>
    </row>
    <row r="30" spans="2:17" x14ac:dyDescent="0.25">
      <c r="F30" s="9">
        <v>43705</v>
      </c>
      <c r="G30" s="2">
        <f t="shared" si="0"/>
        <v>4</v>
      </c>
      <c r="H30" s="2" t="str">
        <f>IF(TabRenatão35[[#This Row],[dia]]=IFERROR(VLOOKUP(TabRenatão35[[#This Row],[dia]],Tabela1[],1,FALSE),"erro"),"Sim","Não")</f>
        <v>Não</v>
      </c>
      <c r="I30" s="12">
        <f>VLOOKUP(TabRenatão35[[#This Row],[dia]],Horarios,4,0)</f>
        <v>4</v>
      </c>
      <c r="J30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30" s="12">
        <f>IF(TabRenatão35[[#This Row],[Feriado]]="Sim",TabRenatão35[[#This Row],[Htrab]],0)</f>
        <v>0</v>
      </c>
      <c r="L30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30" s="12">
        <f>IF(TabRenatão35[[#This Row],[Feriado]]="SIM",0,IF(TabRenatão35[[#This Row],[DSemana]]=7,TabRenatão35[[#This Row],[Htrab]],0))</f>
        <v>0</v>
      </c>
      <c r="N30" s="12">
        <f>IF(TabRenatão35[[#This Row],[Feriado]]="SIM",0,IF(TabRenatão35[[#This Row],[DSemana]]=1,TabRenatão35[[#This Row],[Htrab]],0))</f>
        <v>0</v>
      </c>
      <c r="O30" s="11">
        <f>TabRenatão35[[#This Row],[Htrab]]*17</f>
        <v>68</v>
      </c>
      <c r="P30" s="11">
        <f>TabRenatão35[[#This Row],[HN]]*17.9+TabRenatão35[[#This Row],[HFeriado]]*29+TabRenatão35[[#This Row],[HE]]*22.6+TabRenatão35[[#This Row],[Hsab]]*27.9+TabRenatão35[[#This Row],[Hdom]]*29</f>
        <v>71.599999999999994</v>
      </c>
      <c r="Q30" s="11">
        <f>TabRenatão35[[#This Row],[SalAtual]]-TabRenatão35[[#This Row],[SalAnt]]</f>
        <v>3.5999999999999943</v>
      </c>
    </row>
    <row r="31" spans="2:17" x14ac:dyDescent="0.25">
      <c r="F31" s="9">
        <v>43706</v>
      </c>
      <c r="G31" s="2">
        <f t="shared" si="0"/>
        <v>5</v>
      </c>
      <c r="H31" s="2" t="str">
        <f>IF(TabRenatão35[[#This Row],[dia]]=IFERROR(VLOOKUP(TabRenatão35[[#This Row],[dia]],Tabela1[],1,FALSE),"erro"),"Sim","Não")</f>
        <v>Não</v>
      </c>
      <c r="I31" s="12">
        <f>VLOOKUP(TabRenatão35[[#This Row],[dia]],Horarios,4,0)</f>
        <v>4</v>
      </c>
      <c r="J31" s="12">
        <f>IF(TabRenatão35[[#This Row],[Feriado]]="Sim",0,IF(TabRenatão35[[#This Row],[DSemana]]=1,0,IF(TabRenatão35[[#This Row],[DSemana]]=7,0,IF(TabRenatão35[[#This Row],[Htrab]]&gt;8,8,TabRenatão35[[#This Row],[Htrab]]))))</f>
        <v>4</v>
      </c>
      <c r="K31" s="12">
        <f>IF(TabRenatão35[[#This Row],[Feriado]]="Sim",TabRenatão35[[#This Row],[Htrab]],0)</f>
        <v>0</v>
      </c>
      <c r="L31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31" s="12">
        <f>IF(TabRenatão35[[#This Row],[Feriado]]="SIM",0,IF(TabRenatão35[[#This Row],[DSemana]]=7,TabRenatão35[[#This Row],[Htrab]],0))</f>
        <v>0</v>
      </c>
      <c r="N31" s="12">
        <f>IF(TabRenatão35[[#This Row],[Feriado]]="SIM",0,IF(TabRenatão35[[#This Row],[DSemana]]=1,TabRenatão35[[#This Row],[Htrab]],0))</f>
        <v>0</v>
      </c>
      <c r="O31" s="11">
        <f>TabRenatão35[[#This Row],[Htrab]]*17</f>
        <v>68</v>
      </c>
      <c r="P31" s="11">
        <f>TabRenatão35[[#This Row],[HN]]*17.9+TabRenatão35[[#This Row],[HFeriado]]*29+TabRenatão35[[#This Row],[HE]]*22.6+TabRenatão35[[#This Row],[Hsab]]*27.9+TabRenatão35[[#This Row],[Hdom]]*29</f>
        <v>71.599999999999994</v>
      </c>
      <c r="Q31" s="11">
        <f>TabRenatão35[[#This Row],[SalAtual]]-TabRenatão35[[#This Row],[SalAnt]]</f>
        <v>3.5999999999999943</v>
      </c>
    </row>
    <row r="32" spans="2:17" x14ac:dyDescent="0.25">
      <c r="F32" s="9">
        <v>43707</v>
      </c>
      <c r="G32" s="2">
        <f t="shared" si="0"/>
        <v>6</v>
      </c>
      <c r="H32" s="2" t="str">
        <f>IF(TabRenatão35[[#This Row],[dia]]=IFERROR(VLOOKUP(TabRenatão35[[#This Row],[dia]],Tabela1[],1,FALSE),"erro"),"Sim","Não")</f>
        <v>Não</v>
      </c>
      <c r="I32" s="12">
        <f>VLOOKUP(TabRenatão35[[#This Row],[dia]],Horarios,4,0)</f>
        <v>10</v>
      </c>
      <c r="J32" s="12">
        <f>IF(TabRenatão35[[#This Row],[Feriado]]="Sim",0,IF(TabRenatão35[[#This Row],[DSemana]]=1,0,IF(TabRenatão35[[#This Row],[DSemana]]=7,0,IF(TabRenatão35[[#This Row],[Htrab]]&gt;8,8,TabRenatão35[[#This Row],[Htrab]]))))</f>
        <v>8</v>
      </c>
      <c r="K32" s="12">
        <f>IF(TabRenatão35[[#This Row],[Feriado]]="Sim",TabRenatão35[[#This Row],[Htrab]],0)</f>
        <v>0</v>
      </c>
      <c r="L32" s="12">
        <f>IF(TabRenatão35[[#This Row],[Feriado]]="Sim",0,IF(TabRenatão35[[#This Row],[DSemana]]=1,0,IF(TabRenatão35[[#This Row],[DSemana]]=7,0,IF(TabRenatão35[[#This Row],[Htrab]]&gt;8,TabRenatão35[[#This Row],[Htrab]]-8,0))))</f>
        <v>2</v>
      </c>
      <c r="M32" s="12">
        <f>IF(TabRenatão35[[#This Row],[Feriado]]="SIM",0,IF(TabRenatão35[[#This Row],[DSemana]]=7,TabRenatão35[[#This Row],[Htrab]],0))</f>
        <v>0</v>
      </c>
      <c r="N32" s="12">
        <f>IF(TabRenatão35[[#This Row],[Feriado]]="SIM",0,IF(TabRenatão35[[#This Row],[DSemana]]=1,TabRenatão35[[#This Row],[Htrab]],0))</f>
        <v>0</v>
      </c>
      <c r="O32" s="11">
        <f>TabRenatão35[[#This Row],[Htrab]]*17</f>
        <v>170</v>
      </c>
      <c r="P32" s="11">
        <f>TabRenatão35[[#This Row],[HN]]*17.9+TabRenatão35[[#This Row],[HFeriado]]*29+TabRenatão35[[#This Row],[HE]]*22.6+TabRenatão35[[#This Row],[Hsab]]*27.9+TabRenatão35[[#This Row],[Hdom]]*29</f>
        <v>188.39999999999998</v>
      </c>
      <c r="Q32" s="11">
        <f>TabRenatão35[[#This Row],[SalAtual]]-TabRenatão35[[#This Row],[SalAnt]]</f>
        <v>18.399999999999977</v>
      </c>
    </row>
    <row r="33" spans="6:17" x14ac:dyDescent="0.25">
      <c r="F33" s="9">
        <v>43708</v>
      </c>
      <c r="G33" s="2">
        <f t="shared" si="0"/>
        <v>7</v>
      </c>
      <c r="H33" s="2" t="str">
        <f>IF(TabRenatão35[[#This Row],[dia]]=IFERROR(VLOOKUP(TabRenatão35[[#This Row],[dia]],Tabela1[],1,FALSE),"erro"),"Sim","Não")</f>
        <v>Não</v>
      </c>
      <c r="I33" s="12">
        <f>VLOOKUP(TabRenatão35[[#This Row],[dia]],Horarios,4,0)</f>
        <v>10</v>
      </c>
      <c r="J33" s="12">
        <f>IF(TabRenatão35[[#This Row],[Feriado]]="Sim",0,IF(TabRenatão35[[#This Row],[DSemana]]=1,0,IF(TabRenatão35[[#This Row],[DSemana]]=7,0,IF(TabRenatão35[[#This Row],[Htrab]]&gt;8,8,TabRenatão35[[#This Row],[Htrab]]))))</f>
        <v>0</v>
      </c>
      <c r="K33" s="12">
        <f>IF(TabRenatão35[[#This Row],[Feriado]]="Sim",TabRenatão35[[#This Row],[Htrab]],0)</f>
        <v>0</v>
      </c>
      <c r="L33" s="12">
        <f>IF(TabRenatão35[[#This Row],[Feriado]]="Sim",0,IF(TabRenatão35[[#This Row],[DSemana]]=1,0,IF(TabRenatão35[[#This Row],[DSemana]]=7,0,IF(TabRenatão35[[#This Row],[Htrab]]&gt;8,TabRenatão35[[#This Row],[Htrab]]-8,0))))</f>
        <v>0</v>
      </c>
      <c r="M33" s="12">
        <f>IF(TabRenatão35[[#This Row],[Feriado]]="SIM",0,IF(TabRenatão35[[#This Row],[DSemana]]=7,TabRenatão35[[#This Row],[Htrab]],0))</f>
        <v>10</v>
      </c>
      <c r="N33" s="12">
        <f>IF(TabRenatão35[[#This Row],[Feriado]]="SIM",0,IF(TabRenatão35[[#This Row],[DSemana]]=1,TabRenatão35[[#This Row],[Htrab]],0))</f>
        <v>0</v>
      </c>
      <c r="O33" s="11">
        <f>TabRenatão35[[#This Row],[Htrab]]*17</f>
        <v>170</v>
      </c>
      <c r="P33" s="11">
        <f>TabRenatão35[[#This Row],[HN]]*17.9+TabRenatão35[[#This Row],[HFeriado]]*29+TabRenatão35[[#This Row],[HE]]*22.6+TabRenatão35[[#This Row],[Hsab]]*27.9+TabRenatão35[[#This Row],[Hdom]]*29</f>
        <v>279</v>
      </c>
      <c r="Q33" s="11">
        <f>TabRenatão35[[#This Row],[SalAtual]]-TabRenatão35[[#This Row],[SalAnt]]</f>
        <v>109</v>
      </c>
    </row>
  </sheetData>
  <mergeCells count="4">
    <mergeCell ref="B2:C2"/>
    <mergeCell ref="B14:C14"/>
    <mergeCell ref="B13:D13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B2:T33"/>
  <sheetViews>
    <sheetView showGridLines="0" zoomScaleNormal="100" workbookViewId="0">
      <selection activeCell="O3" sqref="O3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11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IF(TabRenatão36[[#This Row],[dia]]=IFERROR(VLOOKUP(TabRenatão36[[#This Row],[dia]],Tabela1[],1,FALSE),"erro"),"Sim","Não")</f>
        <v>Não</v>
      </c>
      <c r="I3" s="12">
        <f>VLOOKUP(TabRenatão36[[#This Row],[dia]],Horarios,5,0)</f>
        <v>0</v>
      </c>
      <c r="J3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3" s="12">
        <f>IF(TabRenatão36[[#This Row],[Feriado]]="Sim",TabRenatão36[[#This Row],[Htrab]],0)</f>
        <v>0</v>
      </c>
      <c r="L3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3" s="12">
        <f>IF(TabRenatão36[[#This Row],[Feriado]]="SIM",0,IF(TabRenatão36[[#This Row],[DSemana]]=7,TabRenatão36[[#This Row],[Htrab]],0))</f>
        <v>0</v>
      </c>
      <c r="N3" s="12">
        <f>IF(TabRenatão36[[#This Row],[Feriado]]="SIM",0,IF(TabRenatão36[[#This Row],[DSemana]]=1,TabRenatão36[[#This Row],[Htrab]],0))</f>
        <v>0</v>
      </c>
      <c r="O3" s="11">
        <f>TabRenatão36[[#This Row],[Htrab]]*17</f>
        <v>0</v>
      </c>
      <c r="P3" s="11">
        <f>TabRenatão36[[#This Row],[HN]]*17.9+TabRenatão36[[#This Row],[HFeriado]]*29+TabRenatão36[[#This Row],[HE]]*22.6+TabRenatão36[[#This Row],[Hsab]]*27.9+TabRenatão36[[#This Row],[Hdom]]*29</f>
        <v>0</v>
      </c>
      <c r="Q3" s="11">
        <f>TabRenatão36[[#This Row],[SalAtual]]-TabRenatão36[[#This Row],[SalAnt]]</f>
        <v>0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IF(TabRenatão36[[#This Row],[dia]]=IFERROR(VLOOKUP(TabRenatão36[[#This Row],[dia]],Tabela1[],1,FALSE),"erro"),"Sim","Não")</f>
        <v>Não</v>
      </c>
      <c r="I4" s="12">
        <f>VLOOKUP(TabRenatão36[[#This Row],[dia]],Horarios,5,0)</f>
        <v>2</v>
      </c>
      <c r="J4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4" s="12">
        <f>IF(TabRenatão36[[#This Row],[Feriado]]="Sim",TabRenatão36[[#This Row],[Htrab]],0)</f>
        <v>0</v>
      </c>
      <c r="L4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4" s="12">
        <f>IF(TabRenatão36[[#This Row],[Feriado]]="SIM",0,IF(TabRenatão36[[#This Row],[DSemana]]=7,TabRenatão36[[#This Row],[Htrab]],0))</f>
        <v>0</v>
      </c>
      <c r="N4" s="12">
        <f>IF(TabRenatão36[[#This Row],[Feriado]]="SIM",0,IF(TabRenatão36[[#This Row],[DSemana]]=1,TabRenatão36[[#This Row],[Htrab]],0))</f>
        <v>0</v>
      </c>
      <c r="O4" s="11">
        <f>TabRenatão36[[#This Row],[Htrab]]*17</f>
        <v>34</v>
      </c>
      <c r="P4" s="11">
        <f>TabRenatão36[[#This Row],[HN]]*17.9+TabRenatão36[[#This Row],[HFeriado]]*29+TabRenatão36[[#This Row],[HE]]*22.6+TabRenatão36[[#This Row],[Hsab]]*27.9+TabRenatão36[[#This Row],[Hdom]]*29</f>
        <v>35.799999999999997</v>
      </c>
      <c r="Q4" s="11">
        <f>TabRenatão36[[#This Row],[SalAtual]]-TabRenatão36[[#This Row],[SalAnt]]</f>
        <v>1.7999999999999972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IF(TabRenatão36[[#This Row],[dia]]=IFERROR(VLOOKUP(TabRenatão36[[#This Row],[dia]],Tabela1[],1,FALSE),"erro"),"Sim","Não")</f>
        <v>Não</v>
      </c>
      <c r="I5" s="12">
        <f>VLOOKUP(TabRenatão36[[#This Row],[dia]],Horarios,5,0)</f>
        <v>0</v>
      </c>
      <c r="J5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5" s="12">
        <f>IF(TabRenatão36[[#This Row],[Feriado]]="Sim",TabRenatão36[[#This Row],[Htrab]],0)</f>
        <v>0</v>
      </c>
      <c r="L5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5" s="12">
        <f>IF(TabRenatão36[[#This Row],[Feriado]]="SIM",0,IF(TabRenatão36[[#This Row],[DSemana]]=7,TabRenatão36[[#This Row],[Htrab]],0))</f>
        <v>0</v>
      </c>
      <c r="N5" s="12">
        <f>IF(TabRenatão36[[#This Row],[Feriado]]="SIM",0,IF(TabRenatão36[[#This Row],[DSemana]]=1,TabRenatão36[[#This Row],[Htrab]],0))</f>
        <v>0</v>
      </c>
      <c r="O5" s="11">
        <f>TabRenatão36[[#This Row],[Htrab]]*17</f>
        <v>0</v>
      </c>
      <c r="P5" s="11">
        <f>TabRenatão36[[#This Row],[HN]]*17.9+TabRenatão36[[#This Row],[HFeriado]]*29+TabRenatão36[[#This Row],[HE]]*22.6+TabRenatão36[[#This Row],[Hsab]]*27.9+TabRenatão36[[#This Row],[Hdom]]*29</f>
        <v>0</v>
      </c>
      <c r="Q5" s="11">
        <f>TabRenatão36[[#This Row],[SalAtual]]-TabRenatão36[[#This Row],[SalAnt]]</f>
        <v>0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IF(TabRenatão36[[#This Row],[dia]]=IFERROR(VLOOKUP(TabRenatão36[[#This Row],[dia]],Tabela1[],1,FALSE),"erro"),"Sim","Não")</f>
        <v>Não</v>
      </c>
      <c r="I6" s="12">
        <f>VLOOKUP(TabRenatão36[[#This Row],[dia]],Horarios,5,0)</f>
        <v>2</v>
      </c>
      <c r="J6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6" s="12">
        <f>IF(TabRenatão36[[#This Row],[Feriado]]="Sim",TabRenatão36[[#This Row],[Htrab]],0)</f>
        <v>0</v>
      </c>
      <c r="L6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6" s="12">
        <f>IF(TabRenatão36[[#This Row],[Feriado]]="SIM",0,IF(TabRenatão36[[#This Row],[DSemana]]=7,TabRenatão36[[#This Row],[Htrab]],0))</f>
        <v>0</v>
      </c>
      <c r="N6" s="12">
        <f>IF(TabRenatão36[[#This Row],[Feriado]]="SIM",0,IF(TabRenatão36[[#This Row],[DSemana]]=1,TabRenatão36[[#This Row],[Htrab]],0))</f>
        <v>2</v>
      </c>
      <c r="O6" s="11">
        <f>TabRenatão36[[#This Row],[Htrab]]*17</f>
        <v>34</v>
      </c>
      <c r="P6" s="11">
        <f>TabRenatão36[[#This Row],[HN]]*17.9+TabRenatão36[[#This Row],[HFeriado]]*29+TabRenatão36[[#This Row],[HE]]*22.6+TabRenatão36[[#This Row],[Hsab]]*27.9+TabRenatão36[[#This Row],[Hdom]]*29</f>
        <v>58</v>
      </c>
      <c r="Q6" s="11">
        <f>TabRenatão36[[#This Row],[SalAtual]]-TabRenatão36[[#This Row],[SalAnt]]</f>
        <v>24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IF(TabRenatão36[[#This Row],[dia]]=IFERROR(VLOOKUP(TabRenatão36[[#This Row],[dia]],Tabela1[],1,FALSE),"erro"),"Sim","Não")</f>
        <v>Não</v>
      </c>
      <c r="I7" s="12">
        <f>VLOOKUP(TabRenatão36[[#This Row],[dia]],Horarios,5,0)</f>
        <v>2</v>
      </c>
      <c r="J7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7" s="12">
        <f>IF(TabRenatão36[[#This Row],[Feriado]]="Sim",TabRenatão36[[#This Row],[Htrab]],0)</f>
        <v>0</v>
      </c>
      <c r="L7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7" s="12">
        <f>IF(TabRenatão36[[#This Row],[Feriado]]="SIM",0,IF(TabRenatão36[[#This Row],[DSemana]]=7,TabRenatão36[[#This Row],[Htrab]],0))</f>
        <v>0</v>
      </c>
      <c r="N7" s="12">
        <f>IF(TabRenatão36[[#This Row],[Feriado]]="SIM",0,IF(TabRenatão36[[#This Row],[DSemana]]=1,TabRenatão36[[#This Row],[Htrab]],0))</f>
        <v>0</v>
      </c>
      <c r="O7" s="11">
        <f>TabRenatão36[[#This Row],[Htrab]]*17</f>
        <v>34</v>
      </c>
      <c r="P7" s="11">
        <f>TabRenatão36[[#This Row],[HN]]*17.9+TabRenatão36[[#This Row],[HFeriado]]*29+TabRenatão36[[#This Row],[HE]]*22.6+TabRenatão36[[#This Row],[Hsab]]*27.9+TabRenatão36[[#This Row],[Hdom]]*29</f>
        <v>35.799999999999997</v>
      </c>
      <c r="Q7" s="11">
        <f>TabRenatão36[[#This Row],[SalAtual]]-TabRenatão36[[#This Row],[SalAnt]]</f>
        <v>1.7999999999999972</v>
      </c>
    </row>
    <row r="8" spans="2:20" x14ac:dyDescent="0.25">
      <c r="B8" s="7"/>
      <c r="C8" s="7"/>
      <c r="F8" s="9">
        <v>43683</v>
      </c>
      <c r="G8" s="2">
        <f t="shared" si="0"/>
        <v>3</v>
      </c>
      <c r="H8" s="2" t="str">
        <f>IF(TabRenatão36[[#This Row],[dia]]=IFERROR(VLOOKUP(TabRenatão36[[#This Row],[dia]],Tabela1[],1,FALSE),"erro"),"Sim","Não")</f>
        <v>Não</v>
      </c>
      <c r="I8" s="12">
        <f>VLOOKUP(TabRenatão36[[#This Row],[dia]],Horarios,5,0)</f>
        <v>3</v>
      </c>
      <c r="J8" s="12">
        <f>IF(TabRenatão36[[#This Row],[Feriado]]="Sim",0,IF(TabRenatão36[[#This Row],[DSemana]]=1,0,IF(TabRenatão36[[#This Row],[DSemana]]=7,0,IF(TabRenatão36[[#This Row],[Htrab]]&gt;8,8,TabRenatão36[[#This Row],[Htrab]]))))</f>
        <v>3</v>
      </c>
      <c r="K8" s="12">
        <f>IF(TabRenatão36[[#This Row],[Feriado]]="Sim",TabRenatão36[[#This Row],[Htrab]],0)</f>
        <v>0</v>
      </c>
      <c r="L8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8" s="12">
        <f>IF(TabRenatão36[[#This Row],[Feriado]]="SIM",0,IF(TabRenatão36[[#This Row],[DSemana]]=7,TabRenatão36[[#This Row],[Htrab]],0))</f>
        <v>0</v>
      </c>
      <c r="N8" s="12">
        <f>IF(TabRenatão36[[#This Row],[Feriado]]="SIM",0,IF(TabRenatão36[[#This Row],[DSemana]]=1,TabRenatão36[[#This Row],[Htrab]],0))</f>
        <v>0</v>
      </c>
      <c r="O8" s="11">
        <f>TabRenatão36[[#This Row],[Htrab]]*17</f>
        <v>51</v>
      </c>
      <c r="P8" s="11">
        <f>TabRenatão36[[#This Row],[HN]]*17.9+TabRenatão36[[#This Row],[HFeriado]]*29+TabRenatão36[[#This Row],[HE]]*22.6+TabRenatão36[[#This Row],[Hsab]]*27.9+TabRenatão36[[#This Row],[Hdom]]*29</f>
        <v>53.699999999999996</v>
      </c>
      <c r="Q8" s="11">
        <f>TabRenatão36[[#This Row],[SalAtual]]-TabRenatão36[[#This Row],[SalAnt]]</f>
        <v>2.6999999999999957</v>
      </c>
    </row>
    <row r="9" spans="2:20" x14ac:dyDescent="0.25">
      <c r="F9" s="9">
        <v>43684</v>
      </c>
      <c r="G9" s="2">
        <f t="shared" si="0"/>
        <v>4</v>
      </c>
      <c r="H9" s="2" t="str">
        <f>IF(TabRenatão36[[#This Row],[dia]]=IFERROR(VLOOKUP(TabRenatão36[[#This Row],[dia]],Tabela1[],1,FALSE),"erro"),"Sim","Não")</f>
        <v>Não</v>
      </c>
      <c r="I9" s="12">
        <f>VLOOKUP(TabRenatão36[[#This Row],[dia]],Horarios,5,0)</f>
        <v>5</v>
      </c>
      <c r="J9" s="12">
        <f>IF(TabRenatão36[[#This Row],[Feriado]]="Sim",0,IF(TabRenatão36[[#This Row],[DSemana]]=1,0,IF(TabRenatão36[[#This Row],[DSemana]]=7,0,IF(TabRenatão36[[#This Row],[Htrab]]&gt;8,8,TabRenatão36[[#This Row],[Htrab]]))))</f>
        <v>5</v>
      </c>
      <c r="K9" s="12">
        <f>IF(TabRenatão36[[#This Row],[Feriado]]="Sim",TabRenatão36[[#This Row],[Htrab]],0)</f>
        <v>0</v>
      </c>
      <c r="L9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9" s="12">
        <f>IF(TabRenatão36[[#This Row],[Feriado]]="SIM",0,IF(TabRenatão36[[#This Row],[DSemana]]=7,TabRenatão36[[#This Row],[Htrab]],0))</f>
        <v>0</v>
      </c>
      <c r="N9" s="12">
        <f>IF(TabRenatão36[[#This Row],[Feriado]]="SIM",0,IF(TabRenatão36[[#This Row],[DSemana]]=1,TabRenatão36[[#This Row],[Htrab]],0))</f>
        <v>0</v>
      </c>
      <c r="O9" s="11">
        <f>TabRenatão36[[#This Row],[Htrab]]*17</f>
        <v>85</v>
      </c>
      <c r="P9" s="11">
        <f>TabRenatão36[[#This Row],[HN]]*17.9+TabRenatão36[[#This Row],[HFeriado]]*29+TabRenatão36[[#This Row],[HE]]*22.6+TabRenatão36[[#This Row],[Hsab]]*27.9+TabRenatão36[[#This Row],[Hdom]]*29</f>
        <v>89.5</v>
      </c>
      <c r="Q9" s="11">
        <f>TabRenatão36[[#This Row],[SalAtual]]-TabRenatão36[[#This Row],[SalAnt]]</f>
        <v>4.5</v>
      </c>
    </row>
    <row r="10" spans="2:20" x14ac:dyDescent="0.25">
      <c r="F10" s="9">
        <v>43685</v>
      </c>
      <c r="G10" s="2">
        <f t="shared" si="0"/>
        <v>5</v>
      </c>
      <c r="H10" s="2" t="str">
        <f>IF(TabRenatão36[[#This Row],[dia]]=IFERROR(VLOOKUP(TabRenatão36[[#This Row],[dia]],Tabela1[],1,FALSE),"erro"),"Sim","Não")</f>
        <v>Não</v>
      </c>
      <c r="I10" s="12">
        <f>VLOOKUP(TabRenatão36[[#This Row],[dia]],Horarios,5,0)</f>
        <v>0</v>
      </c>
      <c r="J10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0" s="12">
        <f>IF(TabRenatão36[[#This Row],[Feriado]]="Sim",TabRenatão36[[#This Row],[Htrab]],0)</f>
        <v>0</v>
      </c>
      <c r="L10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0" s="12">
        <f>IF(TabRenatão36[[#This Row],[Feriado]]="SIM",0,IF(TabRenatão36[[#This Row],[DSemana]]=7,TabRenatão36[[#This Row],[Htrab]],0))</f>
        <v>0</v>
      </c>
      <c r="N10" s="12">
        <f>IF(TabRenatão36[[#This Row],[Feriado]]="SIM",0,IF(TabRenatão36[[#This Row],[DSemana]]=1,TabRenatão36[[#This Row],[Htrab]],0))</f>
        <v>0</v>
      </c>
      <c r="O10" s="11">
        <f>TabRenatão36[[#This Row],[Htrab]]*17</f>
        <v>0</v>
      </c>
      <c r="P10" s="11">
        <f>TabRenatão36[[#This Row],[HN]]*17.9+TabRenatão36[[#This Row],[HFeriado]]*29+TabRenatão36[[#This Row],[HE]]*22.6+TabRenatão36[[#This Row],[Hsab]]*27.9+TabRenatão36[[#This Row],[Hdom]]*29</f>
        <v>0</v>
      </c>
      <c r="Q10" s="11">
        <f>TabRenatão36[[#This Row],[SalAtual]]-TabRenatão36[[#This Row],[SalAnt]]</f>
        <v>0</v>
      </c>
    </row>
    <row r="11" spans="2:20" x14ac:dyDescent="0.25">
      <c r="F11" s="9">
        <v>43686</v>
      </c>
      <c r="G11" s="2">
        <f t="shared" si="0"/>
        <v>6</v>
      </c>
      <c r="H11" s="2" t="str">
        <f>IF(TabRenatão36[[#This Row],[dia]]=IFERROR(VLOOKUP(TabRenatão36[[#This Row],[dia]],Tabela1[],1,FALSE),"erro"),"Sim","Não")</f>
        <v>Não</v>
      </c>
      <c r="I11" s="12">
        <f>VLOOKUP(TabRenatão36[[#This Row],[dia]],Horarios,5,0)</f>
        <v>0</v>
      </c>
      <c r="J11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1" s="12">
        <f>IF(TabRenatão36[[#This Row],[Feriado]]="Sim",TabRenatão36[[#This Row],[Htrab]],0)</f>
        <v>0</v>
      </c>
      <c r="L11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1" s="12">
        <f>IF(TabRenatão36[[#This Row],[Feriado]]="SIM",0,IF(TabRenatão36[[#This Row],[DSemana]]=7,TabRenatão36[[#This Row],[Htrab]],0))</f>
        <v>0</v>
      </c>
      <c r="N11" s="12">
        <f>IF(TabRenatão36[[#This Row],[Feriado]]="SIM",0,IF(TabRenatão36[[#This Row],[DSemana]]=1,TabRenatão36[[#This Row],[Htrab]],0))</f>
        <v>0</v>
      </c>
      <c r="O11" s="11">
        <f>TabRenatão36[[#This Row],[Htrab]]*17</f>
        <v>0</v>
      </c>
      <c r="P11" s="11">
        <f>TabRenatão36[[#This Row],[HN]]*17.9+TabRenatão36[[#This Row],[HFeriado]]*29+TabRenatão36[[#This Row],[HE]]*22.6+TabRenatão36[[#This Row],[Hsab]]*27.9+TabRenatão36[[#This Row],[Hdom]]*29</f>
        <v>0</v>
      </c>
      <c r="Q11" s="11">
        <f>TabRenatão36[[#This Row],[SalAtual]]-TabRenatão36[[#This Row],[SalAnt]]</f>
        <v>0</v>
      </c>
    </row>
    <row r="12" spans="2:20" x14ac:dyDescent="0.25">
      <c r="F12" s="9">
        <v>43687</v>
      </c>
      <c r="G12" s="2">
        <f t="shared" si="0"/>
        <v>7</v>
      </c>
      <c r="H12" s="2" t="str">
        <f>IF(TabRenatão36[[#This Row],[dia]]=IFERROR(VLOOKUP(TabRenatão36[[#This Row],[dia]],Tabela1[],1,FALSE),"erro"),"Sim","Não")</f>
        <v>Não</v>
      </c>
      <c r="I12" s="12">
        <f>VLOOKUP(TabRenatão36[[#This Row],[dia]],Horarios,5,0)</f>
        <v>0</v>
      </c>
      <c r="J12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2" s="12">
        <f>IF(TabRenatão36[[#This Row],[Feriado]]="Sim",TabRenatão36[[#This Row],[Htrab]],0)</f>
        <v>0</v>
      </c>
      <c r="L12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2" s="12">
        <f>IF(TabRenatão36[[#This Row],[Feriado]]="SIM",0,IF(TabRenatão36[[#This Row],[DSemana]]=7,TabRenatão36[[#This Row],[Htrab]],0))</f>
        <v>0</v>
      </c>
      <c r="N12" s="12">
        <f>IF(TabRenatão36[[#This Row],[Feriado]]="SIM",0,IF(TabRenatão36[[#This Row],[DSemana]]=1,TabRenatão36[[#This Row],[Htrab]],0))</f>
        <v>0</v>
      </c>
      <c r="O12" s="11">
        <f>TabRenatão36[[#This Row],[Htrab]]*17</f>
        <v>0</v>
      </c>
      <c r="P12" s="11">
        <f>TabRenatão36[[#This Row],[HN]]*17.9+TabRenatão36[[#This Row],[HFeriado]]*29+TabRenatão36[[#This Row],[HE]]*22.6+TabRenatão36[[#This Row],[Hsab]]*27.9+TabRenatão36[[#This Row],[Hdom]]*29</f>
        <v>0</v>
      </c>
      <c r="Q12" s="11">
        <f>TabRenatão36[[#This Row],[SalAtual]]-TabRenatão36[[#This Row],[SalAnt]]</f>
        <v>0</v>
      </c>
    </row>
    <row r="13" spans="2:20" x14ac:dyDescent="0.25">
      <c r="B13" s="144" t="s">
        <v>39</v>
      </c>
      <c r="C13" s="144"/>
      <c r="D13" s="144"/>
      <c r="F13" s="9">
        <v>43688</v>
      </c>
      <c r="G13" s="2">
        <f t="shared" si="0"/>
        <v>1</v>
      </c>
      <c r="H13" s="2" t="str">
        <f>IF(TabRenatão36[[#This Row],[dia]]=IFERROR(VLOOKUP(TabRenatão36[[#This Row],[dia]],Tabela1[],1,FALSE),"erro"),"Sim","Não")</f>
        <v>Não</v>
      </c>
      <c r="I13" s="12">
        <f>VLOOKUP(TabRenatão36[[#This Row],[dia]],Horarios,5,0)</f>
        <v>0</v>
      </c>
      <c r="J13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3" s="12">
        <f>IF(TabRenatão36[[#This Row],[Feriado]]="Sim",TabRenatão36[[#This Row],[Htrab]],0)</f>
        <v>0</v>
      </c>
      <c r="L13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3" s="12">
        <f>IF(TabRenatão36[[#This Row],[Feriado]]="SIM",0,IF(TabRenatão36[[#This Row],[DSemana]]=7,TabRenatão36[[#This Row],[Htrab]],0))</f>
        <v>0</v>
      </c>
      <c r="N13" s="12">
        <f>IF(TabRenatão36[[#This Row],[Feriado]]="SIM",0,IF(TabRenatão36[[#This Row],[DSemana]]=1,TabRenatão36[[#This Row],[Htrab]],0))</f>
        <v>0</v>
      </c>
      <c r="O13" s="11">
        <f>TabRenatão36[[#This Row],[Htrab]]*17</f>
        <v>0</v>
      </c>
      <c r="P13" s="11">
        <f>TabRenatão36[[#This Row],[HN]]*17.9+TabRenatão36[[#This Row],[HFeriado]]*29+TabRenatão36[[#This Row],[HE]]*22.6+TabRenatão36[[#This Row],[Hsab]]*27.9+TabRenatão36[[#This Row],[Hdom]]*29</f>
        <v>0</v>
      </c>
      <c r="Q13" s="11">
        <f>TabRenatão36[[#This Row],[SalAtual]]-TabRenatão36[[#This Row],[SalAnt]]</f>
        <v>0</v>
      </c>
    </row>
    <row r="14" spans="2:20" x14ac:dyDescent="0.25">
      <c r="B14" s="146" t="s">
        <v>81</v>
      </c>
      <c r="C14" s="146"/>
      <c r="D14" s="8">
        <f>SUM(P3:P33)</f>
        <v>1428.1999999999998</v>
      </c>
      <c r="F14" s="9">
        <v>43689</v>
      </c>
      <c r="G14" s="2">
        <f t="shared" si="0"/>
        <v>2</v>
      </c>
      <c r="H14" s="2" t="str">
        <f>IF(TabRenatão36[[#This Row],[dia]]=IFERROR(VLOOKUP(TabRenatão36[[#This Row],[dia]],Tabela1[],1,FALSE),"erro"),"Sim","Não")</f>
        <v>Não</v>
      </c>
      <c r="I14" s="12">
        <f>VLOOKUP(TabRenatão36[[#This Row],[dia]],Horarios,5,0)</f>
        <v>2</v>
      </c>
      <c r="J14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14" s="12">
        <f>IF(TabRenatão36[[#This Row],[Feriado]]="Sim",TabRenatão36[[#This Row],[Htrab]],0)</f>
        <v>0</v>
      </c>
      <c r="L14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4" s="12">
        <f>IF(TabRenatão36[[#This Row],[Feriado]]="SIM",0,IF(TabRenatão36[[#This Row],[DSemana]]=7,TabRenatão36[[#This Row],[Htrab]],0))</f>
        <v>0</v>
      </c>
      <c r="N14" s="12">
        <f>IF(TabRenatão36[[#This Row],[Feriado]]="SIM",0,IF(TabRenatão36[[#This Row],[DSemana]]=1,TabRenatão36[[#This Row],[Htrab]],0))</f>
        <v>0</v>
      </c>
      <c r="O14" s="11">
        <f>TabRenatão36[[#This Row],[Htrab]]*17</f>
        <v>34</v>
      </c>
      <c r="P14" s="11">
        <f>TabRenatão36[[#This Row],[HN]]*17.9+TabRenatão36[[#This Row],[HFeriado]]*29+TabRenatão36[[#This Row],[HE]]*22.6+TabRenatão36[[#This Row],[Hsab]]*27.9+TabRenatão36[[#This Row],[Hdom]]*29</f>
        <v>35.799999999999997</v>
      </c>
      <c r="Q14" s="11">
        <f>TabRenatão36[[#This Row],[SalAtual]]-TabRenatão36[[#This Row],[SalAnt]]</f>
        <v>1.7999999999999972</v>
      </c>
    </row>
    <row r="15" spans="2:20" x14ac:dyDescent="0.25">
      <c r="B15" s="145" t="s">
        <v>27</v>
      </c>
      <c r="C15" s="145"/>
      <c r="D15" s="14">
        <f>IF(D14&lt;=1751.81,D14*0.08,IF(D14&lt;=2919.72,D14*0.09,D14*0.11))</f>
        <v>114.25599999999999</v>
      </c>
      <c r="F15" s="9">
        <v>43690</v>
      </c>
      <c r="G15" s="2">
        <f t="shared" si="0"/>
        <v>3</v>
      </c>
      <c r="H15" s="2" t="str">
        <f>IF(TabRenatão36[[#This Row],[dia]]=IFERROR(VLOOKUP(TabRenatão36[[#This Row],[dia]],Tabela1[],1,FALSE),"erro"),"Sim","Não")</f>
        <v>Não</v>
      </c>
      <c r="I15" s="12">
        <f>VLOOKUP(TabRenatão36[[#This Row],[dia]],Horarios,5,0)</f>
        <v>4</v>
      </c>
      <c r="J15" s="12">
        <f>IF(TabRenatão36[[#This Row],[Feriado]]="Sim",0,IF(TabRenatão36[[#This Row],[DSemana]]=1,0,IF(TabRenatão36[[#This Row],[DSemana]]=7,0,IF(TabRenatão36[[#This Row],[Htrab]]&gt;8,8,TabRenatão36[[#This Row],[Htrab]]))))</f>
        <v>4</v>
      </c>
      <c r="K15" s="12">
        <f>IF(TabRenatão36[[#This Row],[Feriado]]="Sim",TabRenatão36[[#This Row],[Htrab]],0)</f>
        <v>0</v>
      </c>
      <c r="L15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5" s="12">
        <f>IF(TabRenatão36[[#This Row],[Feriado]]="SIM",0,IF(TabRenatão36[[#This Row],[DSemana]]=7,TabRenatão36[[#This Row],[Htrab]],0))</f>
        <v>0</v>
      </c>
      <c r="N15" s="12">
        <f>IF(TabRenatão36[[#This Row],[Feriado]]="SIM",0,IF(TabRenatão36[[#This Row],[DSemana]]=1,TabRenatão36[[#This Row],[Htrab]],0))</f>
        <v>0</v>
      </c>
      <c r="O15" s="11">
        <f>TabRenatão36[[#This Row],[Htrab]]*17</f>
        <v>68</v>
      </c>
      <c r="P15" s="11">
        <f>TabRenatão36[[#This Row],[HN]]*17.9+TabRenatão36[[#This Row],[HFeriado]]*29+TabRenatão36[[#This Row],[HE]]*22.6+TabRenatão36[[#This Row],[Hsab]]*27.9+TabRenatão36[[#This Row],[Hdom]]*29</f>
        <v>71.599999999999994</v>
      </c>
      <c r="Q15" s="11">
        <f>TabRenatão36[[#This Row],[SalAtual]]-TabRenatão36[[#This Row],[SalAnt]]</f>
        <v>3.5999999999999943</v>
      </c>
    </row>
    <row r="16" spans="2:20" x14ac:dyDescent="0.25">
      <c r="B16" s="146" t="s">
        <v>28</v>
      </c>
      <c r="C16" s="146"/>
      <c r="D16">
        <v>1</v>
      </c>
      <c r="F16" s="9">
        <v>43691</v>
      </c>
      <c r="G16" s="2">
        <f t="shared" si="0"/>
        <v>4</v>
      </c>
      <c r="H16" s="2" t="str">
        <f>IF(TabRenatão36[[#This Row],[dia]]=IFERROR(VLOOKUP(TabRenatão36[[#This Row],[dia]],Tabela1[],1,FALSE),"erro"),"Sim","Não")</f>
        <v>Não</v>
      </c>
      <c r="I16" s="12">
        <f>VLOOKUP(TabRenatão36[[#This Row],[dia]],Horarios,5,0)</f>
        <v>2</v>
      </c>
      <c r="J16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16" s="12">
        <f>IF(TabRenatão36[[#This Row],[Feriado]]="Sim",TabRenatão36[[#This Row],[Htrab]],0)</f>
        <v>0</v>
      </c>
      <c r="L16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6" s="12">
        <f>IF(TabRenatão36[[#This Row],[Feriado]]="SIM",0,IF(TabRenatão36[[#This Row],[DSemana]]=7,TabRenatão36[[#This Row],[Htrab]],0))</f>
        <v>0</v>
      </c>
      <c r="N16" s="12">
        <f>IF(TabRenatão36[[#This Row],[Feriado]]="SIM",0,IF(TabRenatão36[[#This Row],[DSemana]]=1,TabRenatão36[[#This Row],[Htrab]],0))</f>
        <v>0</v>
      </c>
      <c r="O16" s="11">
        <f>TabRenatão36[[#This Row],[Htrab]]*17</f>
        <v>34</v>
      </c>
      <c r="P16" s="11">
        <f>TabRenatão36[[#This Row],[HN]]*17.9+TabRenatão36[[#This Row],[HFeriado]]*29+TabRenatão36[[#This Row],[HE]]*22.6+TabRenatão36[[#This Row],[Hsab]]*27.9+TabRenatão36[[#This Row],[Hdom]]*29</f>
        <v>35.799999999999997</v>
      </c>
      <c r="Q16" s="11">
        <f>TabRenatão36[[#This Row],[SalAtual]]-TabRenatão36[[#This Row],[SalAnt]]</f>
        <v>1.7999999999999972</v>
      </c>
    </row>
    <row r="17" spans="2:17" x14ac:dyDescent="0.25">
      <c r="B17" s="15" t="s">
        <v>29</v>
      </c>
      <c r="C17" s="15"/>
      <c r="D17" s="14">
        <f>D14-D15-(D16*189.59)</f>
        <v>1124.3539999999998</v>
      </c>
      <c r="F17" s="9">
        <v>43692</v>
      </c>
      <c r="G17" s="2">
        <f t="shared" si="0"/>
        <v>5</v>
      </c>
      <c r="H17" s="2" t="str">
        <f>IF(TabRenatão36[[#This Row],[dia]]=IFERROR(VLOOKUP(TabRenatão36[[#This Row],[dia]],Tabela1[],1,FALSE),"erro"),"Sim","Não")</f>
        <v>Sim</v>
      </c>
      <c r="I17" s="12">
        <f>VLOOKUP(TabRenatão36[[#This Row],[dia]],Horarios,5,0)</f>
        <v>3</v>
      </c>
      <c r="J17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7" s="12">
        <f>IF(TabRenatão36[[#This Row],[Feriado]]="Sim",TabRenatão36[[#This Row],[Htrab]],0)</f>
        <v>3</v>
      </c>
      <c r="L17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7" s="12">
        <f>IF(TabRenatão36[[#This Row],[Feriado]]="SIM",0,IF(TabRenatão36[[#This Row],[DSemana]]=7,TabRenatão36[[#This Row],[Htrab]],0))</f>
        <v>0</v>
      </c>
      <c r="N17" s="12">
        <f>IF(TabRenatão36[[#This Row],[Feriado]]="SIM",0,IF(TabRenatão36[[#This Row],[DSemana]]=1,TabRenatão36[[#This Row],[Htrab]],0))</f>
        <v>0</v>
      </c>
      <c r="O17" s="11">
        <f>TabRenatão36[[#This Row],[Htrab]]*17</f>
        <v>51</v>
      </c>
      <c r="P17" s="11">
        <f>TabRenatão36[[#This Row],[HN]]*17.9+TabRenatão36[[#This Row],[HFeriado]]*29+TabRenatão36[[#This Row],[HE]]*22.6+TabRenatão36[[#This Row],[Hsab]]*27.9+TabRenatão36[[#This Row],[Hdom]]*29</f>
        <v>87</v>
      </c>
      <c r="Q17" s="11">
        <f>TabRenatão36[[#This Row],[SalAtual]]-TabRenatão36[[#This Row],[SalAnt]]</f>
        <v>36</v>
      </c>
    </row>
    <row r="18" spans="2:17" x14ac:dyDescent="0.25">
      <c r="B18" s="16" t="s">
        <v>30</v>
      </c>
      <c r="C18" s="16"/>
      <c r="D18" s="8">
        <f>D17*VLOOKUP(D17,irrf,3)-VLOOKUP(D17,irrf,4)</f>
        <v>0</v>
      </c>
      <c r="F18" s="9">
        <v>43693</v>
      </c>
      <c r="G18" s="2">
        <f t="shared" si="0"/>
        <v>6</v>
      </c>
      <c r="H18" s="2" t="str">
        <f>IF(TabRenatão36[[#This Row],[dia]]=IFERROR(VLOOKUP(TabRenatão36[[#This Row],[dia]],Tabela1[],1,FALSE),"erro"),"Sim","Não")</f>
        <v>Não</v>
      </c>
      <c r="I18" s="12">
        <f>VLOOKUP(TabRenatão36[[#This Row],[dia]],Horarios,5,0)</f>
        <v>5</v>
      </c>
      <c r="J18" s="12">
        <f>IF(TabRenatão36[[#This Row],[Feriado]]="Sim",0,IF(TabRenatão36[[#This Row],[DSemana]]=1,0,IF(TabRenatão36[[#This Row],[DSemana]]=7,0,IF(TabRenatão36[[#This Row],[Htrab]]&gt;8,8,TabRenatão36[[#This Row],[Htrab]]))))</f>
        <v>5</v>
      </c>
      <c r="K18" s="12">
        <f>IF(TabRenatão36[[#This Row],[Feriado]]="Sim",TabRenatão36[[#This Row],[Htrab]],0)</f>
        <v>0</v>
      </c>
      <c r="L18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8" s="12">
        <f>IF(TabRenatão36[[#This Row],[Feriado]]="SIM",0,IF(TabRenatão36[[#This Row],[DSemana]]=7,TabRenatão36[[#This Row],[Htrab]],0))</f>
        <v>0</v>
      </c>
      <c r="N18" s="12">
        <f>IF(TabRenatão36[[#This Row],[Feriado]]="SIM",0,IF(TabRenatão36[[#This Row],[DSemana]]=1,TabRenatão36[[#This Row],[Htrab]],0))</f>
        <v>0</v>
      </c>
      <c r="O18" s="11">
        <f>TabRenatão36[[#This Row],[Htrab]]*17</f>
        <v>85</v>
      </c>
      <c r="P18" s="11">
        <f>TabRenatão36[[#This Row],[HN]]*17.9+TabRenatão36[[#This Row],[HFeriado]]*29+TabRenatão36[[#This Row],[HE]]*22.6+TabRenatão36[[#This Row],[Hsab]]*27.9+TabRenatão36[[#This Row],[Hdom]]*29</f>
        <v>89.5</v>
      </c>
      <c r="Q18" s="11">
        <f>TabRenatão36[[#This Row],[SalAtual]]-TabRenatão36[[#This Row],[SalAnt]]</f>
        <v>4.5</v>
      </c>
    </row>
    <row r="19" spans="2:17" x14ac:dyDescent="0.25">
      <c r="B19" s="15" t="s">
        <v>31</v>
      </c>
      <c r="C19" s="15"/>
      <c r="D19" s="14">
        <f>D14-D15-D18</f>
        <v>1313.9439999999997</v>
      </c>
      <c r="F19" s="9">
        <v>43694</v>
      </c>
      <c r="G19" s="2">
        <f t="shared" si="0"/>
        <v>7</v>
      </c>
      <c r="H19" s="2" t="str">
        <f>IF(TabRenatão36[[#This Row],[dia]]=IFERROR(VLOOKUP(TabRenatão36[[#This Row],[dia]],Tabela1[],1,FALSE),"erro"),"Sim","Não")</f>
        <v>Não</v>
      </c>
      <c r="I19" s="12">
        <f>VLOOKUP(TabRenatão36[[#This Row],[dia]],Horarios,5,0)</f>
        <v>2</v>
      </c>
      <c r="J19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19" s="12">
        <f>IF(TabRenatão36[[#This Row],[Feriado]]="Sim",TabRenatão36[[#This Row],[Htrab]],0)</f>
        <v>0</v>
      </c>
      <c r="L19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19" s="12">
        <f>IF(TabRenatão36[[#This Row],[Feriado]]="SIM",0,IF(TabRenatão36[[#This Row],[DSemana]]=7,TabRenatão36[[#This Row],[Htrab]],0))</f>
        <v>2</v>
      </c>
      <c r="N19" s="12">
        <f>IF(TabRenatão36[[#This Row],[Feriado]]="SIM",0,IF(TabRenatão36[[#This Row],[DSemana]]=1,TabRenatão36[[#This Row],[Htrab]],0))</f>
        <v>0</v>
      </c>
      <c r="O19" s="11">
        <f>TabRenatão36[[#This Row],[Htrab]]*17</f>
        <v>34</v>
      </c>
      <c r="P19" s="11">
        <f>TabRenatão36[[#This Row],[HN]]*17.9+TabRenatão36[[#This Row],[HFeriado]]*29+TabRenatão36[[#This Row],[HE]]*22.6+TabRenatão36[[#This Row],[Hsab]]*27.9+TabRenatão36[[#This Row],[Hdom]]*29</f>
        <v>55.8</v>
      </c>
      <c r="Q19" s="11">
        <f>TabRenatão36[[#This Row],[SalAtual]]-TabRenatão36[[#This Row],[SalAnt]]</f>
        <v>21.799999999999997</v>
      </c>
    </row>
    <row r="20" spans="2:17" x14ac:dyDescent="0.25">
      <c r="F20" s="9">
        <v>43695</v>
      </c>
      <c r="G20" s="2">
        <f t="shared" si="0"/>
        <v>1</v>
      </c>
      <c r="H20" s="2" t="str">
        <f>IF(TabRenatão36[[#This Row],[dia]]=IFERROR(VLOOKUP(TabRenatão36[[#This Row],[dia]],Tabela1[],1,FALSE),"erro"),"Sim","Não")</f>
        <v>Não</v>
      </c>
      <c r="I20" s="12">
        <f>VLOOKUP(TabRenatão36[[#This Row],[dia]],Horarios,5,0)</f>
        <v>0</v>
      </c>
      <c r="J20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0" s="12">
        <f>IF(TabRenatão36[[#This Row],[Feriado]]="Sim",TabRenatão36[[#This Row],[Htrab]],0)</f>
        <v>0</v>
      </c>
      <c r="L20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0" s="12">
        <f>IF(TabRenatão36[[#This Row],[Feriado]]="SIM",0,IF(TabRenatão36[[#This Row],[DSemana]]=7,TabRenatão36[[#This Row],[Htrab]],0))</f>
        <v>0</v>
      </c>
      <c r="N20" s="12">
        <f>IF(TabRenatão36[[#This Row],[Feriado]]="SIM",0,IF(TabRenatão36[[#This Row],[DSemana]]=1,TabRenatão36[[#This Row],[Htrab]],0))</f>
        <v>0</v>
      </c>
      <c r="O20" s="11">
        <f>TabRenatão36[[#This Row],[Htrab]]*17</f>
        <v>0</v>
      </c>
      <c r="P20" s="11">
        <f>TabRenatão36[[#This Row],[HN]]*17.9+TabRenatão36[[#This Row],[HFeriado]]*29+TabRenatão36[[#This Row],[HE]]*22.6+TabRenatão36[[#This Row],[Hsab]]*27.9+TabRenatão36[[#This Row],[Hdom]]*29</f>
        <v>0</v>
      </c>
      <c r="Q20" s="11">
        <f>TabRenatão36[[#This Row],[SalAtual]]-TabRenatão36[[#This Row],[SalAnt]]</f>
        <v>0</v>
      </c>
    </row>
    <row r="21" spans="2:17" x14ac:dyDescent="0.25">
      <c r="B21" s="145" t="s">
        <v>77</v>
      </c>
      <c r="C21" s="145"/>
      <c r="D21" s="14">
        <f>SUM(TabRenatão36[SalAnt])</f>
        <v>1156</v>
      </c>
      <c r="F21" s="9">
        <v>43696</v>
      </c>
      <c r="G21" s="2">
        <f t="shared" si="0"/>
        <v>2</v>
      </c>
      <c r="H21" s="2" t="str">
        <f>IF(TabRenatão36[[#This Row],[dia]]=IFERROR(VLOOKUP(TabRenatão36[[#This Row],[dia]],Tabela1[],1,FALSE),"erro"),"Sim","Não")</f>
        <v>Não</v>
      </c>
      <c r="I21" s="12">
        <f>VLOOKUP(TabRenatão36[[#This Row],[dia]],Horarios,5,0)</f>
        <v>0</v>
      </c>
      <c r="J21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1" s="12">
        <f>IF(TabRenatão36[[#This Row],[Feriado]]="Sim",TabRenatão36[[#This Row],[Htrab]],0)</f>
        <v>0</v>
      </c>
      <c r="L21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1" s="12">
        <f>IF(TabRenatão36[[#This Row],[Feriado]]="SIM",0,IF(TabRenatão36[[#This Row],[DSemana]]=7,TabRenatão36[[#This Row],[Htrab]],0))</f>
        <v>0</v>
      </c>
      <c r="N21" s="12">
        <f>IF(TabRenatão36[[#This Row],[Feriado]]="SIM",0,IF(TabRenatão36[[#This Row],[DSemana]]=1,TabRenatão36[[#This Row],[Htrab]],0))</f>
        <v>0</v>
      </c>
      <c r="O21" s="11">
        <f>TabRenatão36[[#This Row],[Htrab]]*17</f>
        <v>0</v>
      </c>
      <c r="P21" s="11">
        <f>TabRenatão36[[#This Row],[HN]]*17.9+TabRenatão36[[#This Row],[HFeriado]]*29+TabRenatão36[[#This Row],[HE]]*22.6+TabRenatão36[[#This Row],[Hsab]]*27.9+TabRenatão36[[#This Row],[Hdom]]*29</f>
        <v>0</v>
      </c>
      <c r="Q21" s="11">
        <f>TabRenatão36[[#This Row],[SalAtual]]-TabRenatão36[[#This Row],[SalAnt]]</f>
        <v>0</v>
      </c>
    </row>
    <row r="22" spans="2:17" x14ac:dyDescent="0.25">
      <c r="F22" s="9">
        <v>43697</v>
      </c>
      <c r="G22" s="2">
        <f t="shared" si="0"/>
        <v>3</v>
      </c>
      <c r="H22" s="2" t="str">
        <f>IF(TabRenatão36[[#This Row],[dia]]=IFERROR(VLOOKUP(TabRenatão36[[#This Row],[dia]],Tabela1[],1,FALSE),"erro"),"Sim","Não")</f>
        <v>Sim</v>
      </c>
      <c r="I22" s="12">
        <f>VLOOKUP(TabRenatão36[[#This Row],[dia]],Horarios,5,0)</f>
        <v>0</v>
      </c>
      <c r="J22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2" s="12">
        <f>IF(TabRenatão36[[#This Row],[Feriado]]="Sim",TabRenatão36[[#This Row],[Htrab]],0)</f>
        <v>0</v>
      </c>
      <c r="L22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2" s="12">
        <f>IF(TabRenatão36[[#This Row],[Feriado]]="SIM",0,IF(TabRenatão36[[#This Row],[DSemana]]=7,TabRenatão36[[#This Row],[Htrab]],0))</f>
        <v>0</v>
      </c>
      <c r="N22" s="12">
        <f>IF(TabRenatão36[[#This Row],[Feriado]]="SIM",0,IF(TabRenatão36[[#This Row],[DSemana]]=1,TabRenatão36[[#This Row],[Htrab]],0))</f>
        <v>0</v>
      </c>
      <c r="O22" s="11">
        <f>TabRenatão36[[#This Row],[Htrab]]*17</f>
        <v>0</v>
      </c>
      <c r="P22" s="11">
        <f>TabRenatão36[[#This Row],[HN]]*17.9+TabRenatão36[[#This Row],[HFeriado]]*29+TabRenatão36[[#This Row],[HE]]*22.6+TabRenatão36[[#This Row],[Hsab]]*27.9+TabRenatão36[[#This Row],[Hdom]]*29</f>
        <v>0</v>
      </c>
      <c r="Q22" s="11">
        <f>TabRenatão36[[#This Row],[SalAtual]]-TabRenatão36[[#This Row],[SalAnt]]</f>
        <v>0</v>
      </c>
    </row>
    <row r="23" spans="2:17" x14ac:dyDescent="0.25">
      <c r="F23" s="9">
        <v>43698</v>
      </c>
      <c r="G23" s="2">
        <f t="shared" si="0"/>
        <v>4</v>
      </c>
      <c r="H23" s="2" t="str">
        <f>IF(TabRenatão36[[#This Row],[dia]]=IFERROR(VLOOKUP(TabRenatão36[[#This Row],[dia]],Tabela1[],1,FALSE),"erro"),"Sim","Não")</f>
        <v>Não</v>
      </c>
      <c r="I23" s="12">
        <f>VLOOKUP(TabRenatão36[[#This Row],[dia]],Horarios,5,0)</f>
        <v>2</v>
      </c>
      <c r="J23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23" s="12">
        <f>IF(TabRenatão36[[#This Row],[Feriado]]="Sim",TabRenatão36[[#This Row],[Htrab]],0)</f>
        <v>0</v>
      </c>
      <c r="L23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3" s="12">
        <f>IF(TabRenatão36[[#This Row],[Feriado]]="SIM",0,IF(TabRenatão36[[#This Row],[DSemana]]=7,TabRenatão36[[#This Row],[Htrab]],0))</f>
        <v>0</v>
      </c>
      <c r="N23" s="12">
        <f>IF(TabRenatão36[[#This Row],[Feriado]]="SIM",0,IF(TabRenatão36[[#This Row],[DSemana]]=1,TabRenatão36[[#This Row],[Htrab]],0))</f>
        <v>0</v>
      </c>
      <c r="O23" s="11">
        <f>TabRenatão36[[#This Row],[Htrab]]*17</f>
        <v>34</v>
      </c>
      <c r="P23" s="11">
        <f>TabRenatão36[[#This Row],[HN]]*17.9+TabRenatão36[[#This Row],[HFeriado]]*29+TabRenatão36[[#This Row],[HE]]*22.6+TabRenatão36[[#This Row],[Hsab]]*27.9+TabRenatão36[[#This Row],[Hdom]]*29</f>
        <v>35.799999999999997</v>
      </c>
      <c r="Q23" s="11">
        <f>TabRenatão36[[#This Row],[SalAtual]]-TabRenatão36[[#This Row],[SalAnt]]</f>
        <v>1.7999999999999972</v>
      </c>
    </row>
    <row r="24" spans="2:17" x14ac:dyDescent="0.25">
      <c r="F24" s="9">
        <v>43699</v>
      </c>
      <c r="G24" s="2">
        <f t="shared" si="0"/>
        <v>5</v>
      </c>
      <c r="H24" s="2" t="str">
        <f>IF(TabRenatão36[[#This Row],[dia]]=IFERROR(VLOOKUP(TabRenatão36[[#This Row],[dia]],Tabela1[],1,FALSE),"erro"),"Sim","Não")</f>
        <v>Não</v>
      </c>
      <c r="I24" s="12">
        <f>VLOOKUP(TabRenatão36[[#This Row],[dia]],Horarios,5,0)</f>
        <v>4</v>
      </c>
      <c r="J24" s="12">
        <f>IF(TabRenatão36[[#This Row],[Feriado]]="Sim",0,IF(TabRenatão36[[#This Row],[DSemana]]=1,0,IF(TabRenatão36[[#This Row],[DSemana]]=7,0,IF(TabRenatão36[[#This Row],[Htrab]]&gt;8,8,TabRenatão36[[#This Row],[Htrab]]))))</f>
        <v>4</v>
      </c>
      <c r="K24" s="12">
        <f>IF(TabRenatão36[[#This Row],[Feriado]]="Sim",TabRenatão36[[#This Row],[Htrab]],0)</f>
        <v>0</v>
      </c>
      <c r="L24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4" s="12">
        <f>IF(TabRenatão36[[#This Row],[Feriado]]="SIM",0,IF(TabRenatão36[[#This Row],[DSemana]]=7,TabRenatão36[[#This Row],[Htrab]],0))</f>
        <v>0</v>
      </c>
      <c r="N24" s="12">
        <f>IF(TabRenatão36[[#This Row],[Feriado]]="SIM",0,IF(TabRenatão36[[#This Row],[DSemana]]=1,TabRenatão36[[#This Row],[Htrab]],0))</f>
        <v>0</v>
      </c>
      <c r="O24" s="11">
        <f>TabRenatão36[[#This Row],[Htrab]]*17</f>
        <v>68</v>
      </c>
      <c r="P24" s="11">
        <f>TabRenatão36[[#This Row],[HN]]*17.9+TabRenatão36[[#This Row],[HFeriado]]*29+TabRenatão36[[#This Row],[HE]]*22.6+TabRenatão36[[#This Row],[Hsab]]*27.9+TabRenatão36[[#This Row],[Hdom]]*29</f>
        <v>71.599999999999994</v>
      </c>
      <c r="Q24" s="11">
        <f>TabRenatão36[[#This Row],[SalAtual]]-TabRenatão36[[#This Row],[SalAnt]]</f>
        <v>3.5999999999999943</v>
      </c>
    </row>
    <row r="25" spans="2:17" x14ac:dyDescent="0.25">
      <c r="F25" s="9">
        <v>43700</v>
      </c>
      <c r="G25" s="2">
        <f t="shared" si="0"/>
        <v>6</v>
      </c>
      <c r="H25" s="2" t="str">
        <f>IF(TabRenatão36[[#This Row],[dia]]=IFERROR(VLOOKUP(TabRenatão36[[#This Row],[dia]],Tabela1[],1,FALSE),"erro"),"Sim","Não")</f>
        <v>Não</v>
      </c>
      <c r="I25" s="12">
        <f>VLOOKUP(TabRenatão36[[#This Row],[dia]],Horarios,5,0)</f>
        <v>2</v>
      </c>
      <c r="J25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25" s="12">
        <f>IF(TabRenatão36[[#This Row],[Feriado]]="Sim",TabRenatão36[[#This Row],[Htrab]],0)</f>
        <v>0</v>
      </c>
      <c r="L25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5" s="12">
        <f>IF(TabRenatão36[[#This Row],[Feriado]]="SIM",0,IF(TabRenatão36[[#This Row],[DSemana]]=7,TabRenatão36[[#This Row],[Htrab]],0))</f>
        <v>0</v>
      </c>
      <c r="N25" s="12">
        <f>IF(TabRenatão36[[#This Row],[Feriado]]="SIM",0,IF(TabRenatão36[[#This Row],[DSemana]]=1,TabRenatão36[[#This Row],[Htrab]],0))</f>
        <v>0</v>
      </c>
      <c r="O25" s="11">
        <f>TabRenatão36[[#This Row],[Htrab]]*17</f>
        <v>34</v>
      </c>
      <c r="P25" s="11">
        <f>TabRenatão36[[#This Row],[HN]]*17.9+TabRenatão36[[#This Row],[HFeriado]]*29+TabRenatão36[[#This Row],[HE]]*22.6+TabRenatão36[[#This Row],[Hsab]]*27.9+TabRenatão36[[#This Row],[Hdom]]*29</f>
        <v>35.799999999999997</v>
      </c>
      <c r="Q25" s="11">
        <f>TabRenatão36[[#This Row],[SalAtual]]-TabRenatão36[[#This Row],[SalAnt]]</f>
        <v>1.7999999999999972</v>
      </c>
    </row>
    <row r="26" spans="2:17" x14ac:dyDescent="0.25">
      <c r="F26" s="9">
        <v>43701</v>
      </c>
      <c r="G26" s="2">
        <f t="shared" si="0"/>
        <v>7</v>
      </c>
      <c r="H26" s="2" t="str">
        <f>IF(TabRenatão36[[#This Row],[dia]]=IFERROR(VLOOKUP(TabRenatão36[[#This Row],[dia]],Tabela1[],1,FALSE),"erro"),"Sim","Não")</f>
        <v>Não</v>
      </c>
      <c r="I26" s="12">
        <f>VLOOKUP(TabRenatão36[[#This Row],[dia]],Horarios,5,0)</f>
        <v>3</v>
      </c>
      <c r="J26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6" s="12">
        <f>IF(TabRenatão36[[#This Row],[Feriado]]="Sim",TabRenatão36[[#This Row],[Htrab]],0)</f>
        <v>0</v>
      </c>
      <c r="L26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6" s="12">
        <f>IF(TabRenatão36[[#This Row],[Feriado]]="SIM",0,IF(TabRenatão36[[#This Row],[DSemana]]=7,TabRenatão36[[#This Row],[Htrab]],0))</f>
        <v>3</v>
      </c>
      <c r="N26" s="12">
        <f>IF(TabRenatão36[[#This Row],[Feriado]]="SIM",0,IF(TabRenatão36[[#This Row],[DSemana]]=1,TabRenatão36[[#This Row],[Htrab]],0))</f>
        <v>0</v>
      </c>
      <c r="O26" s="11">
        <f>TabRenatão36[[#This Row],[Htrab]]*17</f>
        <v>51</v>
      </c>
      <c r="P26" s="11">
        <f>TabRenatão36[[#This Row],[HN]]*17.9+TabRenatão36[[#This Row],[HFeriado]]*29+TabRenatão36[[#This Row],[HE]]*22.6+TabRenatão36[[#This Row],[Hsab]]*27.9+TabRenatão36[[#This Row],[Hdom]]*29</f>
        <v>83.699999999999989</v>
      </c>
      <c r="Q26" s="11">
        <f>TabRenatão36[[#This Row],[SalAtual]]-TabRenatão36[[#This Row],[SalAnt]]</f>
        <v>32.699999999999989</v>
      </c>
    </row>
    <row r="27" spans="2:17" x14ac:dyDescent="0.25">
      <c r="F27" s="9">
        <v>43702</v>
      </c>
      <c r="G27" s="2">
        <f t="shared" si="0"/>
        <v>1</v>
      </c>
      <c r="H27" s="2" t="str">
        <f>IF(TabRenatão36[[#This Row],[dia]]=IFERROR(VLOOKUP(TabRenatão36[[#This Row],[dia]],Tabela1[],1,FALSE),"erro"),"Sim","Não")</f>
        <v>Não</v>
      </c>
      <c r="I27" s="12">
        <f>VLOOKUP(TabRenatão36[[#This Row],[dia]],Horarios,5,0)</f>
        <v>5</v>
      </c>
      <c r="J27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7" s="12">
        <f>IF(TabRenatão36[[#This Row],[Feriado]]="Sim",TabRenatão36[[#This Row],[Htrab]],0)</f>
        <v>0</v>
      </c>
      <c r="L27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7" s="12">
        <f>IF(TabRenatão36[[#This Row],[Feriado]]="SIM",0,IF(TabRenatão36[[#This Row],[DSemana]]=7,TabRenatão36[[#This Row],[Htrab]],0))</f>
        <v>0</v>
      </c>
      <c r="N27" s="12">
        <f>IF(TabRenatão36[[#This Row],[Feriado]]="SIM",0,IF(TabRenatão36[[#This Row],[DSemana]]=1,TabRenatão36[[#This Row],[Htrab]],0))</f>
        <v>5</v>
      </c>
      <c r="O27" s="11">
        <f>TabRenatão36[[#This Row],[Htrab]]*17</f>
        <v>85</v>
      </c>
      <c r="P27" s="11">
        <f>TabRenatão36[[#This Row],[HN]]*17.9+TabRenatão36[[#This Row],[HFeriado]]*29+TabRenatão36[[#This Row],[HE]]*22.6+TabRenatão36[[#This Row],[Hsab]]*27.9+TabRenatão36[[#This Row],[Hdom]]*29</f>
        <v>145</v>
      </c>
      <c r="Q27" s="11">
        <f>TabRenatão36[[#This Row],[SalAtual]]-TabRenatão36[[#This Row],[SalAnt]]</f>
        <v>60</v>
      </c>
    </row>
    <row r="28" spans="2:17" x14ac:dyDescent="0.25">
      <c r="F28" s="9">
        <v>43703</v>
      </c>
      <c r="G28" s="2">
        <f t="shared" si="0"/>
        <v>2</v>
      </c>
      <c r="H28" s="2" t="str">
        <f>IF(TabRenatão36[[#This Row],[dia]]=IFERROR(VLOOKUP(TabRenatão36[[#This Row],[dia]],Tabela1[],1,FALSE),"erro"),"Sim","Não")</f>
        <v>Não</v>
      </c>
      <c r="I28" s="12">
        <f>VLOOKUP(TabRenatão36[[#This Row],[dia]],Horarios,5,0)</f>
        <v>2</v>
      </c>
      <c r="J28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28" s="12">
        <f>IF(TabRenatão36[[#This Row],[Feriado]]="Sim",TabRenatão36[[#This Row],[Htrab]],0)</f>
        <v>0</v>
      </c>
      <c r="L28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8" s="12">
        <f>IF(TabRenatão36[[#This Row],[Feriado]]="SIM",0,IF(TabRenatão36[[#This Row],[DSemana]]=7,TabRenatão36[[#This Row],[Htrab]],0))</f>
        <v>0</v>
      </c>
      <c r="N28" s="12">
        <f>IF(TabRenatão36[[#This Row],[Feriado]]="SIM",0,IF(TabRenatão36[[#This Row],[DSemana]]=1,TabRenatão36[[#This Row],[Htrab]],0))</f>
        <v>0</v>
      </c>
      <c r="O28" s="11">
        <f>TabRenatão36[[#This Row],[Htrab]]*17</f>
        <v>34</v>
      </c>
      <c r="P28" s="11">
        <f>TabRenatão36[[#This Row],[HN]]*17.9+TabRenatão36[[#This Row],[HFeriado]]*29+TabRenatão36[[#This Row],[HE]]*22.6+TabRenatão36[[#This Row],[Hsab]]*27.9+TabRenatão36[[#This Row],[Hdom]]*29</f>
        <v>35.799999999999997</v>
      </c>
      <c r="Q28" s="11">
        <f>TabRenatão36[[#This Row],[SalAtual]]-TabRenatão36[[#This Row],[SalAnt]]</f>
        <v>1.7999999999999972</v>
      </c>
    </row>
    <row r="29" spans="2:17" x14ac:dyDescent="0.25">
      <c r="F29" s="9">
        <v>43704</v>
      </c>
      <c r="G29" s="2">
        <f t="shared" si="0"/>
        <v>3</v>
      </c>
      <c r="H29" s="2" t="str">
        <f>IF(TabRenatão36[[#This Row],[dia]]=IFERROR(VLOOKUP(TabRenatão36[[#This Row],[dia]],Tabela1[],1,FALSE),"erro"),"Sim","Não")</f>
        <v>Não</v>
      </c>
      <c r="I29" s="12">
        <f>VLOOKUP(TabRenatão36[[#This Row],[dia]],Horarios,5,0)</f>
        <v>0</v>
      </c>
      <c r="J29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29" s="12">
        <f>IF(TabRenatão36[[#This Row],[Feriado]]="Sim",TabRenatão36[[#This Row],[Htrab]],0)</f>
        <v>0</v>
      </c>
      <c r="L29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29" s="12">
        <f>IF(TabRenatão36[[#This Row],[Feriado]]="SIM",0,IF(TabRenatão36[[#This Row],[DSemana]]=7,TabRenatão36[[#This Row],[Htrab]],0))</f>
        <v>0</v>
      </c>
      <c r="N29" s="12">
        <f>IF(TabRenatão36[[#This Row],[Feriado]]="SIM",0,IF(TabRenatão36[[#This Row],[DSemana]]=1,TabRenatão36[[#This Row],[Htrab]],0))</f>
        <v>0</v>
      </c>
      <c r="O29" s="11">
        <f>TabRenatão36[[#This Row],[Htrab]]*17</f>
        <v>0</v>
      </c>
      <c r="P29" s="11">
        <f>TabRenatão36[[#This Row],[HN]]*17.9+TabRenatão36[[#This Row],[HFeriado]]*29+TabRenatão36[[#This Row],[HE]]*22.6+TabRenatão36[[#This Row],[Hsab]]*27.9+TabRenatão36[[#This Row],[Hdom]]*29</f>
        <v>0</v>
      </c>
      <c r="Q29" s="11">
        <f>TabRenatão36[[#This Row],[SalAtual]]-TabRenatão36[[#This Row],[SalAnt]]</f>
        <v>0</v>
      </c>
    </row>
    <row r="30" spans="2:17" x14ac:dyDescent="0.25">
      <c r="F30" s="9">
        <v>43705</v>
      </c>
      <c r="G30" s="2">
        <f t="shared" si="0"/>
        <v>4</v>
      </c>
      <c r="H30" s="2" t="str">
        <f>IF(TabRenatão36[[#This Row],[dia]]=IFERROR(VLOOKUP(TabRenatão36[[#This Row],[dia]],Tabela1[],1,FALSE),"erro"),"Sim","Não")</f>
        <v>Não</v>
      </c>
      <c r="I30" s="12">
        <f>VLOOKUP(TabRenatão36[[#This Row],[dia]],Horarios,5,0)</f>
        <v>8</v>
      </c>
      <c r="J30" s="12">
        <f>IF(TabRenatão36[[#This Row],[Feriado]]="Sim",0,IF(TabRenatão36[[#This Row],[DSemana]]=1,0,IF(TabRenatão36[[#This Row],[DSemana]]=7,0,IF(TabRenatão36[[#This Row],[Htrab]]&gt;8,8,TabRenatão36[[#This Row],[Htrab]]))))</f>
        <v>8</v>
      </c>
      <c r="K30" s="12">
        <f>IF(TabRenatão36[[#This Row],[Feriado]]="Sim",TabRenatão36[[#This Row],[Htrab]],0)</f>
        <v>0</v>
      </c>
      <c r="L30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30" s="12">
        <f>IF(TabRenatão36[[#This Row],[Feriado]]="SIM",0,IF(TabRenatão36[[#This Row],[DSemana]]=7,TabRenatão36[[#This Row],[Htrab]],0))</f>
        <v>0</v>
      </c>
      <c r="N30" s="12">
        <f>IF(TabRenatão36[[#This Row],[Feriado]]="SIM",0,IF(TabRenatão36[[#This Row],[DSemana]]=1,TabRenatão36[[#This Row],[Htrab]],0))</f>
        <v>0</v>
      </c>
      <c r="O30" s="11">
        <f>TabRenatão36[[#This Row],[Htrab]]*17</f>
        <v>136</v>
      </c>
      <c r="P30" s="11">
        <f>TabRenatão36[[#This Row],[HN]]*17.9+TabRenatão36[[#This Row],[HFeriado]]*29+TabRenatão36[[#This Row],[HE]]*22.6+TabRenatão36[[#This Row],[Hsab]]*27.9+TabRenatão36[[#This Row],[Hdom]]*29</f>
        <v>143.19999999999999</v>
      </c>
      <c r="Q30" s="11">
        <f>TabRenatão36[[#This Row],[SalAtual]]-TabRenatão36[[#This Row],[SalAnt]]</f>
        <v>7.1999999999999886</v>
      </c>
    </row>
    <row r="31" spans="2:17" x14ac:dyDescent="0.25">
      <c r="F31" s="9">
        <v>43706</v>
      </c>
      <c r="G31" s="2">
        <f t="shared" si="0"/>
        <v>5</v>
      </c>
      <c r="H31" s="2" t="str">
        <f>IF(TabRenatão36[[#This Row],[dia]]=IFERROR(VLOOKUP(TabRenatão36[[#This Row],[dia]],Tabela1[],1,FALSE),"erro"),"Sim","Não")</f>
        <v>Não</v>
      </c>
      <c r="I31" s="12">
        <f>VLOOKUP(TabRenatão36[[#This Row],[dia]],Horarios,5,0)</f>
        <v>2</v>
      </c>
      <c r="J31" s="12">
        <f>IF(TabRenatão36[[#This Row],[Feriado]]="Sim",0,IF(TabRenatão36[[#This Row],[DSemana]]=1,0,IF(TabRenatão36[[#This Row],[DSemana]]=7,0,IF(TabRenatão36[[#This Row],[Htrab]]&gt;8,8,TabRenatão36[[#This Row],[Htrab]]))))</f>
        <v>2</v>
      </c>
      <c r="K31" s="12">
        <f>IF(TabRenatão36[[#This Row],[Feriado]]="Sim",TabRenatão36[[#This Row],[Htrab]],0)</f>
        <v>0</v>
      </c>
      <c r="L31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31" s="12">
        <f>IF(TabRenatão36[[#This Row],[Feriado]]="SIM",0,IF(TabRenatão36[[#This Row],[DSemana]]=7,TabRenatão36[[#This Row],[Htrab]],0))</f>
        <v>0</v>
      </c>
      <c r="N31" s="12">
        <f>IF(TabRenatão36[[#This Row],[Feriado]]="SIM",0,IF(TabRenatão36[[#This Row],[DSemana]]=1,TabRenatão36[[#This Row],[Htrab]],0))</f>
        <v>0</v>
      </c>
      <c r="O31" s="11">
        <f>TabRenatão36[[#This Row],[Htrab]]*17</f>
        <v>34</v>
      </c>
      <c r="P31" s="11">
        <f>TabRenatão36[[#This Row],[HN]]*17.9+TabRenatão36[[#This Row],[HFeriado]]*29+TabRenatão36[[#This Row],[HE]]*22.6+TabRenatão36[[#This Row],[Hsab]]*27.9+TabRenatão36[[#This Row],[Hdom]]*29</f>
        <v>35.799999999999997</v>
      </c>
      <c r="Q31" s="11">
        <f>TabRenatão36[[#This Row],[SalAtual]]-TabRenatão36[[#This Row],[SalAnt]]</f>
        <v>1.7999999999999972</v>
      </c>
    </row>
    <row r="32" spans="2:17" x14ac:dyDescent="0.25">
      <c r="F32" s="9">
        <v>43707</v>
      </c>
      <c r="G32" s="2">
        <f t="shared" si="0"/>
        <v>6</v>
      </c>
      <c r="H32" s="2" t="str">
        <f>IF(TabRenatão36[[#This Row],[dia]]=IFERROR(VLOOKUP(TabRenatão36[[#This Row],[dia]],Tabela1[],1,FALSE),"erro"),"Sim","Não")</f>
        <v>Não</v>
      </c>
      <c r="I32" s="12">
        <f>VLOOKUP(TabRenatão36[[#This Row],[dia]],Horarios,5,0)</f>
        <v>3</v>
      </c>
      <c r="J32" s="12">
        <f>IF(TabRenatão36[[#This Row],[Feriado]]="Sim",0,IF(TabRenatão36[[#This Row],[DSemana]]=1,0,IF(TabRenatão36[[#This Row],[DSemana]]=7,0,IF(TabRenatão36[[#This Row],[Htrab]]&gt;8,8,TabRenatão36[[#This Row],[Htrab]]))))</f>
        <v>3</v>
      </c>
      <c r="K32" s="12">
        <f>IF(TabRenatão36[[#This Row],[Feriado]]="Sim",TabRenatão36[[#This Row],[Htrab]],0)</f>
        <v>0</v>
      </c>
      <c r="L32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32" s="12">
        <f>IF(TabRenatão36[[#This Row],[Feriado]]="SIM",0,IF(TabRenatão36[[#This Row],[DSemana]]=7,TabRenatão36[[#This Row],[Htrab]],0))</f>
        <v>0</v>
      </c>
      <c r="N32" s="12">
        <f>IF(TabRenatão36[[#This Row],[Feriado]]="SIM",0,IF(TabRenatão36[[#This Row],[DSemana]]=1,TabRenatão36[[#This Row],[Htrab]],0))</f>
        <v>0</v>
      </c>
      <c r="O32" s="11">
        <f>TabRenatão36[[#This Row],[Htrab]]*17</f>
        <v>51</v>
      </c>
      <c r="P32" s="11">
        <f>TabRenatão36[[#This Row],[HN]]*17.9+TabRenatão36[[#This Row],[HFeriado]]*29+TabRenatão36[[#This Row],[HE]]*22.6+TabRenatão36[[#This Row],[Hsab]]*27.9+TabRenatão36[[#This Row],[Hdom]]*29</f>
        <v>53.699999999999996</v>
      </c>
      <c r="Q32" s="11">
        <f>TabRenatão36[[#This Row],[SalAtual]]-TabRenatão36[[#This Row],[SalAnt]]</f>
        <v>2.6999999999999957</v>
      </c>
    </row>
    <row r="33" spans="6:17" x14ac:dyDescent="0.25">
      <c r="F33" s="9">
        <v>43708</v>
      </c>
      <c r="G33" s="2">
        <f t="shared" si="0"/>
        <v>7</v>
      </c>
      <c r="H33" s="2" t="str">
        <f>IF(TabRenatão36[[#This Row],[dia]]=IFERROR(VLOOKUP(TabRenatão36[[#This Row],[dia]],Tabela1[],1,FALSE),"erro"),"Sim","Não")</f>
        <v>Não</v>
      </c>
      <c r="I33" s="12">
        <f>VLOOKUP(TabRenatão36[[#This Row],[dia]],Horarios,5,0)</f>
        <v>5</v>
      </c>
      <c r="J33" s="12">
        <f>IF(TabRenatão36[[#This Row],[Feriado]]="Sim",0,IF(TabRenatão36[[#This Row],[DSemana]]=1,0,IF(TabRenatão36[[#This Row],[DSemana]]=7,0,IF(TabRenatão36[[#This Row],[Htrab]]&gt;8,8,TabRenatão36[[#This Row],[Htrab]]))))</f>
        <v>0</v>
      </c>
      <c r="K33" s="12">
        <f>IF(TabRenatão36[[#This Row],[Feriado]]="Sim",TabRenatão36[[#This Row],[Htrab]],0)</f>
        <v>0</v>
      </c>
      <c r="L33" s="12">
        <f>IF(TabRenatão36[[#This Row],[Feriado]]="Sim",0,IF(TabRenatão36[[#This Row],[DSemana]]=1,0,IF(TabRenatão36[[#This Row],[DSemana]]=7,0,IF(TabRenatão36[[#This Row],[Htrab]]&gt;8,TabRenatão36[[#This Row],[Htrab]]-8,0))))</f>
        <v>0</v>
      </c>
      <c r="M33" s="12">
        <f>IF(TabRenatão36[[#This Row],[Feriado]]="SIM",0,IF(TabRenatão36[[#This Row],[DSemana]]=7,TabRenatão36[[#This Row],[Htrab]],0))</f>
        <v>5</v>
      </c>
      <c r="N33" s="12">
        <f>IF(TabRenatão36[[#This Row],[Feriado]]="SIM",0,IF(TabRenatão36[[#This Row],[DSemana]]=1,TabRenatão36[[#This Row],[Htrab]],0))</f>
        <v>0</v>
      </c>
      <c r="O33" s="11">
        <f>TabRenatão36[[#This Row],[Htrab]]*17</f>
        <v>85</v>
      </c>
      <c r="P33" s="11">
        <f>TabRenatão36[[#This Row],[HN]]*17.9+TabRenatão36[[#This Row],[HFeriado]]*29+TabRenatão36[[#This Row],[HE]]*22.6+TabRenatão36[[#This Row],[Hsab]]*27.9+TabRenatão36[[#This Row],[Hdom]]*29</f>
        <v>139.5</v>
      </c>
      <c r="Q33" s="11">
        <f>TabRenatão36[[#This Row],[SalAtual]]-TabRenatão36[[#This Row],[SalAnt]]</f>
        <v>54.5</v>
      </c>
    </row>
  </sheetData>
  <mergeCells count="6">
    <mergeCell ref="B21:C21"/>
    <mergeCell ref="B2:C2"/>
    <mergeCell ref="B14:C14"/>
    <mergeCell ref="B15:C15"/>
    <mergeCell ref="B16:C16"/>
    <mergeCell ref="B13:D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B2:T33"/>
  <sheetViews>
    <sheetView showGridLines="0" workbookViewId="0">
      <selection activeCell="E25" sqref="E25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12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IF(TabRenatão367[[#This Row],[dia]]=IFERROR(VLOOKUP(TabRenatão367[[#This Row],[dia]],Tabela1[],1,FALSE),"erro"),"Sim","Não")</f>
        <v>Não</v>
      </c>
      <c r="I3" s="12">
        <f>VLOOKUP(TabRenatão367[[#This Row],[dia]],Horarios,6,0)</f>
        <v>8</v>
      </c>
      <c r="J3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3" s="12">
        <f>IF(TabRenatão367[[#This Row],[Feriado]]="Sim",TabRenatão367[[#This Row],[Htrab]],0)</f>
        <v>0</v>
      </c>
      <c r="L3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3" s="12">
        <f>IF(TabRenatão367[[#This Row],[Feriado]]="SIM",0,IF(TabRenatão367[[#This Row],[DSemana]]=7,TabRenatão367[[#This Row],[Htrab]],0))</f>
        <v>0</v>
      </c>
      <c r="N3" s="12">
        <f>IF(TabRenatão367[[#This Row],[Feriado]]="SIM",0,IF(TabRenatão367[[#This Row],[DSemana]]=1,TabRenatão367[[#This Row],[Htrab]],0))</f>
        <v>0</v>
      </c>
      <c r="O3" s="11">
        <f>TabRenatão367[[#This Row],[Htrab]]*17</f>
        <v>136</v>
      </c>
      <c r="P3" s="11">
        <f>TabRenatão367[[#This Row],[HN]]*17.9+TabRenatão367[[#This Row],[HFeriado]]*29+TabRenatão367[[#This Row],[HE]]*22.6+TabRenatão367[[#This Row],[Hsab]]*27.9+TabRenatão367[[#This Row],[Hdom]]*29</f>
        <v>143.19999999999999</v>
      </c>
      <c r="Q3" s="11">
        <f>TabRenatão367[[#This Row],[SalAtual]]-TabRenatão367[[#This Row],[SalAnt]]</f>
        <v>7.1999999999999886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IF(TabRenatão367[[#This Row],[dia]]=IFERROR(VLOOKUP(TabRenatão367[[#This Row],[dia]],Tabela1[],1,FALSE),"erro"),"Sim","Não")</f>
        <v>Não</v>
      </c>
      <c r="I4" s="12">
        <f>VLOOKUP(TabRenatão367[[#This Row],[dia]],Horarios,6,0)</f>
        <v>9</v>
      </c>
      <c r="J4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4" s="12">
        <f>IF(TabRenatão367[[#This Row],[Feriado]]="Sim",TabRenatão367[[#This Row],[Htrab]],0)</f>
        <v>0</v>
      </c>
      <c r="L4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4" s="12">
        <f>IF(TabRenatão367[[#This Row],[Feriado]]="SIM",0,IF(TabRenatão367[[#This Row],[DSemana]]=7,TabRenatão367[[#This Row],[Htrab]],0))</f>
        <v>0</v>
      </c>
      <c r="N4" s="12">
        <f>IF(TabRenatão367[[#This Row],[Feriado]]="SIM",0,IF(TabRenatão367[[#This Row],[DSemana]]=1,TabRenatão367[[#This Row],[Htrab]],0))</f>
        <v>0</v>
      </c>
      <c r="O4" s="11">
        <f>TabRenatão367[[#This Row],[Htrab]]*17</f>
        <v>153</v>
      </c>
      <c r="P4" s="11">
        <f>TabRenatão367[[#This Row],[HN]]*17.9+TabRenatão367[[#This Row],[HFeriado]]*29+TabRenatão367[[#This Row],[HE]]*22.6+TabRenatão367[[#This Row],[Hsab]]*27.9+TabRenatão367[[#This Row],[Hdom]]*29</f>
        <v>165.79999999999998</v>
      </c>
      <c r="Q4" s="11">
        <f>TabRenatão367[[#This Row],[SalAtual]]-TabRenatão367[[#This Row],[SalAnt]]</f>
        <v>12.799999999999983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IF(TabRenatão367[[#This Row],[dia]]=IFERROR(VLOOKUP(TabRenatão367[[#This Row],[dia]],Tabela1[],1,FALSE),"erro"),"Sim","Não")</f>
        <v>Não</v>
      </c>
      <c r="I5" s="12">
        <f>VLOOKUP(TabRenatão367[[#This Row],[dia]],Horarios,6,0)</f>
        <v>9</v>
      </c>
      <c r="J5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5" s="12">
        <f>IF(TabRenatão367[[#This Row],[Feriado]]="Sim",TabRenatão367[[#This Row],[Htrab]],0)</f>
        <v>0</v>
      </c>
      <c r="L5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5" s="12">
        <f>IF(TabRenatão367[[#This Row],[Feriado]]="SIM",0,IF(TabRenatão367[[#This Row],[DSemana]]=7,TabRenatão367[[#This Row],[Htrab]],0))</f>
        <v>9</v>
      </c>
      <c r="N5" s="12">
        <f>IF(TabRenatão367[[#This Row],[Feriado]]="SIM",0,IF(TabRenatão367[[#This Row],[DSemana]]=1,TabRenatão367[[#This Row],[Htrab]],0))</f>
        <v>0</v>
      </c>
      <c r="O5" s="11">
        <f>TabRenatão367[[#This Row],[Htrab]]*17</f>
        <v>153</v>
      </c>
      <c r="P5" s="11">
        <f>TabRenatão367[[#This Row],[HN]]*17.9+TabRenatão367[[#This Row],[HFeriado]]*29+TabRenatão367[[#This Row],[HE]]*22.6+TabRenatão367[[#This Row],[Hsab]]*27.9+TabRenatão367[[#This Row],[Hdom]]*29</f>
        <v>251.1</v>
      </c>
      <c r="Q5" s="11">
        <f>TabRenatão367[[#This Row],[SalAtual]]-TabRenatão367[[#This Row],[SalAnt]]</f>
        <v>98.1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IF(TabRenatão367[[#This Row],[dia]]=IFERROR(VLOOKUP(TabRenatão367[[#This Row],[dia]],Tabela1[],1,FALSE),"erro"),"Sim","Não")</f>
        <v>Não</v>
      </c>
      <c r="I6" s="12">
        <f>VLOOKUP(TabRenatão367[[#This Row],[dia]],Horarios,6,0)</f>
        <v>8</v>
      </c>
      <c r="J6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6" s="12">
        <f>IF(TabRenatão367[[#This Row],[Feriado]]="Sim",TabRenatão367[[#This Row],[Htrab]],0)</f>
        <v>0</v>
      </c>
      <c r="L6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6" s="12">
        <f>IF(TabRenatão367[[#This Row],[Feriado]]="SIM",0,IF(TabRenatão367[[#This Row],[DSemana]]=7,TabRenatão367[[#This Row],[Htrab]],0))</f>
        <v>0</v>
      </c>
      <c r="N6" s="12">
        <f>IF(TabRenatão367[[#This Row],[Feriado]]="SIM",0,IF(TabRenatão367[[#This Row],[DSemana]]=1,TabRenatão367[[#This Row],[Htrab]],0))</f>
        <v>8</v>
      </c>
      <c r="O6" s="11">
        <f>TabRenatão367[[#This Row],[Htrab]]*17</f>
        <v>136</v>
      </c>
      <c r="P6" s="11">
        <f>TabRenatão367[[#This Row],[HN]]*17.9+TabRenatão367[[#This Row],[HFeriado]]*29+TabRenatão367[[#This Row],[HE]]*22.6+TabRenatão367[[#This Row],[Hsab]]*27.9+TabRenatão367[[#This Row],[Hdom]]*29</f>
        <v>232</v>
      </c>
      <c r="Q6" s="11">
        <f>TabRenatão367[[#This Row],[SalAtual]]-TabRenatão367[[#This Row],[SalAnt]]</f>
        <v>96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IF(TabRenatão367[[#This Row],[dia]]=IFERROR(VLOOKUP(TabRenatão367[[#This Row],[dia]],Tabela1[],1,FALSE),"erro"),"Sim","Não")</f>
        <v>Não</v>
      </c>
      <c r="I7" s="12">
        <f>VLOOKUP(TabRenatão367[[#This Row],[dia]],Horarios,6,0)</f>
        <v>8</v>
      </c>
      <c r="J7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7" s="12">
        <f>IF(TabRenatão367[[#This Row],[Feriado]]="Sim",TabRenatão367[[#This Row],[Htrab]],0)</f>
        <v>0</v>
      </c>
      <c r="L7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7" s="12">
        <f>IF(TabRenatão367[[#This Row],[Feriado]]="SIM",0,IF(TabRenatão367[[#This Row],[DSemana]]=7,TabRenatão367[[#This Row],[Htrab]],0))</f>
        <v>0</v>
      </c>
      <c r="N7" s="12">
        <f>IF(TabRenatão367[[#This Row],[Feriado]]="SIM",0,IF(TabRenatão367[[#This Row],[DSemana]]=1,TabRenatão367[[#This Row],[Htrab]],0))</f>
        <v>0</v>
      </c>
      <c r="O7" s="11">
        <f>TabRenatão367[[#This Row],[Htrab]]*17</f>
        <v>136</v>
      </c>
      <c r="P7" s="11">
        <f>TabRenatão367[[#This Row],[HN]]*17.9+TabRenatão367[[#This Row],[HFeriado]]*29+TabRenatão367[[#This Row],[HE]]*22.6+TabRenatão367[[#This Row],[Hsab]]*27.9+TabRenatão367[[#This Row],[Hdom]]*29</f>
        <v>143.19999999999999</v>
      </c>
      <c r="Q7" s="11">
        <f>TabRenatão367[[#This Row],[SalAtual]]-TabRenatão367[[#This Row],[SalAnt]]</f>
        <v>7.1999999999999886</v>
      </c>
    </row>
    <row r="8" spans="2:20" x14ac:dyDescent="0.25">
      <c r="B8" s="7"/>
      <c r="C8" s="7"/>
      <c r="F8" s="9">
        <v>43683</v>
      </c>
      <c r="G8" s="2">
        <f t="shared" si="0"/>
        <v>3</v>
      </c>
      <c r="H8" s="2" t="str">
        <f>IF(TabRenatão367[[#This Row],[dia]]=IFERROR(VLOOKUP(TabRenatão367[[#This Row],[dia]],Tabela1[],1,FALSE),"erro"),"Sim","Não")</f>
        <v>Não</v>
      </c>
      <c r="I8" s="12">
        <f>VLOOKUP(TabRenatão367[[#This Row],[dia]],Horarios,6,0)</f>
        <v>10</v>
      </c>
      <c r="J8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8" s="12">
        <f>IF(TabRenatão367[[#This Row],[Feriado]]="Sim",TabRenatão367[[#This Row],[Htrab]],0)</f>
        <v>0</v>
      </c>
      <c r="L8" s="12">
        <f>IF(TabRenatão367[[#This Row],[Feriado]]="Sim",0,IF(TabRenatão367[[#This Row],[DSemana]]=1,0,IF(TabRenatão367[[#This Row],[DSemana]]=7,0,IF(TabRenatão367[[#This Row],[Htrab]]&gt;8,TabRenatão367[[#This Row],[Htrab]]-8,0))))</f>
        <v>2</v>
      </c>
      <c r="M8" s="12">
        <f>IF(TabRenatão367[[#This Row],[Feriado]]="SIM",0,IF(TabRenatão367[[#This Row],[DSemana]]=7,TabRenatão367[[#This Row],[Htrab]],0))</f>
        <v>0</v>
      </c>
      <c r="N8" s="12">
        <f>IF(TabRenatão367[[#This Row],[Feriado]]="SIM",0,IF(TabRenatão367[[#This Row],[DSemana]]=1,TabRenatão367[[#This Row],[Htrab]],0))</f>
        <v>0</v>
      </c>
      <c r="O8" s="11">
        <f>TabRenatão367[[#This Row],[Htrab]]*17</f>
        <v>170</v>
      </c>
      <c r="P8" s="11">
        <f>TabRenatão367[[#This Row],[HN]]*17.9+TabRenatão367[[#This Row],[HFeriado]]*29+TabRenatão367[[#This Row],[HE]]*22.6+TabRenatão367[[#This Row],[Hsab]]*27.9+TabRenatão367[[#This Row],[Hdom]]*29</f>
        <v>188.39999999999998</v>
      </c>
      <c r="Q8" s="11">
        <f>TabRenatão367[[#This Row],[SalAtual]]-TabRenatão367[[#This Row],[SalAnt]]</f>
        <v>18.399999999999977</v>
      </c>
    </row>
    <row r="9" spans="2:20" x14ac:dyDescent="0.25">
      <c r="F9" s="9">
        <v>43684</v>
      </c>
      <c r="G9" s="2">
        <f t="shared" si="0"/>
        <v>4</v>
      </c>
      <c r="H9" s="2" t="str">
        <f>IF(TabRenatão367[[#This Row],[dia]]=IFERROR(VLOOKUP(TabRenatão367[[#This Row],[dia]],Tabela1[],1,FALSE),"erro"),"Sim","Não")</f>
        <v>Não</v>
      </c>
      <c r="I9" s="12">
        <f>VLOOKUP(TabRenatão367[[#This Row],[dia]],Horarios,6,0)</f>
        <v>9</v>
      </c>
      <c r="J9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9" s="12">
        <f>IF(TabRenatão367[[#This Row],[Feriado]]="Sim",TabRenatão367[[#This Row],[Htrab]],0)</f>
        <v>0</v>
      </c>
      <c r="L9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9" s="12">
        <f>IF(TabRenatão367[[#This Row],[Feriado]]="SIM",0,IF(TabRenatão367[[#This Row],[DSemana]]=7,TabRenatão367[[#This Row],[Htrab]],0))</f>
        <v>0</v>
      </c>
      <c r="N9" s="12">
        <f>IF(TabRenatão367[[#This Row],[Feriado]]="SIM",0,IF(TabRenatão367[[#This Row],[DSemana]]=1,TabRenatão367[[#This Row],[Htrab]],0))</f>
        <v>0</v>
      </c>
      <c r="O9" s="11">
        <f>TabRenatão367[[#This Row],[Htrab]]*17</f>
        <v>153</v>
      </c>
      <c r="P9" s="11">
        <f>TabRenatão367[[#This Row],[HN]]*17.9+TabRenatão367[[#This Row],[HFeriado]]*29+TabRenatão367[[#This Row],[HE]]*22.6+TabRenatão367[[#This Row],[Hsab]]*27.9+TabRenatão367[[#This Row],[Hdom]]*29</f>
        <v>165.79999999999998</v>
      </c>
      <c r="Q9" s="11">
        <f>TabRenatão367[[#This Row],[SalAtual]]-TabRenatão367[[#This Row],[SalAnt]]</f>
        <v>12.799999999999983</v>
      </c>
    </row>
    <row r="10" spans="2:20" x14ac:dyDescent="0.25">
      <c r="F10" s="9">
        <v>43685</v>
      </c>
      <c r="G10" s="2">
        <f t="shared" si="0"/>
        <v>5</v>
      </c>
      <c r="H10" s="2" t="str">
        <f>IF(TabRenatão367[[#This Row],[dia]]=IFERROR(VLOOKUP(TabRenatão367[[#This Row],[dia]],Tabela1[],1,FALSE),"erro"),"Sim","Não")</f>
        <v>Não</v>
      </c>
      <c r="I10" s="12">
        <f>VLOOKUP(TabRenatão367[[#This Row],[dia]],Horarios,6,0)</f>
        <v>10</v>
      </c>
      <c r="J10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0" s="12">
        <f>IF(TabRenatão367[[#This Row],[Feriado]]="Sim",TabRenatão367[[#This Row],[Htrab]],0)</f>
        <v>0</v>
      </c>
      <c r="L10" s="12">
        <f>IF(TabRenatão367[[#This Row],[Feriado]]="Sim",0,IF(TabRenatão367[[#This Row],[DSemana]]=1,0,IF(TabRenatão367[[#This Row],[DSemana]]=7,0,IF(TabRenatão367[[#This Row],[Htrab]]&gt;8,TabRenatão367[[#This Row],[Htrab]]-8,0))))</f>
        <v>2</v>
      </c>
      <c r="M10" s="12">
        <f>IF(TabRenatão367[[#This Row],[Feriado]]="SIM",0,IF(TabRenatão367[[#This Row],[DSemana]]=7,TabRenatão367[[#This Row],[Htrab]],0))</f>
        <v>0</v>
      </c>
      <c r="N10" s="12">
        <f>IF(TabRenatão367[[#This Row],[Feriado]]="SIM",0,IF(TabRenatão367[[#This Row],[DSemana]]=1,TabRenatão367[[#This Row],[Htrab]],0))</f>
        <v>0</v>
      </c>
      <c r="O10" s="11">
        <f>TabRenatão367[[#This Row],[Htrab]]*17</f>
        <v>170</v>
      </c>
      <c r="P10" s="11">
        <f>TabRenatão367[[#This Row],[HN]]*17.9+TabRenatão367[[#This Row],[HFeriado]]*29+TabRenatão367[[#This Row],[HE]]*22.6+TabRenatão367[[#This Row],[Hsab]]*27.9+TabRenatão367[[#This Row],[Hdom]]*29</f>
        <v>188.39999999999998</v>
      </c>
      <c r="Q10" s="11">
        <f>TabRenatão367[[#This Row],[SalAtual]]-TabRenatão367[[#This Row],[SalAnt]]</f>
        <v>18.399999999999977</v>
      </c>
    </row>
    <row r="11" spans="2:20" x14ac:dyDescent="0.25">
      <c r="F11" s="9">
        <v>43686</v>
      </c>
      <c r="G11" s="2">
        <f t="shared" si="0"/>
        <v>6</v>
      </c>
      <c r="H11" s="2" t="str">
        <f>IF(TabRenatão367[[#This Row],[dia]]=IFERROR(VLOOKUP(TabRenatão367[[#This Row],[dia]],Tabela1[],1,FALSE),"erro"),"Sim","Não")</f>
        <v>Não</v>
      </c>
      <c r="I11" s="12">
        <f>VLOOKUP(TabRenatão367[[#This Row],[dia]],Horarios,6,0)</f>
        <v>12</v>
      </c>
      <c r="J11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1" s="12">
        <f>IF(TabRenatão367[[#This Row],[Feriado]]="Sim",TabRenatão367[[#This Row],[Htrab]],0)</f>
        <v>0</v>
      </c>
      <c r="L11" s="12">
        <f>IF(TabRenatão367[[#This Row],[Feriado]]="Sim",0,IF(TabRenatão367[[#This Row],[DSemana]]=1,0,IF(TabRenatão367[[#This Row],[DSemana]]=7,0,IF(TabRenatão367[[#This Row],[Htrab]]&gt;8,TabRenatão367[[#This Row],[Htrab]]-8,0))))</f>
        <v>4</v>
      </c>
      <c r="M11" s="12">
        <f>IF(TabRenatão367[[#This Row],[Feriado]]="SIM",0,IF(TabRenatão367[[#This Row],[DSemana]]=7,TabRenatão367[[#This Row],[Htrab]],0))</f>
        <v>0</v>
      </c>
      <c r="N11" s="12">
        <f>IF(TabRenatão367[[#This Row],[Feriado]]="SIM",0,IF(TabRenatão367[[#This Row],[DSemana]]=1,TabRenatão367[[#This Row],[Htrab]],0))</f>
        <v>0</v>
      </c>
      <c r="O11" s="11">
        <f>TabRenatão367[[#This Row],[Htrab]]*17</f>
        <v>204</v>
      </c>
      <c r="P11" s="11">
        <f>TabRenatão367[[#This Row],[HN]]*17.9+TabRenatão367[[#This Row],[HFeriado]]*29+TabRenatão367[[#This Row],[HE]]*22.6+TabRenatão367[[#This Row],[Hsab]]*27.9+TabRenatão367[[#This Row],[Hdom]]*29</f>
        <v>233.6</v>
      </c>
      <c r="Q11" s="11">
        <f>TabRenatão367[[#This Row],[SalAtual]]-TabRenatão367[[#This Row],[SalAnt]]</f>
        <v>29.599999999999994</v>
      </c>
    </row>
    <row r="12" spans="2:20" x14ac:dyDescent="0.25">
      <c r="F12" s="9">
        <v>43687</v>
      </c>
      <c r="G12" s="2">
        <f t="shared" si="0"/>
        <v>7</v>
      </c>
      <c r="H12" s="2" t="str">
        <f>IF(TabRenatão367[[#This Row],[dia]]=IFERROR(VLOOKUP(TabRenatão367[[#This Row],[dia]],Tabela1[],1,FALSE),"erro"),"Sim","Não")</f>
        <v>Não</v>
      </c>
      <c r="I12" s="12">
        <f>VLOOKUP(TabRenatão367[[#This Row],[dia]],Horarios,6,0)</f>
        <v>12</v>
      </c>
      <c r="J12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12" s="12">
        <f>IF(TabRenatão367[[#This Row],[Feriado]]="Sim",TabRenatão367[[#This Row],[Htrab]],0)</f>
        <v>0</v>
      </c>
      <c r="L12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12" s="12">
        <f>IF(TabRenatão367[[#This Row],[Feriado]]="SIM",0,IF(TabRenatão367[[#This Row],[DSemana]]=7,TabRenatão367[[#This Row],[Htrab]],0))</f>
        <v>12</v>
      </c>
      <c r="N12" s="12">
        <f>IF(TabRenatão367[[#This Row],[Feriado]]="SIM",0,IF(TabRenatão367[[#This Row],[DSemana]]=1,TabRenatão367[[#This Row],[Htrab]],0))</f>
        <v>0</v>
      </c>
      <c r="O12" s="11">
        <f>TabRenatão367[[#This Row],[Htrab]]*17</f>
        <v>204</v>
      </c>
      <c r="P12" s="11">
        <f>TabRenatão367[[#This Row],[HN]]*17.9+TabRenatão367[[#This Row],[HFeriado]]*29+TabRenatão367[[#This Row],[HE]]*22.6+TabRenatão367[[#This Row],[Hsab]]*27.9+TabRenatão367[[#This Row],[Hdom]]*29</f>
        <v>334.79999999999995</v>
      </c>
      <c r="Q12" s="11">
        <f>TabRenatão367[[#This Row],[SalAtual]]-TabRenatão367[[#This Row],[SalAnt]]</f>
        <v>130.79999999999995</v>
      </c>
    </row>
    <row r="13" spans="2:20" x14ac:dyDescent="0.25">
      <c r="B13" s="144" t="s">
        <v>39</v>
      </c>
      <c r="C13" s="144"/>
      <c r="D13" s="144"/>
      <c r="F13" s="9">
        <v>43688</v>
      </c>
      <c r="G13" s="2">
        <f t="shared" si="0"/>
        <v>1</v>
      </c>
      <c r="H13" s="2" t="str">
        <f>IF(TabRenatão367[[#This Row],[dia]]=IFERROR(VLOOKUP(TabRenatão367[[#This Row],[dia]],Tabela1[],1,FALSE),"erro"),"Sim","Não")</f>
        <v>Não</v>
      </c>
      <c r="I13" s="12">
        <f>VLOOKUP(TabRenatão367[[#This Row],[dia]],Horarios,6,0)</f>
        <v>8</v>
      </c>
      <c r="J13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13" s="12">
        <f>IF(TabRenatão367[[#This Row],[Feriado]]="Sim",TabRenatão367[[#This Row],[Htrab]],0)</f>
        <v>0</v>
      </c>
      <c r="L13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13" s="12">
        <f>IF(TabRenatão367[[#This Row],[Feriado]]="SIM",0,IF(TabRenatão367[[#This Row],[DSemana]]=7,TabRenatão367[[#This Row],[Htrab]],0))</f>
        <v>0</v>
      </c>
      <c r="N13" s="12">
        <f>IF(TabRenatão367[[#This Row],[Feriado]]="SIM",0,IF(TabRenatão367[[#This Row],[DSemana]]=1,TabRenatão367[[#This Row],[Htrab]],0))</f>
        <v>8</v>
      </c>
      <c r="O13" s="11">
        <f>TabRenatão367[[#This Row],[Htrab]]*17</f>
        <v>136</v>
      </c>
      <c r="P13" s="11">
        <f>TabRenatão367[[#This Row],[HN]]*17.9+TabRenatão367[[#This Row],[HFeriado]]*29+TabRenatão367[[#This Row],[HE]]*22.6+TabRenatão367[[#This Row],[Hsab]]*27.9+TabRenatão367[[#This Row],[Hdom]]*29</f>
        <v>232</v>
      </c>
      <c r="Q13" s="11">
        <f>TabRenatão367[[#This Row],[SalAtual]]-TabRenatão367[[#This Row],[SalAnt]]</f>
        <v>96</v>
      </c>
    </row>
    <row r="14" spans="2:20" x14ac:dyDescent="0.25">
      <c r="B14" s="146" t="s">
        <v>81</v>
      </c>
      <c r="C14" s="146"/>
      <c r="D14" s="8">
        <f>SUM(P3:P33)</f>
        <v>6023.7</v>
      </c>
      <c r="F14" s="9">
        <v>43689</v>
      </c>
      <c r="G14" s="2">
        <f t="shared" si="0"/>
        <v>2</v>
      </c>
      <c r="H14" s="2" t="str">
        <f>IF(TabRenatão367[[#This Row],[dia]]=IFERROR(VLOOKUP(TabRenatão367[[#This Row],[dia]],Tabela1[],1,FALSE),"erro"),"Sim","Não")</f>
        <v>Não</v>
      </c>
      <c r="I14" s="12">
        <f>VLOOKUP(TabRenatão367[[#This Row],[dia]],Horarios,6,0)</f>
        <v>9</v>
      </c>
      <c r="J14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4" s="12">
        <f>IF(TabRenatão367[[#This Row],[Feriado]]="Sim",TabRenatão367[[#This Row],[Htrab]],0)</f>
        <v>0</v>
      </c>
      <c r="L14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14" s="12">
        <f>IF(TabRenatão367[[#This Row],[Feriado]]="SIM",0,IF(TabRenatão367[[#This Row],[DSemana]]=7,TabRenatão367[[#This Row],[Htrab]],0))</f>
        <v>0</v>
      </c>
      <c r="N14" s="12">
        <f>IF(TabRenatão367[[#This Row],[Feriado]]="SIM",0,IF(TabRenatão367[[#This Row],[DSemana]]=1,TabRenatão367[[#This Row],[Htrab]],0))</f>
        <v>0</v>
      </c>
      <c r="O14" s="11">
        <f>TabRenatão367[[#This Row],[Htrab]]*17</f>
        <v>153</v>
      </c>
      <c r="P14" s="11">
        <f>TabRenatão367[[#This Row],[HN]]*17.9+TabRenatão367[[#This Row],[HFeriado]]*29+TabRenatão367[[#This Row],[HE]]*22.6+TabRenatão367[[#This Row],[Hsab]]*27.9+TabRenatão367[[#This Row],[Hdom]]*29</f>
        <v>165.79999999999998</v>
      </c>
      <c r="Q14" s="11">
        <f>TabRenatão367[[#This Row],[SalAtual]]-TabRenatão367[[#This Row],[SalAnt]]</f>
        <v>12.799999999999983</v>
      </c>
    </row>
    <row r="15" spans="2:20" x14ac:dyDescent="0.25">
      <c r="B15" s="145" t="s">
        <v>27</v>
      </c>
      <c r="C15" s="145"/>
      <c r="D15" s="14">
        <f>IF(D14&lt;=1751.81,D14*0.08,IF(D14&lt;=2919.72,D14*0.09,D14*0.11))</f>
        <v>662.60699999999997</v>
      </c>
      <c r="F15" s="9">
        <v>43690</v>
      </c>
      <c r="G15" s="2">
        <f t="shared" si="0"/>
        <v>3</v>
      </c>
      <c r="H15" s="2" t="str">
        <f>IF(TabRenatão367[[#This Row],[dia]]=IFERROR(VLOOKUP(TabRenatão367[[#This Row],[dia]],Tabela1[],1,FALSE),"erro"),"Sim","Não")</f>
        <v>Não</v>
      </c>
      <c r="I15" s="12">
        <f>VLOOKUP(TabRenatão367[[#This Row],[dia]],Horarios,6,0)</f>
        <v>10</v>
      </c>
      <c r="J15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5" s="12">
        <f>IF(TabRenatão367[[#This Row],[Feriado]]="Sim",TabRenatão367[[#This Row],[Htrab]],0)</f>
        <v>0</v>
      </c>
      <c r="L15" s="12">
        <f>IF(TabRenatão367[[#This Row],[Feriado]]="Sim",0,IF(TabRenatão367[[#This Row],[DSemana]]=1,0,IF(TabRenatão367[[#This Row],[DSemana]]=7,0,IF(TabRenatão367[[#This Row],[Htrab]]&gt;8,TabRenatão367[[#This Row],[Htrab]]-8,0))))</f>
        <v>2</v>
      </c>
      <c r="M15" s="12">
        <f>IF(TabRenatão367[[#This Row],[Feriado]]="SIM",0,IF(TabRenatão367[[#This Row],[DSemana]]=7,TabRenatão367[[#This Row],[Htrab]],0))</f>
        <v>0</v>
      </c>
      <c r="N15" s="12">
        <f>IF(TabRenatão367[[#This Row],[Feriado]]="SIM",0,IF(TabRenatão367[[#This Row],[DSemana]]=1,TabRenatão367[[#This Row],[Htrab]],0))</f>
        <v>0</v>
      </c>
      <c r="O15" s="11">
        <f>TabRenatão367[[#This Row],[Htrab]]*17</f>
        <v>170</v>
      </c>
      <c r="P15" s="11">
        <f>TabRenatão367[[#This Row],[HN]]*17.9+TabRenatão367[[#This Row],[HFeriado]]*29+TabRenatão367[[#This Row],[HE]]*22.6+TabRenatão367[[#This Row],[Hsab]]*27.9+TabRenatão367[[#This Row],[Hdom]]*29</f>
        <v>188.39999999999998</v>
      </c>
      <c r="Q15" s="11">
        <f>TabRenatão367[[#This Row],[SalAtual]]-TabRenatão367[[#This Row],[SalAnt]]</f>
        <v>18.399999999999977</v>
      </c>
    </row>
    <row r="16" spans="2:20" x14ac:dyDescent="0.25">
      <c r="B16" s="146" t="s">
        <v>28</v>
      </c>
      <c r="C16" s="146"/>
      <c r="D16">
        <v>1</v>
      </c>
      <c r="F16" s="9">
        <v>43691</v>
      </c>
      <c r="G16" s="2">
        <f t="shared" si="0"/>
        <v>4</v>
      </c>
      <c r="H16" s="2" t="str">
        <f>IF(TabRenatão367[[#This Row],[dia]]=IFERROR(VLOOKUP(TabRenatão367[[#This Row],[dia]],Tabela1[],1,FALSE),"erro"),"Sim","Não")</f>
        <v>Não</v>
      </c>
      <c r="I16" s="12">
        <f>VLOOKUP(TabRenatão367[[#This Row],[dia]],Horarios,6,0)</f>
        <v>9</v>
      </c>
      <c r="J16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6" s="12">
        <f>IF(TabRenatão367[[#This Row],[Feriado]]="Sim",TabRenatão367[[#This Row],[Htrab]],0)</f>
        <v>0</v>
      </c>
      <c r="L16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16" s="12">
        <f>IF(TabRenatão367[[#This Row],[Feriado]]="SIM",0,IF(TabRenatão367[[#This Row],[DSemana]]=7,TabRenatão367[[#This Row],[Htrab]],0))</f>
        <v>0</v>
      </c>
      <c r="N16" s="12">
        <f>IF(TabRenatão367[[#This Row],[Feriado]]="SIM",0,IF(TabRenatão367[[#This Row],[DSemana]]=1,TabRenatão367[[#This Row],[Htrab]],0))</f>
        <v>0</v>
      </c>
      <c r="O16" s="11">
        <f>TabRenatão367[[#This Row],[Htrab]]*17</f>
        <v>153</v>
      </c>
      <c r="P16" s="11">
        <f>TabRenatão367[[#This Row],[HN]]*17.9+TabRenatão367[[#This Row],[HFeriado]]*29+TabRenatão367[[#This Row],[HE]]*22.6+TabRenatão367[[#This Row],[Hsab]]*27.9+TabRenatão367[[#This Row],[Hdom]]*29</f>
        <v>165.79999999999998</v>
      </c>
      <c r="Q16" s="11">
        <f>TabRenatão367[[#This Row],[SalAtual]]-TabRenatão367[[#This Row],[SalAnt]]</f>
        <v>12.799999999999983</v>
      </c>
    </row>
    <row r="17" spans="2:17" x14ac:dyDescent="0.25">
      <c r="B17" s="15" t="s">
        <v>29</v>
      </c>
      <c r="C17" s="15"/>
      <c r="D17" s="14">
        <f>D14-D15-(D16*189.59)</f>
        <v>5171.5029999999997</v>
      </c>
      <c r="F17" s="9">
        <v>43692</v>
      </c>
      <c r="G17" s="2">
        <f t="shared" si="0"/>
        <v>5</v>
      </c>
      <c r="H17" s="2" t="str">
        <f>IF(TabRenatão367[[#This Row],[dia]]=IFERROR(VLOOKUP(TabRenatão367[[#This Row],[dia]],Tabela1[],1,FALSE),"erro"),"Sim","Não")</f>
        <v>Sim</v>
      </c>
      <c r="I17" s="12">
        <f>VLOOKUP(TabRenatão367[[#This Row],[dia]],Horarios,6,0)</f>
        <v>8</v>
      </c>
      <c r="J17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17" s="12">
        <f>IF(TabRenatão367[[#This Row],[Feriado]]="Sim",TabRenatão367[[#This Row],[Htrab]],0)</f>
        <v>8</v>
      </c>
      <c r="L17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17" s="12">
        <f>IF(TabRenatão367[[#This Row],[Feriado]]="SIM",0,IF(TabRenatão367[[#This Row],[DSemana]]=7,TabRenatão367[[#This Row],[Htrab]],0))</f>
        <v>0</v>
      </c>
      <c r="N17" s="12">
        <f>IF(TabRenatão367[[#This Row],[Feriado]]="SIM",0,IF(TabRenatão367[[#This Row],[DSemana]]=1,TabRenatão367[[#This Row],[Htrab]],0))</f>
        <v>0</v>
      </c>
      <c r="O17" s="11">
        <f>TabRenatão367[[#This Row],[Htrab]]*17</f>
        <v>136</v>
      </c>
      <c r="P17" s="11">
        <f>TabRenatão367[[#This Row],[HN]]*17.9+TabRenatão367[[#This Row],[HFeriado]]*29+TabRenatão367[[#This Row],[HE]]*22.6+TabRenatão367[[#This Row],[Hsab]]*27.9+TabRenatão367[[#This Row],[Hdom]]*29</f>
        <v>232</v>
      </c>
      <c r="Q17" s="11">
        <f>TabRenatão367[[#This Row],[SalAtual]]-TabRenatão367[[#This Row],[SalAnt]]</f>
        <v>96</v>
      </c>
    </row>
    <row r="18" spans="2:17" x14ac:dyDescent="0.25">
      <c r="B18" s="16" t="s">
        <v>30</v>
      </c>
      <c r="C18" s="16"/>
      <c r="D18" s="8">
        <f>D17*VLOOKUP(D17,irrf,3)-VLOOKUP(D17,irrf,4)</f>
        <v>552.80332499999997</v>
      </c>
      <c r="F18" s="9">
        <v>43693</v>
      </c>
      <c r="G18" s="2">
        <f t="shared" si="0"/>
        <v>6</v>
      </c>
      <c r="H18" s="2" t="str">
        <f>IF(TabRenatão367[[#This Row],[dia]]=IFERROR(VLOOKUP(TabRenatão367[[#This Row],[dia]],Tabela1[],1,FALSE),"erro"),"Sim","Não")</f>
        <v>Não</v>
      </c>
      <c r="I18" s="12">
        <f>VLOOKUP(TabRenatão367[[#This Row],[dia]],Horarios,6,0)</f>
        <v>8</v>
      </c>
      <c r="J18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18" s="12">
        <f>IF(TabRenatão367[[#This Row],[Feriado]]="Sim",TabRenatão367[[#This Row],[Htrab]],0)</f>
        <v>0</v>
      </c>
      <c r="L18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18" s="12">
        <f>IF(TabRenatão367[[#This Row],[Feriado]]="SIM",0,IF(TabRenatão367[[#This Row],[DSemana]]=7,TabRenatão367[[#This Row],[Htrab]],0))</f>
        <v>0</v>
      </c>
      <c r="N18" s="12">
        <f>IF(TabRenatão367[[#This Row],[Feriado]]="SIM",0,IF(TabRenatão367[[#This Row],[DSemana]]=1,TabRenatão367[[#This Row],[Htrab]],0))</f>
        <v>0</v>
      </c>
      <c r="O18" s="11">
        <f>TabRenatão367[[#This Row],[Htrab]]*17</f>
        <v>136</v>
      </c>
      <c r="P18" s="11">
        <f>TabRenatão367[[#This Row],[HN]]*17.9+TabRenatão367[[#This Row],[HFeriado]]*29+TabRenatão367[[#This Row],[HE]]*22.6+TabRenatão367[[#This Row],[Hsab]]*27.9+TabRenatão367[[#This Row],[Hdom]]*29</f>
        <v>143.19999999999999</v>
      </c>
      <c r="Q18" s="11">
        <f>TabRenatão367[[#This Row],[SalAtual]]-TabRenatão367[[#This Row],[SalAnt]]</f>
        <v>7.1999999999999886</v>
      </c>
    </row>
    <row r="19" spans="2:17" x14ac:dyDescent="0.25">
      <c r="B19" s="15" t="s">
        <v>31</v>
      </c>
      <c r="C19" s="15"/>
      <c r="D19" s="14">
        <f>D14-D15-D18</f>
        <v>4808.289675</v>
      </c>
      <c r="F19" s="9">
        <v>43694</v>
      </c>
      <c r="G19" s="2">
        <f t="shared" si="0"/>
        <v>7</v>
      </c>
      <c r="H19" s="2" t="str">
        <f>IF(TabRenatão367[[#This Row],[dia]]=IFERROR(VLOOKUP(TabRenatão367[[#This Row],[dia]],Tabela1[],1,FALSE),"erro"),"Sim","Não")</f>
        <v>Não</v>
      </c>
      <c r="I19" s="12">
        <f>VLOOKUP(TabRenatão367[[#This Row],[dia]],Horarios,6,0)</f>
        <v>0</v>
      </c>
      <c r="J19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19" s="12">
        <f>IF(TabRenatão367[[#This Row],[Feriado]]="Sim",TabRenatão367[[#This Row],[Htrab]],0)</f>
        <v>0</v>
      </c>
      <c r="L19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19" s="12">
        <f>IF(TabRenatão367[[#This Row],[Feriado]]="SIM",0,IF(TabRenatão367[[#This Row],[DSemana]]=7,TabRenatão367[[#This Row],[Htrab]],0))</f>
        <v>0</v>
      </c>
      <c r="N19" s="12">
        <f>IF(TabRenatão367[[#This Row],[Feriado]]="SIM",0,IF(TabRenatão367[[#This Row],[DSemana]]=1,TabRenatão367[[#This Row],[Htrab]],0))</f>
        <v>0</v>
      </c>
      <c r="O19" s="11">
        <f>TabRenatão367[[#This Row],[Htrab]]*17</f>
        <v>0</v>
      </c>
      <c r="P19" s="11">
        <f>TabRenatão367[[#This Row],[HN]]*17.9+TabRenatão367[[#This Row],[HFeriado]]*29+TabRenatão367[[#This Row],[HE]]*22.6+TabRenatão367[[#This Row],[Hsab]]*27.9+TabRenatão367[[#This Row],[Hdom]]*29</f>
        <v>0</v>
      </c>
      <c r="Q19" s="11">
        <f>TabRenatão367[[#This Row],[SalAtual]]-TabRenatão367[[#This Row],[SalAnt]]</f>
        <v>0</v>
      </c>
    </row>
    <row r="20" spans="2:17" x14ac:dyDescent="0.25">
      <c r="F20" s="9">
        <v>43695</v>
      </c>
      <c r="G20" s="2">
        <f t="shared" si="0"/>
        <v>1</v>
      </c>
      <c r="H20" s="2" t="str">
        <f>IF(TabRenatão367[[#This Row],[dia]]=IFERROR(VLOOKUP(TabRenatão367[[#This Row],[dia]],Tabela1[],1,FALSE),"erro"),"Sim","Não")</f>
        <v>Não</v>
      </c>
      <c r="I20" s="12">
        <f>VLOOKUP(TabRenatão367[[#This Row],[dia]],Horarios,6,0)</f>
        <v>10</v>
      </c>
      <c r="J20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20" s="12">
        <f>IF(TabRenatão367[[#This Row],[Feriado]]="Sim",TabRenatão367[[#This Row],[Htrab]],0)</f>
        <v>0</v>
      </c>
      <c r="L20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0" s="12">
        <f>IF(TabRenatão367[[#This Row],[Feriado]]="SIM",0,IF(TabRenatão367[[#This Row],[DSemana]]=7,TabRenatão367[[#This Row],[Htrab]],0))</f>
        <v>0</v>
      </c>
      <c r="N20" s="12">
        <f>IF(TabRenatão367[[#This Row],[Feriado]]="SIM",0,IF(TabRenatão367[[#This Row],[DSemana]]=1,TabRenatão367[[#This Row],[Htrab]],0))</f>
        <v>10</v>
      </c>
      <c r="O20" s="11">
        <f>TabRenatão367[[#This Row],[Htrab]]*17</f>
        <v>170</v>
      </c>
      <c r="P20" s="11">
        <f>TabRenatão367[[#This Row],[HN]]*17.9+TabRenatão367[[#This Row],[HFeriado]]*29+TabRenatão367[[#This Row],[HE]]*22.6+TabRenatão367[[#This Row],[Hsab]]*27.9+TabRenatão367[[#This Row],[Hdom]]*29</f>
        <v>290</v>
      </c>
      <c r="Q20" s="11">
        <f>TabRenatão367[[#This Row],[SalAtual]]-TabRenatão367[[#This Row],[SalAnt]]</f>
        <v>120</v>
      </c>
    </row>
    <row r="21" spans="2:17" x14ac:dyDescent="0.25">
      <c r="B21" s="145" t="s">
        <v>77</v>
      </c>
      <c r="C21" s="145"/>
      <c r="D21" s="14">
        <f>SUM(TabRenatão367[SalAnt])</f>
        <v>4692</v>
      </c>
      <c r="F21" s="9">
        <v>43696</v>
      </c>
      <c r="G21" s="2">
        <f t="shared" si="0"/>
        <v>2</v>
      </c>
      <c r="H21" s="2" t="str">
        <f>IF(TabRenatão367[[#This Row],[dia]]=IFERROR(VLOOKUP(TabRenatão367[[#This Row],[dia]],Tabela1[],1,FALSE),"erro"),"Sim","Não")</f>
        <v>Não</v>
      </c>
      <c r="I21" s="12">
        <f>VLOOKUP(TabRenatão367[[#This Row],[dia]],Horarios,6,0)</f>
        <v>8</v>
      </c>
      <c r="J21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21" s="12">
        <f>IF(TabRenatão367[[#This Row],[Feriado]]="Sim",TabRenatão367[[#This Row],[Htrab]],0)</f>
        <v>0</v>
      </c>
      <c r="L21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1" s="12">
        <f>IF(TabRenatão367[[#This Row],[Feriado]]="SIM",0,IF(TabRenatão367[[#This Row],[DSemana]]=7,TabRenatão367[[#This Row],[Htrab]],0))</f>
        <v>0</v>
      </c>
      <c r="N21" s="12">
        <f>IF(TabRenatão367[[#This Row],[Feriado]]="SIM",0,IF(TabRenatão367[[#This Row],[DSemana]]=1,TabRenatão367[[#This Row],[Htrab]],0))</f>
        <v>0</v>
      </c>
      <c r="O21" s="11">
        <f>TabRenatão367[[#This Row],[Htrab]]*17</f>
        <v>136</v>
      </c>
      <c r="P21" s="11">
        <f>TabRenatão367[[#This Row],[HN]]*17.9+TabRenatão367[[#This Row],[HFeriado]]*29+TabRenatão367[[#This Row],[HE]]*22.6+TabRenatão367[[#This Row],[Hsab]]*27.9+TabRenatão367[[#This Row],[Hdom]]*29</f>
        <v>143.19999999999999</v>
      </c>
      <c r="Q21" s="11">
        <f>TabRenatão367[[#This Row],[SalAtual]]-TabRenatão367[[#This Row],[SalAnt]]</f>
        <v>7.1999999999999886</v>
      </c>
    </row>
    <row r="22" spans="2:17" x14ac:dyDescent="0.25">
      <c r="F22" s="9">
        <v>43697</v>
      </c>
      <c r="G22" s="2">
        <f t="shared" si="0"/>
        <v>3</v>
      </c>
      <c r="H22" s="2" t="str">
        <f>IF(TabRenatão367[[#This Row],[dia]]=IFERROR(VLOOKUP(TabRenatão367[[#This Row],[dia]],Tabela1[],1,FALSE),"erro"),"Sim","Não")</f>
        <v>Sim</v>
      </c>
      <c r="I22" s="12">
        <f>VLOOKUP(TabRenatão367[[#This Row],[dia]],Horarios,6,0)</f>
        <v>9</v>
      </c>
      <c r="J22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22" s="12">
        <f>IF(TabRenatão367[[#This Row],[Feriado]]="Sim",TabRenatão367[[#This Row],[Htrab]],0)</f>
        <v>9</v>
      </c>
      <c r="L22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2" s="12">
        <f>IF(TabRenatão367[[#This Row],[Feriado]]="SIM",0,IF(TabRenatão367[[#This Row],[DSemana]]=7,TabRenatão367[[#This Row],[Htrab]],0))</f>
        <v>0</v>
      </c>
      <c r="N22" s="12">
        <f>IF(TabRenatão367[[#This Row],[Feriado]]="SIM",0,IF(TabRenatão367[[#This Row],[DSemana]]=1,TabRenatão367[[#This Row],[Htrab]],0))</f>
        <v>0</v>
      </c>
      <c r="O22" s="11">
        <f>TabRenatão367[[#This Row],[Htrab]]*17</f>
        <v>153</v>
      </c>
      <c r="P22" s="11">
        <f>TabRenatão367[[#This Row],[HN]]*17.9+TabRenatão367[[#This Row],[HFeriado]]*29+TabRenatão367[[#This Row],[HE]]*22.6+TabRenatão367[[#This Row],[Hsab]]*27.9+TabRenatão367[[#This Row],[Hdom]]*29</f>
        <v>261</v>
      </c>
      <c r="Q22" s="11">
        <f>TabRenatão367[[#This Row],[SalAtual]]-TabRenatão367[[#This Row],[SalAnt]]</f>
        <v>108</v>
      </c>
    </row>
    <row r="23" spans="2:17" x14ac:dyDescent="0.25">
      <c r="F23" s="9">
        <v>43698</v>
      </c>
      <c r="G23" s="2">
        <f t="shared" si="0"/>
        <v>4</v>
      </c>
      <c r="H23" s="2" t="str">
        <f>IF(TabRenatão367[[#This Row],[dia]]=IFERROR(VLOOKUP(TabRenatão367[[#This Row],[dia]],Tabela1[],1,FALSE),"erro"),"Sim","Não")</f>
        <v>Não</v>
      </c>
      <c r="I23" s="12">
        <f>VLOOKUP(TabRenatão367[[#This Row],[dia]],Horarios,6,0)</f>
        <v>8</v>
      </c>
      <c r="J23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23" s="12">
        <f>IF(TabRenatão367[[#This Row],[Feriado]]="Sim",TabRenatão367[[#This Row],[Htrab]],0)</f>
        <v>0</v>
      </c>
      <c r="L23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3" s="12">
        <f>IF(TabRenatão367[[#This Row],[Feriado]]="SIM",0,IF(TabRenatão367[[#This Row],[DSemana]]=7,TabRenatão367[[#This Row],[Htrab]],0))</f>
        <v>0</v>
      </c>
      <c r="N23" s="12">
        <f>IF(TabRenatão367[[#This Row],[Feriado]]="SIM",0,IF(TabRenatão367[[#This Row],[DSemana]]=1,TabRenatão367[[#This Row],[Htrab]],0))</f>
        <v>0</v>
      </c>
      <c r="O23" s="11">
        <f>TabRenatão367[[#This Row],[Htrab]]*17</f>
        <v>136</v>
      </c>
      <c r="P23" s="11">
        <f>TabRenatão367[[#This Row],[HN]]*17.9+TabRenatão367[[#This Row],[HFeriado]]*29+TabRenatão367[[#This Row],[HE]]*22.6+TabRenatão367[[#This Row],[Hsab]]*27.9+TabRenatão367[[#This Row],[Hdom]]*29</f>
        <v>143.19999999999999</v>
      </c>
      <c r="Q23" s="11">
        <f>TabRenatão367[[#This Row],[SalAtual]]-TabRenatão367[[#This Row],[SalAnt]]</f>
        <v>7.1999999999999886</v>
      </c>
    </row>
    <row r="24" spans="2:17" x14ac:dyDescent="0.25">
      <c r="F24" s="9">
        <v>43699</v>
      </c>
      <c r="G24" s="2">
        <f t="shared" si="0"/>
        <v>5</v>
      </c>
      <c r="H24" s="2" t="str">
        <f>IF(TabRenatão367[[#This Row],[dia]]=IFERROR(VLOOKUP(TabRenatão367[[#This Row],[dia]],Tabela1[],1,FALSE),"erro"),"Sim","Não")</f>
        <v>Não</v>
      </c>
      <c r="I24" s="12">
        <f>VLOOKUP(TabRenatão367[[#This Row],[dia]],Horarios,6,0)</f>
        <v>12</v>
      </c>
      <c r="J24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24" s="12">
        <f>IF(TabRenatão367[[#This Row],[Feriado]]="Sim",TabRenatão367[[#This Row],[Htrab]],0)</f>
        <v>0</v>
      </c>
      <c r="L24" s="12">
        <f>IF(TabRenatão367[[#This Row],[Feriado]]="Sim",0,IF(TabRenatão367[[#This Row],[DSemana]]=1,0,IF(TabRenatão367[[#This Row],[DSemana]]=7,0,IF(TabRenatão367[[#This Row],[Htrab]]&gt;8,TabRenatão367[[#This Row],[Htrab]]-8,0))))</f>
        <v>4</v>
      </c>
      <c r="M24" s="12">
        <f>IF(TabRenatão367[[#This Row],[Feriado]]="SIM",0,IF(TabRenatão367[[#This Row],[DSemana]]=7,TabRenatão367[[#This Row],[Htrab]],0))</f>
        <v>0</v>
      </c>
      <c r="N24" s="12">
        <f>IF(TabRenatão367[[#This Row],[Feriado]]="SIM",0,IF(TabRenatão367[[#This Row],[DSemana]]=1,TabRenatão367[[#This Row],[Htrab]],0))</f>
        <v>0</v>
      </c>
      <c r="O24" s="11">
        <f>TabRenatão367[[#This Row],[Htrab]]*17</f>
        <v>204</v>
      </c>
      <c r="P24" s="11">
        <f>TabRenatão367[[#This Row],[HN]]*17.9+TabRenatão367[[#This Row],[HFeriado]]*29+TabRenatão367[[#This Row],[HE]]*22.6+TabRenatão367[[#This Row],[Hsab]]*27.9+TabRenatão367[[#This Row],[Hdom]]*29</f>
        <v>233.6</v>
      </c>
      <c r="Q24" s="11">
        <f>TabRenatão367[[#This Row],[SalAtual]]-TabRenatão367[[#This Row],[SalAnt]]</f>
        <v>29.599999999999994</v>
      </c>
    </row>
    <row r="25" spans="2:17" x14ac:dyDescent="0.25">
      <c r="F25" s="9">
        <v>43700</v>
      </c>
      <c r="G25" s="2">
        <f t="shared" si="0"/>
        <v>6</v>
      </c>
      <c r="H25" s="2" t="str">
        <f>IF(TabRenatão367[[#This Row],[dia]]=IFERROR(VLOOKUP(TabRenatão367[[#This Row],[dia]],Tabela1[],1,FALSE),"erro"),"Sim","Não")</f>
        <v>Não</v>
      </c>
      <c r="I25" s="12">
        <f>VLOOKUP(TabRenatão367[[#This Row],[dia]],Horarios,6,0)</f>
        <v>12</v>
      </c>
      <c r="J25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25" s="12">
        <f>IF(TabRenatão367[[#This Row],[Feriado]]="Sim",TabRenatão367[[#This Row],[Htrab]],0)</f>
        <v>0</v>
      </c>
      <c r="L25" s="12">
        <f>IF(TabRenatão367[[#This Row],[Feriado]]="Sim",0,IF(TabRenatão367[[#This Row],[DSemana]]=1,0,IF(TabRenatão367[[#This Row],[DSemana]]=7,0,IF(TabRenatão367[[#This Row],[Htrab]]&gt;8,TabRenatão367[[#This Row],[Htrab]]-8,0))))</f>
        <v>4</v>
      </c>
      <c r="M25" s="12">
        <f>IF(TabRenatão367[[#This Row],[Feriado]]="SIM",0,IF(TabRenatão367[[#This Row],[DSemana]]=7,TabRenatão367[[#This Row],[Htrab]],0))</f>
        <v>0</v>
      </c>
      <c r="N25" s="12">
        <f>IF(TabRenatão367[[#This Row],[Feriado]]="SIM",0,IF(TabRenatão367[[#This Row],[DSemana]]=1,TabRenatão367[[#This Row],[Htrab]],0))</f>
        <v>0</v>
      </c>
      <c r="O25" s="11">
        <f>TabRenatão367[[#This Row],[Htrab]]*17</f>
        <v>204</v>
      </c>
      <c r="P25" s="11">
        <f>TabRenatão367[[#This Row],[HN]]*17.9+TabRenatão367[[#This Row],[HFeriado]]*29+TabRenatão367[[#This Row],[HE]]*22.6+TabRenatão367[[#This Row],[Hsab]]*27.9+TabRenatão367[[#This Row],[Hdom]]*29</f>
        <v>233.6</v>
      </c>
      <c r="Q25" s="11">
        <f>TabRenatão367[[#This Row],[SalAtual]]-TabRenatão367[[#This Row],[SalAnt]]</f>
        <v>29.599999999999994</v>
      </c>
    </row>
    <row r="26" spans="2:17" x14ac:dyDescent="0.25">
      <c r="F26" s="9">
        <v>43701</v>
      </c>
      <c r="G26" s="2">
        <f t="shared" si="0"/>
        <v>7</v>
      </c>
      <c r="H26" s="2" t="str">
        <f>IF(TabRenatão367[[#This Row],[dia]]=IFERROR(VLOOKUP(TabRenatão367[[#This Row],[dia]],Tabela1[],1,FALSE),"erro"),"Sim","Não")</f>
        <v>Não</v>
      </c>
      <c r="I26" s="12">
        <f>VLOOKUP(TabRenatão367[[#This Row],[dia]],Horarios,6,0)</f>
        <v>10</v>
      </c>
      <c r="J26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26" s="12">
        <f>IF(TabRenatão367[[#This Row],[Feriado]]="Sim",TabRenatão367[[#This Row],[Htrab]],0)</f>
        <v>0</v>
      </c>
      <c r="L26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6" s="12">
        <f>IF(TabRenatão367[[#This Row],[Feriado]]="SIM",0,IF(TabRenatão367[[#This Row],[DSemana]]=7,TabRenatão367[[#This Row],[Htrab]],0))</f>
        <v>10</v>
      </c>
      <c r="N26" s="12">
        <f>IF(TabRenatão367[[#This Row],[Feriado]]="SIM",0,IF(TabRenatão367[[#This Row],[DSemana]]=1,TabRenatão367[[#This Row],[Htrab]],0))</f>
        <v>0</v>
      </c>
      <c r="O26" s="11">
        <f>TabRenatão367[[#This Row],[Htrab]]*17</f>
        <v>170</v>
      </c>
      <c r="P26" s="11">
        <f>TabRenatão367[[#This Row],[HN]]*17.9+TabRenatão367[[#This Row],[HFeriado]]*29+TabRenatão367[[#This Row],[HE]]*22.6+TabRenatão367[[#This Row],[Hsab]]*27.9+TabRenatão367[[#This Row],[Hdom]]*29</f>
        <v>279</v>
      </c>
      <c r="Q26" s="11">
        <f>TabRenatão367[[#This Row],[SalAtual]]-TabRenatão367[[#This Row],[SalAnt]]</f>
        <v>109</v>
      </c>
    </row>
    <row r="27" spans="2:17" x14ac:dyDescent="0.25">
      <c r="F27" s="9">
        <v>43702</v>
      </c>
      <c r="G27" s="2">
        <f t="shared" si="0"/>
        <v>1</v>
      </c>
      <c r="H27" s="2" t="str">
        <f>IF(TabRenatão367[[#This Row],[dia]]=IFERROR(VLOOKUP(TabRenatão367[[#This Row],[dia]],Tabela1[],1,FALSE),"erro"),"Sim","Não")</f>
        <v>Não</v>
      </c>
      <c r="I27" s="12">
        <f>VLOOKUP(TabRenatão367[[#This Row],[dia]],Horarios,6,0)</f>
        <v>4</v>
      </c>
      <c r="J27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27" s="12">
        <f>IF(TabRenatão367[[#This Row],[Feriado]]="Sim",TabRenatão367[[#This Row],[Htrab]],0)</f>
        <v>0</v>
      </c>
      <c r="L27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7" s="12">
        <f>IF(TabRenatão367[[#This Row],[Feriado]]="SIM",0,IF(TabRenatão367[[#This Row],[DSemana]]=7,TabRenatão367[[#This Row],[Htrab]],0))</f>
        <v>0</v>
      </c>
      <c r="N27" s="12">
        <f>IF(TabRenatão367[[#This Row],[Feriado]]="SIM",0,IF(TabRenatão367[[#This Row],[DSemana]]=1,TabRenatão367[[#This Row],[Htrab]],0))</f>
        <v>4</v>
      </c>
      <c r="O27" s="11">
        <f>TabRenatão367[[#This Row],[Htrab]]*17</f>
        <v>68</v>
      </c>
      <c r="P27" s="11">
        <f>TabRenatão367[[#This Row],[HN]]*17.9+TabRenatão367[[#This Row],[HFeriado]]*29+TabRenatão367[[#This Row],[HE]]*22.6+TabRenatão367[[#This Row],[Hsab]]*27.9+TabRenatão367[[#This Row],[Hdom]]*29</f>
        <v>116</v>
      </c>
      <c r="Q27" s="11">
        <f>TabRenatão367[[#This Row],[SalAtual]]-TabRenatão367[[#This Row],[SalAnt]]</f>
        <v>48</v>
      </c>
    </row>
    <row r="28" spans="2:17" x14ac:dyDescent="0.25">
      <c r="F28" s="9">
        <v>43703</v>
      </c>
      <c r="G28" s="2">
        <f t="shared" si="0"/>
        <v>2</v>
      </c>
      <c r="H28" s="2" t="str">
        <f>IF(TabRenatão367[[#This Row],[dia]]=IFERROR(VLOOKUP(TabRenatão367[[#This Row],[dia]],Tabela1[],1,FALSE),"erro"),"Sim","Não")</f>
        <v>Não</v>
      </c>
      <c r="I28" s="12">
        <f>VLOOKUP(TabRenatão367[[#This Row],[dia]],Horarios,6,0)</f>
        <v>9</v>
      </c>
      <c r="J28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28" s="12">
        <f>IF(TabRenatão367[[#This Row],[Feriado]]="Sim",TabRenatão367[[#This Row],[Htrab]],0)</f>
        <v>0</v>
      </c>
      <c r="L28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28" s="12">
        <f>IF(TabRenatão367[[#This Row],[Feriado]]="SIM",0,IF(TabRenatão367[[#This Row],[DSemana]]=7,TabRenatão367[[#This Row],[Htrab]],0))</f>
        <v>0</v>
      </c>
      <c r="N28" s="12">
        <f>IF(TabRenatão367[[#This Row],[Feriado]]="SIM",0,IF(TabRenatão367[[#This Row],[DSemana]]=1,TabRenatão367[[#This Row],[Htrab]],0))</f>
        <v>0</v>
      </c>
      <c r="O28" s="11">
        <f>TabRenatão367[[#This Row],[Htrab]]*17</f>
        <v>153</v>
      </c>
      <c r="P28" s="11">
        <f>TabRenatão367[[#This Row],[HN]]*17.9+TabRenatão367[[#This Row],[HFeriado]]*29+TabRenatão367[[#This Row],[HE]]*22.6+TabRenatão367[[#This Row],[Hsab]]*27.9+TabRenatão367[[#This Row],[Hdom]]*29</f>
        <v>165.79999999999998</v>
      </c>
      <c r="Q28" s="11">
        <f>TabRenatão367[[#This Row],[SalAtual]]-TabRenatão367[[#This Row],[SalAnt]]</f>
        <v>12.799999999999983</v>
      </c>
    </row>
    <row r="29" spans="2:17" x14ac:dyDescent="0.25">
      <c r="F29" s="9">
        <v>43704</v>
      </c>
      <c r="G29" s="2">
        <f t="shared" si="0"/>
        <v>3</v>
      </c>
      <c r="H29" s="2" t="str">
        <f>IF(TabRenatão367[[#This Row],[dia]]=IFERROR(VLOOKUP(TabRenatão367[[#This Row],[dia]],Tabela1[],1,FALSE),"erro"),"Sim","Não")</f>
        <v>Não</v>
      </c>
      <c r="I29" s="12">
        <f>VLOOKUP(TabRenatão367[[#This Row],[dia]],Horarios,6,0)</f>
        <v>6</v>
      </c>
      <c r="J29" s="12">
        <f>IF(TabRenatão367[[#This Row],[Feriado]]="Sim",0,IF(TabRenatão367[[#This Row],[DSemana]]=1,0,IF(TabRenatão367[[#This Row],[DSemana]]=7,0,IF(TabRenatão367[[#This Row],[Htrab]]&gt;8,8,TabRenatão367[[#This Row],[Htrab]]))))</f>
        <v>6</v>
      </c>
      <c r="K29" s="12">
        <f>IF(TabRenatão367[[#This Row],[Feriado]]="Sim",TabRenatão367[[#This Row],[Htrab]],0)</f>
        <v>0</v>
      </c>
      <c r="L29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29" s="12">
        <f>IF(TabRenatão367[[#This Row],[Feriado]]="SIM",0,IF(TabRenatão367[[#This Row],[DSemana]]=7,TabRenatão367[[#This Row],[Htrab]],0))</f>
        <v>0</v>
      </c>
      <c r="N29" s="12">
        <f>IF(TabRenatão367[[#This Row],[Feriado]]="SIM",0,IF(TabRenatão367[[#This Row],[DSemana]]=1,TabRenatão367[[#This Row],[Htrab]],0))</f>
        <v>0</v>
      </c>
      <c r="O29" s="11">
        <f>TabRenatão367[[#This Row],[Htrab]]*17</f>
        <v>102</v>
      </c>
      <c r="P29" s="11">
        <f>TabRenatão367[[#This Row],[HN]]*17.9+TabRenatão367[[#This Row],[HFeriado]]*29+TabRenatão367[[#This Row],[HE]]*22.6+TabRenatão367[[#This Row],[Hsab]]*27.9+TabRenatão367[[#This Row],[Hdom]]*29</f>
        <v>107.39999999999999</v>
      </c>
      <c r="Q29" s="11">
        <f>TabRenatão367[[#This Row],[SalAtual]]-TabRenatão367[[#This Row],[SalAnt]]</f>
        <v>5.3999999999999915</v>
      </c>
    </row>
    <row r="30" spans="2:17" x14ac:dyDescent="0.25">
      <c r="F30" s="9">
        <v>43705</v>
      </c>
      <c r="G30" s="2">
        <f t="shared" si="0"/>
        <v>4</v>
      </c>
      <c r="H30" s="2" t="str">
        <f>IF(TabRenatão367[[#This Row],[dia]]=IFERROR(VLOOKUP(TabRenatão367[[#This Row],[dia]],Tabela1[],1,FALSE),"erro"),"Sim","Não")</f>
        <v>Não</v>
      </c>
      <c r="I30" s="12">
        <f>VLOOKUP(TabRenatão367[[#This Row],[dia]],Horarios,6,0)</f>
        <v>9</v>
      </c>
      <c r="J30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30" s="12">
        <f>IF(TabRenatão367[[#This Row],[Feriado]]="Sim",TabRenatão367[[#This Row],[Htrab]],0)</f>
        <v>0</v>
      </c>
      <c r="L30" s="12">
        <f>IF(TabRenatão367[[#This Row],[Feriado]]="Sim",0,IF(TabRenatão367[[#This Row],[DSemana]]=1,0,IF(TabRenatão367[[#This Row],[DSemana]]=7,0,IF(TabRenatão367[[#This Row],[Htrab]]&gt;8,TabRenatão367[[#This Row],[Htrab]]-8,0))))</f>
        <v>1</v>
      </c>
      <c r="M30" s="12">
        <f>IF(TabRenatão367[[#This Row],[Feriado]]="SIM",0,IF(TabRenatão367[[#This Row],[DSemana]]=7,TabRenatão367[[#This Row],[Htrab]],0))</f>
        <v>0</v>
      </c>
      <c r="N30" s="12">
        <f>IF(TabRenatão367[[#This Row],[Feriado]]="SIM",0,IF(TabRenatão367[[#This Row],[DSemana]]=1,TabRenatão367[[#This Row],[Htrab]],0))</f>
        <v>0</v>
      </c>
      <c r="O30" s="11">
        <f>TabRenatão367[[#This Row],[Htrab]]*17</f>
        <v>153</v>
      </c>
      <c r="P30" s="11">
        <f>TabRenatão367[[#This Row],[HN]]*17.9+TabRenatão367[[#This Row],[HFeriado]]*29+TabRenatão367[[#This Row],[HE]]*22.6+TabRenatão367[[#This Row],[Hsab]]*27.9+TabRenatão367[[#This Row],[Hdom]]*29</f>
        <v>165.79999999999998</v>
      </c>
      <c r="Q30" s="11">
        <f>TabRenatão367[[#This Row],[SalAtual]]-TabRenatão367[[#This Row],[SalAnt]]</f>
        <v>12.799999999999983</v>
      </c>
    </row>
    <row r="31" spans="2:17" x14ac:dyDescent="0.25">
      <c r="F31" s="9">
        <v>43706</v>
      </c>
      <c r="G31" s="2">
        <f t="shared" si="0"/>
        <v>5</v>
      </c>
      <c r="H31" s="2" t="str">
        <f>IF(TabRenatão367[[#This Row],[dia]]=IFERROR(VLOOKUP(TabRenatão367[[#This Row],[dia]],Tabela1[],1,FALSE),"erro"),"Sim","Não")</f>
        <v>Não</v>
      </c>
      <c r="I31" s="12">
        <f>VLOOKUP(TabRenatão367[[#This Row],[dia]],Horarios,6,0)</f>
        <v>8</v>
      </c>
      <c r="J31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31" s="12">
        <f>IF(TabRenatão367[[#This Row],[Feriado]]="Sim",TabRenatão367[[#This Row],[Htrab]],0)</f>
        <v>0</v>
      </c>
      <c r="L31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31" s="12">
        <f>IF(TabRenatão367[[#This Row],[Feriado]]="SIM",0,IF(TabRenatão367[[#This Row],[DSemana]]=7,TabRenatão367[[#This Row],[Htrab]],0))</f>
        <v>0</v>
      </c>
      <c r="N31" s="12">
        <f>IF(TabRenatão367[[#This Row],[Feriado]]="SIM",0,IF(TabRenatão367[[#This Row],[DSemana]]=1,TabRenatão367[[#This Row],[Htrab]],0))</f>
        <v>0</v>
      </c>
      <c r="O31" s="11">
        <f>TabRenatão367[[#This Row],[Htrab]]*17</f>
        <v>136</v>
      </c>
      <c r="P31" s="11">
        <f>TabRenatão367[[#This Row],[HN]]*17.9+TabRenatão367[[#This Row],[HFeriado]]*29+TabRenatão367[[#This Row],[HE]]*22.6+TabRenatão367[[#This Row],[Hsab]]*27.9+TabRenatão367[[#This Row],[Hdom]]*29</f>
        <v>143.19999999999999</v>
      </c>
      <c r="Q31" s="11">
        <f>TabRenatão367[[#This Row],[SalAtual]]-TabRenatão367[[#This Row],[SalAnt]]</f>
        <v>7.1999999999999886</v>
      </c>
    </row>
    <row r="32" spans="2:17" x14ac:dyDescent="0.25">
      <c r="F32" s="9">
        <v>43707</v>
      </c>
      <c r="G32" s="2">
        <f t="shared" si="0"/>
        <v>6</v>
      </c>
      <c r="H32" s="2" t="str">
        <f>IF(TabRenatão367[[#This Row],[dia]]=IFERROR(VLOOKUP(TabRenatão367[[#This Row],[dia]],Tabela1[],1,FALSE),"erro"),"Sim","Não")</f>
        <v>Não</v>
      </c>
      <c r="I32" s="12">
        <f>VLOOKUP(TabRenatão367[[#This Row],[dia]],Horarios,6,0)</f>
        <v>12</v>
      </c>
      <c r="J32" s="12">
        <f>IF(TabRenatão367[[#This Row],[Feriado]]="Sim",0,IF(TabRenatão367[[#This Row],[DSemana]]=1,0,IF(TabRenatão367[[#This Row],[DSemana]]=7,0,IF(TabRenatão367[[#This Row],[Htrab]]&gt;8,8,TabRenatão367[[#This Row],[Htrab]]))))</f>
        <v>8</v>
      </c>
      <c r="K32" s="12">
        <f>IF(TabRenatão367[[#This Row],[Feriado]]="Sim",TabRenatão367[[#This Row],[Htrab]],0)</f>
        <v>0</v>
      </c>
      <c r="L32" s="12">
        <f>IF(TabRenatão367[[#This Row],[Feriado]]="Sim",0,IF(TabRenatão367[[#This Row],[DSemana]]=1,0,IF(TabRenatão367[[#This Row],[DSemana]]=7,0,IF(TabRenatão367[[#This Row],[Htrab]]&gt;8,TabRenatão367[[#This Row],[Htrab]]-8,0))))</f>
        <v>4</v>
      </c>
      <c r="M32" s="12">
        <f>IF(TabRenatão367[[#This Row],[Feriado]]="SIM",0,IF(TabRenatão367[[#This Row],[DSemana]]=7,TabRenatão367[[#This Row],[Htrab]],0))</f>
        <v>0</v>
      </c>
      <c r="N32" s="12">
        <f>IF(TabRenatão367[[#This Row],[Feriado]]="SIM",0,IF(TabRenatão367[[#This Row],[DSemana]]=1,TabRenatão367[[#This Row],[Htrab]],0))</f>
        <v>0</v>
      </c>
      <c r="O32" s="11">
        <f>TabRenatão367[[#This Row],[Htrab]]*17</f>
        <v>204</v>
      </c>
      <c r="P32" s="11">
        <f>TabRenatão367[[#This Row],[HN]]*17.9+TabRenatão367[[#This Row],[HFeriado]]*29+TabRenatão367[[#This Row],[HE]]*22.6+TabRenatão367[[#This Row],[Hsab]]*27.9+TabRenatão367[[#This Row],[Hdom]]*29</f>
        <v>233.6</v>
      </c>
      <c r="Q32" s="11">
        <f>TabRenatão367[[#This Row],[SalAtual]]-TabRenatão367[[#This Row],[SalAnt]]</f>
        <v>29.599999999999994</v>
      </c>
    </row>
    <row r="33" spans="6:17" x14ac:dyDescent="0.25">
      <c r="F33" s="9">
        <v>43708</v>
      </c>
      <c r="G33" s="2">
        <f t="shared" si="0"/>
        <v>7</v>
      </c>
      <c r="H33" s="2" t="str">
        <f>IF(TabRenatão367[[#This Row],[dia]]=IFERROR(VLOOKUP(TabRenatão367[[#This Row],[dia]],Tabela1[],1,FALSE),"erro"),"Sim","Não")</f>
        <v>Não</v>
      </c>
      <c r="I33" s="12">
        <f>VLOOKUP(TabRenatão367[[#This Row],[dia]],Horarios,6,0)</f>
        <v>12</v>
      </c>
      <c r="J33" s="12">
        <f>IF(TabRenatão367[[#This Row],[Feriado]]="Sim",0,IF(TabRenatão367[[#This Row],[DSemana]]=1,0,IF(TabRenatão367[[#This Row],[DSemana]]=7,0,IF(TabRenatão367[[#This Row],[Htrab]]&gt;8,8,TabRenatão367[[#This Row],[Htrab]]))))</f>
        <v>0</v>
      </c>
      <c r="K33" s="12">
        <f>IF(TabRenatão367[[#This Row],[Feriado]]="Sim",TabRenatão367[[#This Row],[Htrab]],0)</f>
        <v>0</v>
      </c>
      <c r="L33" s="12">
        <f>IF(TabRenatão367[[#This Row],[Feriado]]="Sim",0,IF(TabRenatão367[[#This Row],[DSemana]]=1,0,IF(TabRenatão367[[#This Row],[DSemana]]=7,0,IF(TabRenatão367[[#This Row],[Htrab]]&gt;8,TabRenatão367[[#This Row],[Htrab]]-8,0))))</f>
        <v>0</v>
      </c>
      <c r="M33" s="12">
        <f>IF(TabRenatão367[[#This Row],[Feriado]]="SIM",0,IF(TabRenatão367[[#This Row],[DSemana]]=7,TabRenatão367[[#This Row],[Htrab]],0))</f>
        <v>12</v>
      </c>
      <c r="N33" s="12">
        <f>IF(TabRenatão367[[#This Row],[Feriado]]="SIM",0,IF(TabRenatão367[[#This Row],[DSemana]]=1,TabRenatão367[[#This Row],[Htrab]],0))</f>
        <v>0</v>
      </c>
      <c r="O33" s="11">
        <f>TabRenatão367[[#This Row],[Htrab]]*17</f>
        <v>204</v>
      </c>
      <c r="P33" s="11">
        <f>TabRenatão367[[#This Row],[HN]]*17.9+TabRenatão367[[#This Row],[HFeriado]]*29+TabRenatão367[[#This Row],[HE]]*22.6+TabRenatão367[[#This Row],[Hsab]]*27.9+TabRenatão367[[#This Row],[Hdom]]*29</f>
        <v>334.79999999999995</v>
      </c>
      <c r="Q33" s="11">
        <f>TabRenatão367[[#This Row],[SalAtual]]-TabRenatão367[[#This Row],[SalAnt]]</f>
        <v>130.79999999999995</v>
      </c>
    </row>
  </sheetData>
  <mergeCells count="6">
    <mergeCell ref="B21:C21"/>
    <mergeCell ref="B2:C2"/>
    <mergeCell ref="B14:C14"/>
    <mergeCell ref="B15:C15"/>
    <mergeCell ref="B16:C16"/>
    <mergeCell ref="B13:D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B2:T33"/>
  <sheetViews>
    <sheetView showGridLines="0" zoomScaleNormal="100" workbookViewId="0">
      <selection activeCell="B14" sqref="B14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x14ac:dyDescent="0.25">
      <c r="B2" s="143" t="s">
        <v>13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IF(TabRenatão38[[#This Row],[dia]]=IFERROR(VLOOKUP(TabRenatão38[[#This Row],[dia]],Tabela1[],1,FALSE),"erro"),"Sim","Não")</f>
        <v>Não</v>
      </c>
      <c r="I3" s="12">
        <f>VLOOKUP(TabRenatão38[[#This Row],[dia]],Horarios,7,0)</f>
        <v>8</v>
      </c>
      <c r="J3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3" s="12">
        <f>IF(TabRenatão38[[#This Row],[Feriado]]="Sim",TabRenatão38[[#This Row],[Htrab]],0)</f>
        <v>0</v>
      </c>
      <c r="L3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3" s="12">
        <f>IF(TabRenatão38[[#This Row],[Feriado]]="SIM",0,IF(TabRenatão38[[#This Row],[DSemana]]=7,TabRenatão38[[#This Row],[Htrab]],0))</f>
        <v>0</v>
      </c>
      <c r="N3" s="12">
        <f>IF(TabRenatão38[[#This Row],[Feriado]]="SIM",0,IF(TabRenatão38[[#This Row],[DSemana]]=1,TabRenatão38[[#This Row],[Htrab]],0))</f>
        <v>0</v>
      </c>
      <c r="O3" s="11">
        <f>TabRenatão38[[#This Row],[Htrab]]*17</f>
        <v>136</v>
      </c>
      <c r="P3" s="11">
        <f>TabRenatão38[[#This Row],[HN]]*17.9+TabRenatão38[[#This Row],[HFeriado]]*29+TabRenatão38[[#This Row],[HE]]*22.6+TabRenatão38[[#This Row],[Hsab]]*27.9+TabRenatão38[[#This Row],[Hdom]]*29</f>
        <v>143.19999999999999</v>
      </c>
      <c r="Q3" s="11">
        <f>TabRenatão38[[#This Row],[SalAtual]]-TabRenatão38[[#This Row],[SalAnt]]</f>
        <v>7.1999999999999886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IF(TabRenatão38[[#This Row],[dia]]=IFERROR(VLOOKUP(TabRenatão38[[#This Row],[dia]],Tabela1[],1,FALSE),"erro"),"Sim","Não")</f>
        <v>Não</v>
      </c>
      <c r="I4" s="12">
        <f>VLOOKUP(TabRenatão38[[#This Row],[dia]],Horarios,7,0)</f>
        <v>8</v>
      </c>
      <c r="J4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4" s="12">
        <f>IF(TabRenatão38[[#This Row],[Feriado]]="Sim",TabRenatão38[[#This Row],[Htrab]],0)</f>
        <v>0</v>
      </c>
      <c r="L4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4" s="12">
        <f>IF(TabRenatão38[[#This Row],[Feriado]]="SIM",0,IF(TabRenatão38[[#This Row],[DSemana]]=7,TabRenatão38[[#This Row],[Htrab]],0))</f>
        <v>0</v>
      </c>
      <c r="N4" s="12">
        <f>IF(TabRenatão38[[#This Row],[Feriado]]="SIM",0,IF(TabRenatão38[[#This Row],[DSemana]]=1,TabRenatão38[[#This Row],[Htrab]],0))</f>
        <v>0</v>
      </c>
      <c r="O4" s="11">
        <f>TabRenatão38[[#This Row],[Htrab]]*17</f>
        <v>136</v>
      </c>
      <c r="P4" s="11">
        <f>TabRenatão38[[#This Row],[HN]]*17.9+TabRenatão38[[#This Row],[HFeriado]]*29+TabRenatão38[[#This Row],[HE]]*22.6+TabRenatão38[[#This Row],[Hsab]]*27.9+TabRenatão38[[#This Row],[Hdom]]*29</f>
        <v>143.19999999999999</v>
      </c>
      <c r="Q4" s="11">
        <f>TabRenatão38[[#This Row],[SalAtual]]-TabRenatão38[[#This Row],[SalAnt]]</f>
        <v>7.1999999999999886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IF(TabRenatão38[[#This Row],[dia]]=IFERROR(VLOOKUP(TabRenatão38[[#This Row],[dia]],Tabela1[],1,FALSE),"erro"),"Sim","Não")</f>
        <v>Não</v>
      </c>
      <c r="I5" s="12">
        <f>VLOOKUP(TabRenatão38[[#This Row],[dia]],Horarios,7,0)</f>
        <v>10</v>
      </c>
      <c r="J5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5" s="12">
        <f>IF(TabRenatão38[[#This Row],[Feriado]]="Sim",TabRenatão38[[#This Row],[Htrab]],0)</f>
        <v>0</v>
      </c>
      <c r="L5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5" s="12">
        <f>IF(TabRenatão38[[#This Row],[Feriado]]="SIM",0,IF(TabRenatão38[[#This Row],[DSemana]]=7,TabRenatão38[[#This Row],[Htrab]],0))</f>
        <v>10</v>
      </c>
      <c r="N5" s="12">
        <f>IF(TabRenatão38[[#This Row],[Feriado]]="SIM",0,IF(TabRenatão38[[#This Row],[DSemana]]=1,TabRenatão38[[#This Row],[Htrab]],0))</f>
        <v>0</v>
      </c>
      <c r="O5" s="11">
        <f>TabRenatão38[[#This Row],[Htrab]]*17</f>
        <v>170</v>
      </c>
      <c r="P5" s="11">
        <f>TabRenatão38[[#This Row],[HN]]*17.9+TabRenatão38[[#This Row],[HFeriado]]*29+TabRenatão38[[#This Row],[HE]]*22.6+TabRenatão38[[#This Row],[Hsab]]*27.9+TabRenatão38[[#This Row],[Hdom]]*29</f>
        <v>279</v>
      </c>
      <c r="Q5" s="11">
        <f>TabRenatão38[[#This Row],[SalAtual]]-TabRenatão38[[#This Row],[SalAnt]]</f>
        <v>109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IF(TabRenatão38[[#This Row],[dia]]=IFERROR(VLOOKUP(TabRenatão38[[#This Row],[dia]],Tabela1[],1,FALSE),"erro"),"Sim","Não")</f>
        <v>Não</v>
      </c>
      <c r="I6" s="12">
        <f>VLOOKUP(TabRenatão38[[#This Row],[dia]],Horarios,7,0)</f>
        <v>8</v>
      </c>
      <c r="J6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6" s="12">
        <f>IF(TabRenatão38[[#This Row],[Feriado]]="Sim",TabRenatão38[[#This Row],[Htrab]],0)</f>
        <v>0</v>
      </c>
      <c r="L6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6" s="12">
        <f>IF(TabRenatão38[[#This Row],[Feriado]]="SIM",0,IF(TabRenatão38[[#This Row],[DSemana]]=7,TabRenatão38[[#This Row],[Htrab]],0))</f>
        <v>0</v>
      </c>
      <c r="N6" s="12">
        <f>IF(TabRenatão38[[#This Row],[Feriado]]="SIM",0,IF(TabRenatão38[[#This Row],[DSemana]]=1,TabRenatão38[[#This Row],[Htrab]],0))</f>
        <v>8</v>
      </c>
      <c r="O6" s="11">
        <f>TabRenatão38[[#This Row],[Htrab]]*17</f>
        <v>136</v>
      </c>
      <c r="P6" s="11">
        <f>TabRenatão38[[#This Row],[HN]]*17.9+TabRenatão38[[#This Row],[HFeriado]]*29+TabRenatão38[[#This Row],[HE]]*22.6+TabRenatão38[[#This Row],[Hsab]]*27.9+TabRenatão38[[#This Row],[Hdom]]*29</f>
        <v>232</v>
      </c>
      <c r="Q6" s="11">
        <f>TabRenatão38[[#This Row],[SalAtual]]-TabRenatão38[[#This Row],[SalAnt]]</f>
        <v>96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IF(TabRenatão38[[#This Row],[dia]]=IFERROR(VLOOKUP(TabRenatão38[[#This Row],[dia]],Tabela1[],1,FALSE),"erro"),"Sim","Não")</f>
        <v>Não</v>
      </c>
      <c r="I7" s="12">
        <f>VLOOKUP(TabRenatão38[[#This Row],[dia]],Horarios,7,0)</f>
        <v>8</v>
      </c>
      <c r="J7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7" s="12">
        <f>IF(TabRenatão38[[#This Row],[Feriado]]="Sim",TabRenatão38[[#This Row],[Htrab]],0)</f>
        <v>0</v>
      </c>
      <c r="L7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7" s="12">
        <f>IF(TabRenatão38[[#This Row],[Feriado]]="SIM",0,IF(TabRenatão38[[#This Row],[DSemana]]=7,TabRenatão38[[#This Row],[Htrab]],0))</f>
        <v>0</v>
      </c>
      <c r="N7" s="12">
        <f>IF(TabRenatão38[[#This Row],[Feriado]]="SIM",0,IF(TabRenatão38[[#This Row],[DSemana]]=1,TabRenatão38[[#This Row],[Htrab]],0))</f>
        <v>0</v>
      </c>
      <c r="O7" s="11">
        <f>TabRenatão38[[#This Row],[Htrab]]*17</f>
        <v>136</v>
      </c>
      <c r="P7" s="11">
        <f>TabRenatão38[[#This Row],[HN]]*17.9+TabRenatão38[[#This Row],[HFeriado]]*29+TabRenatão38[[#This Row],[HE]]*22.6+TabRenatão38[[#This Row],[Hsab]]*27.9+TabRenatão38[[#This Row],[Hdom]]*29</f>
        <v>143.19999999999999</v>
      </c>
      <c r="Q7" s="11">
        <f>TabRenatão38[[#This Row],[SalAtual]]-TabRenatão38[[#This Row],[SalAnt]]</f>
        <v>7.1999999999999886</v>
      </c>
    </row>
    <row r="8" spans="2:20" x14ac:dyDescent="0.25">
      <c r="B8" s="7"/>
      <c r="C8" s="7"/>
      <c r="F8" s="9">
        <v>43683</v>
      </c>
      <c r="G8" s="2">
        <f t="shared" si="0"/>
        <v>3</v>
      </c>
      <c r="H8" s="2" t="str">
        <f>IF(TabRenatão38[[#This Row],[dia]]=IFERROR(VLOOKUP(TabRenatão38[[#This Row],[dia]],Tabela1[],1,FALSE),"erro"),"Sim","Não")</f>
        <v>Não</v>
      </c>
      <c r="I8" s="12">
        <f>VLOOKUP(TabRenatão38[[#This Row],[dia]],Horarios,7,0)</f>
        <v>7</v>
      </c>
      <c r="J8" s="12">
        <f>IF(TabRenatão38[[#This Row],[Feriado]]="Sim",0,IF(TabRenatão38[[#This Row],[DSemana]]=1,0,IF(TabRenatão38[[#This Row],[DSemana]]=7,0,IF(TabRenatão38[[#This Row],[Htrab]]&gt;8,8,TabRenatão38[[#This Row],[Htrab]]))))</f>
        <v>7</v>
      </c>
      <c r="K8" s="12">
        <f>IF(TabRenatão38[[#This Row],[Feriado]]="Sim",TabRenatão38[[#This Row],[Htrab]],0)</f>
        <v>0</v>
      </c>
      <c r="L8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8" s="12">
        <f>IF(TabRenatão38[[#This Row],[Feriado]]="SIM",0,IF(TabRenatão38[[#This Row],[DSemana]]=7,TabRenatão38[[#This Row],[Htrab]],0))</f>
        <v>0</v>
      </c>
      <c r="N8" s="12">
        <f>IF(TabRenatão38[[#This Row],[Feriado]]="SIM",0,IF(TabRenatão38[[#This Row],[DSemana]]=1,TabRenatão38[[#This Row],[Htrab]],0))</f>
        <v>0</v>
      </c>
      <c r="O8" s="11">
        <f>TabRenatão38[[#This Row],[Htrab]]*17</f>
        <v>119</v>
      </c>
      <c r="P8" s="11">
        <f>TabRenatão38[[#This Row],[HN]]*17.9+TabRenatão38[[#This Row],[HFeriado]]*29+TabRenatão38[[#This Row],[HE]]*22.6+TabRenatão38[[#This Row],[Hsab]]*27.9+TabRenatão38[[#This Row],[Hdom]]*29</f>
        <v>125.29999999999998</v>
      </c>
      <c r="Q8" s="11">
        <f>TabRenatão38[[#This Row],[SalAtual]]-TabRenatão38[[#This Row],[SalAnt]]</f>
        <v>6.2999999999999829</v>
      </c>
    </row>
    <row r="9" spans="2:20" x14ac:dyDescent="0.25">
      <c r="B9" s="17"/>
      <c r="C9" s="17"/>
      <c r="F9" s="9">
        <v>43684</v>
      </c>
      <c r="G9" s="2">
        <f t="shared" si="0"/>
        <v>4</v>
      </c>
      <c r="H9" s="2" t="str">
        <f>IF(TabRenatão38[[#This Row],[dia]]=IFERROR(VLOOKUP(TabRenatão38[[#This Row],[dia]],Tabela1[],1,FALSE),"erro"),"Sim","Não")</f>
        <v>Não</v>
      </c>
      <c r="I9" s="12">
        <f>VLOOKUP(TabRenatão38[[#This Row],[dia]],Horarios,7,0)</f>
        <v>8</v>
      </c>
      <c r="J9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9" s="12">
        <f>IF(TabRenatão38[[#This Row],[Feriado]]="Sim",TabRenatão38[[#This Row],[Htrab]],0)</f>
        <v>0</v>
      </c>
      <c r="L9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9" s="12">
        <f>IF(TabRenatão38[[#This Row],[Feriado]]="SIM",0,IF(TabRenatão38[[#This Row],[DSemana]]=7,TabRenatão38[[#This Row],[Htrab]],0))</f>
        <v>0</v>
      </c>
      <c r="N9" s="12">
        <f>IF(TabRenatão38[[#This Row],[Feriado]]="SIM",0,IF(TabRenatão38[[#This Row],[DSemana]]=1,TabRenatão38[[#This Row],[Htrab]],0))</f>
        <v>0</v>
      </c>
      <c r="O9" s="11">
        <f>TabRenatão38[[#This Row],[Htrab]]*17</f>
        <v>136</v>
      </c>
      <c r="P9" s="11">
        <f>TabRenatão38[[#This Row],[HN]]*17.9+TabRenatão38[[#This Row],[HFeriado]]*29+TabRenatão38[[#This Row],[HE]]*22.6+TabRenatão38[[#This Row],[Hsab]]*27.9+TabRenatão38[[#This Row],[Hdom]]*29</f>
        <v>143.19999999999999</v>
      </c>
      <c r="Q9" s="11">
        <f>TabRenatão38[[#This Row],[SalAtual]]-TabRenatão38[[#This Row],[SalAnt]]</f>
        <v>7.1999999999999886</v>
      </c>
    </row>
    <row r="10" spans="2:20" x14ac:dyDescent="0.25">
      <c r="F10" s="9">
        <v>43685</v>
      </c>
      <c r="G10" s="2">
        <f t="shared" si="0"/>
        <v>5</v>
      </c>
      <c r="H10" s="2" t="str">
        <f>IF(TabRenatão38[[#This Row],[dia]]=IFERROR(VLOOKUP(TabRenatão38[[#This Row],[dia]],Tabela1[],1,FALSE),"erro"),"Sim","Não")</f>
        <v>Não</v>
      </c>
      <c r="I10" s="12">
        <f>VLOOKUP(TabRenatão38[[#This Row],[dia]],Horarios,7,0)</f>
        <v>8</v>
      </c>
      <c r="J10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10" s="12">
        <f>IF(TabRenatão38[[#This Row],[Feriado]]="Sim",TabRenatão38[[#This Row],[Htrab]],0)</f>
        <v>0</v>
      </c>
      <c r="L10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0" s="12">
        <f>IF(TabRenatão38[[#This Row],[Feriado]]="SIM",0,IF(TabRenatão38[[#This Row],[DSemana]]=7,TabRenatão38[[#This Row],[Htrab]],0))</f>
        <v>0</v>
      </c>
      <c r="N10" s="12">
        <f>IF(TabRenatão38[[#This Row],[Feriado]]="SIM",0,IF(TabRenatão38[[#This Row],[DSemana]]=1,TabRenatão38[[#This Row],[Htrab]],0))</f>
        <v>0</v>
      </c>
      <c r="O10" s="11">
        <f>TabRenatão38[[#This Row],[Htrab]]*17</f>
        <v>136</v>
      </c>
      <c r="P10" s="11">
        <f>TabRenatão38[[#This Row],[HN]]*17.9+TabRenatão38[[#This Row],[HFeriado]]*29+TabRenatão38[[#This Row],[HE]]*22.6+TabRenatão38[[#This Row],[Hsab]]*27.9+TabRenatão38[[#This Row],[Hdom]]*29</f>
        <v>143.19999999999999</v>
      </c>
      <c r="Q10" s="11">
        <f>TabRenatão38[[#This Row],[SalAtual]]-TabRenatão38[[#This Row],[SalAnt]]</f>
        <v>7.1999999999999886</v>
      </c>
    </row>
    <row r="11" spans="2:20" x14ac:dyDescent="0.25">
      <c r="F11" s="9">
        <v>43686</v>
      </c>
      <c r="G11" s="2">
        <f t="shared" si="0"/>
        <v>6</v>
      </c>
      <c r="H11" s="2" t="str">
        <f>IF(TabRenatão38[[#This Row],[dia]]=IFERROR(VLOOKUP(TabRenatão38[[#This Row],[dia]],Tabela1[],1,FALSE),"erro"),"Sim","Não")</f>
        <v>Não</v>
      </c>
      <c r="I11" s="12">
        <f>VLOOKUP(TabRenatão38[[#This Row],[dia]],Horarios,7,0)</f>
        <v>9</v>
      </c>
      <c r="J11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11" s="12">
        <f>IF(TabRenatão38[[#This Row],[Feriado]]="Sim",TabRenatão38[[#This Row],[Htrab]],0)</f>
        <v>0</v>
      </c>
      <c r="L11" s="12">
        <f>IF(TabRenatão38[[#This Row],[Feriado]]="Sim",0,IF(TabRenatão38[[#This Row],[DSemana]]=1,0,IF(TabRenatão38[[#This Row],[DSemana]]=7,0,IF(TabRenatão38[[#This Row],[Htrab]]&gt;8,TabRenatão38[[#This Row],[Htrab]]-8,0))))</f>
        <v>1</v>
      </c>
      <c r="M11" s="12">
        <f>IF(TabRenatão38[[#This Row],[Feriado]]="SIM",0,IF(TabRenatão38[[#This Row],[DSemana]]=7,TabRenatão38[[#This Row],[Htrab]],0))</f>
        <v>0</v>
      </c>
      <c r="N11" s="12">
        <f>IF(TabRenatão38[[#This Row],[Feriado]]="SIM",0,IF(TabRenatão38[[#This Row],[DSemana]]=1,TabRenatão38[[#This Row],[Htrab]],0))</f>
        <v>0</v>
      </c>
      <c r="O11" s="11">
        <f>TabRenatão38[[#This Row],[Htrab]]*17</f>
        <v>153</v>
      </c>
      <c r="P11" s="11">
        <f>TabRenatão38[[#This Row],[HN]]*17.9+TabRenatão38[[#This Row],[HFeriado]]*29+TabRenatão38[[#This Row],[HE]]*22.6+TabRenatão38[[#This Row],[Hsab]]*27.9+TabRenatão38[[#This Row],[Hdom]]*29</f>
        <v>165.79999999999998</v>
      </c>
      <c r="Q11" s="11">
        <f>TabRenatão38[[#This Row],[SalAtual]]-TabRenatão38[[#This Row],[SalAnt]]</f>
        <v>12.799999999999983</v>
      </c>
    </row>
    <row r="12" spans="2:20" x14ac:dyDescent="0.25">
      <c r="F12" s="9">
        <v>43687</v>
      </c>
      <c r="G12" s="2">
        <f t="shared" si="0"/>
        <v>7</v>
      </c>
      <c r="H12" s="2" t="str">
        <f>IF(TabRenatão38[[#This Row],[dia]]=IFERROR(VLOOKUP(TabRenatão38[[#This Row],[dia]],Tabela1[],1,FALSE),"erro"),"Sim","Não")</f>
        <v>Não</v>
      </c>
      <c r="I12" s="12">
        <f>VLOOKUP(TabRenatão38[[#This Row],[dia]],Horarios,7,0)</f>
        <v>9</v>
      </c>
      <c r="J12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12" s="12">
        <f>IF(TabRenatão38[[#This Row],[Feriado]]="Sim",TabRenatão38[[#This Row],[Htrab]],0)</f>
        <v>0</v>
      </c>
      <c r="L12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2" s="12">
        <f>IF(TabRenatão38[[#This Row],[Feriado]]="SIM",0,IF(TabRenatão38[[#This Row],[DSemana]]=7,TabRenatão38[[#This Row],[Htrab]],0))</f>
        <v>9</v>
      </c>
      <c r="N12" s="12">
        <f>IF(TabRenatão38[[#This Row],[Feriado]]="SIM",0,IF(TabRenatão38[[#This Row],[DSemana]]=1,TabRenatão38[[#This Row],[Htrab]],0))</f>
        <v>0</v>
      </c>
      <c r="O12" s="11">
        <f>TabRenatão38[[#This Row],[Htrab]]*17</f>
        <v>153</v>
      </c>
      <c r="P12" s="11">
        <f>TabRenatão38[[#This Row],[HN]]*17.9+TabRenatão38[[#This Row],[HFeriado]]*29+TabRenatão38[[#This Row],[HE]]*22.6+TabRenatão38[[#This Row],[Hsab]]*27.9+TabRenatão38[[#This Row],[Hdom]]*29</f>
        <v>251.1</v>
      </c>
      <c r="Q12" s="11">
        <f>TabRenatão38[[#This Row],[SalAtual]]-TabRenatão38[[#This Row],[SalAnt]]</f>
        <v>98.1</v>
      </c>
    </row>
    <row r="13" spans="2:20" x14ac:dyDescent="0.25">
      <c r="B13" s="144" t="s">
        <v>32</v>
      </c>
      <c r="C13" s="144"/>
      <c r="D13" s="144"/>
      <c r="F13" s="9">
        <v>43688</v>
      </c>
      <c r="G13" s="2">
        <f t="shared" si="0"/>
        <v>1</v>
      </c>
      <c r="H13" s="2" t="str">
        <f>IF(TabRenatão38[[#This Row],[dia]]=IFERROR(VLOOKUP(TabRenatão38[[#This Row],[dia]],Tabela1[],1,FALSE),"erro"),"Sim","Não")</f>
        <v>Não</v>
      </c>
      <c r="I13" s="12">
        <f>VLOOKUP(TabRenatão38[[#This Row],[dia]],Horarios,7,0)</f>
        <v>8</v>
      </c>
      <c r="J13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13" s="12">
        <f>IF(TabRenatão38[[#This Row],[Feriado]]="Sim",TabRenatão38[[#This Row],[Htrab]],0)</f>
        <v>0</v>
      </c>
      <c r="L13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3" s="12">
        <f>IF(TabRenatão38[[#This Row],[Feriado]]="SIM",0,IF(TabRenatão38[[#This Row],[DSemana]]=7,TabRenatão38[[#This Row],[Htrab]],0))</f>
        <v>0</v>
      </c>
      <c r="N13" s="12">
        <f>IF(TabRenatão38[[#This Row],[Feriado]]="SIM",0,IF(TabRenatão38[[#This Row],[DSemana]]=1,TabRenatão38[[#This Row],[Htrab]],0))</f>
        <v>8</v>
      </c>
      <c r="O13" s="11">
        <f>TabRenatão38[[#This Row],[Htrab]]*17</f>
        <v>136</v>
      </c>
      <c r="P13" s="11">
        <f>TabRenatão38[[#This Row],[HN]]*17.9+TabRenatão38[[#This Row],[HFeriado]]*29+TabRenatão38[[#This Row],[HE]]*22.6+TabRenatão38[[#This Row],[Hsab]]*27.9+TabRenatão38[[#This Row],[Hdom]]*29</f>
        <v>232</v>
      </c>
      <c r="Q13" s="11">
        <f>TabRenatão38[[#This Row],[SalAtual]]-TabRenatão38[[#This Row],[SalAnt]]</f>
        <v>96</v>
      </c>
    </row>
    <row r="14" spans="2:20" x14ac:dyDescent="0.25">
      <c r="B14" s="16" t="s">
        <v>81</v>
      </c>
      <c r="C14" s="16"/>
      <c r="D14" s="8">
        <f>SUM(P3:P33)</f>
        <v>4006.2000000000003</v>
      </c>
      <c r="F14" s="9">
        <v>43689</v>
      </c>
      <c r="G14" s="2">
        <f t="shared" si="0"/>
        <v>2</v>
      </c>
      <c r="H14" s="2" t="str">
        <f>IF(TabRenatão38[[#This Row],[dia]]=IFERROR(VLOOKUP(TabRenatão38[[#This Row],[dia]],Tabela1[],1,FALSE),"erro"),"Sim","Não")</f>
        <v>Não</v>
      </c>
      <c r="I14" s="12">
        <f>VLOOKUP(TabRenatão38[[#This Row],[dia]],Horarios,7,0)</f>
        <v>2</v>
      </c>
      <c r="J14" s="12">
        <f>IF(TabRenatão38[[#This Row],[Feriado]]="Sim",0,IF(TabRenatão38[[#This Row],[DSemana]]=1,0,IF(TabRenatão38[[#This Row],[DSemana]]=7,0,IF(TabRenatão38[[#This Row],[Htrab]]&gt;8,8,TabRenatão38[[#This Row],[Htrab]]))))</f>
        <v>2</v>
      </c>
      <c r="K14" s="12">
        <f>IF(TabRenatão38[[#This Row],[Feriado]]="Sim",TabRenatão38[[#This Row],[Htrab]],0)</f>
        <v>0</v>
      </c>
      <c r="L14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4" s="12">
        <f>IF(TabRenatão38[[#This Row],[Feriado]]="SIM",0,IF(TabRenatão38[[#This Row],[DSemana]]=7,TabRenatão38[[#This Row],[Htrab]],0))</f>
        <v>0</v>
      </c>
      <c r="N14" s="12">
        <f>IF(TabRenatão38[[#This Row],[Feriado]]="SIM",0,IF(TabRenatão38[[#This Row],[DSemana]]=1,TabRenatão38[[#This Row],[Htrab]],0))</f>
        <v>0</v>
      </c>
      <c r="O14" s="11">
        <f>TabRenatão38[[#This Row],[Htrab]]*17</f>
        <v>34</v>
      </c>
      <c r="P14" s="11">
        <f>TabRenatão38[[#This Row],[HN]]*17.9+TabRenatão38[[#This Row],[HFeriado]]*29+TabRenatão38[[#This Row],[HE]]*22.6+TabRenatão38[[#This Row],[Hsab]]*27.9+TabRenatão38[[#This Row],[Hdom]]*29</f>
        <v>35.799999999999997</v>
      </c>
      <c r="Q14" s="11">
        <f>TabRenatão38[[#This Row],[SalAtual]]-TabRenatão38[[#This Row],[SalAnt]]</f>
        <v>1.7999999999999972</v>
      </c>
    </row>
    <row r="15" spans="2:20" x14ac:dyDescent="0.25">
      <c r="B15" s="15" t="s">
        <v>27</v>
      </c>
      <c r="C15" s="15"/>
      <c r="D15" s="14">
        <f>IF(D14&lt;=1751.81,D14*0.08,IF(D14&lt;=2919.72,D14*0.09,D14*0.11))</f>
        <v>440.68200000000002</v>
      </c>
      <c r="F15" s="9">
        <v>43690</v>
      </c>
      <c r="G15" s="2">
        <f t="shared" si="0"/>
        <v>3</v>
      </c>
      <c r="H15" s="2" t="str">
        <f>IF(TabRenatão38[[#This Row],[dia]]=IFERROR(VLOOKUP(TabRenatão38[[#This Row],[dia]],Tabela1[],1,FALSE),"erro"),"Sim","Não")</f>
        <v>Não</v>
      </c>
      <c r="I15" s="12">
        <f>VLOOKUP(TabRenatão38[[#This Row],[dia]],Horarios,7,0)</f>
        <v>8</v>
      </c>
      <c r="J15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15" s="12">
        <f>IF(TabRenatão38[[#This Row],[Feriado]]="Sim",TabRenatão38[[#This Row],[Htrab]],0)</f>
        <v>0</v>
      </c>
      <c r="L15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5" s="12">
        <f>IF(TabRenatão38[[#This Row],[Feriado]]="SIM",0,IF(TabRenatão38[[#This Row],[DSemana]]=7,TabRenatão38[[#This Row],[Htrab]],0))</f>
        <v>0</v>
      </c>
      <c r="N15" s="12">
        <f>IF(TabRenatão38[[#This Row],[Feriado]]="SIM",0,IF(TabRenatão38[[#This Row],[DSemana]]=1,TabRenatão38[[#This Row],[Htrab]],0))</f>
        <v>0</v>
      </c>
      <c r="O15" s="11">
        <f>TabRenatão38[[#This Row],[Htrab]]*17</f>
        <v>136</v>
      </c>
      <c r="P15" s="11">
        <f>TabRenatão38[[#This Row],[HN]]*17.9+TabRenatão38[[#This Row],[HFeriado]]*29+TabRenatão38[[#This Row],[HE]]*22.6+TabRenatão38[[#This Row],[Hsab]]*27.9+TabRenatão38[[#This Row],[Hdom]]*29</f>
        <v>143.19999999999999</v>
      </c>
      <c r="Q15" s="11">
        <f>TabRenatão38[[#This Row],[SalAtual]]-TabRenatão38[[#This Row],[SalAnt]]</f>
        <v>7.1999999999999886</v>
      </c>
    </row>
    <row r="16" spans="2:20" x14ac:dyDescent="0.25">
      <c r="B16" s="16" t="s">
        <v>28</v>
      </c>
      <c r="C16" s="16"/>
      <c r="D16">
        <v>1</v>
      </c>
      <c r="F16" s="9">
        <v>43691</v>
      </c>
      <c r="G16" s="2">
        <f t="shared" si="0"/>
        <v>4</v>
      </c>
      <c r="H16" s="2" t="str">
        <f>IF(TabRenatão38[[#This Row],[dia]]=IFERROR(VLOOKUP(TabRenatão38[[#This Row],[dia]],Tabela1[],1,FALSE),"erro"),"Sim","Não")</f>
        <v>Não</v>
      </c>
      <c r="I16" s="12">
        <f>VLOOKUP(TabRenatão38[[#This Row],[dia]],Horarios,7,0)</f>
        <v>8</v>
      </c>
      <c r="J16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16" s="12">
        <f>IF(TabRenatão38[[#This Row],[Feriado]]="Sim",TabRenatão38[[#This Row],[Htrab]],0)</f>
        <v>0</v>
      </c>
      <c r="L16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6" s="12">
        <f>IF(TabRenatão38[[#This Row],[Feriado]]="SIM",0,IF(TabRenatão38[[#This Row],[DSemana]]=7,TabRenatão38[[#This Row],[Htrab]],0))</f>
        <v>0</v>
      </c>
      <c r="N16" s="12">
        <f>IF(TabRenatão38[[#This Row],[Feriado]]="SIM",0,IF(TabRenatão38[[#This Row],[DSemana]]=1,TabRenatão38[[#This Row],[Htrab]],0))</f>
        <v>0</v>
      </c>
      <c r="O16" s="11">
        <f>TabRenatão38[[#This Row],[Htrab]]*17</f>
        <v>136</v>
      </c>
      <c r="P16" s="11">
        <f>TabRenatão38[[#This Row],[HN]]*17.9+TabRenatão38[[#This Row],[HFeriado]]*29+TabRenatão38[[#This Row],[HE]]*22.6+TabRenatão38[[#This Row],[Hsab]]*27.9+TabRenatão38[[#This Row],[Hdom]]*29</f>
        <v>143.19999999999999</v>
      </c>
      <c r="Q16" s="11">
        <f>TabRenatão38[[#This Row],[SalAtual]]-TabRenatão38[[#This Row],[SalAnt]]</f>
        <v>7.1999999999999886</v>
      </c>
    </row>
    <row r="17" spans="2:17" x14ac:dyDescent="0.25">
      <c r="B17" s="15" t="s">
        <v>29</v>
      </c>
      <c r="C17" s="15"/>
      <c r="D17" s="14">
        <f>D14-D15-(D16*189.59)</f>
        <v>3375.9279999999999</v>
      </c>
      <c r="F17" s="9">
        <v>43692</v>
      </c>
      <c r="G17" s="2">
        <f t="shared" si="0"/>
        <v>5</v>
      </c>
      <c r="H17" s="2" t="str">
        <f>IF(TabRenatão38[[#This Row],[dia]]=IFERROR(VLOOKUP(TabRenatão38[[#This Row],[dia]],Tabela1[],1,FALSE),"erro"),"Sim","Não")</f>
        <v>Sim</v>
      </c>
      <c r="I17" s="12">
        <f>VLOOKUP(TabRenatão38[[#This Row],[dia]],Horarios,7,0)</f>
        <v>5</v>
      </c>
      <c r="J17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17" s="12">
        <f>IF(TabRenatão38[[#This Row],[Feriado]]="Sim",TabRenatão38[[#This Row],[Htrab]],0)</f>
        <v>5</v>
      </c>
      <c r="L17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7" s="12">
        <f>IF(TabRenatão38[[#This Row],[Feriado]]="SIM",0,IF(TabRenatão38[[#This Row],[DSemana]]=7,TabRenatão38[[#This Row],[Htrab]],0))</f>
        <v>0</v>
      </c>
      <c r="N17" s="12">
        <f>IF(TabRenatão38[[#This Row],[Feriado]]="SIM",0,IF(TabRenatão38[[#This Row],[DSemana]]=1,TabRenatão38[[#This Row],[Htrab]],0))</f>
        <v>0</v>
      </c>
      <c r="O17" s="11">
        <f>TabRenatão38[[#This Row],[Htrab]]*17</f>
        <v>85</v>
      </c>
      <c r="P17" s="11">
        <f>TabRenatão38[[#This Row],[HN]]*17.9+TabRenatão38[[#This Row],[HFeriado]]*29+TabRenatão38[[#This Row],[HE]]*22.6+TabRenatão38[[#This Row],[Hsab]]*27.9+TabRenatão38[[#This Row],[Hdom]]*29</f>
        <v>145</v>
      </c>
      <c r="Q17" s="11">
        <f>TabRenatão38[[#This Row],[SalAtual]]-TabRenatão38[[#This Row],[SalAnt]]</f>
        <v>60</v>
      </c>
    </row>
    <row r="18" spans="2:17" x14ac:dyDescent="0.25">
      <c r="B18" s="16" t="s">
        <v>30</v>
      </c>
      <c r="C18" s="16"/>
      <c r="D18" s="8">
        <f>D17*VLOOKUP(D17,irrf,3)-VLOOKUP(D17,irrf,4)</f>
        <v>151.58919999999995</v>
      </c>
      <c r="F18" s="9">
        <v>43693</v>
      </c>
      <c r="G18" s="2">
        <f t="shared" si="0"/>
        <v>6</v>
      </c>
      <c r="H18" s="2" t="str">
        <f>IF(TabRenatão38[[#This Row],[dia]]=IFERROR(VLOOKUP(TabRenatão38[[#This Row],[dia]],Tabela1[],1,FALSE),"erro"),"Sim","Não")</f>
        <v>Não</v>
      </c>
      <c r="I18" s="12">
        <f>VLOOKUP(TabRenatão38[[#This Row],[dia]],Horarios,7,0)</f>
        <v>6</v>
      </c>
      <c r="J18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18" s="12">
        <f>IF(TabRenatão38[[#This Row],[Feriado]]="Sim",TabRenatão38[[#This Row],[Htrab]],0)</f>
        <v>0</v>
      </c>
      <c r="L18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8" s="12">
        <f>IF(TabRenatão38[[#This Row],[Feriado]]="SIM",0,IF(TabRenatão38[[#This Row],[DSemana]]=7,TabRenatão38[[#This Row],[Htrab]],0))</f>
        <v>0</v>
      </c>
      <c r="N18" s="12">
        <f>IF(TabRenatão38[[#This Row],[Feriado]]="SIM",0,IF(TabRenatão38[[#This Row],[DSemana]]=1,TabRenatão38[[#This Row],[Htrab]],0))</f>
        <v>0</v>
      </c>
      <c r="O18" s="11">
        <f>TabRenatão38[[#This Row],[Htrab]]*17</f>
        <v>102</v>
      </c>
      <c r="P18" s="11">
        <f>TabRenatão38[[#This Row],[HN]]*17.9+TabRenatão38[[#This Row],[HFeriado]]*29+TabRenatão38[[#This Row],[HE]]*22.6+TabRenatão38[[#This Row],[Hsab]]*27.9+TabRenatão38[[#This Row],[Hdom]]*29</f>
        <v>107.39999999999999</v>
      </c>
      <c r="Q18" s="11">
        <f>TabRenatão38[[#This Row],[SalAtual]]-TabRenatão38[[#This Row],[SalAnt]]</f>
        <v>5.3999999999999915</v>
      </c>
    </row>
    <row r="19" spans="2:17" x14ac:dyDescent="0.25">
      <c r="B19" s="15" t="s">
        <v>31</v>
      </c>
      <c r="C19" s="15"/>
      <c r="D19" s="14">
        <f>D14-D15-D18</f>
        <v>3413.9288000000001</v>
      </c>
      <c r="F19" s="9">
        <v>43694</v>
      </c>
      <c r="G19" s="2">
        <f t="shared" si="0"/>
        <v>7</v>
      </c>
      <c r="H19" s="2" t="str">
        <f>IF(TabRenatão38[[#This Row],[dia]]=IFERROR(VLOOKUP(TabRenatão38[[#This Row],[dia]],Tabela1[],1,FALSE),"erro"),"Sim","Não")</f>
        <v>Não</v>
      </c>
      <c r="I19" s="12">
        <f>VLOOKUP(TabRenatão38[[#This Row],[dia]],Horarios,7,0)</f>
        <v>2</v>
      </c>
      <c r="J19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19" s="12">
        <f>IF(TabRenatão38[[#This Row],[Feriado]]="Sim",TabRenatão38[[#This Row],[Htrab]],0)</f>
        <v>0</v>
      </c>
      <c r="L19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19" s="12">
        <f>IF(TabRenatão38[[#This Row],[Feriado]]="SIM",0,IF(TabRenatão38[[#This Row],[DSemana]]=7,TabRenatão38[[#This Row],[Htrab]],0))</f>
        <v>2</v>
      </c>
      <c r="N19" s="12">
        <f>IF(TabRenatão38[[#This Row],[Feriado]]="SIM",0,IF(TabRenatão38[[#This Row],[DSemana]]=1,TabRenatão38[[#This Row],[Htrab]],0))</f>
        <v>0</v>
      </c>
      <c r="O19" s="11">
        <f>TabRenatão38[[#This Row],[Htrab]]*17</f>
        <v>34</v>
      </c>
      <c r="P19" s="11">
        <f>TabRenatão38[[#This Row],[HN]]*17.9+TabRenatão38[[#This Row],[HFeriado]]*29+TabRenatão38[[#This Row],[HE]]*22.6+TabRenatão38[[#This Row],[Hsab]]*27.9+TabRenatão38[[#This Row],[Hdom]]*29</f>
        <v>55.8</v>
      </c>
      <c r="Q19" s="11">
        <f>TabRenatão38[[#This Row],[SalAtual]]-TabRenatão38[[#This Row],[SalAnt]]</f>
        <v>21.799999999999997</v>
      </c>
    </row>
    <row r="20" spans="2:17" x14ac:dyDescent="0.25">
      <c r="F20" s="9">
        <v>43695</v>
      </c>
      <c r="G20" s="2">
        <f t="shared" si="0"/>
        <v>1</v>
      </c>
      <c r="H20" s="2" t="str">
        <f>IF(TabRenatão38[[#This Row],[dia]]=IFERROR(VLOOKUP(TabRenatão38[[#This Row],[dia]],Tabela1[],1,FALSE),"erro"),"Sim","Não")</f>
        <v>Não</v>
      </c>
      <c r="I20" s="12">
        <f>VLOOKUP(TabRenatão38[[#This Row],[dia]],Horarios,7,0)</f>
        <v>2</v>
      </c>
      <c r="J20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20" s="12">
        <f>IF(TabRenatão38[[#This Row],[Feriado]]="Sim",TabRenatão38[[#This Row],[Htrab]],0)</f>
        <v>0</v>
      </c>
      <c r="L20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0" s="12">
        <f>IF(TabRenatão38[[#This Row],[Feriado]]="SIM",0,IF(TabRenatão38[[#This Row],[DSemana]]=7,TabRenatão38[[#This Row],[Htrab]],0))</f>
        <v>0</v>
      </c>
      <c r="N20" s="12">
        <f>IF(TabRenatão38[[#This Row],[Feriado]]="SIM",0,IF(TabRenatão38[[#This Row],[DSemana]]=1,TabRenatão38[[#This Row],[Htrab]],0))</f>
        <v>2</v>
      </c>
      <c r="O20" s="11">
        <f>TabRenatão38[[#This Row],[Htrab]]*17</f>
        <v>34</v>
      </c>
      <c r="P20" s="11">
        <f>TabRenatão38[[#This Row],[HN]]*17.9+TabRenatão38[[#This Row],[HFeriado]]*29+TabRenatão38[[#This Row],[HE]]*22.6+TabRenatão38[[#This Row],[Hsab]]*27.9+TabRenatão38[[#This Row],[Hdom]]*29</f>
        <v>58</v>
      </c>
      <c r="Q20" s="11">
        <f>TabRenatão38[[#This Row],[SalAtual]]-TabRenatão38[[#This Row],[SalAnt]]</f>
        <v>24</v>
      </c>
    </row>
    <row r="21" spans="2:17" x14ac:dyDescent="0.25">
      <c r="B21" s="145" t="s">
        <v>77</v>
      </c>
      <c r="C21" s="145"/>
      <c r="D21" s="14">
        <f>SUM(TabRenatão38[SalAnt])</f>
        <v>3196</v>
      </c>
      <c r="F21" s="9">
        <v>43696</v>
      </c>
      <c r="G21" s="2">
        <f t="shared" si="0"/>
        <v>2</v>
      </c>
      <c r="H21" s="2" t="str">
        <f>IF(TabRenatão38[[#This Row],[dia]]=IFERROR(VLOOKUP(TabRenatão38[[#This Row],[dia]],Tabela1[],1,FALSE),"erro"),"Sim","Não")</f>
        <v>Não</v>
      </c>
      <c r="I21" s="12">
        <f>VLOOKUP(TabRenatão38[[#This Row],[dia]],Horarios,7,0)</f>
        <v>4</v>
      </c>
      <c r="J21" s="12">
        <f>IF(TabRenatão38[[#This Row],[Feriado]]="Sim",0,IF(TabRenatão38[[#This Row],[DSemana]]=1,0,IF(TabRenatão38[[#This Row],[DSemana]]=7,0,IF(TabRenatão38[[#This Row],[Htrab]]&gt;8,8,TabRenatão38[[#This Row],[Htrab]]))))</f>
        <v>4</v>
      </c>
      <c r="K21" s="12">
        <f>IF(TabRenatão38[[#This Row],[Feriado]]="Sim",TabRenatão38[[#This Row],[Htrab]],0)</f>
        <v>0</v>
      </c>
      <c r="L21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1" s="12">
        <f>IF(TabRenatão38[[#This Row],[Feriado]]="SIM",0,IF(TabRenatão38[[#This Row],[DSemana]]=7,TabRenatão38[[#This Row],[Htrab]],0))</f>
        <v>0</v>
      </c>
      <c r="N21" s="12">
        <f>IF(TabRenatão38[[#This Row],[Feriado]]="SIM",0,IF(TabRenatão38[[#This Row],[DSemana]]=1,TabRenatão38[[#This Row],[Htrab]],0))</f>
        <v>0</v>
      </c>
      <c r="O21" s="11">
        <f>TabRenatão38[[#This Row],[Htrab]]*17</f>
        <v>68</v>
      </c>
      <c r="P21" s="11">
        <f>TabRenatão38[[#This Row],[HN]]*17.9+TabRenatão38[[#This Row],[HFeriado]]*29+TabRenatão38[[#This Row],[HE]]*22.6+TabRenatão38[[#This Row],[Hsab]]*27.9+TabRenatão38[[#This Row],[Hdom]]*29</f>
        <v>71.599999999999994</v>
      </c>
      <c r="Q21" s="11">
        <f>TabRenatão38[[#This Row],[SalAtual]]-TabRenatão38[[#This Row],[SalAnt]]</f>
        <v>3.5999999999999943</v>
      </c>
    </row>
    <row r="22" spans="2:17" x14ac:dyDescent="0.25">
      <c r="F22" s="9">
        <v>43697</v>
      </c>
      <c r="G22" s="2">
        <f t="shared" si="0"/>
        <v>3</v>
      </c>
      <c r="H22" s="2" t="str">
        <f>IF(TabRenatão38[[#This Row],[dia]]=IFERROR(VLOOKUP(TabRenatão38[[#This Row],[dia]],Tabela1[],1,FALSE),"erro"),"Sim","Não")</f>
        <v>Sim</v>
      </c>
      <c r="I22" s="12">
        <f>VLOOKUP(TabRenatão38[[#This Row],[dia]],Horarios,7,0)</f>
        <v>6</v>
      </c>
      <c r="J22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22" s="12">
        <f>IF(TabRenatão38[[#This Row],[Feriado]]="Sim",TabRenatão38[[#This Row],[Htrab]],0)</f>
        <v>6</v>
      </c>
      <c r="L22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2" s="12">
        <f>IF(TabRenatão38[[#This Row],[Feriado]]="SIM",0,IF(TabRenatão38[[#This Row],[DSemana]]=7,TabRenatão38[[#This Row],[Htrab]],0))</f>
        <v>0</v>
      </c>
      <c r="N22" s="12">
        <f>IF(TabRenatão38[[#This Row],[Feriado]]="SIM",0,IF(TabRenatão38[[#This Row],[DSemana]]=1,TabRenatão38[[#This Row],[Htrab]],0))</f>
        <v>0</v>
      </c>
      <c r="O22" s="11">
        <f>TabRenatão38[[#This Row],[Htrab]]*17</f>
        <v>102</v>
      </c>
      <c r="P22" s="11">
        <f>TabRenatão38[[#This Row],[HN]]*17.9+TabRenatão38[[#This Row],[HFeriado]]*29+TabRenatão38[[#This Row],[HE]]*22.6+TabRenatão38[[#This Row],[Hsab]]*27.9+TabRenatão38[[#This Row],[Hdom]]*29</f>
        <v>174</v>
      </c>
      <c r="Q22" s="11">
        <f>TabRenatão38[[#This Row],[SalAtual]]-TabRenatão38[[#This Row],[SalAnt]]</f>
        <v>72</v>
      </c>
    </row>
    <row r="23" spans="2:17" x14ac:dyDescent="0.25">
      <c r="F23" s="9">
        <v>43698</v>
      </c>
      <c r="G23" s="2">
        <f t="shared" si="0"/>
        <v>4</v>
      </c>
      <c r="H23" s="2" t="str">
        <f>IF(TabRenatão38[[#This Row],[dia]]=IFERROR(VLOOKUP(TabRenatão38[[#This Row],[dia]],Tabela1[],1,FALSE),"erro"),"Sim","Não")</f>
        <v>Não</v>
      </c>
      <c r="I23" s="12">
        <f>VLOOKUP(TabRenatão38[[#This Row],[dia]],Horarios,7,0)</f>
        <v>6</v>
      </c>
      <c r="J23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23" s="12">
        <f>IF(TabRenatão38[[#This Row],[Feriado]]="Sim",TabRenatão38[[#This Row],[Htrab]],0)</f>
        <v>0</v>
      </c>
      <c r="L23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3" s="12">
        <f>IF(TabRenatão38[[#This Row],[Feriado]]="SIM",0,IF(TabRenatão38[[#This Row],[DSemana]]=7,TabRenatão38[[#This Row],[Htrab]],0))</f>
        <v>0</v>
      </c>
      <c r="N23" s="12">
        <f>IF(TabRenatão38[[#This Row],[Feriado]]="SIM",0,IF(TabRenatão38[[#This Row],[DSemana]]=1,TabRenatão38[[#This Row],[Htrab]],0))</f>
        <v>0</v>
      </c>
      <c r="O23" s="11">
        <f>TabRenatão38[[#This Row],[Htrab]]*17</f>
        <v>102</v>
      </c>
      <c r="P23" s="11">
        <f>TabRenatão38[[#This Row],[HN]]*17.9+TabRenatão38[[#This Row],[HFeriado]]*29+TabRenatão38[[#This Row],[HE]]*22.6+TabRenatão38[[#This Row],[Hsab]]*27.9+TabRenatão38[[#This Row],[Hdom]]*29</f>
        <v>107.39999999999999</v>
      </c>
      <c r="Q23" s="11">
        <f>TabRenatão38[[#This Row],[SalAtual]]-TabRenatão38[[#This Row],[SalAnt]]</f>
        <v>5.3999999999999915</v>
      </c>
    </row>
    <row r="24" spans="2:17" x14ac:dyDescent="0.25">
      <c r="F24" s="9">
        <v>43699</v>
      </c>
      <c r="G24" s="2">
        <f t="shared" si="0"/>
        <v>5</v>
      </c>
      <c r="H24" s="2" t="str">
        <f>IF(TabRenatão38[[#This Row],[dia]]=IFERROR(VLOOKUP(TabRenatão38[[#This Row],[dia]],Tabela1[],1,FALSE),"erro"),"Sim","Não")</f>
        <v>Não</v>
      </c>
      <c r="I24" s="12">
        <f>VLOOKUP(TabRenatão38[[#This Row],[dia]],Horarios,7,0)</f>
        <v>6</v>
      </c>
      <c r="J24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24" s="12">
        <f>IF(TabRenatão38[[#This Row],[Feriado]]="Sim",TabRenatão38[[#This Row],[Htrab]],0)</f>
        <v>0</v>
      </c>
      <c r="L24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4" s="12">
        <f>IF(TabRenatão38[[#This Row],[Feriado]]="SIM",0,IF(TabRenatão38[[#This Row],[DSemana]]=7,TabRenatão38[[#This Row],[Htrab]],0))</f>
        <v>0</v>
      </c>
      <c r="N24" s="12">
        <f>IF(TabRenatão38[[#This Row],[Feriado]]="SIM",0,IF(TabRenatão38[[#This Row],[DSemana]]=1,TabRenatão38[[#This Row],[Htrab]],0))</f>
        <v>0</v>
      </c>
      <c r="O24" s="11">
        <f>TabRenatão38[[#This Row],[Htrab]]*17</f>
        <v>102</v>
      </c>
      <c r="P24" s="11">
        <f>TabRenatão38[[#This Row],[HN]]*17.9+TabRenatão38[[#This Row],[HFeriado]]*29+TabRenatão38[[#This Row],[HE]]*22.6+TabRenatão38[[#This Row],[Hsab]]*27.9+TabRenatão38[[#This Row],[Hdom]]*29</f>
        <v>107.39999999999999</v>
      </c>
      <c r="Q24" s="11">
        <f>TabRenatão38[[#This Row],[SalAtual]]-TabRenatão38[[#This Row],[SalAnt]]</f>
        <v>5.3999999999999915</v>
      </c>
    </row>
    <row r="25" spans="2:17" x14ac:dyDescent="0.25">
      <c r="F25" s="9">
        <v>43700</v>
      </c>
      <c r="G25" s="2">
        <f t="shared" si="0"/>
        <v>6</v>
      </c>
      <c r="H25" s="2" t="str">
        <f>IF(TabRenatão38[[#This Row],[dia]]=IFERROR(VLOOKUP(TabRenatão38[[#This Row],[dia]],Tabela1[],1,FALSE),"erro"),"Sim","Não")</f>
        <v>Não</v>
      </c>
      <c r="I25" s="12">
        <f>VLOOKUP(TabRenatão38[[#This Row],[dia]],Horarios,7,0)</f>
        <v>6</v>
      </c>
      <c r="J25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25" s="12">
        <f>IF(TabRenatão38[[#This Row],[Feriado]]="Sim",TabRenatão38[[#This Row],[Htrab]],0)</f>
        <v>0</v>
      </c>
      <c r="L25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5" s="12">
        <f>IF(TabRenatão38[[#This Row],[Feriado]]="SIM",0,IF(TabRenatão38[[#This Row],[DSemana]]=7,TabRenatão38[[#This Row],[Htrab]],0))</f>
        <v>0</v>
      </c>
      <c r="N25" s="12">
        <f>IF(TabRenatão38[[#This Row],[Feriado]]="SIM",0,IF(TabRenatão38[[#This Row],[DSemana]]=1,TabRenatão38[[#This Row],[Htrab]],0))</f>
        <v>0</v>
      </c>
      <c r="O25" s="11">
        <f>TabRenatão38[[#This Row],[Htrab]]*17</f>
        <v>102</v>
      </c>
      <c r="P25" s="11">
        <f>TabRenatão38[[#This Row],[HN]]*17.9+TabRenatão38[[#This Row],[HFeriado]]*29+TabRenatão38[[#This Row],[HE]]*22.6+TabRenatão38[[#This Row],[Hsab]]*27.9+TabRenatão38[[#This Row],[Hdom]]*29</f>
        <v>107.39999999999999</v>
      </c>
      <c r="Q25" s="11">
        <f>TabRenatão38[[#This Row],[SalAtual]]-TabRenatão38[[#This Row],[SalAnt]]</f>
        <v>5.3999999999999915</v>
      </c>
    </row>
    <row r="26" spans="2:17" x14ac:dyDescent="0.25">
      <c r="F26" s="9">
        <v>43701</v>
      </c>
      <c r="G26" s="2">
        <f t="shared" si="0"/>
        <v>7</v>
      </c>
      <c r="H26" s="2" t="str">
        <f>IF(TabRenatão38[[#This Row],[dia]]=IFERROR(VLOOKUP(TabRenatão38[[#This Row],[dia]],Tabela1[],1,FALSE),"erro"),"Sim","Não")</f>
        <v>Não</v>
      </c>
      <c r="I26" s="12">
        <f>VLOOKUP(TabRenatão38[[#This Row],[dia]],Horarios,7,0)</f>
        <v>0</v>
      </c>
      <c r="J26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26" s="12">
        <f>IF(TabRenatão38[[#This Row],[Feriado]]="Sim",TabRenatão38[[#This Row],[Htrab]],0)</f>
        <v>0</v>
      </c>
      <c r="L26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6" s="12">
        <f>IF(TabRenatão38[[#This Row],[Feriado]]="SIM",0,IF(TabRenatão38[[#This Row],[DSemana]]=7,TabRenatão38[[#This Row],[Htrab]],0))</f>
        <v>0</v>
      </c>
      <c r="N26" s="12">
        <f>IF(TabRenatão38[[#This Row],[Feriado]]="SIM",0,IF(TabRenatão38[[#This Row],[DSemana]]=1,TabRenatão38[[#This Row],[Htrab]],0))</f>
        <v>0</v>
      </c>
      <c r="O26" s="11">
        <f>TabRenatão38[[#This Row],[Htrab]]*17</f>
        <v>0</v>
      </c>
      <c r="P26" s="11">
        <f>TabRenatão38[[#This Row],[HN]]*17.9+TabRenatão38[[#This Row],[HFeriado]]*29+TabRenatão38[[#This Row],[HE]]*22.6+TabRenatão38[[#This Row],[Hsab]]*27.9+TabRenatão38[[#This Row],[Hdom]]*29</f>
        <v>0</v>
      </c>
      <c r="Q26" s="11">
        <f>TabRenatão38[[#This Row],[SalAtual]]-TabRenatão38[[#This Row],[SalAnt]]</f>
        <v>0</v>
      </c>
    </row>
    <row r="27" spans="2:17" x14ac:dyDescent="0.25">
      <c r="F27" s="9">
        <v>43702</v>
      </c>
      <c r="G27" s="2">
        <f t="shared" si="0"/>
        <v>1</v>
      </c>
      <c r="H27" s="2" t="str">
        <f>IF(TabRenatão38[[#This Row],[dia]]=IFERROR(VLOOKUP(TabRenatão38[[#This Row],[dia]],Tabela1[],1,FALSE),"erro"),"Sim","Não")</f>
        <v>Não</v>
      </c>
      <c r="I27" s="12">
        <f>VLOOKUP(TabRenatão38[[#This Row],[dia]],Horarios,7,0)</f>
        <v>4</v>
      </c>
      <c r="J27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27" s="12">
        <f>IF(TabRenatão38[[#This Row],[Feriado]]="Sim",TabRenatão38[[#This Row],[Htrab]],0)</f>
        <v>0</v>
      </c>
      <c r="L27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7" s="12">
        <f>IF(TabRenatão38[[#This Row],[Feriado]]="SIM",0,IF(TabRenatão38[[#This Row],[DSemana]]=7,TabRenatão38[[#This Row],[Htrab]],0))</f>
        <v>0</v>
      </c>
      <c r="N27" s="12">
        <f>IF(TabRenatão38[[#This Row],[Feriado]]="SIM",0,IF(TabRenatão38[[#This Row],[DSemana]]=1,TabRenatão38[[#This Row],[Htrab]],0))</f>
        <v>4</v>
      </c>
      <c r="O27" s="11">
        <f>TabRenatão38[[#This Row],[Htrab]]*17</f>
        <v>68</v>
      </c>
      <c r="P27" s="11">
        <f>TabRenatão38[[#This Row],[HN]]*17.9+TabRenatão38[[#This Row],[HFeriado]]*29+TabRenatão38[[#This Row],[HE]]*22.6+TabRenatão38[[#This Row],[Hsab]]*27.9+TabRenatão38[[#This Row],[Hdom]]*29</f>
        <v>116</v>
      </c>
      <c r="Q27" s="11">
        <f>TabRenatão38[[#This Row],[SalAtual]]-TabRenatão38[[#This Row],[SalAnt]]</f>
        <v>48</v>
      </c>
    </row>
    <row r="28" spans="2:17" x14ac:dyDescent="0.25">
      <c r="F28" s="9">
        <v>43703</v>
      </c>
      <c r="G28" s="2">
        <f t="shared" si="0"/>
        <v>2</v>
      </c>
      <c r="H28" s="2" t="str">
        <f>IF(TabRenatão38[[#This Row],[dia]]=IFERROR(VLOOKUP(TabRenatão38[[#This Row],[dia]],Tabela1[],1,FALSE),"erro"),"Sim","Não")</f>
        <v>Não</v>
      </c>
      <c r="I28" s="12">
        <f>VLOOKUP(TabRenatão38[[#This Row],[dia]],Horarios,7,0)</f>
        <v>0</v>
      </c>
      <c r="J28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28" s="12">
        <f>IF(TabRenatão38[[#This Row],[Feriado]]="Sim",TabRenatão38[[#This Row],[Htrab]],0)</f>
        <v>0</v>
      </c>
      <c r="L28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8" s="12">
        <f>IF(TabRenatão38[[#This Row],[Feriado]]="SIM",0,IF(TabRenatão38[[#This Row],[DSemana]]=7,TabRenatão38[[#This Row],[Htrab]],0))</f>
        <v>0</v>
      </c>
      <c r="N28" s="12">
        <f>IF(TabRenatão38[[#This Row],[Feriado]]="SIM",0,IF(TabRenatão38[[#This Row],[DSemana]]=1,TabRenatão38[[#This Row],[Htrab]],0))</f>
        <v>0</v>
      </c>
      <c r="O28" s="11">
        <f>TabRenatão38[[#This Row],[Htrab]]*17</f>
        <v>0</v>
      </c>
      <c r="P28" s="11">
        <f>TabRenatão38[[#This Row],[HN]]*17.9+TabRenatão38[[#This Row],[HFeriado]]*29+TabRenatão38[[#This Row],[HE]]*22.6+TabRenatão38[[#This Row],[Hsab]]*27.9+TabRenatão38[[#This Row],[Hdom]]*29</f>
        <v>0</v>
      </c>
      <c r="Q28" s="11">
        <f>TabRenatão38[[#This Row],[SalAtual]]-TabRenatão38[[#This Row],[SalAnt]]</f>
        <v>0</v>
      </c>
    </row>
    <row r="29" spans="2:17" x14ac:dyDescent="0.25">
      <c r="F29" s="9">
        <v>43704</v>
      </c>
      <c r="G29" s="2">
        <f t="shared" si="0"/>
        <v>3</v>
      </c>
      <c r="H29" s="2" t="str">
        <f>IF(TabRenatão38[[#This Row],[dia]]=IFERROR(VLOOKUP(TabRenatão38[[#This Row],[dia]],Tabela1[],1,FALSE),"erro"),"Sim","Não")</f>
        <v>Não</v>
      </c>
      <c r="I29" s="12">
        <f>VLOOKUP(TabRenatão38[[#This Row],[dia]],Horarios,7,0)</f>
        <v>8</v>
      </c>
      <c r="J29" s="12">
        <f>IF(TabRenatão38[[#This Row],[Feriado]]="Sim",0,IF(TabRenatão38[[#This Row],[DSemana]]=1,0,IF(TabRenatão38[[#This Row],[DSemana]]=7,0,IF(TabRenatão38[[#This Row],[Htrab]]&gt;8,8,TabRenatão38[[#This Row],[Htrab]]))))</f>
        <v>8</v>
      </c>
      <c r="K29" s="12">
        <f>IF(TabRenatão38[[#This Row],[Feriado]]="Sim",TabRenatão38[[#This Row],[Htrab]],0)</f>
        <v>0</v>
      </c>
      <c r="L29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29" s="12">
        <f>IF(TabRenatão38[[#This Row],[Feriado]]="SIM",0,IF(TabRenatão38[[#This Row],[DSemana]]=7,TabRenatão38[[#This Row],[Htrab]],0))</f>
        <v>0</v>
      </c>
      <c r="N29" s="12">
        <f>IF(TabRenatão38[[#This Row],[Feriado]]="SIM",0,IF(TabRenatão38[[#This Row],[DSemana]]=1,TabRenatão38[[#This Row],[Htrab]],0))</f>
        <v>0</v>
      </c>
      <c r="O29" s="11">
        <f>TabRenatão38[[#This Row],[Htrab]]*17</f>
        <v>136</v>
      </c>
      <c r="P29" s="11">
        <f>TabRenatão38[[#This Row],[HN]]*17.9+TabRenatão38[[#This Row],[HFeriado]]*29+TabRenatão38[[#This Row],[HE]]*22.6+TabRenatão38[[#This Row],[Hsab]]*27.9+TabRenatão38[[#This Row],[Hdom]]*29</f>
        <v>143.19999999999999</v>
      </c>
      <c r="Q29" s="11">
        <f>TabRenatão38[[#This Row],[SalAtual]]-TabRenatão38[[#This Row],[SalAnt]]</f>
        <v>7.1999999999999886</v>
      </c>
    </row>
    <row r="30" spans="2:17" x14ac:dyDescent="0.25">
      <c r="F30" s="9">
        <v>43705</v>
      </c>
      <c r="G30" s="2">
        <f t="shared" si="0"/>
        <v>4</v>
      </c>
      <c r="H30" s="2" t="str">
        <f>IF(TabRenatão38[[#This Row],[dia]]=IFERROR(VLOOKUP(TabRenatão38[[#This Row],[dia]],Tabela1[],1,FALSE),"erro"),"Sim","Não")</f>
        <v>Não</v>
      </c>
      <c r="I30" s="12">
        <f>VLOOKUP(TabRenatão38[[#This Row],[dia]],Horarios,7,0)</f>
        <v>6</v>
      </c>
      <c r="J30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30" s="12">
        <f>IF(TabRenatão38[[#This Row],[Feriado]]="Sim",TabRenatão38[[#This Row],[Htrab]],0)</f>
        <v>0</v>
      </c>
      <c r="L30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30" s="12">
        <f>IF(TabRenatão38[[#This Row],[Feriado]]="SIM",0,IF(TabRenatão38[[#This Row],[DSemana]]=7,TabRenatão38[[#This Row],[Htrab]],0))</f>
        <v>0</v>
      </c>
      <c r="N30" s="12">
        <f>IF(TabRenatão38[[#This Row],[Feriado]]="SIM",0,IF(TabRenatão38[[#This Row],[DSemana]]=1,TabRenatão38[[#This Row],[Htrab]],0))</f>
        <v>0</v>
      </c>
      <c r="O30" s="11">
        <f>TabRenatão38[[#This Row],[Htrab]]*17</f>
        <v>102</v>
      </c>
      <c r="P30" s="11">
        <f>TabRenatão38[[#This Row],[HN]]*17.9+TabRenatão38[[#This Row],[HFeriado]]*29+TabRenatão38[[#This Row],[HE]]*22.6+TabRenatão38[[#This Row],[Hsab]]*27.9+TabRenatão38[[#This Row],[Hdom]]*29</f>
        <v>107.39999999999999</v>
      </c>
      <c r="Q30" s="11">
        <f>TabRenatão38[[#This Row],[SalAtual]]-TabRenatão38[[#This Row],[SalAnt]]</f>
        <v>5.3999999999999915</v>
      </c>
    </row>
    <row r="31" spans="2:17" x14ac:dyDescent="0.25">
      <c r="F31" s="9">
        <v>43706</v>
      </c>
      <c r="G31" s="2">
        <f t="shared" si="0"/>
        <v>5</v>
      </c>
      <c r="H31" s="2" t="str">
        <f>IF(TabRenatão38[[#This Row],[dia]]=IFERROR(VLOOKUP(TabRenatão38[[#This Row],[dia]],Tabela1[],1,FALSE),"erro"),"Sim","Não")</f>
        <v>Não</v>
      </c>
      <c r="I31" s="12">
        <f>VLOOKUP(TabRenatão38[[#This Row],[dia]],Horarios,7,0)</f>
        <v>6</v>
      </c>
      <c r="J31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31" s="12">
        <f>IF(TabRenatão38[[#This Row],[Feriado]]="Sim",TabRenatão38[[#This Row],[Htrab]],0)</f>
        <v>0</v>
      </c>
      <c r="L31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31" s="12">
        <f>IF(TabRenatão38[[#This Row],[Feriado]]="SIM",0,IF(TabRenatão38[[#This Row],[DSemana]]=7,TabRenatão38[[#This Row],[Htrab]],0))</f>
        <v>0</v>
      </c>
      <c r="N31" s="12">
        <f>IF(TabRenatão38[[#This Row],[Feriado]]="SIM",0,IF(TabRenatão38[[#This Row],[DSemana]]=1,TabRenatão38[[#This Row],[Htrab]],0))</f>
        <v>0</v>
      </c>
      <c r="O31" s="11">
        <f>TabRenatão38[[#This Row],[Htrab]]*17</f>
        <v>102</v>
      </c>
      <c r="P31" s="11">
        <f>TabRenatão38[[#This Row],[HN]]*17.9+TabRenatão38[[#This Row],[HFeriado]]*29+TabRenatão38[[#This Row],[HE]]*22.6+TabRenatão38[[#This Row],[Hsab]]*27.9+TabRenatão38[[#This Row],[Hdom]]*29</f>
        <v>107.39999999999999</v>
      </c>
      <c r="Q31" s="11">
        <f>TabRenatão38[[#This Row],[SalAtual]]-TabRenatão38[[#This Row],[SalAnt]]</f>
        <v>5.3999999999999915</v>
      </c>
    </row>
    <row r="32" spans="2:17" x14ac:dyDescent="0.25">
      <c r="F32" s="9">
        <v>43707</v>
      </c>
      <c r="G32" s="2">
        <f t="shared" si="0"/>
        <v>6</v>
      </c>
      <c r="H32" s="2" t="str">
        <f>IF(TabRenatão38[[#This Row],[dia]]=IFERROR(VLOOKUP(TabRenatão38[[#This Row],[dia]],Tabela1[],1,FALSE),"erro"),"Sim","Não")</f>
        <v>Não</v>
      </c>
      <c r="I32" s="12">
        <f>VLOOKUP(TabRenatão38[[#This Row],[dia]],Horarios,7,0)</f>
        <v>6</v>
      </c>
      <c r="J32" s="12">
        <f>IF(TabRenatão38[[#This Row],[Feriado]]="Sim",0,IF(TabRenatão38[[#This Row],[DSemana]]=1,0,IF(TabRenatão38[[#This Row],[DSemana]]=7,0,IF(TabRenatão38[[#This Row],[Htrab]]&gt;8,8,TabRenatão38[[#This Row],[Htrab]]))))</f>
        <v>6</v>
      </c>
      <c r="K32" s="12">
        <f>IF(TabRenatão38[[#This Row],[Feriado]]="Sim",TabRenatão38[[#This Row],[Htrab]],0)</f>
        <v>0</v>
      </c>
      <c r="L32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32" s="12">
        <f>IF(TabRenatão38[[#This Row],[Feriado]]="SIM",0,IF(TabRenatão38[[#This Row],[DSemana]]=7,TabRenatão38[[#This Row],[Htrab]],0))</f>
        <v>0</v>
      </c>
      <c r="N32" s="12">
        <f>IF(TabRenatão38[[#This Row],[Feriado]]="SIM",0,IF(TabRenatão38[[#This Row],[DSemana]]=1,TabRenatão38[[#This Row],[Htrab]],0))</f>
        <v>0</v>
      </c>
      <c r="O32" s="11">
        <f>TabRenatão38[[#This Row],[Htrab]]*17</f>
        <v>102</v>
      </c>
      <c r="P32" s="11">
        <f>TabRenatão38[[#This Row],[HN]]*17.9+TabRenatão38[[#This Row],[HFeriado]]*29+TabRenatão38[[#This Row],[HE]]*22.6+TabRenatão38[[#This Row],[Hsab]]*27.9+TabRenatão38[[#This Row],[Hdom]]*29</f>
        <v>107.39999999999999</v>
      </c>
      <c r="Q32" s="11">
        <f>TabRenatão38[[#This Row],[SalAtual]]-TabRenatão38[[#This Row],[SalAnt]]</f>
        <v>5.3999999999999915</v>
      </c>
    </row>
    <row r="33" spans="6:17" x14ac:dyDescent="0.25">
      <c r="F33" s="9">
        <v>43708</v>
      </c>
      <c r="G33" s="2">
        <f t="shared" si="0"/>
        <v>7</v>
      </c>
      <c r="H33" s="2" t="str">
        <f>IF(TabRenatão38[[#This Row],[dia]]=IFERROR(VLOOKUP(TabRenatão38[[#This Row],[dia]],Tabela1[],1,FALSE),"erro"),"Sim","Não")</f>
        <v>Não</v>
      </c>
      <c r="I33" s="12">
        <f>VLOOKUP(TabRenatão38[[#This Row],[dia]],Horarios,7,0)</f>
        <v>6</v>
      </c>
      <c r="J33" s="12">
        <f>IF(TabRenatão38[[#This Row],[Feriado]]="Sim",0,IF(TabRenatão38[[#This Row],[DSemana]]=1,0,IF(TabRenatão38[[#This Row],[DSemana]]=7,0,IF(TabRenatão38[[#This Row],[Htrab]]&gt;8,8,TabRenatão38[[#This Row],[Htrab]]))))</f>
        <v>0</v>
      </c>
      <c r="K33" s="12">
        <f>IF(TabRenatão38[[#This Row],[Feriado]]="Sim",TabRenatão38[[#This Row],[Htrab]],0)</f>
        <v>0</v>
      </c>
      <c r="L33" s="12">
        <f>IF(TabRenatão38[[#This Row],[Feriado]]="Sim",0,IF(TabRenatão38[[#This Row],[DSemana]]=1,0,IF(TabRenatão38[[#This Row],[DSemana]]=7,0,IF(TabRenatão38[[#This Row],[Htrab]]&gt;8,TabRenatão38[[#This Row],[Htrab]]-8,0))))</f>
        <v>0</v>
      </c>
      <c r="M33" s="12">
        <f>IF(TabRenatão38[[#This Row],[Feriado]]="SIM",0,IF(TabRenatão38[[#This Row],[DSemana]]=7,TabRenatão38[[#This Row],[Htrab]],0))</f>
        <v>6</v>
      </c>
      <c r="N33" s="12">
        <f>IF(TabRenatão38[[#This Row],[Feriado]]="SIM",0,IF(TabRenatão38[[#This Row],[DSemana]]=1,TabRenatão38[[#This Row],[Htrab]],0))</f>
        <v>0</v>
      </c>
      <c r="O33" s="11">
        <f>TabRenatão38[[#This Row],[Htrab]]*17</f>
        <v>102</v>
      </c>
      <c r="P33" s="11">
        <f>TabRenatão38[[#This Row],[HN]]*17.9+TabRenatão38[[#This Row],[HFeriado]]*29+TabRenatão38[[#This Row],[HE]]*22.6+TabRenatão38[[#This Row],[Hsab]]*27.9+TabRenatão38[[#This Row],[Hdom]]*29</f>
        <v>167.39999999999998</v>
      </c>
      <c r="Q33" s="11">
        <f>TabRenatão38[[#This Row],[SalAtual]]-TabRenatão38[[#This Row],[SalAnt]]</f>
        <v>65.399999999999977</v>
      </c>
    </row>
  </sheetData>
  <mergeCells count="3">
    <mergeCell ref="B13:D13"/>
    <mergeCell ref="B2:C2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B2:T33"/>
  <sheetViews>
    <sheetView showGridLines="0" workbookViewId="0">
      <selection activeCell="B14" sqref="B14:C14"/>
    </sheetView>
  </sheetViews>
  <sheetFormatPr defaultRowHeight="15" x14ac:dyDescent="0.25"/>
  <cols>
    <col min="4" max="4" width="11.7109375" bestFit="1" customWidth="1"/>
    <col min="7" max="7" width="9.140625" customWidth="1"/>
    <col min="13" max="14" width="9.140625" customWidth="1"/>
  </cols>
  <sheetData>
    <row r="2" spans="2:20" ht="15.75" customHeight="1" x14ac:dyDescent="0.25">
      <c r="B2" s="143" t="s">
        <v>14</v>
      </c>
      <c r="C2" s="143"/>
      <c r="F2" s="5" t="s">
        <v>1</v>
      </c>
      <c r="G2" s="5" t="s">
        <v>7</v>
      </c>
      <c r="H2" s="5" t="s">
        <v>22</v>
      </c>
      <c r="I2" s="5" t="s">
        <v>2</v>
      </c>
      <c r="J2" s="5" t="s">
        <v>3</v>
      </c>
      <c r="K2" s="5" t="s">
        <v>23</v>
      </c>
      <c r="L2" s="5" t="s">
        <v>4</v>
      </c>
      <c r="M2" s="5" t="s">
        <v>5</v>
      </c>
      <c r="N2" s="5" t="s">
        <v>6</v>
      </c>
      <c r="O2" s="5" t="s">
        <v>17</v>
      </c>
      <c r="P2" s="5" t="s">
        <v>18</v>
      </c>
      <c r="Q2" s="5" t="s">
        <v>16</v>
      </c>
      <c r="S2" s="13"/>
      <c r="T2" s="13"/>
    </row>
    <row r="3" spans="2:20" x14ac:dyDescent="0.25">
      <c r="B3" s="7"/>
      <c r="C3" s="7"/>
      <c r="F3" s="9">
        <v>43678</v>
      </c>
      <c r="G3" s="2">
        <f>WEEKDAY(F3)</f>
        <v>5</v>
      </c>
      <c r="H3" s="2" t="str">
        <f>IF(TabRenatão36789[[#This Row],[dia]]=IFERROR(VLOOKUP(TabRenatão36789[[#This Row],[dia]],Tabela1[],1,FALSE),"erro"),"Sim","Não")</f>
        <v>Não</v>
      </c>
      <c r="I3" s="12">
        <f>VLOOKUP(TabRenatão36789[[#This Row],[dia]],Horarios,8,0)</f>
        <v>8</v>
      </c>
      <c r="J3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3" s="12">
        <f>IF(TabRenatão36789[[#This Row],[Feriado]]="Sim",TabRenatão36789[[#This Row],[Htrab]],0)</f>
        <v>0</v>
      </c>
      <c r="L3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3" s="12">
        <f>IF(TabRenatão36789[[#This Row],[Feriado]]="SIM",0,IF(TabRenatão36789[[#This Row],[DSemana]]=7,TabRenatão36789[[#This Row],[Htrab]],0))</f>
        <v>0</v>
      </c>
      <c r="N3" s="12">
        <f>IF(TabRenatão36789[[#This Row],[Feriado]]="SIM",0,IF(TabRenatão36789[[#This Row],[DSemana]]=1,TabRenatão36789[[#This Row],[Htrab]],0))</f>
        <v>0</v>
      </c>
      <c r="O3" s="11">
        <f>TabRenatão36789[[#This Row],[Htrab]]*17</f>
        <v>136</v>
      </c>
      <c r="P3" s="11">
        <f>TabRenatão36789[[#This Row],[HN]]*17.9+TabRenatão36789[[#This Row],[HFeriado]]*29+TabRenatão36789[[#This Row],[HE]]*22.6+TabRenatão36789[[#This Row],[Hsab]]*27.9+TabRenatão36789[[#This Row],[Hdom]]*29</f>
        <v>143.19999999999999</v>
      </c>
      <c r="Q3" s="11">
        <f>TabRenatão36789[[#This Row],[SalAtual]]-TabRenatão36789[[#This Row],[SalAnt]]</f>
        <v>7.1999999999999886</v>
      </c>
    </row>
    <row r="4" spans="2:20" x14ac:dyDescent="0.25">
      <c r="B4" s="7"/>
      <c r="C4" s="7"/>
      <c r="F4" s="9">
        <v>43679</v>
      </c>
      <c r="G4" s="2">
        <f t="shared" ref="G4:G33" si="0">WEEKDAY(F4)</f>
        <v>6</v>
      </c>
      <c r="H4" s="2" t="str">
        <f>IF(TabRenatão36789[[#This Row],[dia]]=IFERROR(VLOOKUP(TabRenatão36789[[#This Row],[dia]],Tabela1[],1,FALSE),"erro"),"Sim","Não")</f>
        <v>Não</v>
      </c>
      <c r="I4" s="12">
        <f>VLOOKUP(TabRenatão36789[[#This Row],[dia]],Horarios,8,0)</f>
        <v>8</v>
      </c>
      <c r="J4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4" s="12">
        <f>IF(TabRenatão36789[[#This Row],[Feriado]]="Sim",TabRenatão36789[[#This Row],[Htrab]],0)</f>
        <v>0</v>
      </c>
      <c r="L4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4" s="12">
        <f>IF(TabRenatão36789[[#This Row],[Feriado]]="SIM",0,IF(TabRenatão36789[[#This Row],[DSemana]]=7,TabRenatão36789[[#This Row],[Htrab]],0))</f>
        <v>0</v>
      </c>
      <c r="N4" s="12">
        <f>IF(TabRenatão36789[[#This Row],[Feriado]]="SIM",0,IF(TabRenatão36789[[#This Row],[DSemana]]=1,TabRenatão36789[[#This Row],[Htrab]],0))</f>
        <v>0</v>
      </c>
      <c r="O4" s="11">
        <f>TabRenatão36789[[#This Row],[Htrab]]*17</f>
        <v>136</v>
      </c>
      <c r="P4" s="11">
        <f>TabRenatão36789[[#This Row],[HN]]*17.9+TabRenatão36789[[#This Row],[HFeriado]]*29+TabRenatão36789[[#This Row],[HE]]*22.6+TabRenatão36789[[#This Row],[Hsab]]*27.9+TabRenatão36789[[#This Row],[Hdom]]*29</f>
        <v>143.19999999999999</v>
      </c>
      <c r="Q4" s="11">
        <f>TabRenatão36789[[#This Row],[SalAtual]]-TabRenatão36789[[#This Row],[SalAnt]]</f>
        <v>7.1999999999999886</v>
      </c>
    </row>
    <row r="5" spans="2:20" x14ac:dyDescent="0.25">
      <c r="B5" s="7"/>
      <c r="C5" s="7"/>
      <c r="F5" s="9">
        <v>43680</v>
      </c>
      <c r="G5" s="2">
        <f t="shared" si="0"/>
        <v>7</v>
      </c>
      <c r="H5" s="2" t="str">
        <f>IF(TabRenatão36789[[#This Row],[dia]]=IFERROR(VLOOKUP(TabRenatão36789[[#This Row],[dia]],Tabela1[],1,FALSE),"erro"),"Sim","Não")</f>
        <v>Não</v>
      </c>
      <c r="I5" s="12">
        <f>VLOOKUP(TabRenatão36789[[#This Row],[dia]],Horarios,8,0)</f>
        <v>8</v>
      </c>
      <c r="J5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5" s="12">
        <f>IF(TabRenatão36789[[#This Row],[Feriado]]="Sim",TabRenatão36789[[#This Row],[Htrab]],0)</f>
        <v>0</v>
      </c>
      <c r="L5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5" s="12">
        <f>IF(TabRenatão36789[[#This Row],[Feriado]]="SIM",0,IF(TabRenatão36789[[#This Row],[DSemana]]=7,TabRenatão36789[[#This Row],[Htrab]],0))</f>
        <v>8</v>
      </c>
      <c r="N5" s="12">
        <f>IF(TabRenatão36789[[#This Row],[Feriado]]="SIM",0,IF(TabRenatão36789[[#This Row],[DSemana]]=1,TabRenatão36789[[#This Row],[Htrab]],0))</f>
        <v>0</v>
      </c>
      <c r="O5" s="11">
        <f>TabRenatão36789[[#This Row],[Htrab]]*17</f>
        <v>136</v>
      </c>
      <c r="P5" s="11">
        <f>TabRenatão36789[[#This Row],[HN]]*17.9+TabRenatão36789[[#This Row],[HFeriado]]*29+TabRenatão36789[[#This Row],[HE]]*22.6+TabRenatão36789[[#This Row],[Hsab]]*27.9+TabRenatão36789[[#This Row],[Hdom]]*29</f>
        <v>223.2</v>
      </c>
      <c r="Q5" s="11">
        <f>TabRenatão36789[[#This Row],[SalAtual]]-TabRenatão36789[[#This Row],[SalAnt]]</f>
        <v>87.199999999999989</v>
      </c>
    </row>
    <row r="6" spans="2:20" x14ac:dyDescent="0.25">
      <c r="B6" s="7"/>
      <c r="C6" s="7"/>
      <c r="F6" s="9">
        <v>43681</v>
      </c>
      <c r="G6" s="2">
        <f t="shared" si="0"/>
        <v>1</v>
      </c>
      <c r="H6" s="2" t="str">
        <f>IF(TabRenatão36789[[#This Row],[dia]]=IFERROR(VLOOKUP(TabRenatão36789[[#This Row],[dia]],Tabela1[],1,FALSE),"erro"),"Sim","Não")</f>
        <v>Não</v>
      </c>
      <c r="I6" s="12">
        <f>VLOOKUP(TabRenatão36789[[#This Row],[dia]],Horarios,8,0)</f>
        <v>8</v>
      </c>
      <c r="J6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6" s="12">
        <f>IF(TabRenatão36789[[#This Row],[Feriado]]="Sim",TabRenatão36789[[#This Row],[Htrab]],0)</f>
        <v>0</v>
      </c>
      <c r="L6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6" s="12">
        <f>IF(TabRenatão36789[[#This Row],[Feriado]]="SIM",0,IF(TabRenatão36789[[#This Row],[DSemana]]=7,TabRenatão36789[[#This Row],[Htrab]],0))</f>
        <v>0</v>
      </c>
      <c r="N6" s="12">
        <f>IF(TabRenatão36789[[#This Row],[Feriado]]="SIM",0,IF(TabRenatão36789[[#This Row],[DSemana]]=1,TabRenatão36789[[#This Row],[Htrab]],0))</f>
        <v>8</v>
      </c>
      <c r="O6" s="11">
        <f>TabRenatão36789[[#This Row],[Htrab]]*17</f>
        <v>136</v>
      </c>
      <c r="P6" s="11">
        <f>TabRenatão36789[[#This Row],[HN]]*17.9+TabRenatão36789[[#This Row],[HFeriado]]*29+TabRenatão36789[[#This Row],[HE]]*22.6+TabRenatão36789[[#This Row],[Hsab]]*27.9+TabRenatão36789[[#This Row],[Hdom]]*29</f>
        <v>232</v>
      </c>
      <c r="Q6" s="11">
        <f>TabRenatão36789[[#This Row],[SalAtual]]-TabRenatão36789[[#This Row],[SalAnt]]</f>
        <v>96</v>
      </c>
    </row>
    <row r="7" spans="2:20" x14ac:dyDescent="0.25">
      <c r="B7" s="7"/>
      <c r="C7" s="7"/>
      <c r="F7" s="9">
        <v>43682</v>
      </c>
      <c r="G7" s="2">
        <f t="shared" si="0"/>
        <v>2</v>
      </c>
      <c r="H7" s="2" t="str">
        <f>IF(TabRenatão36789[[#This Row],[dia]]=IFERROR(VLOOKUP(TabRenatão36789[[#This Row],[dia]],Tabela1[],1,FALSE),"erro"),"Sim","Não")</f>
        <v>Não</v>
      </c>
      <c r="I7" s="12">
        <f>VLOOKUP(TabRenatão36789[[#This Row],[dia]],Horarios,8,0)</f>
        <v>10</v>
      </c>
      <c r="J7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7" s="12">
        <f>IF(TabRenatão36789[[#This Row],[Feriado]]="Sim",TabRenatão36789[[#This Row],[Htrab]],0)</f>
        <v>0</v>
      </c>
      <c r="L7" s="12">
        <f>IF(TabRenatão36789[[#This Row],[Feriado]]="Sim",0,IF(TabRenatão36789[[#This Row],[DSemana]]=1,0,IF(TabRenatão36789[[#This Row],[DSemana]]=7,0,IF(TabRenatão36789[[#This Row],[Htrab]]&gt;8,TabRenatão36789[[#This Row],[Htrab]]-8,0))))</f>
        <v>2</v>
      </c>
      <c r="M7" s="12">
        <f>IF(TabRenatão36789[[#This Row],[Feriado]]="SIM",0,IF(TabRenatão36789[[#This Row],[DSemana]]=7,TabRenatão36789[[#This Row],[Htrab]],0))</f>
        <v>0</v>
      </c>
      <c r="N7" s="12">
        <f>IF(TabRenatão36789[[#This Row],[Feriado]]="SIM",0,IF(TabRenatão36789[[#This Row],[DSemana]]=1,TabRenatão36789[[#This Row],[Htrab]],0))</f>
        <v>0</v>
      </c>
      <c r="O7" s="11">
        <f>TabRenatão36789[[#This Row],[Htrab]]*17</f>
        <v>170</v>
      </c>
      <c r="P7" s="11">
        <f>TabRenatão36789[[#This Row],[HN]]*17.9+TabRenatão36789[[#This Row],[HFeriado]]*29+TabRenatão36789[[#This Row],[HE]]*22.6+TabRenatão36789[[#This Row],[Hsab]]*27.9+TabRenatão36789[[#This Row],[Hdom]]*29</f>
        <v>188.39999999999998</v>
      </c>
      <c r="Q7" s="11">
        <f>TabRenatão36789[[#This Row],[SalAtual]]-TabRenatão36789[[#This Row],[SalAnt]]</f>
        <v>18.399999999999977</v>
      </c>
    </row>
    <row r="8" spans="2:20" x14ac:dyDescent="0.25">
      <c r="B8" s="7"/>
      <c r="C8" s="7"/>
      <c r="F8" s="9">
        <v>43683</v>
      </c>
      <c r="G8" s="2">
        <f t="shared" si="0"/>
        <v>3</v>
      </c>
      <c r="H8" s="2" t="str">
        <f>IF(TabRenatão36789[[#This Row],[dia]]=IFERROR(VLOOKUP(TabRenatão36789[[#This Row],[dia]],Tabela1[],1,FALSE),"erro"),"Sim","Não")</f>
        <v>Não</v>
      </c>
      <c r="I8" s="12">
        <f>VLOOKUP(TabRenatão36789[[#This Row],[dia]],Horarios,8,0)</f>
        <v>8</v>
      </c>
      <c r="J8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8" s="12">
        <f>IF(TabRenatão36789[[#This Row],[Feriado]]="Sim",TabRenatão36789[[#This Row],[Htrab]],0)</f>
        <v>0</v>
      </c>
      <c r="L8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8" s="12">
        <f>IF(TabRenatão36789[[#This Row],[Feriado]]="SIM",0,IF(TabRenatão36789[[#This Row],[DSemana]]=7,TabRenatão36789[[#This Row],[Htrab]],0))</f>
        <v>0</v>
      </c>
      <c r="N8" s="12">
        <f>IF(TabRenatão36789[[#This Row],[Feriado]]="SIM",0,IF(TabRenatão36789[[#This Row],[DSemana]]=1,TabRenatão36789[[#This Row],[Htrab]],0))</f>
        <v>0</v>
      </c>
      <c r="O8" s="11">
        <f>TabRenatão36789[[#This Row],[Htrab]]*17</f>
        <v>136</v>
      </c>
      <c r="P8" s="11">
        <f>TabRenatão36789[[#This Row],[HN]]*17.9+TabRenatão36789[[#This Row],[HFeriado]]*29+TabRenatão36789[[#This Row],[HE]]*22.6+TabRenatão36789[[#This Row],[Hsab]]*27.9+TabRenatão36789[[#This Row],[Hdom]]*29</f>
        <v>143.19999999999999</v>
      </c>
      <c r="Q8" s="11">
        <f>TabRenatão36789[[#This Row],[SalAtual]]-TabRenatão36789[[#This Row],[SalAnt]]</f>
        <v>7.1999999999999886</v>
      </c>
    </row>
    <row r="9" spans="2:20" x14ac:dyDescent="0.25">
      <c r="F9" s="9">
        <v>43684</v>
      </c>
      <c r="G9" s="2">
        <f t="shared" si="0"/>
        <v>4</v>
      </c>
      <c r="H9" s="2" t="str">
        <f>IF(TabRenatão36789[[#This Row],[dia]]=IFERROR(VLOOKUP(TabRenatão36789[[#This Row],[dia]],Tabela1[],1,FALSE),"erro"),"Sim","Não")</f>
        <v>Não</v>
      </c>
      <c r="I9" s="12">
        <f>VLOOKUP(TabRenatão36789[[#This Row],[dia]],Horarios,8,0)</f>
        <v>10</v>
      </c>
      <c r="J9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9" s="12">
        <f>IF(TabRenatão36789[[#This Row],[Feriado]]="Sim",TabRenatão36789[[#This Row],[Htrab]],0)</f>
        <v>0</v>
      </c>
      <c r="L9" s="12">
        <f>IF(TabRenatão36789[[#This Row],[Feriado]]="Sim",0,IF(TabRenatão36789[[#This Row],[DSemana]]=1,0,IF(TabRenatão36789[[#This Row],[DSemana]]=7,0,IF(TabRenatão36789[[#This Row],[Htrab]]&gt;8,TabRenatão36789[[#This Row],[Htrab]]-8,0))))</f>
        <v>2</v>
      </c>
      <c r="M9" s="12">
        <f>IF(TabRenatão36789[[#This Row],[Feriado]]="SIM",0,IF(TabRenatão36789[[#This Row],[DSemana]]=7,TabRenatão36789[[#This Row],[Htrab]],0))</f>
        <v>0</v>
      </c>
      <c r="N9" s="12">
        <f>IF(TabRenatão36789[[#This Row],[Feriado]]="SIM",0,IF(TabRenatão36789[[#This Row],[DSemana]]=1,TabRenatão36789[[#This Row],[Htrab]],0))</f>
        <v>0</v>
      </c>
      <c r="O9" s="11">
        <f>TabRenatão36789[[#This Row],[Htrab]]*17</f>
        <v>170</v>
      </c>
      <c r="P9" s="11">
        <f>TabRenatão36789[[#This Row],[HN]]*17.9+TabRenatão36789[[#This Row],[HFeriado]]*29+TabRenatão36789[[#This Row],[HE]]*22.6+TabRenatão36789[[#This Row],[Hsab]]*27.9+TabRenatão36789[[#This Row],[Hdom]]*29</f>
        <v>188.39999999999998</v>
      </c>
      <c r="Q9" s="11">
        <f>TabRenatão36789[[#This Row],[SalAtual]]-TabRenatão36789[[#This Row],[SalAnt]]</f>
        <v>18.399999999999977</v>
      </c>
    </row>
    <row r="10" spans="2:20" x14ac:dyDescent="0.25">
      <c r="F10" s="9">
        <v>43685</v>
      </c>
      <c r="G10" s="2">
        <f t="shared" si="0"/>
        <v>5</v>
      </c>
      <c r="H10" s="2" t="str">
        <f>IF(TabRenatão36789[[#This Row],[dia]]=IFERROR(VLOOKUP(TabRenatão36789[[#This Row],[dia]],Tabela1[],1,FALSE),"erro"),"Sim","Não")</f>
        <v>Não</v>
      </c>
      <c r="I10" s="12">
        <f>VLOOKUP(TabRenatão36789[[#This Row],[dia]],Horarios,8,0)</f>
        <v>12</v>
      </c>
      <c r="J10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10" s="12">
        <f>IF(TabRenatão36789[[#This Row],[Feriado]]="Sim",TabRenatão36789[[#This Row],[Htrab]],0)</f>
        <v>0</v>
      </c>
      <c r="L10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10" s="12">
        <f>IF(TabRenatão36789[[#This Row],[Feriado]]="SIM",0,IF(TabRenatão36789[[#This Row],[DSemana]]=7,TabRenatão36789[[#This Row],[Htrab]],0))</f>
        <v>0</v>
      </c>
      <c r="N10" s="12">
        <f>IF(TabRenatão36789[[#This Row],[Feriado]]="SIM",0,IF(TabRenatão36789[[#This Row],[DSemana]]=1,TabRenatão36789[[#This Row],[Htrab]],0))</f>
        <v>0</v>
      </c>
      <c r="O10" s="11">
        <f>TabRenatão36789[[#This Row],[Htrab]]*17</f>
        <v>204</v>
      </c>
      <c r="P10" s="11">
        <f>TabRenatão36789[[#This Row],[HN]]*17.9+TabRenatão36789[[#This Row],[HFeriado]]*29+TabRenatão36789[[#This Row],[HE]]*22.6+TabRenatão36789[[#This Row],[Hsab]]*27.9+TabRenatão36789[[#This Row],[Hdom]]*29</f>
        <v>233.6</v>
      </c>
      <c r="Q10" s="11">
        <f>TabRenatão36789[[#This Row],[SalAtual]]-TabRenatão36789[[#This Row],[SalAnt]]</f>
        <v>29.599999999999994</v>
      </c>
    </row>
    <row r="11" spans="2:20" x14ac:dyDescent="0.25">
      <c r="F11" s="9">
        <v>43686</v>
      </c>
      <c r="G11" s="2">
        <f t="shared" si="0"/>
        <v>6</v>
      </c>
      <c r="H11" s="2" t="str">
        <f>IF(TabRenatão36789[[#This Row],[dia]]=IFERROR(VLOOKUP(TabRenatão36789[[#This Row],[dia]],Tabela1[],1,FALSE),"erro"),"Sim","Não")</f>
        <v>Não</v>
      </c>
      <c r="I11" s="12">
        <f>VLOOKUP(TabRenatão36789[[#This Row],[dia]],Horarios,8,0)</f>
        <v>8</v>
      </c>
      <c r="J11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11" s="12">
        <f>IF(TabRenatão36789[[#This Row],[Feriado]]="Sim",TabRenatão36789[[#This Row],[Htrab]],0)</f>
        <v>0</v>
      </c>
      <c r="L11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1" s="12">
        <f>IF(TabRenatão36789[[#This Row],[Feriado]]="SIM",0,IF(TabRenatão36789[[#This Row],[DSemana]]=7,TabRenatão36789[[#This Row],[Htrab]],0))</f>
        <v>0</v>
      </c>
      <c r="N11" s="12">
        <f>IF(TabRenatão36789[[#This Row],[Feriado]]="SIM",0,IF(TabRenatão36789[[#This Row],[DSemana]]=1,TabRenatão36789[[#This Row],[Htrab]],0))</f>
        <v>0</v>
      </c>
      <c r="O11" s="11">
        <f>TabRenatão36789[[#This Row],[Htrab]]*17</f>
        <v>136</v>
      </c>
      <c r="P11" s="11">
        <f>TabRenatão36789[[#This Row],[HN]]*17.9+TabRenatão36789[[#This Row],[HFeriado]]*29+TabRenatão36789[[#This Row],[HE]]*22.6+TabRenatão36789[[#This Row],[Hsab]]*27.9+TabRenatão36789[[#This Row],[Hdom]]*29</f>
        <v>143.19999999999999</v>
      </c>
      <c r="Q11" s="11">
        <f>TabRenatão36789[[#This Row],[SalAtual]]-TabRenatão36789[[#This Row],[SalAnt]]</f>
        <v>7.1999999999999886</v>
      </c>
    </row>
    <row r="12" spans="2:20" x14ac:dyDescent="0.25">
      <c r="F12" s="9">
        <v>43687</v>
      </c>
      <c r="G12" s="2">
        <f t="shared" si="0"/>
        <v>7</v>
      </c>
      <c r="H12" s="2" t="str">
        <f>IF(TabRenatão36789[[#This Row],[dia]]=IFERROR(VLOOKUP(TabRenatão36789[[#This Row],[dia]],Tabela1[],1,FALSE),"erro"),"Sim","Não")</f>
        <v>Não</v>
      </c>
      <c r="I12" s="12">
        <f>VLOOKUP(TabRenatão36789[[#This Row],[dia]],Horarios,8,0)</f>
        <v>8</v>
      </c>
      <c r="J12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12" s="12">
        <f>IF(TabRenatão36789[[#This Row],[Feriado]]="Sim",TabRenatão36789[[#This Row],[Htrab]],0)</f>
        <v>0</v>
      </c>
      <c r="L12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2" s="12">
        <f>IF(TabRenatão36789[[#This Row],[Feriado]]="SIM",0,IF(TabRenatão36789[[#This Row],[DSemana]]=7,TabRenatão36789[[#This Row],[Htrab]],0))</f>
        <v>8</v>
      </c>
      <c r="N12" s="12">
        <f>IF(TabRenatão36789[[#This Row],[Feriado]]="SIM",0,IF(TabRenatão36789[[#This Row],[DSemana]]=1,TabRenatão36789[[#This Row],[Htrab]],0))</f>
        <v>0</v>
      </c>
      <c r="O12" s="11">
        <f>TabRenatão36789[[#This Row],[Htrab]]*17</f>
        <v>136</v>
      </c>
      <c r="P12" s="11">
        <f>TabRenatão36789[[#This Row],[HN]]*17.9+TabRenatão36789[[#This Row],[HFeriado]]*29+TabRenatão36789[[#This Row],[HE]]*22.6+TabRenatão36789[[#This Row],[Hsab]]*27.9+TabRenatão36789[[#This Row],[Hdom]]*29</f>
        <v>223.2</v>
      </c>
      <c r="Q12" s="11">
        <f>TabRenatão36789[[#This Row],[SalAtual]]-TabRenatão36789[[#This Row],[SalAnt]]</f>
        <v>87.199999999999989</v>
      </c>
    </row>
    <row r="13" spans="2:20" x14ac:dyDescent="0.25">
      <c r="B13" s="144" t="s">
        <v>39</v>
      </c>
      <c r="C13" s="144"/>
      <c r="D13" s="144"/>
      <c r="F13" s="9">
        <v>43688</v>
      </c>
      <c r="G13" s="2">
        <f t="shared" si="0"/>
        <v>1</v>
      </c>
      <c r="H13" s="2" t="str">
        <f>IF(TabRenatão36789[[#This Row],[dia]]=IFERROR(VLOOKUP(TabRenatão36789[[#This Row],[dia]],Tabela1[],1,FALSE),"erro"),"Sim","Não")</f>
        <v>Não</v>
      </c>
      <c r="I13" s="12">
        <f>VLOOKUP(TabRenatão36789[[#This Row],[dia]],Horarios,8,0)</f>
        <v>4</v>
      </c>
      <c r="J13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13" s="12">
        <f>IF(TabRenatão36789[[#This Row],[Feriado]]="Sim",TabRenatão36789[[#This Row],[Htrab]],0)</f>
        <v>0</v>
      </c>
      <c r="L13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3" s="12">
        <f>IF(TabRenatão36789[[#This Row],[Feriado]]="SIM",0,IF(TabRenatão36789[[#This Row],[DSemana]]=7,TabRenatão36789[[#This Row],[Htrab]],0))</f>
        <v>0</v>
      </c>
      <c r="N13" s="12">
        <f>IF(TabRenatão36789[[#This Row],[Feriado]]="SIM",0,IF(TabRenatão36789[[#This Row],[DSemana]]=1,TabRenatão36789[[#This Row],[Htrab]],0))</f>
        <v>4</v>
      </c>
      <c r="O13" s="11">
        <f>TabRenatão36789[[#This Row],[Htrab]]*17</f>
        <v>68</v>
      </c>
      <c r="P13" s="11">
        <f>TabRenatão36789[[#This Row],[HN]]*17.9+TabRenatão36789[[#This Row],[HFeriado]]*29+TabRenatão36789[[#This Row],[HE]]*22.6+TabRenatão36789[[#This Row],[Hsab]]*27.9+TabRenatão36789[[#This Row],[Hdom]]*29</f>
        <v>116</v>
      </c>
      <c r="Q13" s="11">
        <f>TabRenatão36789[[#This Row],[SalAtual]]-TabRenatão36789[[#This Row],[SalAnt]]</f>
        <v>48</v>
      </c>
    </row>
    <row r="14" spans="2:20" x14ac:dyDescent="0.25">
      <c r="B14" s="146" t="s">
        <v>81</v>
      </c>
      <c r="C14" s="146"/>
      <c r="D14" s="8">
        <f>SUM(P3:P33)</f>
        <v>5790.6</v>
      </c>
      <c r="F14" s="9">
        <v>43689</v>
      </c>
      <c r="G14" s="2">
        <f t="shared" si="0"/>
        <v>2</v>
      </c>
      <c r="H14" s="2" t="str">
        <f>IF(TabRenatão36789[[#This Row],[dia]]=IFERROR(VLOOKUP(TabRenatão36789[[#This Row],[dia]],Tabela1[],1,FALSE),"erro"),"Sim","Não")</f>
        <v>Não</v>
      </c>
      <c r="I14" s="12">
        <f>VLOOKUP(TabRenatão36789[[#This Row],[dia]],Horarios,8,0)</f>
        <v>4</v>
      </c>
      <c r="J14" s="12">
        <f>IF(TabRenatão36789[[#This Row],[Feriado]]="Sim",0,IF(TabRenatão36789[[#This Row],[DSemana]]=1,0,IF(TabRenatão36789[[#This Row],[DSemana]]=7,0,IF(TabRenatão36789[[#This Row],[Htrab]]&gt;8,8,TabRenatão36789[[#This Row],[Htrab]]))))</f>
        <v>4</v>
      </c>
      <c r="K14" s="12">
        <f>IF(TabRenatão36789[[#This Row],[Feriado]]="Sim",TabRenatão36789[[#This Row],[Htrab]],0)</f>
        <v>0</v>
      </c>
      <c r="L14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4" s="12">
        <f>IF(TabRenatão36789[[#This Row],[Feriado]]="SIM",0,IF(TabRenatão36789[[#This Row],[DSemana]]=7,TabRenatão36789[[#This Row],[Htrab]],0))</f>
        <v>0</v>
      </c>
      <c r="N14" s="12">
        <f>IF(TabRenatão36789[[#This Row],[Feriado]]="SIM",0,IF(TabRenatão36789[[#This Row],[DSemana]]=1,TabRenatão36789[[#This Row],[Htrab]],0))</f>
        <v>0</v>
      </c>
      <c r="O14" s="11">
        <f>TabRenatão36789[[#This Row],[Htrab]]*17</f>
        <v>68</v>
      </c>
      <c r="P14" s="11">
        <f>TabRenatão36789[[#This Row],[HN]]*17.9+TabRenatão36789[[#This Row],[HFeriado]]*29+TabRenatão36789[[#This Row],[HE]]*22.6+TabRenatão36789[[#This Row],[Hsab]]*27.9+TabRenatão36789[[#This Row],[Hdom]]*29</f>
        <v>71.599999999999994</v>
      </c>
      <c r="Q14" s="11">
        <f>TabRenatão36789[[#This Row],[SalAtual]]-TabRenatão36789[[#This Row],[SalAnt]]</f>
        <v>3.5999999999999943</v>
      </c>
    </row>
    <row r="15" spans="2:20" x14ac:dyDescent="0.25">
      <c r="B15" s="145" t="s">
        <v>27</v>
      </c>
      <c r="C15" s="145"/>
      <c r="D15" s="14">
        <f>IF(D14&lt;=1751.81,D14*0.08,IF(D14&lt;=2919.72,D14*0.09,D14*0.11))</f>
        <v>636.96600000000001</v>
      </c>
      <c r="F15" s="9">
        <v>43690</v>
      </c>
      <c r="G15" s="2">
        <f t="shared" si="0"/>
        <v>3</v>
      </c>
      <c r="H15" s="2" t="str">
        <f>IF(TabRenatão36789[[#This Row],[dia]]=IFERROR(VLOOKUP(TabRenatão36789[[#This Row],[dia]],Tabela1[],1,FALSE),"erro"),"Sim","Não")</f>
        <v>Não</v>
      </c>
      <c r="I15" s="12">
        <f>VLOOKUP(TabRenatão36789[[#This Row],[dia]],Horarios,8,0)</f>
        <v>14</v>
      </c>
      <c r="J15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15" s="12">
        <f>IF(TabRenatão36789[[#This Row],[Feriado]]="Sim",TabRenatão36789[[#This Row],[Htrab]],0)</f>
        <v>0</v>
      </c>
      <c r="L15" s="12">
        <f>IF(TabRenatão36789[[#This Row],[Feriado]]="Sim",0,IF(TabRenatão36789[[#This Row],[DSemana]]=1,0,IF(TabRenatão36789[[#This Row],[DSemana]]=7,0,IF(TabRenatão36789[[#This Row],[Htrab]]&gt;8,TabRenatão36789[[#This Row],[Htrab]]-8,0))))</f>
        <v>6</v>
      </c>
      <c r="M15" s="12">
        <f>IF(TabRenatão36789[[#This Row],[Feriado]]="SIM",0,IF(TabRenatão36789[[#This Row],[DSemana]]=7,TabRenatão36789[[#This Row],[Htrab]],0))</f>
        <v>0</v>
      </c>
      <c r="N15" s="12">
        <f>IF(TabRenatão36789[[#This Row],[Feriado]]="SIM",0,IF(TabRenatão36789[[#This Row],[DSemana]]=1,TabRenatão36789[[#This Row],[Htrab]],0))</f>
        <v>0</v>
      </c>
      <c r="O15" s="11">
        <f>TabRenatão36789[[#This Row],[Htrab]]*17</f>
        <v>238</v>
      </c>
      <c r="P15" s="11">
        <f>TabRenatão36789[[#This Row],[HN]]*17.9+TabRenatão36789[[#This Row],[HFeriado]]*29+TabRenatão36789[[#This Row],[HE]]*22.6+TabRenatão36789[[#This Row],[Hsab]]*27.9+TabRenatão36789[[#This Row],[Hdom]]*29</f>
        <v>278.8</v>
      </c>
      <c r="Q15" s="11">
        <f>TabRenatão36789[[#This Row],[SalAtual]]-TabRenatão36789[[#This Row],[SalAnt]]</f>
        <v>40.800000000000011</v>
      </c>
    </row>
    <row r="16" spans="2:20" x14ac:dyDescent="0.25">
      <c r="B16" s="146" t="s">
        <v>28</v>
      </c>
      <c r="C16" s="146"/>
      <c r="D16">
        <v>1</v>
      </c>
      <c r="F16" s="9">
        <v>43691</v>
      </c>
      <c r="G16" s="2">
        <f t="shared" si="0"/>
        <v>4</v>
      </c>
      <c r="H16" s="2" t="str">
        <f>IF(TabRenatão36789[[#This Row],[dia]]=IFERROR(VLOOKUP(TabRenatão36789[[#This Row],[dia]],Tabela1[],1,FALSE),"erro"),"Sim","Não")</f>
        <v>Não</v>
      </c>
      <c r="I16" s="12">
        <f>VLOOKUP(TabRenatão36789[[#This Row],[dia]],Horarios,8,0)</f>
        <v>12</v>
      </c>
      <c r="J16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16" s="12">
        <f>IF(TabRenatão36789[[#This Row],[Feriado]]="Sim",TabRenatão36789[[#This Row],[Htrab]],0)</f>
        <v>0</v>
      </c>
      <c r="L16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16" s="12">
        <f>IF(TabRenatão36789[[#This Row],[Feriado]]="SIM",0,IF(TabRenatão36789[[#This Row],[DSemana]]=7,TabRenatão36789[[#This Row],[Htrab]],0))</f>
        <v>0</v>
      </c>
      <c r="N16" s="12">
        <f>IF(TabRenatão36789[[#This Row],[Feriado]]="SIM",0,IF(TabRenatão36789[[#This Row],[DSemana]]=1,TabRenatão36789[[#This Row],[Htrab]],0))</f>
        <v>0</v>
      </c>
      <c r="O16" s="11">
        <f>TabRenatão36789[[#This Row],[Htrab]]*17</f>
        <v>204</v>
      </c>
      <c r="P16" s="11">
        <f>TabRenatão36789[[#This Row],[HN]]*17.9+TabRenatão36789[[#This Row],[HFeriado]]*29+TabRenatão36789[[#This Row],[HE]]*22.6+TabRenatão36789[[#This Row],[Hsab]]*27.9+TabRenatão36789[[#This Row],[Hdom]]*29</f>
        <v>233.6</v>
      </c>
      <c r="Q16" s="11">
        <f>TabRenatão36789[[#This Row],[SalAtual]]-TabRenatão36789[[#This Row],[SalAnt]]</f>
        <v>29.599999999999994</v>
      </c>
    </row>
    <row r="17" spans="2:17" x14ac:dyDescent="0.25">
      <c r="B17" s="15" t="s">
        <v>29</v>
      </c>
      <c r="C17" s="15"/>
      <c r="D17" s="14">
        <f>D14-D15-(D16*189.59)</f>
        <v>4964.0439999999999</v>
      </c>
      <c r="F17" s="9">
        <v>43692</v>
      </c>
      <c r="G17" s="2">
        <f t="shared" si="0"/>
        <v>5</v>
      </c>
      <c r="H17" s="2" t="str">
        <f>IF(TabRenatão36789[[#This Row],[dia]]=IFERROR(VLOOKUP(TabRenatão36789[[#This Row],[dia]],Tabela1[],1,FALSE),"erro"),"Sim","Não")</f>
        <v>Sim</v>
      </c>
      <c r="I17" s="12">
        <f>VLOOKUP(TabRenatão36789[[#This Row],[dia]],Horarios,8,0)</f>
        <v>10</v>
      </c>
      <c r="J17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17" s="12">
        <f>IF(TabRenatão36789[[#This Row],[Feriado]]="Sim",TabRenatão36789[[#This Row],[Htrab]],0)</f>
        <v>10</v>
      </c>
      <c r="L17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7" s="12">
        <f>IF(TabRenatão36789[[#This Row],[Feriado]]="SIM",0,IF(TabRenatão36789[[#This Row],[DSemana]]=7,TabRenatão36789[[#This Row],[Htrab]],0))</f>
        <v>0</v>
      </c>
      <c r="N17" s="12">
        <f>IF(TabRenatão36789[[#This Row],[Feriado]]="SIM",0,IF(TabRenatão36789[[#This Row],[DSemana]]=1,TabRenatão36789[[#This Row],[Htrab]],0))</f>
        <v>0</v>
      </c>
      <c r="O17" s="11">
        <f>TabRenatão36789[[#This Row],[Htrab]]*17</f>
        <v>170</v>
      </c>
      <c r="P17" s="11">
        <f>TabRenatão36789[[#This Row],[HN]]*17.9+TabRenatão36789[[#This Row],[HFeriado]]*29+TabRenatão36789[[#This Row],[HE]]*22.6+TabRenatão36789[[#This Row],[Hsab]]*27.9+TabRenatão36789[[#This Row],[Hdom]]*29</f>
        <v>290</v>
      </c>
      <c r="Q17" s="11">
        <f>TabRenatão36789[[#This Row],[SalAtual]]-TabRenatão36789[[#This Row],[SalAnt]]</f>
        <v>120</v>
      </c>
    </row>
    <row r="18" spans="2:17" x14ac:dyDescent="0.25">
      <c r="B18" s="16" t="s">
        <v>30</v>
      </c>
      <c r="C18" s="16"/>
      <c r="D18" s="8">
        <f>D17*VLOOKUP(D17,irrf,3)-VLOOKUP(D17,irrf,4)</f>
        <v>495.75210000000004</v>
      </c>
      <c r="F18" s="9">
        <v>43693</v>
      </c>
      <c r="G18" s="2">
        <f t="shared" si="0"/>
        <v>6</v>
      </c>
      <c r="H18" s="2" t="str">
        <f>IF(TabRenatão36789[[#This Row],[dia]]=IFERROR(VLOOKUP(TabRenatão36789[[#This Row],[dia]],Tabela1[],1,FALSE),"erro"),"Sim","Não")</f>
        <v>Não</v>
      </c>
      <c r="I18" s="12">
        <f>VLOOKUP(TabRenatão36789[[#This Row],[dia]],Horarios,8,0)</f>
        <v>8</v>
      </c>
      <c r="J18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18" s="12">
        <f>IF(TabRenatão36789[[#This Row],[Feriado]]="Sim",TabRenatão36789[[#This Row],[Htrab]],0)</f>
        <v>0</v>
      </c>
      <c r="L18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8" s="12">
        <f>IF(TabRenatão36789[[#This Row],[Feriado]]="SIM",0,IF(TabRenatão36789[[#This Row],[DSemana]]=7,TabRenatão36789[[#This Row],[Htrab]],0))</f>
        <v>0</v>
      </c>
      <c r="N18" s="12">
        <f>IF(TabRenatão36789[[#This Row],[Feriado]]="SIM",0,IF(TabRenatão36789[[#This Row],[DSemana]]=1,TabRenatão36789[[#This Row],[Htrab]],0))</f>
        <v>0</v>
      </c>
      <c r="O18" s="11">
        <f>TabRenatão36789[[#This Row],[Htrab]]*17</f>
        <v>136</v>
      </c>
      <c r="P18" s="11">
        <f>TabRenatão36789[[#This Row],[HN]]*17.9+TabRenatão36789[[#This Row],[HFeriado]]*29+TabRenatão36789[[#This Row],[HE]]*22.6+TabRenatão36789[[#This Row],[Hsab]]*27.9+TabRenatão36789[[#This Row],[Hdom]]*29</f>
        <v>143.19999999999999</v>
      </c>
      <c r="Q18" s="11">
        <f>TabRenatão36789[[#This Row],[SalAtual]]-TabRenatão36789[[#This Row],[SalAnt]]</f>
        <v>7.1999999999999886</v>
      </c>
    </row>
    <row r="19" spans="2:17" x14ac:dyDescent="0.25">
      <c r="B19" s="15" t="s">
        <v>31</v>
      </c>
      <c r="C19" s="15"/>
      <c r="D19" s="14">
        <f>D14-D15-D18</f>
        <v>4657.8819000000003</v>
      </c>
      <c r="F19" s="9">
        <v>43694</v>
      </c>
      <c r="G19" s="2">
        <f t="shared" si="0"/>
        <v>7</v>
      </c>
      <c r="H19" s="2" t="str">
        <f>IF(TabRenatão36789[[#This Row],[dia]]=IFERROR(VLOOKUP(TabRenatão36789[[#This Row],[dia]],Tabela1[],1,FALSE),"erro"),"Sim","Não")</f>
        <v>Não</v>
      </c>
      <c r="I19" s="12">
        <f>VLOOKUP(TabRenatão36789[[#This Row],[dia]],Horarios,8,0)</f>
        <v>6</v>
      </c>
      <c r="J19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19" s="12">
        <f>IF(TabRenatão36789[[#This Row],[Feriado]]="Sim",TabRenatão36789[[#This Row],[Htrab]],0)</f>
        <v>0</v>
      </c>
      <c r="L19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19" s="12">
        <f>IF(TabRenatão36789[[#This Row],[Feriado]]="SIM",0,IF(TabRenatão36789[[#This Row],[DSemana]]=7,TabRenatão36789[[#This Row],[Htrab]],0))</f>
        <v>6</v>
      </c>
      <c r="N19" s="12">
        <f>IF(TabRenatão36789[[#This Row],[Feriado]]="SIM",0,IF(TabRenatão36789[[#This Row],[DSemana]]=1,TabRenatão36789[[#This Row],[Htrab]],0))</f>
        <v>0</v>
      </c>
      <c r="O19" s="11">
        <f>TabRenatão36789[[#This Row],[Htrab]]*17</f>
        <v>102</v>
      </c>
      <c r="P19" s="11">
        <f>TabRenatão36789[[#This Row],[HN]]*17.9+TabRenatão36789[[#This Row],[HFeriado]]*29+TabRenatão36789[[#This Row],[HE]]*22.6+TabRenatão36789[[#This Row],[Hsab]]*27.9+TabRenatão36789[[#This Row],[Hdom]]*29</f>
        <v>167.39999999999998</v>
      </c>
      <c r="Q19" s="11">
        <f>TabRenatão36789[[#This Row],[SalAtual]]-TabRenatão36789[[#This Row],[SalAnt]]</f>
        <v>65.399999999999977</v>
      </c>
    </row>
    <row r="20" spans="2:17" x14ac:dyDescent="0.25">
      <c r="F20" s="9">
        <v>43695</v>
      </c>
      <c r="G20" s="2">
        <f t="shared" si="0"/>
        <v>1</v>
      </c>
      <c r="H20" s="2" t="str">
        <f>IF(TabRenatão36789[[#This Row],[dia]]=IFERROR(VLOOKUP(TabRenatão36789[[#This Row],[dia]],Tabela1[],1,FALSE),"erro"),"Sim","Não")</f>
        <v>Não</v>
      </c>
      <c r="I20" s="12">
        <f>VLOOKUP(TabRenatão36789[[#This Row],[dia]],Horarios,8,0)</f>
        <v>8</v>
      </c>
      <c r="J20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20" s="12">
        <f>IF(TabRenatão36789[[#This Row],[Feriado]]="Sim",TabRenatão36789[[#This Row],[Htrab]],0)</f>
        <v>0</v>
      </c>
      <c r="L20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0" s="12">
        <f>IF(TabRenatão36789[[#This Row],[Feriado]]="SIM",0,IF(TabRenatão36789[[#This Row],[DSemana]]=7,TabRenatão36789[[#This Row],[Htrab]],0))</f>
        <v>0</v>
      </c>
      <c r="N20" s="12">
        <f>IF(TabRenatão36789[[#This Row],[Feriado]]="SIM",0,IF(TabRenatão36789[[#This Row],[DSemana]]=1,TabRenatão36789[[#This Row],[Htrab]],0))</f>
        <v>8</v>
      </c>
      <c r="O20" s="11">
        <f>TabRenatão36789[[#This Row],[Htrab]]*17</f>
        <v>136</v>
      </c>
      <c r="P20" s="11">
        <f>TabRenatão36789[[#This Row],[HN]]*17.9+TabRenatão36789[[#This Row],[HFeriado]]*29+TabRenatão36789[[#This Row],[HE]]*22.6+TabRenatão36789[[#This Row],[Hsab]]*27.9+TabRenatão36789[[#This Row],[Hdom]]*29</f>
        <v>232</v>
      </c>
      <c r="Q20" s="11">
        <f>TabRenatão36789[[#This Row],[SalAtual]]-TabRenatão36789[[#This Row],[SalAnt]]</f>
        <v>96</v>
      </c>
    </row>
    <row r="21" spans="2:17" x14ac:dyDescent="0.25">
      <c r="B21" s="145" t="s">
        <v>77</v>
      </c>
      <c r="C21" s="145"/>
      <c r="D21" s="14">
        <f>SUM(TabRenatão36789[SalAnt])</f>
        <v>4522</v>
      </c>
      <c r="F21" s="9">
        <v>43696</v>
      </c>
      <c r="G21" s="2">
        <f t="shared" si="0"/>
        <v>2</v>
      </c>
      <c r="H21" s="2" t="str">
        <f>IF(TabRenatão36789[[#This Row],[dia]]=IFERROR(VLOOKUP(TabRenatão36789[[#This Row],[dia]],Tabela1[],1,FALSE),"erro"),"Sim","Não")</f>
        <v>Não</v>
      </c>
      <c r="I21" s="12">
        <f>VLOOKUP(TabRenatão36789[[#This Row],[dia]],Horarios,8,0)</f>
        <v>4</v>
      </c>
      <c r="J21" s="12">
        <f>IF(TabRenatão36789[[#This Row],[Feriado]]="Sim",0,IF(TabRenatão36789[[#This Row],[DSemana]]=1,0,IF(TabRenatão36789[[#This Row],[DSemana]]=7,0,IF(TabRenatão36789[[#This Row],[Htrab]]&gt;8,8,TabRenatão36789[[#This Row],[Htrab]]))))</f>
        <v>4</v>
      </c>
      <c r="K21" s="12">
        <f>IF(TabRenatão36789[[#This Row],[Feriado]]="Sim",TabRenatão36789[[#This Row],[Htrab]],0)</f>
        <v>0</v>
      </c>
      <c r="L21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1" s="12">
        <f>IF(TabRenatão36789[[#This Row],[Feriado]]="SIM",0,IF(TabRenatão36789[[#This Row],[DSemana]]=7,TabRenatão36789[[#This Row],[Htrab]],0))</f>
        <v>0</v>
      </c>
      <c r="N21" s="12">
        <f>IF(TabRenatão36789[[#This Row],[Feriado]]="SIM",0,IF(TabRenatão36789[[#This Row],[DSemana]]=1,TabRenatão36789[[#This Row],[Htrab]],0))</f>
        <v>0</v>
      </c>
      <c r="O21" s="11">
        <f>TabRenatão36789[[#This Row],[Htrab]]*17</f>
        <v>68</v>
      </c>
      <c r="P21" s="11">
        <f>TabRenatão36789[[#This Row],[HN]]*17.9+TabRenatão36789[[#This Row],[HFeriado]]*29+TabRenatão36789[[#This Row],[HE]]*22.6+TabRenatão36789[[#This Row],[Hsab]]*27.9+TabRenatão36789[[#This Row],[Hdom]]*29</f>
        <v>71.599999999999994</v>
      </c>
      <c r="Q21" s="11">
        <f>TabRenatão36789[[#This Row],[SalAtual]]-TabRenatão36789[[#This Row],[SalAnt]]</f>
        <v>3.5999999999999943</v>
      </c>
    </row>
    <row r="22" spans="2:17" x14ac:dyDescent="0.25">
      <c r="F22" s="9">
        <v>43697</v>
      </c>
      <c r="G22" s="2">
        <f t="shared" si="0"/>
        <v>3</v>
      </c>
      <c r="H22" s="2" t="str">
        <f>IF(TabRenatão36789[[#This Row],[dia]]=IFERROR(VLOOKUP(TabRenatão36789[[#This Row],[dia]],Tabela1[],1,FALSE),"erro"),"Sim","Não")</f>
        <v>Sim</v>
      </c>
      <c r="I22" s="12">
        <f>VLOOKUP(TabRenatão36789[[#This Row],[dia]],Horarios,8,0)</f>
        <v>12</v>
      </c>
      <c r="J22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22" s="12">
        <f>IF(TabRenatão36789[[#This Row],[Feriado]]="Sim",TabRenatão36789[[#This Row],[Htrab]],0)</f>
        <v>12</v>
      </c>
      <c r="L22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2" s="12">
        <f>IF(TabRenatão36789[[#This Row],[Feriado]]="SIM",0,IF(TabRenatão36789[[#This Row],[DSemana]]=7,TabRenatão36789[[#This Row],[Htrab]],0))</f>
        <v>0</v>
      </c>
      <c r="N22" s="12">
        <f>IF(TabRenatão36789[[#This Row],[Feriado]]="SIM",0,IF(TabRenatão36789[[#This Row],[DSemana]]=1,TabRenatão36789[[#This Row],[Htrab]],0))</f>
        <v>0</v>
      </c>
      <c r="O22" s="11">
        <f>TabRenatão36789[[#This Row],[Htrab]]*17</f>
        <v>204</v>
      </c>
      <c r="P22" s="11">
        <f>TabRenatão36789[[#This Row],[HN]]*17.9+TabRenatão36789[[#This Row],[HFeriado]]*29+TabRenatão36789[[#This Row],[HE]]*22.6+TabRenatão36789[[#This Row],[Hsab]]*27.9+TabRenatão36789[[#This Row],[Hdom]]*29</f>
        <v>348</v>
      </c>
      <c r="Q22" s="11">
        <f>TabRenatão36789[[#This Row],[SalAtual]]-TabRenatão36789[[#This Row],[SalAnt]]</f>
        <v>144</v>
      </c>
    </row>
    <row r="23" spans="2:17" x14ac:dyDescent="0.25">
      <c r="F23" s="9">
        <v>43698</v>
      </c>
      <c r="G23" s="2">
        <f t="shared" si="0"/>
        <v>4</v>
      </c>
      <c r="H23" s="2" t="str">
        <f>IF(TabRenatão36789[[#This Row],[dia]]=IFERROR(VLOOKUP(TabRenatão36789[[#This Row],[dia]],Tabela1[],1,FALSE),"erro"),"Sim","Não")</f>
        <v>Não</v>
      </c>
      <c r="I23" s="12">
        <f>VLOOKUP(TabRenatão36789[[#This Row],[dia]],Horarios,8,0)</f>
        <v>10</v>
      </c>
      <c r="J23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23" s="12">
        <f>IF(TabRenatão36789[[#This Row],[Feriado]]="Sim",TabRenatão36789[[#This Row],[Htrab]],0)</f>
        <v>0</v>
      </c>
      <c r="L23" s="12">
        <f>IF(TabRenatão36789[[#This Row],[Feriado]]="Sim",0,IF(TabRenatão36789[[#This Row],[DSemana]]=1,0,IF(TabRenatão36789[[#This Row],[DSemana]]=7,0,IF(TabRenatão36789[[#This Row],[Htrab]]&gt;8,TabRenatão36789[[#This Row],[Htrab]]-8,0))))</f>
        <v>2</v>
      </c>
      <c r="M23" s="12">
        <f>IF(TabRenatão36789[[#This Row],[Feriado]]="SIM",0,IF(TabRenatão36789[[#This Row],[DSemana]]=7,TabRenatão36789[[#This Row],[Htrab]],0))</f>
        <v>0</v>
      </c>
      <c r="N23" s="12">
        <f>IF(TabRenatão36789[[#This Row],[Feriado]]="SIM",0,IF(TabRenatão36789[[#This Row],[DSemana]]=1,TabRenatão36789[[#This Row],[Htrab]],0))</f>
        <v>0</v>
      </c>
      <c r="O23" s="11">
        <f>TabRenatão36789[[#This Row],[Htrab]]*17</f>
        <v>170</v>
      </c>
      <c r="P23" s="11">
        <f>TabRenatão36789[[#This Row],[HN]]*17.9+TabRenatão36789[[#This Row],[HFeriado]]*29+TabRenatão36789[[#This Row],[HE]]*22.6+TabRenatão36789[[#This Row],[Hsab]]*27.9+TabRenatão36789[[#This Row],[Hdom]]*29</f>
        <v>188.39999999999998</v>
      </c>
      <c r="Q23" s="11">
        <f>TabRenatão36789[[#This Row],[SalAtual]]-TabRenatão36789[[#This Row],[SalAnt]]</f>
        <v>18.399999999999977</v>
      </c>
    </row>
    <row r="24" spans="2:17" x14ac:dyDescent="0.25">
      <c r="F24" s="9">
        <v>43699</v>
      </c>
      <c r="G24" s="2">
        <f t="shared" si="0"/>
        <v>5</v>
      </c>
      <c r="H24" s="2" t="str">
        <f>IF(TabRenatão36789[[#This Row],[dia]]=IFERROR(VLOOKUP(TabRenatão36789[[#This Row],[dia]],Tabela1[],1,FALSE),"erro"),"Sim","Não")</f>
        <v>Não</v>
      </c>
      <c r="I24" s="12">
        <f>VLOOKUP(TabRenatão36789[[#This Row],[dia]],Horarios,8,0)</f>
        <v>12</v>
      </c>
      <c r="J24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24" s="12">
        <f>IF(TabRenatão36789[[#This Row],[Feriado]]="Sim",TabRenatão36789[[#This Row],[Htrab]],0)</f>
        <v>0</v>
      </c>
      <c r="L24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24" s="12">
        <f>IF(TabRenatão36789[[#This Row],[Feriado]]="SIM",0,IF(TabRenatão36789[[#This Row],[DSemana]]=7,TabRenatão36789[[#This Row],[Htrab]],0))</f>
        <v>0</v>
      </c>
      <c r="N24" s="12">
        <f>IF(TabRenatão36789[[#This Row],[Feriado]]="SIM",0,IF(TabRenatão36789[[#This Row],[DSemana]]=1,TabRenatão36789[[#This Row],[Htrab]],0))</f>
        <v>0</v>
      </c>
      <c r="O24" s="11">
        <f>TabRenatão36789[[#This Row],[Htrab]]*17</f>
        <v>204</v>
      </c>
      <c r="P24" s="11">
        <f>TabRenatão36789[[#This Row],[HN]]*17.9+TabRenatão36789[[#This Row],[HFeriado]]*29+TabRenatão36789[[#This Row],[HE]]*22.6+TabRenatão36789[[#This Row],[Hsab]]*27.9+TabRenatão36789[[#This Row],[Hdom]]*29</f>
        <v>233.6</v>
      </c>
      <c r="Q24" s="11">
        <f>TabRenatão36789[[#This Row],[SalAtual]]-TabRenatão36789[[#This Row],[SalAnt]]</f>
        <v>29.599999999999994</v>
      </c>
    </row>
    <row r="25" spans="2:17" x14ac:dyDescent="0.25">
      <c r="F25" s="9">
        <v>43700</v>
      </c>
      <c r="G25" s="2">
        <f t="shared" si="0"/>
        <v>6</v>
      </c>
      <c r="H25" s="2" t="str">
        <f>IF(TabRenatão36789[[#This Row],[dia]]=IFERROR(VLOOKUP(TabRenatão36789[[#This Row],[dia]],Tabela1[],1,FALSE),"erro"),"Sim","Não")</f>
        <v>Não</v>
      </c>
      <c r="I25" s="12">
        <f>VLOOKUP(TabRenatão36789[[#This Row],[dia]],Horarios,8,0)</f>
        <v>12</v>
      </c>
      <c r="J25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25" s="12">
        <f>IF(TabRenatão36789[[#This Row],[Feriado]]="Sim",TabRenatão36789[[#This Row],[Htrab]],0)</f>
        <v>0</v>
      </c>
      <c r="L25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25" s="12">
        <f>IF(TabRenatão36789[[#This Row],[Feriado]]="SIM",0,IF(TabRenatão36789[[#This Row],[DSemana]]=7,TabRenatão36789[[#This Row],[Htrab]],0))</f>
        <v>0</v>
      </c>
      <c r="N25" s="12">
        <f>IF(TabRenatão36789[[#This Row],[Feriado]]="SIM",0,IF(TabRenatão36789[[#This Row],[DSemana]]=1,TabRenatão36789[[#This Row],[Htrab]],0))</f>
        <v>0</v>
      </c>
      <c r="O25" s="11">
        <f>TabRenatão36789[[#This Row],[Htrab]]*17</f>
        <v>204</v>
      </c>
      <c r="P25" s="11">
        <f>TabRenatão36789[[#This Row],[HN]]*17.9+TabRenatão36789[[#This Row],[HFeriado]]*29+TabRenatão36789[[#This Row],[HE]]*22.6+TabRenatão36789[[#This Row],[Hsab]]*27.9+TabRenatão36789[[#This Row],[Hdom]]*29</f>
        <v>233.6</v>
      </c>
      <c r="Q25" s="11">
        <f>TabRenatão36789[[#This Row],[SalAtual]]-TabRenatão36789[[#This Row],[SalAnt]]</f>
        <v>29.599999999999994</v>
      </c>
    </row>
    <row r="26" spans="2:17" x14ac:dyDescent="0.25">
      <c r="F26" s="9">
        <v>43701</v>
      </c>
      <c r="G26" s="2">
        <f t="shared" si="0"/>
        <v>7</v>
      </c>
      <c r="H26" s="2" t="str">
        <f>IF(TabRenatão36789[[#This Row],[dia]]=IFERROR(VLOOKUP(TabRenatão36789[[#This Row],[dia]],Tabela1[],1,FALSE),"erro"),"Sim","Não")</f>
        <v>Não</v>
      </c>
      <c r="I26" s="12">
        <f>VLOOKUP(TabRenatão36789[[#This Row],[dia]],Horarios,8,0)</f>
        <v>0</v>
      </c>
      <c r="J26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26" s="12">
        <f>IF(TabRenatão36789[[#This Row],[Feriado]]="Sim",TabRenatão36789[[#This Row],[Htrab]],0)</f>
        <v>0</v>
      </c>
      <c r="L26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6" s="12">
        <f>IF(TabRenatão36789[[#This Row],[Feriado]]="SIM",0,IF(TabRenatão36789[[#This Row],[DSemana]]=7,TabRenatão36789[[#This Row],[Htrab]],0))</f>
        <v>0</v>
      </c>
      <c r="N26" s="12">
        <f>IF(TabRenatão36789[[#This Row],[Feriado]]="SIM",0,IF(TabRenatão36789[[#This Row],[DSemana]]=1,TabRenatão36789[[#This Row],[Htrab]],0))</f>
        <v>0</v>
      </c>
      <c r="O26" s="11">
        <f>TabRenatão36789[[#This Row],[Htrab]]*17</f>
        <v>0</v>
      </c>
      <c r="P26" s="11">
        <f>TabRenatão36789[[#This Row],[HN]]*17.9+TabRenatão36789[[#This Row],[HFeriado]]*29+TabRenatão36789[[#This Row],[HE]]*22.6+TabRenatão36789[[#This Row],[Hsab]]*27.9+TabRenatão36789[[#This Row],[Hdom]]*29</f>
        <v>0</v>
      </c>
      <c r="Q26" s="11">
        <f>TabRenatão36789[[#This Row],[SalAtual]]-TabRenatão36789[[#This Row],[SalAnt]]</f>
        <v>0</v>
      </c>
    </row>
    <row r="27" spans="2:17" x14ac:dyDescent="0.25">
      <c r="F27" s="9">
        <v>43702</v>
      </c>
      <c r="G27" s="2">
        <f t="shared" si="0"/>
        <v>1</v>
      </c>
      <c r="H27" s="2" t="str">
        <f>IF(TabRenatão36789[[#This Row],[dia]]=IFERROR(VLOOKUP(TabRenatão36789[[#This Row],[dia]],Tabela1[],1,FALSE),"erro"),"Sim","Não")</f>
        <v>Não</v>
      </c>
      <c r="I27" s="12">
        <f>VLOOKUP(TabRenatão36789[[#This Row],[dia]],Horarios,8,0)</f>
        <v>4</v>
      </c>
      <c r="J27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27" s="12">
        <f>IF(TabRenatão36789[[#This Row],[Feriado]]="Sim",TabRenatão36789[[#This Row],[Htrab]],0)</f>
        <v>0</v>
      </c>
      <c r="L27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7" s="12">
        <f>IF(TabRenatão36789[[#This Row],[Feriado]]="SIM",0,IF(TabRenatão36789[[#This Row],[DSemana]]=7,TabRenatão36789[[#This Row],[Htrab]],0))</f>
        <v>0</v>
      </c>
      <c r="N27" s="12">
        <f>IF(TabRenatão36789[[#This Row],[Feriado]]="SIM",0,IF(TabRenatão36789[[#This Row],[DSemana]]=1,TabRenatão36789[[#This Row],[Htrab]],0))</f>
        <v>4</v>
      </c>
      <c r="O27" s="11">
        <f>TabRenatão36789[[#This Row],[Htrab]]*17</f>
        <v>68</v>
      </c>
      <c r="P27" s="11">
        <f>TabRenatão36789[[#This Row],[HN]]*17.9+TabRenatão36789[[#This Row],[HFeriado]]*29+TabRenatão36789[[#This Row],[HE]]*22.6+TabRenatão36789[[#This Row],[Hsab]]*27.9+TabRenatão36789[[#This Row],[Hdom]]*29</f>
        <v>116</v>
      </c>
      <c r="Q27" s="11">
        <f>TabRenatão36789[[#This Row],[SalAtual]]-TabRenatão36789[[#This Row],[SalAnt]]</f>
        <v>48</v>
      </c>
    </row>
    <row r="28" spans="2:17" x14ac:dyDescent="0.25">
      <c r="F28" s="9">
        <v>43703</v>
      </c>
      <c r="G28" s="2">
        <f t="shared" si="0"/>
        <v>2</v>
      </c>
      <c r="H28" s="2" t="str">
        <f>IF(TabRenatão36789[[#This Row],[dia]]=IFERROR(VLOOKUP(TabRenatão36789[[#This Row],[dia]],Tabela1[],1,FALSE),"erro"),"Sim","Não")</f>
        <v>Não</v>
      </c>
      <c r="I28" s="12">
        <f>VLOOKUP(TabRenatão36789[[#This Row],[dia]],Horarios,8,0)</f>
        <v>6</v>
      </c>
      <c r="J28" s="12">
        <f>IF(TabRenatão36789[[#This Row],[Feriado]]="Sim",0,IF(TabRenatão36789[[#This Row],[DSemana]]=1,0,IF(TabRenatão36789[[#This Row],[DSemana]]=7,0,IF(TabRenatão36789[[#This Row],[Htrab]]&gt;8,8,TabRenatão36789[[#This Row],[Htrab]]))))</f>
        <v>6</v>
      </c>
      <c r="K28" s="12">
        <f>IF(TabRenatão36789[[#This Row],[Feriado]]="Sim",TabRenatão36789[[#This Row],[Htrab]],0)</f>
        <v>0</v>
      </c>
      <c r="L28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8" s="12">
        <f>IF(TabRenatão36789[[#This Row],[Feriado]]="SIM",0,IF(TabRenatão36789[[#This Row],[DSemana]]=7,TabRenatão36789[[#This Row],[Htrab]],0))</f>
        <v>0</v>
      </c>
      <c r="N28" s="12">
        <f>IF(TabRenatão36789[[#This Row],[Feriado]]="SIM",0,IF(TabRenatão36789[[#This Row],[DSemana]]=1,TabRenatão36789[[#This Row],[Htrab]],0))</f>
        <v>0</v>
      </c>
      <c r="O28" s="11">
        <f>TabRenatão36789[[#This Row],[Htrab]]*17</f>
        <v>102</v>
      </c>
      <c r="P28" s="11">
        <f>TabRenatão36789[[#This Row],[HN]]*17.9+TabRenatão36789[[#This Row],[HFeriado]]*29+TabRenatão36789[[#This Row],[HE]]*22.6+TabRenatão36789[[#This Row],[Hsab]]*27.9+TabRenatão36789[[#This Row],[Hdom]]*29</f>
        <v>107.39999999999999</v>
      </c>
      <c r="Q28" s="11">
        <f>TabRenatão36789[[#This Row],[SalAtual]]-TabRenatão36789[[#This Row],[SalAnt]]</f>
        <v>5.3999999999999915</v>
      </c>
    </row>
    <row r="29" spans="2:17" x14ac:dyDescent="0.25">
      <c r="F29" s="9">
        <v>43704</v>
      </c>
      <c r="G29" s="2">
        <f t="shared" si="0"/>
        <v>3</v>
      </c>
      <c r="H29" s="2" t="str">
        <f>IF(TabRenatão36789[[#This Row],[dia]]=IFERROR(VLOOKUP(TabRenatão36789[[#This Row],[dia]],Tabela1[],1,FALSE),"erro"),"Sim","Não")</f>
        <v>Não</v>
      </c>
      <c r="I29" s="12">
        <f>VLOOKUP(TabRenatão36789[[#This Row],[dia]],Horarios,8,0)</f>
        <v>6</v>
      </c>
      <c r="J29" s="12">
        <f>IF(TabRenatão36789[[#This Row],[Feriado]]="Sim",0,IF(TabRenatão36789[[#This Row],[DSemana]]=1,0,IF(TabRenatão36789[[#This Row],[DSemana]]=7,0,IF(TabRenatão36789[[#This Row],[Htrab]]&gt;8,8,TabRenatão36789[[#This Row],[Htrab]]))))</f>
        <v>6</v>
      </c>
      <c r="K29" s="12">
        <f>IF(TabRenatão36789[[#This Row],[Feriado]]="Sim",TabRenatão36789[[#This Row],[Htrab]],0)</f>
        <v>0</v>
      </c>
      <c r="L29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29" s="12">
        <f>IF(TabRenatão36789[[#This Row],[Feriado]]="SIM",0,IF(TabRenatão36789[[#This Row],[DSemana]]=7,TabRenatão36789[[#This Row],[Htrab]],0))</f>
        <v>0</v>
      </c>
      <c r="N29" s="12">
        <f>IF(TabRenatão36789[[#This Row],[Feriado]]="SIM",0,IF(TabRenatão36789[[#This Row],[DSemana]]=1,TabRenatão36789[[#This Row],[Htrab]],0))</f>
        <v>0</v>
      </c>
      <c r="O29" s="11">
        <f>TabRenatão36789[[#This Row],[Htrab]]*17</f>
        <v>102</v>
      </c>
      <c r="P29" s="11">
        <f>TabRenatão36789[[#This Row],[HN]]*17.9+TabRenatão36789[[#This Row],[HFeriado]]*29+TabRenatão36789[[#This Row],[HE]]*22.6+TabRenatão36789[[#This Row],[Hsab]]*27.9+TabRenatão36789[[#This Row],[Hdom]]*29</f>
        <v>107.39999999999999</v>
      </c>
      <c r="Q29" s="11">
        <f>TabRenatão36789[[#This Row],[SalAtual]]-TabRenatão36789[[#This Row],[SalAnt]]</f>
        <v>5.3999999999999915</v>
      </c>
    </row>
    <row r="30" spans="2:17" x14ac:dyDescent="0.25">
      <c r="F30" s="9">
        <v>43705</v>
      </c>
      <c r="G30" s="2">
        <f t="shared" si="0"/>
        <v>4</v>
      </c>
      <c r="H30" s="2" t="str">
        <f>IF(TabRenatão36789[[#This Row],[dia]]=IFERROR(VLOOKUP(TabRenatão36789[[#This Row],[dia]],Tabela1[],1,FALSE),"erro"),"Sim","Não")</f>
        <v>Não</v>
      </c>
      <c r="I30" s="12">
        <f>VLOOKUP(TabRenatão36789[[#This Row],[dia]],Horarios,8,0)</f>
        <v>12</v>
      </c>
      <c r="J30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30" s="12">
        <f>IF(TabRenatão36789[[#This Row],[Feriado]]="Sim",TabRenatão36789[[#This Row],[Htrab]],0)</f>
        <v>0</v>
      </c>
      <c r="L30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30" s="12">
        <f>IF(TabRenatão36789[[#This Row],[Feriado]]="SIM",0,IF(TabRenatão36789[[#This Row],[DSemana]]=7,TabRenatão36789[[#This Row],[Htrab]],0))</f>
        <v>0</v>
      </c>
      <c r="N30" s="12">
        <f>IF(TabRenatão36789[[#This Row],[Feriado]]="SIM",0,IF(TabRenatão36789[[#This Row],[DSemana]]=1,TabRenatão36789[[#This Row],[Htrab]],0))</f>
        <v>0</v>
      </c>
      <c r="O30" s="11">
        <f>TabRenatão36789[[#This Row],[Htrab]]*17</f>
        <v>204</v>
      </c>
      <c r="P30" s="11">
        <f>TabRenatão36789[[#This Row],[HN]]*17.9+TabRenatão36789[[#This Row],[HFeriado]]*29+TabRenatão36789[[#This Row],[HE]]*22.6+TabRenatão36789[[#This Row],[Hsab]]*27.9+TabRenatão36789[[#This Row],[Hdom]]*29</f>
        <v>233.6</v>
      </c>
      <c r="Q30" s="11">
        <f>TabRenatão36789[[#This Row],[SalAtual]]-TabRenatão36789[[#This Row],[SalAnt]]</f>
        <v>29.599999999999994</v>
      </c>
    </row>
    <row r="31" spans="2:17" x14ac:dyDescent="0.25">
      <c r="F31" s="9">
        <v>43706</v>
      </c>
      <c r="G31" s="2">
        <f t="shared" si="0"/>
        <v>5</v>
      </c>
      <c r="H31" s="2" t="str">
        <f>IF(TabRenatão36789[[#This Row],[dia]]=IFERROR(VLOOKUP(TabRenatão36789[[#This Row],[dia]],Tabela1[],1,FALSE),"erro"),"Sim","Não")</f>
        <v>Não</v>
      </c>
      <c r="I31" s="12">
        <f>VLOOKUP(TabRenatão36789[[#This Row],[dia]],Horarios,8,0)</f>
        <v>10</v>
      </c>
      <c r="J31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31" s="12">
        <f>IF(TabRenatão36789[[#This Row],[Feriado]]="Sim",TabRenatão36789[[#This Row],[Htrab]],0)</f>
        <v>0</v>
      </c>
      <c r="L31" s="12">
        <f>IF(TabRenatão36789[[#This Row],[Feriado]]="Sim",0,IF(TabRenatão36789[[#This Row],[DSemana]]=1,0,IF(TabRenatão36789[[#This Row],[DSemana]]=7,0,IF(TabRenatão36789[[#This Row],[Htrab]]&gt;8,TabRenatão36789[[#This Row],[Htrab]]-8,0))))</f>
        <v>2</v>
      </c>
      <c r="M31" s="12">
        <f>IF(TabRenatão36789[[#This Row],[Feriado]]="SIM",0,IF(TabRenatão36789[[#This Row],[DSemana]]=7,TabRenatão36789[[#This Row],[Htrab]],0))</f>
        <v>0</v>
      </c>
      <c r="N31" s="12">
        <f>IF(TabRenatão36789[[#This Row],[Feriado]]="SIM",0,IF(TabRenatão36789[[#This Row],[DSemana]]=1,TabRenatão36789[[#This Row],[Htrab]],0))</f>
        <v>0</v>
      </c>
      <c r="O31" s="11">
        <f>TabRenatão36789[[#This Row],[Htrab]]*17</f>
        <v>170</v>
      </c>
      <c r="P31" s="11">
        <f>TabRenatão36789[[#This Row],[HN]]*17.9+TabRenatão36789[[#This Row],[HFeriado]]*29+TabRenatão36789[[#This Row],[HE]]*22.6+TabRenatão36789[[#This Row],[Hsab]]*27.9+TabRenatão36789[[#This Row],[Hdom]]*29</f>
        <v>188.39999999999998</v>
      </c>
      <c r="Q31" s="11">
        <f>TabRenatão36789[[#This Row],[SalAtual]]-TabRenatão36789[[#This Row],[SalAnt]]</f>
        <v>18.399999999999977</v>
      </c>
    </row>
    <row r="32" spans="2:17" x14ac:dyDescent="0.25">
      <c r="F32" s="9">
        <v>43707</v>
      </c>
      <c r="G32" s="2">
        <f t="shared" si="0"/>
        <v>6</v>
      </c>
      <c r="H32" s="2" t="str">
        <f>IF(TabRenatão36789[[#This Row],[dia]]=IFERROR(VLOOKUP(TabRenatão36789[[#This Row],[dia]],Tabela1[],1,FALSE),"erro"),"Sim","Não")</f>
        <v>Não</v>
      </c>
      <c r="I32" s="12">
        <f>VLOOKUP(TabRenatão36789[[#This Row],[dia]],Horarios,8,0)</f>
        <v>12</v>
      </c>
      <c r="J32" s="12">
        <f>IF(TabRenatão36789[[#This Row],[Feriado]]="Sim",0,IF(TabRenatão36789[[#This Row],[DSemana]]=1,0,IF(TabRenatão36789[[#This Row],[DSemana]]=7,0,IF(TabRenatão36789[[#This Row],[Htrab]]&gt;8,8,TabRenatão36789[[#This Row],[Htrab]]))))</f>
        <v>8</v>
      </c>
      <c r="K32" s="12">
        <f>IF(TabRenatão36789[[#This Row],[Feriado]]="Sim",TabRenatão36789[[#This Row],[Htrab]],0)</f>
        <v>0</v>
      </c>
      <c r="L32" s="12">
        <f>IF(TabRenatão36789[[#This Row],[Feriado]]="Sim",0,IF(TabRenatão36789[[#This Row],[DSemana]]=1,0,IF(TabRenatão36789[[#This Row],[DSemana]]=7,0,IF(TabRenatão36789[[#This Row],[Htrab]]&gt;8,TabRenatão36789[[#This Row],[Htrab]]-8,0))))</f>
        <v>4</v>
      </c>
      <c r="M32" s="12">
        <f>IF(TabRenatão36789[[#This Row],[Feriado]]="SIM",0,IF(TabRenatão36789[[#This Row],[DSemana]]=7,TabRenatão36789[[#This Row],[Htrab]],0))</f>
        <v>0</v>
      </c>
      <c r="N32" s="12">
        <f>IF(TabRenatão36789[[#This Row],[Feriado]]="SIM",0,IF(TabRenatão36789[[#This Row],[DSemana]]=1,TabRenatão36789[[#This Row],[Htrab]],0))</f>
        <v>0</v>
      </c>
      <c r="O32" s="11">
        <f>TabRenatão36789[[#This Row],[Htrab]]*17</f>
        <v>204</v>
      </c>
      <c r="P32" s="11">
        <f>TabRenatão36789[[#This Row],[HN]]*17.9+TabRenatão36789[[#This Row],[HFeriado]]*29+TabRenatão36789[[#This Row],[HE]]*22.6+TabRenatão36789[[#This Row],[Hsab]]*27.9+TabRenatão36789[[#This Row],[Hdom]]*29</f>
        <v>233.6</v>
      </c>
      <c r="Q32" s="11">
        <f>TabRenatão36789[[#This Row],[SalAtual]]-TabRenatão36789[[#This Row],[SalAnt]]</f>
        <v>29.599999999999994</v>
      </c>
    </row>
    <row r="33" spans="6:17" x14ac:dyDescent="0.25">
      <c r="F33" s="9">
        <v>43708</v>
      </c>
      <c r="G33" s="2">
        <f t="shared" si="0"/>
        <v>7</v>
      </c>
      <c r="H33" s="2" t="str">
        <f>IF(TabRenatão36789[[#This Row],[dia]]=IFERROR(VLOOKUP(TabRenatão36789[[#This Row],[dia]],Tabela1[],1,FALSE),"erro"),"Sim","Não")</f>
        <v>Não</v>
      </c>
      <c r="I33" s="12">
        <f>VLOOKUP(TabRenatão36789[[#This Row],[dia]],Horarios,8,0)</f>
        <v>12</v>
      </c>
      <c r="J33" s="12">
        <f>IF(TabRenatão36789[[#This Row],[Feriado]]="Sim",0,IF(TabRenatão36789[[#This Row],[DSemana]]=1,0,IF(TabRenatão36789[[#This Row],[DSemana]]=7,0,IF(TabRenatão36789[[#This Row],[Htrab]]&gt;8,8,TabRenatão36789[[#This Row],[Htrab]]))))</f>
        <v>0</v>
      </c>
      <c r="K33" s="12">
        <f>IF(TabRenatão36789[[#This Row],[Feriado]]="Sim",TabRenatão36789[[#This Row],[Htrab]],0)</f>
        <v>0</v>
      </c>
      <c r="L33" s="12">
        <f>IF(TabRenatão36789[[#This Row],[Feriado]]="Sim",0,IF(TabRenatão36789[[#This Row],[DSemana]]=1,0,IF(TabRenatão36789[[#This Row],[DSemana]]=7,0,IF(TabRenatão36789[[#This Row],[Htrab]]&gt;8,TabRenatão36789[[#This Row],[Htrab]]-8,0))))</f>
        <v>0</v>
      </c>
      <c r="M33" s="12">
        <f>IF(TabRenatão36789[[#This Row],[Feriado]]="SIM",0,IF(TabRenatão36789[[#This Row],[DSemana]]=7,TabRenatão36789[[#This Row],[Htrab]],0))</f>
        <v>12</v>
      </c>
      <c r="N33" s="12">
        <f>IF(TabRenatão36789[[#This Row],[Feriado]]="SIM",0,IF(TabRenatão36789[[#This Row],[DSemana]]=1,TabRenatão36789[[#This Row],[Htrab]],0))</f>
        <v>0</v>
      </c>
      <c r="O33" s="11">
        <f>TabRenatão36789[[#This Row],[Htrab]]*17</f>
        <v>204</v>
      </c>
      <c r="P33" s="11">
        <f>TabRenatão36789[[#This Row],[HN]]*17.9+TabRenatão36789[[#This Row],[HFeriado]]*29+TabRenatão36789[[#This Row],[HE]]*22.6+TabRenatão36789[[#This Row],[Hsab]]*27.9+TabRenatão36789[[#This Row],[Hdom]]*29</f>
        <v>334.79999999999995</v>
      </c>
      <c r="Q33" s="11">
        <f>TabRenatão36789[[#This Row],[SalAtual]]-TabRenatão36789[[#This Row],[SalAnt]]</f>
        <v>130.79999999999995</v>
      </c>
    </row>
  </sheetData>
  <mergeCells count="6">
    <mergeCell ref="B21:C21"/>
    <mergeCell ref="B13:D13"/>
    <mergeCell ref="B2:C2"/>
    <mergeCell ref="B14:C14"/>
    <mergeCell ref="B15:C15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Menu</vt:lpstr>
      <vt:lpstr>Holerite</vt:lpstr>
      <vt:lpstr>Carlão</vt:lpstr>
      <vt:lpstr>Renatão</vt:lpstr>
      <vt:lpstr>Jorjão</vt:lpstr>
      <vt:lpstr>Betão</vt:lpstr>
      <vt:lpstr>Tonhão</vt:lpstr>
      <vt:lpstr>Zelão</vt:lpstr>
      <vt:lpstr>Ditão</vt:lpstr>
      <vt:lpstr>Gráficos</vt:lpstr>
      <vt:lpstr>Configurações</vt:lpstr>
      <vt:lpstr>aliquotaIRRF</vt:lpstr>
      <vt:lpstr>Holerite!Area_de_impressao</vt:lpstr>
      <vt:lpstr>ComparaçãoBruta</vt:lpstr>
      <vt:lpstr>DiferençaSalarios</vt:lpstr>
      <vt:lpstr>Func</vt:lpstr>
      <vt:lpstr>Horarios</vt:lpstr>
      <vt:lpstr>HorasT</vt:lpstr>
      <vt:lpstr>Zelão!Informacões_Mensais_Carlão</vt:lpstr>
      <vt:lpstr>Informacões_Mensais_Carlão</vt:lpstr>
      <vt:lpstr>irrf</vt:lpstr>
      <vt:lpstr>nomefunc</vt:lpstr>
      <vt:lpstr>salariobase</vt:lpstr>
      <vt:lpstr>TabGraficoDiferença</vt:lpstr>
      <vt:lpstr>TabNome</vt:lpstr>
      <vt:lpstr>TabSalBruto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FELICIO</dc:creator>
  <cp:lastModifiedBy>gfeli</cp:lastModifiedBy>
  <cp:lastPrinted>2019-11-21T20:45:24Z</cp:lastPrinted>
  <dcterms:created xsi:type="dcterms:W3CDTF">2019-10-22T21:10:04Z</dcterms:created>
  <dcterms:modified xsi:type="dcterms:W3CDTF">2020-09-15T15:52:35Z</dcterms:modified>
</cp:coreProperties>
</file>