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GuilhermeRed\Documents\Materiais\data_science\abordagem_estatistica\"/>
    </mc:Choice>
  </mc:AlternateContent>
  <xr:revisionPtr revIDLastSave="0" documentId="13_ncr:1_{11A1640E-5810-44C4-B64A-8A64C6562B5A}" xr6:coauthVersionLast="43" xr6:coauthVersionMax="43" xr10:uidLastSave="{00000000-0000-0000-0000-000000000000}"/>
  <bookViews>
    <workbookView xWindow="-19320" yWindow="-120" windowWidth="19440" windowHeight="10440" firstSheet="1" activeTab="2" xr2:uid="{00000000-000D-0000-FFFF-FFFF00000000}"/>
  </bookViews>
  <sheets>
    <sheet name="Plan2" sheetId="2" state="hidden" r:id="rId1"/>
    <sheet name="Parte 1" sheetId="3" r:id="rId2"/>
    <sheet name="Parte 2" sheetId="4" r:id="rId3"/>
  </sheets>
  <definedNames>
    <definedName name="_xlnm._FilterDatabase" localSheetId="2" hidden="1">'Parte 2'!$H$77:$S$78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2" i="4" l="1"/>
  <c r="N42" i="4"/>
  <c r="O72" i="4"/>
  <c r="N72" i="4"/>
  <c r="Q79" i="4"/>
  <c r="Q48" i="4"/>
  <c r="O48" i="4"/>
  <c r="N48" i="4"/>
  <c r="O18" i="4"/>
  <c r="N18" i="4"/>
  <c r="S102" i="4"/>
  <c r="S101" i="4"/>
  <c r="S100" i="4"/>
  <c r="M101" i="4" s="1"/>
  <c r="S99" i="4"/>
  <c r="M100" i="4" s="1"/>
  <c r="R100" i="4" s="1"/>
  <c r="S98" i="4"/>
  <c r="S97" i="4"/>
  <c r="S96" i="4"/>
  <c r="M97" i="4" s="1"/>
  <c r="R97" i="4" s="1"/>
  <c r="S95" i="4"/>
  <c r="M96" i="4" s="1"/>
  <c r="S94" i="4"/>
  <c r="S93" i="4"/>
  <c r="S92" i="4"/>
  <c r="M93" i="4" s="1"/>
  <c r="S91" i="4"/>
  <c r="M92" i="4" s="1"/>
  <c r="S90" i="4"/>
  <c r="S89" i="4"/>
  <c r="S88" i="4"/>
  <c r="M89" i="4" s="1"/>
  <c r="S87" i="4"/>
  <c r="M88" i="4" s="1"/>
  <c r="R88" i="4" s="1"/>
  <c r="S86" i="4"/>
  <c r="S85" i="4"/>
  <c r="S84" i="4"/>
  <c r="M85" i="4" s="1"/>
  <c r="R85" i="4" s="1"/>
  <c r="S83" i="4"/>
  <c r="M84" i="4" s="1"/>
  <c r="S82" i="4"/>
  <c r="S81" i="4"/>
  <c r="S80" i="4"/>
  <c r="S103" i="4" s="1"/>
  <c r="S79" i="4"/>
  <c r="O79" i="4"/>
  <c r="N79" i="4"/>
  <c r="I103" i="4"/>
  <c r="M102" i="4"/>
  <c r="J102" i="4"/>
  <c r="H102" i="4"/>
  <c r="J101" i="4"/>
  <c r="H101" i="4"/>
  <c r="J100" i="4"/>
  <c r="H100" i="4"/>
  <c r="M99" i="4"/>
  <c r="J99" i="4"/>
  <c r="H99" i="4"/>
  <c r="M98" i="4"/>
  <c r="J98" i="4"/>
  <c r="H98" i="4"/>
  <c r="J97" i="4"/>
  <c r="H97" i="4"/>
  <c r="J96" i="4"/>
  <c r="H96" i="4"/>
  <c r="M95" i="4"/>
  <c r="J95" i="4"/>
  <c r="H95" i="4"/>
  <c r="M94" i="4"/>
  <c r="J94" i="4"/>
  <c r="H94" i="4"/>
  <c r="J93" i="4"/>
  <c r="H93" i="4"/>
  <c r="J92" i="4"/>
  <c r="H92" i="4"/>
  <c r="M91" i="4"/>
  <c r="J91" i="4"/>
  <c r="H91" i="4"/>
  <c r="M90" i="4"/>
  <c r="J90" i="4"/>
  <c r="H90" i="4"/>
  <c r="J89" i="4"/>
  <c r="H89" i="4"/>
  <c r="J88" i="4"/>
  <c r="H88" i="4"/>
  <c r="M87" i="4"/>
  <c r="J87" i="4"/>
  <c r="H87" i="4"/>
  <c r="M86" i="4"/>
  <c r="J86" i="4"/>
  <c r="H86" i="4"/>
  <c r="J85" i="4"/>
  <c r="H85" i="4"/>
  <c r="J84" i="4"/>
  <c r="H84" i="4"/>
  <c r="M83" i="4"/>
  <c r="J83" i="4"/>
  <c r="H83" i="4"/>
  <c r="M82" i="4"/>
  <c r="J82" i="4"/>
  <c r="H82" i="4"/>
  <c r="J81" i="4"/>
  <c r="H81" i="4"/>
  <c r="M80" i="4"/>
  <c r="K80" i="4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J80" i="4"/>
  <c r="L80" i="4" s="1"/>
  <c r="H80" i="4"/>
  <c r="L79" i="4"/>
  <c r="J79" i="4"/>
  <c r="H79" i="4"/>
  <c r="H103" i="4" s="1"/>
  <c r="S72" i="4"/>
  <c r="I72" i="4"/>
  <c r="M71" i="4"/>
  <c r="J71" i="4"/>
  <c r="H71" i="4"/>
  <c r="M70" i="4"/>
  <c r="J70" i="4"/>
  <c r="H70" i="4"/>
  <c r="M69" i="4"/>
  <c r="J69" i="4"/>
  <c r="H69" i="4"/>
  <c r="M68" i="4"/>
  <c r="J68" i="4"/>
  <c r="H68" i="4"/>
  <c r="M67" i="4"/>
  <c r="J67" i="4"/>
  <c r="H67" i="4"/>
  <c r="M66" i="4"/>
  <c r="J66" i="4"/>
  <c r="H66" i="4"/>
  <c r="M65" i="4"/>
  <c r="J65" i="4"/>
  <c r="H65" i="4"/>
  <c r="M64" i="4"/>
  <c r="J64" i="4"/>
  <c r="H64" i="4"/>
  <c r="M63" i="4"/>
  <c r="J63" i="4"/>
  <c r="H63" i="4"/>
  <c r="M62" i="4"/>
  <c r="J62" i="4"/>
  <c r="H62" i="4"/>
  <c r="M61" i="4"/>
  <c r="J61" i="4"/>
  <c r="H61" i="4"/>
  <c r="M60" i="4"/>
  <c r="J60" i="4"/>
  <c r="H60" i="4"/>
  <c r="M59" i="4"/>
  <c r="J59" i="4"/>
  <c r="H59" i="4"/>
  <c r="M58" i="4"/>
  <c r="J58" i="4"/>
  <c r="H58" i="4"/>
  <c r="M57" i="4"/>
  <c r="J57" i="4"/>
  <c r="H57" i="4"/>
  <c r="M56" i="4"/>
  <c r="J56" i="4"/>
  <c r="H56" i="4"/>
  <c r="M55" i="4"/>
  <c r="J55" i="4"/>
  <c r="H55" i="4"/>
  <c r="M54" i="4"/>
  <c r="J54" i="4"/>
  <c r="H54" i="4"/>
  <c r="M53" i="4"/>
  <c r="J53" i="4"/>
  <c r="H53" i="4"/>
  <c r="M52" i="4"/>
  <c r="J52" i="4"/>
  <c r="H52" i="4"/>
  <c r="M51" i="4"/>
  <c r="J51" i="4"/>
  <c r="H51" i="4"/>
  <c r="M50" i="4"/>
  <c r="R48" i="4" s="1"/>
  <c r="J50" i="4"/>
  <c r="H50" i="4"/>
  <c r="M49" i="4"/>
  <c r="K49" i="4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J49" i="4"/>
  <c r="L49" i="4" s="1"/>
  <c r="H49" i="4"/>
  <c r="L48" i="4"/>
  <c r="J48" i="4"/>
  <c r="H48" i="4"/>
  <c r="H72" i="4" s="1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Q18" i="4" l="1"/>
  <c r="O19" i="4" s="1"/>
  <c r="R94" i="4"/>
  <c r="M81" i="4"/>
  <c r="R79" i="4" s="1"/>
  <c r="H3" i="4" s="1"/>
  <c r="R91" i="4"/>
  <c r="R82" i="4"/>
  <c r="R57" i="4"/>
  <c r="R69" i="4"/>
  <c r="R51" i="4"/>
  <c r="R63" i="4"/>
  <c r="R60" i="4"/>
  <c r="R54" i="4"/>
  <c r="R66" i="4"/>
  <c r="L81" i="4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J103" i="4"/>
  <c r="N80" i="4"/>
  <c r="L50" i="4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J72" i="4"/>
  <c r="N49" i="4"/>
  <c r="X2" i="4"/>
  <c r="X6" i="4" s="1"/>
  <c r="I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K19" i="4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H19" i="4"/>
  <c r="H18" i="4"/>
  <c r="V7" i="4"/>
  <c r="L55" i="3"/>
  <c r="L36" i="3"/>
  <c r="L18" i="3"/>
  <c r="O49" i="4" l="1"/>
  <c r="Q49" i="4" s="1"/>
  <c r="Q19" i="4"/>
  <c r="O20" i="4" s="1"/>
  <c r="N19" i="4"/>
  <c r="O80" i="4"/>
  <c r="Q80" i="4" s="1"/>
  <c r="O50" i="4"/>
  <c r="Q50" i="4" s="1"/>
  <c r="G8" i="4"/>
  <c r="H7" i="4"/>
  <c r="G7" i="4"/>
  <c r="H6" i="4"/>
  <c r="H10" i="4"/>
  <c r="G3" i="4"/>
  <c r="G4" i="4"/>
  <c r="H4" i="4"/>
  <c r="X5" i="4"/>
  <c r="G6" i="4"/>
  <c r="G10" i="4"/>
  <c r="H9" i="4"/>
  <c r="G5" i="4"/>
  <c r="G9" i="4"/>
  <c r="H5" i="4"/>
  <c r="H8" i="4"/>
  <c r="J32" i="4"/>
  <c r="J35" i="4"/>
  <c r="J36" i="4"/>
  <c r="J34" i="4"/>
  <c r="J38" i="4"/>
  <c r="J41" i="4"/>
  <c r="J30" i="4"/>
  <c r="H42" i="4"/>
  <c r="J33" i="4"/>
  <c r="J37" i="4"/>
  <c r="J31" i="4"/>
  <c r="J39" i="4"/>
  <c r="J40" i="4"/>
  <c r="J24" i="4"/>
  <c r="J22" i="4"/>
  <c r="J18" i="4"/>
  <c r="J28" i="4"/>
  <c r="J23" i="4"/>
  <c r="J29" i="4"/>
  <c r="J21" i="4"/>
  <c r="J26" i="4"/>
  <c r="J27" i="4"/>
  <c r="J19" i="4"/>
  <c r="J25" i="4"/>
  <c r="J20" i="4"/>
  <c r="N55" i="3"/>
  <c r="L56" i="3" s="1"/>
  <c r="N36" i="3"/>
  <c r="L37" i="3" s="1"/>
  <c r="N18" i="3"/>
  <c r="H67" i="3"/>
  <c r="G66" i="3"/>
  <c r="G65" i="3"/>
  <c r="G64" i="3"/>
  <c r="I63" i="3"/>
  <c r="G63" i="3"/>
  <c r="G62" i="3"/>
  <c r="G61" i="3"/>
  <c r="G60" i="3"/>
  <c r="I59" i="3"/>
  <c r="G59" i="3"/>
  <c r="G58" i="3"/>
  <c r="G57" i="3"/>
  <c r="J56" i="3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G56" i="3"/>
  <c r="G55" i="3"/>
  <c r="S7" i="3"/>
  <c r="H48" i="3"/>
  <c r="G47" i="3"/>
  <c r="G46" i="3"/>
  <c r="G45" i="3"/>
  <c r="G44" i="3"/>
  <c r="G43" i="3"/>
  <c r="G42" i="3"/>
  <c r="G41" i="3"/>
  <c r="G40" i="3"/>
  <c r="G39" i="3"/>
  <c r="G38" i="3"/>
  <c r="J37" i="3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G37" i="3"/>
  <c r="G36" i="3"/>
  <c r="H30" i="3"/>
  <c r="I46" i="3" s="1"/>
  <c r="J19" i="3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19" i="3"/>
  <c r="G20" i="3"/>
  <c r="G21" i="3"/>
  <c r="G22" i="3"/>
  <c r="G23" i="3"/>
  <c r="G24" i="3"/>
  <c r="G25" i="3"/>
  <c r="G26" i="3"/>
  <c r="G27" i="3"/>
  <c r="G28" i="3"/>
  <c r="G29" i="3"/>
  <c r="G18" i="3"/>
  <c r="Q20" i="4" l="1"/>
  <c r="O21" i="4"/>
  <c r="N20" i="4"/>
  <c r="N21" i="4" s="1"/>
  <c r="N81" i="4"/>
  <c r="O81" i="4"/>
  <c r="N50" i="4"/>
  <c r="O51" i="4"/>
  <c r="Q51" i="4" s="1"/>
  <c r="I61" i="3"/>
  <c r="I57" i="3"/>
  <c r="I65" i="3"/>
  <c r="L18" i="4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J42" i="4"/>
  <c r="N56" i="3"/>
  <c r="G67" i="3"/>
  <c r="I56" i="3"/>
  <c r="I55" i="3"/>
  <c r="I58" i="3"/>
  <c r="I60" i="3"/>
  <c r="I62" i="3"/>
  <c r="I64" i="3"/>
  <c r="I66" i="3"/>
  <c r="L19" i="3"/>
  <c r="N19" i="3" s="1"/>
  <c r="N37" i="3"/>
  <c r="L38" i="3" s="1"/>
  <c r="O38" i="3" s="1"/>
  <c r="I28" i="3"/>
  <c r="I24" i="3"/>
  <c r="I37" i="3"/>
  <c r="G30" i="3"/>
  <c r="S8" i="3" s="1"/>
  <c r="I20" i="3"/>
  <c r="I27" i="3"/>
  <c r="I23" i="3"/>
  <c r="I19" i="3"/>
  <c r="I36" i="3"/>
  <c r="I39" i="3"/>
  <c r="I41" i="3"/>
  <c r="I43" i="3"/>
  <c r="I45" i="3"/>
  <c r="I47" i="3"/>
  <c r="I22" i="3"/>
  <c r="I26" i="3"/>
  <c r="I29" i="3"/>
  <c r="I25" i="3"/>
  <c r="I21" i="3"/>
  <c r="I18" i="3"/>
  <c r="G48" i="3"/>
  <c r="S9" i="3" s="1"/>
  <c r="I38" i="3"/>
  <c r="I40" i="3"/>
  <c r="I42" i="3"/>
  <c r="I44" i="3"/>
  <c r="K45" i="2"/>
  <c r="I45" i="2" s="1"/>
  <c r="K46" i="2"/>
  <c r="J47" i="2" s="1"/>
  <c r="I28" i="2"/>
  <c r="I74" i="2" s="1"/>
  <c r="I40" i="2"/>
  <c r="J46" i="2"/>
  <c r="J29" i="2"/>
  <c r="K29" i="2"/>
  <c r="K30" i="2" s="1"/>
  <c r="J31" i="2" s="1"/>
  <c r="K28" i="2"/>
  <c r="I57" i="2"/>
  <c r="J28" i="2"/>
  <c r="J45" i="2"/>
  <c r="Q81" i="4" l="1"/>
  <c r="O82" i="4" s="1"/>
  <c r="N51" i="4"/>
  <c r="Q21" i="4"/>
  <c r="O22" i="4"/>
  <c r="N22" i="4"/>
  <c r="O52" i="4"/>
  <c r="Q52" i="4" s="1"/>
  <c r="I67" i="3"/>
  <c r="K55" i="3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L57" i="3"/>
  <c r="N38" i="3"/>
  <c r="L20" i="3"/>
  <c r="O20" i="3" s="1"/>
  <c r="I48" i="3"/>
  <c r="K36" i="3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18" i="3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I30" i="3"/>
  <c r="I29" i="2"/>
  <c r="I46" i="2"/>
  <c r="I30" i="2"/>
  <c r="K47" i="2"/>
  <c r="J30" i="2"/>
  <c r="J64" i="2" s="1"/>
  <c r="J63" i="2"/>
  <c r="K63" i="2"/>
  <c r="I63" i="2" s="1"/>
  <c r="K31" i="2"/>
  <c r="K62" i="2"/>
  <c r="I62" i="2" s="1"/>
  <c r="J62" i="2"/>
  <c r="Q82" i="4" l="1"/>
  <c r="O83" i="4"/>
  <c r="Q83" i="4" s="1"/>
  <c r="N82" i="4"/>
  <c r="Q22" i="4"/>
  <c r="O23" i="4"/>
  <c r="N23" i="4"/>
  <c r="N83" i="4"/>
  <c r="O84" i="4"/>
  <c r="Q84" i="4" s="1"/>
  <c r="O53" i="4"/>
  <c r="Q53" i="4" s="1"/>
  <c r="N52" i="4"/>
  <c r="N57" i="3"/>
  <c r="P57" i="3" s="1"/>
  <c r="O57" i="3"/>
  <c r="L39" i="3"/>
  <c r="N39" i="3" s="1"/>
  <c r="P38" i="3"/>
  <c r="N20" i="3"/>
  <c r="J32" i="2"/>
  <c r="I31" i="2"/>
  <c r="K48" i="2"/>
  <c r="I47" i="2"/>
  <c r="K64" i="2"/>
  <c r="I64" i="2" s="1"/>
  <c r="J48" i="2"/>
  <c r="J65" i="2" s="1"/>
  <c r="K65" i="2"/>
  <c r="I65" i="2" s="1"/>
  <c r="K32" i="2"/>
  <c r="I32" i="2" s="1"/>
  <c r="Q23" i="4" l="1"/>
  <c r="O24" i="4" s="1"/>
  <c r="N24" i="4"/>
  <c r="N84" i="4"/>
  <c r="N85" i="4"/>
  <c r="O85" i="4"/>
  <c r="Q85" i="4" s="1"/>
  <c r="O54" i="4"/>
  <c r="Q54" i="4" s="1"/>
  <c r="N53" i="4"/>
  <c r="N54" i="4" s="1"/>
  <c r="R18" i="4"/>
  <c r="F3" i="4" s="1"/>
  <c r="P20" i="3"/>
  <c r="L58" i="3"/>
  <c r="L40" i="3"/>
  <c r="V9" i="3" s="1"/>
  <c r="L21" i="3"/>
  <c r="K49" i="2"/>
  <c r="K66" i="2" s="1"/>
  <c r="I66" i="2" s="1"/>
  <c r="I48" i="2"/>
  <c r="J49" i="2"/>
  <c r="J66" i="2" s="1"/>
  <c r="J33" i="2"/>
  <c r="K33" i="2"/>
  <c r="I33" i="2" s="1"/>
  <c r="Q24" i="4" l="1"/>
  <c r="O25" i="4"/>
  <c r="N25" i="4"/>
  <c r="N86" i="4"/>
  <c r="O55" i="4"/>
  <c r="Q55" i="4" s="1"/>
  <c r="N55" i="4"/>
  <c r="N40" i="3"/>
  <c r="X9" i="3" s="1"/>
  <c r="N58" i="3"/>
  <c r="L59" i="3"/>
  <c r="L41" i="3"/>
  <c r="N41" i="3" s="1"/>
  <c r="L42" i="3" s="1"/>
  <c r="U12" i="3" s="1"/>
  <c r="P41" i="3"/>
  <c r="N42" i="3"/>
  <c r="W12" i="3" s="1"/>
  <c r="N21" i="3"/>
  <c r="K50" i="2"/>
  <c r="I49" i="2"/>
  <c r="J50" i="2"/>
  <c r="J67" i="2" s="1"/>
  <c r="J34" i="2"/>
  <c r="K67" i="2"/>
  <c r="I67" i="2" s="1"/>
  <c r="K34" i="2"/>
  <c r="I34" i="2" s="1"/>
  <c r="Q25" i="4" l="1"/>
  <c r="N26" i="4" s="1"/>
  <c r="O26" i="4"/>
  <c r="O86" i="4"/>
  <c r="Q86" i="4" s="1"/>
  <c r="O56" i="4"/>
  <c r="Q56" i="4" s="1"/>
  <c r="N59" i="3"/>
  <c r="L60" i="3" s="1"/>
  <c r="O41" i="3"/>
  <c r="L22" i="3"/>
  <c r="V8" i="3" s="1"/>
  <c r="L43" i="3"/>
  <c r="K51" i="2"/>
  <c r="K68" i="2" s="1"/>
  <c r="I68" i="2" s="1"/>
  <c r="I50" i="2"/>
  <c r="J51" i="2"/>
  <c r="J68" i="2" s="1"/>
  <c r="J35" i="2"/>
  <c r="K35" i="2"/>
  <c r="I35" i="2" s="1"/>
  <c r="Q26" i="4" l="1"/>
  <c r="N27" i="4" s="1"/>
  <c r="O27" i="4"/>
  <c r="N56" i="4"/>
  <c r="N87" i="4"/>
  <c r="O57" i="4"/>
  <c r="Q57" i="4" s="1"/>
  <c r="R21" i="4"/>
  <c r="F4" i="4" s="1"/>
  <c r="O60" i="3"/>
  <c r="N60" i="3"/>
  <c r="L61" i="3" s="1"/>
  <c r="V10" i="3"/>
  <c r="N22" i="3"/>
  <c r="X8" i="3" s="1"/>
  <c r="N43" i="3"/>
  <c r="K52" i="2"/>
  <c r="I51" i="2"/>
  <c r="J52" i="2"/>
  <c r="J69" i="2" s="1"/>
  <c r="J36" i="2"/>
  <c r="K69" i="2"/>
  <c r="I69" i="2" s="1"/>
  <c r="K36" i="2"/>
  <c r="I36" i="2" s="1"/>
  <c r="Q27" i="4" l="1"/>
  <c r="N28" i="4" s="1"/>
  <c r="O28" i="4"/>
  <c r="O87" i="4"/>
  <c r="Q87" i="4" s="1"/>
  <c r="O58" i="4"/>
  <c r="Q58" i="4" s="1"/>
  <c r="N57" i="4"/>
  <c r="P60" i="3"/>
  <c r="U13" i="3"/>
  <c r="N61" i="3"/>
  <c r="W13" i="3" s="1"/>
  <c r="L62" i="3"/>
  <c r="N62" i="3" s="1"/>
  <c r="L23" i="3"/>
  <c r="X10" i="3"/>
  <c r="L44" i="3"/>
  <c r="K53" i="2"/>
  <c r="I52" i="2"/>
  <c r="J53" i="2"/>
  <c r="J70" i="2" s="1"/>
  <c r="J37" i="2"/>
  <c r="K70" i="2"/>
  <c r="I70" i="2" s="1"/>
  <c r="K37" i="2"/>
  <c r="I37" i="2" s="1"/>
  <c r="Q28" i="4" l="1"/>
  <c r="N29" i="4" s="1"/>
  <c r="O29" i="4"/>
  <c r="N58" i="4"/>
  <c r="N88" i="4"/>
  <c r="L63" i="3"/>
  <c r="O23" i="3"/>
  <c r="N23" i="3"/>
  <c r="O63" i="3"/>
  <c r="N44" i="3"/>
  <c r="O44" i="3"/>
  <c r="K54" i="2"/>
  <c r="I53" i="2"/>
  <c r="J54" i="2"/>
  <c r="J71" i="2" s="1"/>
  <c r="J38" i="2"/>
  <c r="K71" i="2"/>
  <c r="I71" i="2" s="1"/>
  <c r="K38" i="2"/>
  <c r="I38" i="2" s="1"/>
  <c r="N59" i="4" l="1"/>
  <c r="Q29" i="4"/>
  <c r="N30" i="4" s="1"/>
  <c r="O30" i="4"/>
  <c r="O88" i="4"/>
  <c r="Q88" i="4" s="1"/>
  <c r="O59" i="4"/>
  <c r="Q59" i="4" s="1"/>
  <c r="N63" i="3"/>
  <c r="P63" i="3" s="1"/>
  <c r="L24" i="3"/>
  <c r="P23" i="3"/>
  <c r="L45" i="3"/>
  <c r="P44" i="3"/>
  <c r="K55" i="2"/>
  <c r="I54" i="2"/>
  <c r="J55" i="2"/>
  <c r="J72" i="2" s="1"/>
  <c r="J39" i="2"/>
  <c r="K72" i="2"/>
  <c r="I72" i="2" s="1"/>
  <c r="K39" i="2"/>
  <c r="I39" i="2" s="1"/>
  <c r="Q30" i="4" l="1"/>
  <c r="N31" i="4" s="1"/>
  <c r="O31" i="4"/>
  <c r="N89" i="4"/>
  <c r="N60" i="4"/>
  <c r="L64" i="3"/>
  <c r="N24" i="3"/>
  <c r="U11" i="3"/>
  <c r="N45" i="3"/>
  <c r="K56" i="2"/>
  <c r="I55" i="2"/>
  <c r="J56" i="2"/>
  <c r="J73" i="2" s="1"/>
  <c r="K40" i="2"/>
  <c r="Q31" i="4" l="1"/>
  <c r="N32" i="4" s="1"/>
  <c r="O32" i="4"/>
  <c r="O89" i="4"/>
  <c r="Q89" i="4" s="1"/>
  <c r="O60" i="4"/>
  <c r="Q60" i="4" s="1"/>
  <c r="N64" i="3"/>
  <c r="L65" i="3"/>
  <c r="L25" i="3"/>
  <c r="W11" i="3"/>
  <c r="L46" i="3"/>
  <c r="I56" i="2"/>
  <c r="K57" i="2"/>
  <c r="K74" i="2" s="1"/>
  <c r="K73" i="2"/>
  <c r="I73" i="2" s="1"/>
  <c r="Q32" i="4" l="1"/>
  <c r="N33" i="4" s="1"/>
  <c r="O33" i="4"/>
  <c r="N90" i="4"/>
  <c r="N61" i="4"/>
  <c r="N65" i="3"/>
  <c r="R24" i="4"/>
  <c r="F5" i="4" s="1"/>
  <c r="N25" i="3"/>
  <c r="N46" i="3"/>
  <c r="Q33" i="4" l="1"/>
  <c r="N34" i="4" s="1"/>
  <c r="O34" i="4"/>
  <c r="O90" i="4"/>
  <c r="O61" i="4"/>
  <c r="Q61" i="4" s="1"/>
  <c r="L66" i="3"/>
  <c r="L26" i="3"/>
  <c r="L47" i="3"/>
  <c r="Q90" i="4" l="1"/>
  <c r="N91" i="4" s="1"/>
  <c r="N92" i="4" s="1"/>
  <c r="Q34" i="4"/>
  <c r="N35" i="4" s="1"/>
  <c r="O91" i="4"/>
  <c r="Q91" i="4" s="1"/>
  <c r="N62" i="4"/>
  <c r="N66" i="3"/>
  <c r="L67" i="3"/>
  <c r="O66" i="3"/>
  <c r="N26" i="3"/>
  <c r="P26" i="3" s="1"/>
  <c r="O26" i="3"/>
  <c r="N47" i="3"/>
  <c r="O47" i="3"/>
  <c r="L48" i="3"/>
  <c r="O35" i="4" l="1"/>
  <c r="O62" i="4"/>
  <c r="O92" i="4"/>
  <c r="Q92" i="4" s="1"/>
  <c r="N67" i="3"/>
  <c r="P66" i="3"/>
  <c r="L27" i="3"/>
  <c r="N27" i="3" s="1"/>
  <c r="N48" i="3"/>
  <c r="P47" i="3"/>
  <c r="Q62" i="4" l="1"/>
  <c r="N63" i="4" s="1"/>
  <c r="Q35" i="4"/>
  <c r="N36" i="4" s="1"/>
  <c r="N93" i="4"/>
  <c r="O93" i="4"/>
  <c r="Q93" i="4" s="1"/>
  <c r="L28" i="3"/>
  <c r="O63" i="4" l="1"/>
  <c r="O36" i="4"/>
  <c r="O94" i="4"/>
  <c r="Q94" i="4" s="1"/>
  <c r="N94" i="4"/>
  <c r="N28" i="3"/>
  <c r="Q63" i="4" l="1"/>
  <c r="N64" i="4" s="1"/>
  <c r="O64" i="4"/>
  <c r="Q36" i="4"/>
  <c r="N37" i="4" s="1"/>
  <c r="N95" i="4"/>
  <c r="R27" i="4"/>
  <c r="F6" i="4" s="1"/>
  <c r="L29" i="3"/>
  <c r="Q64" i="4" l="1"/>
  <c r="N65" i="4" s="1"/>
  <c r="O65" i="4"/>
  <c r="Q65" i="4" s="1"/>
  <c r="O66" i="4"/>
  <c r="O37" i="4"/>
  <c r="O95" i="4"/>
  <c r="Q95" i="4" s="1"/>
  <c r="N29" i="3"/>
  <c r="N32" i="3" s="1"/>
  <c r="L30" i="3"/>
  <c r="O29" i="3"/>
  <c r="Q66" i="4" l="1"/>
  <c r="N66" i="4"/>
  <c r="N67" i="4" s="1"/>
  <c r="Q37" i="4"/>
  <c r="N38" i="4" s="1"/>
  <c r="N96" i="4"/>
  <c r="O67" i="4"/>
  <c r="Q67" i="4" s="1"/>
  <c r="N30" i="3"/>
  <c r="P29" i="3"/>
  <c r="O38" i="4" l="1"/>
  <c r="O96" i="4"/>
  <c r="N68" i="4"/>
  <c r="S42" i="4"/>
  <c r="Q96" i="4" l="1"/>
  <c r="N97" i="4" s="1"/>
  <c r="Q38" i="4"/>
  <c r="N39" i="4" s="1"/>
  <c r="O39" i="4"/>
  <c r="O68" i="4"/>
  <c r="Q68" i="4" s="1"/>
  <c r="O97" i="4" l="1"/>
  <c r="Q39" i="4"/>
  <c r="O40" i="4"/>
  <c r="N40" i="4"/>
  <c r="N69" i="4"/>
  <c r="R30" i="4"/>
  <c r="F7" i="4" s="1"/>
  <c r="Q97" i="4" l="1"/>
  <c r="O98" i="4" s="1"/>
  <c r="Q98" i="4" s="1"/>
  <c r="Q40" i="4"/>
  <c r="N41" i="4" s="1"/>
  <c r="O41" i="4"/>
  <c r="O69" i="4"/>
  <c r="Q69" i="4" s="1"/>
  <c r="R33" i="4"/>
  <c r="F8" i="4" s="1"/>
  <c r="N98" i="4" l="1"/>
  <c r="N99" i="4" s="1"/>
  <c r="Q41" i="4"/>
  <c r="O99" i="4"/>
  <c r="Q99" i="4" s="1"/>
  <c r="N70" i="4"/>
  <c r="R36" i="4"/>
  <c r="F9" i="4" s="1"/>
  <c r="N100" i="4" l="1"/>
  <c r="O70" i="4"/>
  <c r="Q70" i="4" s="1"/>
  <c r="O100" i="4" l="1"/>
  <c r="Q100" i="4" s="1"/>
  <c r="N71" i="4"/>
  <c r="N101" i="4" l="1"/>
  <c r="O71" i="4"/>
  <c r="Q71" i="4" s="1"/>
  <c r="O101" i="4" l="1"/>
  <c r="Q101" i="4" s="1"/>
  <c r="R39" i="4"/>
  <c r="F10" i="4" s="1"/>
  <c r="N102" i="4" l="1"/>
  <c r="N103" i="4" s="1"/>
  <c r="O102" i="4" l="1"/>
  <c r="Q102" i="4" s="1"/>
  <c r="O103" i="4" l="1"/>
</calcChain>
</file>

<file path=xl/sharedStrings.xml><?xml version="1.0" encoding="utf-8"?>
<sst xmlns="http://schemas.openxmlformats.org/spreadsheetml/2006/main" count="401" uniqueCount="116">
  <si>
    <t>Dados</t>
  </si>
  <si>
    <t>Tipos</t>
  </si>
  <si>
    <t>Euros</t>
  </si>
  <si>
    <t>Descrição</t>
  </si>
  <si>
    <t>Disponível para crédito</t>
  </si>
  <si>
    <t>%</t>
  </si>
  <si>
    <t>Taxa de Juros do produto A ao mês</t>
  </si>
  <si>
    <t>Taxa de Juros do produto B ao mês</t>
  </si>
  <si>
    <t>Limite mínimo da carteira do Produto B do crédito disponível</t>
  </si>
  <si>
    <t>Limite mínimo da carteira do Produto A do crédito disponível</t>
  </si>
  <si>
    <t>Limite máximo de crédito disponível para produto A</t>
  </si>
  <si>
    <t>Limite máximo de crédito disponível para produto B</t>
  </si>
  <si>
    <t>Imposto sobre movimentação financeira</t>
  </si>
  <si>
    <t xml:space="preserve">% </t>
  </si>
  <si>
    <t>Classes</t>
  </si>
  <si>
    <t>Liberação de crédito mensal Produto A e B</t>
  </si>
  <si>
    <t>Liberação de crédito mensal Produto A</t>
  </si>
  <si>
    <t>Liberação de crédito mensal Produto B</t>
  </si>
  <si>
    <t>Produto B</t>
  </si>
  <si>
    <t>Produto A</t>
  </si>
  <si>
    <t>Produto B em 2019</t>
  </si>
  <si>
    <t>Produto A em 2019</t>
  </si>
  <si>
    <t>Limite inferior</t>
  </si>
  <si>
    <t>Limite superior</t>
  </si>
  <si>
    <t>Intervalos</t>
  </si>
  <si>
    <t>Liberação</t>
  </si>
  <si>
    <t>Limite máximo</t>
  </si>
  <si>
    <t>Crédito disponível</t>
  </si>
  <si>
    <t>Limite mínimo</t>
  </si>
  <si>
    <t>Produto A e B</t>
  </si>
  <si>
    <t>Total</t>
  </si>
  <si>
    <t>Libereção</t>
  </si>
  <si>
    <t>Liberação (%)</t>
  </si>
  <si>
    <t>Limite Mínimo</t>
  </si>
  <si>
    <t>Inferior</t>
  </si>
  <si>
    <t>Superior</t>
  </si>
  <si>
    <t>|-|</t>
  </si>
  <si>
    <r>
      <t>Frequência simples (</t>
    </r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i/>
        <sz val="11"/>
        <color theme="1"/>
        <rFont val="Calibri"/>
        <family val="2"/>
        <scheme val="minor"/>
      </rPr>
      <t>)</t>
    </r>
  </si>
  <si>
    <r>
      <t>Frequência acumulada (</t>
    </r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)</t>
    </r>
  </si>
  <si>
    <r>
      <t>Frequência relativa (</t>
    </r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ri</t>
    </r>
    <r>
      <rPr>
        <b/>
        <sz val="11"/>
        <color theme="1"/>
        <rFont val="Calibri"/>
        <family val="2"/>
        <scheme val="minor"/>
      </rPr>
      <t>)</t>
    </r>
  </si>
  <si>
    <r>
      <t>Frequência relativa acumulada (</t>
    </r>
    <r>
      <rPr>
        <b/>
        <i/>
        <sz val="11"/>
        <color theme="1"/>
        <rFont val="Calibri"/>
        <family val="2"/>
        <scheme val="minor"/>
      </rPr>
      <t>f</t>
    </r>
    <r>
      <rPr>
        <b/>
        <i/>
        <vertAlign val="subscript"/>
        <sz val="11"/>
        <color theme="1"/>
        <rFont val="Calibri"/>
        <family val="2"/>
        <scheme val="minor"/>
      </rPr>
      <t>ra</t>
    </r>
    <r>
      <rPr>
        <b/>
        <i/>
        <sz val="11"/>
        <color theme="1"/>
        <rFont val="Calibri"/>
        <family val="2"/>
        <scheme val="minor"/>
      </rPr>
      <t>)</t>
    </r>
  </si>
  <si>
    <r>
      <t>x</t>
    </r>
    <r>
      <rPr>
        <b/>
        <i/>
        <vertAlign val="subscript"/>
        <sz val="11"/>
        <color theme="1"/>
        <rFont val="Calibri"/>
        <family val="2"/>
        <scheme val="minor"/>
      </rPr>
      <t>i</t>
    </r>
  </si>
  <si>
    <t>i</t>
  </si>
  <si>
    <r>
      <t>Intervalo (</t>
    </r>
    <r>
      <rPr>
        <b/>
        <i/>
        <sz val="11"/>
        <color theme="1"/>
        <rFont val="Calibri"/>
        <family val="2"/>
        <scheme val="minor"/>
      </rPr>
      <t>K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i/>
        <sz val="11"/>
        <color theme="1"/>
        <rFont val="Calibri"/>
        <family val="2"/>
        <scheme val="minor"/>
      </rPr>
      <t>)</t>
    </r>
  </si>
  <si>
    <t xml:space="preserve">Σ </t>
  </si>
  <si>
    <t>Recursos</t>
  </si>
  <si>
    <t>Méida trimestral</t>
  </si>
  <si>
    <t>Recurso</t>
  </si>
  <si>
    <t>Julho</t>
  </si>
  <si>
    <t>com</t>
  </si>
  <si>
    <t>Liberação relativa</t>
  </si>
  <si>
    <t>de Maio com</t>
  </si>
  <si>
    <t>de Liberação</t>
  </si>
  <si>
    <t>de Recurso</t>
  </si>
  <si>
    <r>
      <t xml:space="preserve">ESTIMATIVA 2019 PARA O PRODUTO </t>
    </r>
    <r>
      <rPr>
        <i/>
        <sz val="16"/>
        <color theme="1"/>
        <rFont val="Calibri"/>
        <family val="2"/>
        <scheme val="minor"/>
      </rPr>
      <t>A</t>
    </r>
  </si>
  <si>
    <r>
      <t xml:space="preserve">ESTIMATIVA 2019 PARA O PRODUTO </t>
    </r>
    <r>
      <rPr>
        <i/>
        <sz val="16"/>
        <color theme="1"/>
        <rFont val="Calibri"/>
        <family val="2"/>
        <scheme val="minor"/>
      </rPr>
      <t>B</t>
    </r>
  </si>
  <si>
    <r>
      <t xml:space="preserve">ESTIMATIVA 2019 PARA O PRODUTO </t>
    </r>
    <r>
      <rPr>
        <i/>
        <sz val="16"/>
        <color theme="1"/>
        <rFont val="Calibri"/>
        <family val="2"/>
        <scheme val="minor"/>
      </rPr>
      <t>A</t>
    </r>
    <r>
      <rPr>
        <sz val="16"/>
        <color theme="1"/>
        <rFont val="Calibri"/>
        <family val="2"/>
        <scheme val="minor"/>
      </rPr>
      <t xml:space="preserve"> E </t>
    </r>
    <r>
      <rPr>
        <i/>
        <sz val="16"/>
        <color theme="1"/>
        <rFont val="Calibri"/>
        <family val="2"/>
        <scheme val="minor"/>
      </rPr>
      <t>B</t>
    </r>
  </si>
  <si>
    <r>
      <t xml:space="preserve">Recursos (Produto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)</t>
    </r>
  </si>
  <si>
    <r>
      <t xml:space="preserve">Recursos (Produto </t>
    </r>
    <r>
      <rPr>
        <b/>
        <i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</si>
  <si>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 xml:space="preserve">Limite da carteira (Produto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)</t>
    </r>
  </si>
  <si>
    <r>
      <t xml:space="preserve">Limite da  carteira (Produto </t>
    </r>
    <r>
      <rPr>
        <b/>
        <i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</si>
  <si>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 xml:space="preserve">Mediana Anual do Produto </t>
    </r>
    <r>
      <rPr>
        <b/>
        <i/>
        <sz val="11"/>
        <color theme="1"/>
        <rFont val="Calibri"/>
        <family val="2"/>
        <scheme val="minor"/>
      </rPr>
      <t>A</t>
    </r>
  </si>
  <si>
    <r>
      <t xml:space="preserve">Mediana Anual do Produto </t>
    </r>
    <r>
      <rPr>
        <b/>
        <i/>
        <sz val="11"/>
        <color theme="1"/>
        <rFont val="Calibri"/>
        <family val="2"/>
        <scheme val="minor"/>
      </rPr>
      <t>B</t>
    </r>
  </si>
  <si>
    <r>
      <t xml:space="preserve">Razão entre a Mediana anual do Produto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e </t>
    </r>
    <r>
      <rPr>
        <b/>
        <i/>
        <sz val="11"/>
        <color theme="1"/>
        <rFont val="Calibri"/>
        <family val="2"/>
        <scheme val="minor"/>
      </rPr>
      <t>B</t>
    </r>
  </si>
  <si>
    <r>
      <t xml:space="preserve">Moda (Produto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)</t>
    </r>
  </si>
  <si>
    <r>
      <t xml:space="preserve">Moda (Produto </t>
    </r>
    <r>
      <rPr>
        <b/>
        <i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</si>
  <si>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 xml:space="preserve">Moda (Produto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e </t>
    </r>
    <r>
      <rPr>
        <b/>
        <i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</si>
  <si>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Frequência acumulada (</t>
    </r>
    <r>
      <rPr>
        <b/>
        <i/>
        <sz val="11"/>
        <color theme="1"/>
        <rFont val="Calibri"/>
        <family val="2"/>
        <scheme val="minor"/>
      </rPr>
      <t>fa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</si>
  <si>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Frequência relativa acumulada (</t>
    </r>
    <r>
      <rPr>
        <b/>
        <i/>
        <sz val="11"/>
        <color theme="1"/>
        <rFont val="Calibri"/>
        <family val="2"/>
        <scheme val="minor"/>
      </rPr>
      <t>fra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i/>
        <sz val="11"/>
        <color theme="1"/>
        <rFont val="Calibri"/>
        <family val="2"/>
        <scheme val="minor"/>
      </rPr>
      <t>)</t>
    </r>
  </si>
  <si>
    <t>Janeiro 2020</t>
  </si>
  <si>
    <t>Fevereiro 2020</t>
  </si>
  <si>
    <t>Março 2020</t>
  </si>
  <si>
    <t>Abril 2020</t>
  </si>
  <si>
    <t>Maio 2020</t>
  </si>
  <si>
    <t>Junho 2020</t>
  </si>
  <si>
    <t>Julho 2020</t>
  </si>
  <si>
    <t>Agosto 2020</t>
  </si>
  <si>
    <t>Setembro 2020</t>
  </si>
  <si>
    <t>Outubro 2020</t>
  </si>
  <si>
    <t>Novembro 2020</t>
  </si>
  <si>
    <t>Dezembro 2020</t>
  </si>
  <si>
    <t>Janeiro 2021</t>
  </si>
  <si>
    <t>Fevereiro 2021</t>
  </si>
  <si>
    <t>Março 2021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</si>
  <si>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</si>
  <si>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</si>
  <si>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</si>
  <si>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</si>
  <si>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</si>
  <si>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</si>
  <si>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</si>
  <si>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Novembro 2021</t>
  </si>
  <si>
    <t>Dezembro 2021</t>
  </si>
  <si>
    <t>Meses</t>
  </si>
  <si>
    <t>1º Tri 2020</t>
  </si>
  <si>
    <t>2º Tri 2020</t>
  </si>
  <si>
    <t>3º Tri 2020</t>
  </si>
  <si>
    <t>4º Tri 2020</t>
  </si>
  <si>
    <t>1º Tri 2021</t>
  </si>
  <si>
    <t>2º Tri 2021</t>
  </si>
  <si>
    <t>3º Tri 2021</t>
  </si>
  <si>
    <t>4º Tri 2021</t>
  </si>
  <si>
    <t>Retorno (Observado)</t>
  </si>
  <si>
    <t>Liberação (Esperado)</t>
  </si>
  <si>
    <r>
      <t xml:space="preserve">ESTIMATIVA 2020 e 2021 PARA O PRODUTO </t>
    </r>
    <r>
      <rPr>
        <b/>
        <i/>
        <sz val="16"/>
        <color theme="1"/>
        <rFont val="Calibri"/>
        <family val="2"/>
        <scheme val="minor"/>
      </rPr>
      <t>B</t>
    </r>
  </si>
  <si>
    <r>
      <t xml:space="preserve">ESTIMATIVA 2020 e 2021 PARA O PRODUTO </t>
    </r>
    <r>
      <rPr>
        <b/>
        <i/>
        <sz val="16"/>
        <color theme="1"/>
        <rFont val="Calibri"/>
        <family val="2"/>
        <scheme val="minor"/>
      </rPr>
      <t>A</t>
    </r>
    <r>
      <rPr>
        <b/>
        <sz val="16"/>
        <color theme="1"/>
        <rFont val="Calibri"/>
        <family val="2"/>
        <scheme val="minor"/>
      </rPr>
      <t xml:space="preserve"> E </t>
    </r>
    <r>
      <rPr>
        <b/>
        <i/>
        <sz val="16"/>
        <color theme="1"/>
        <rFont val="Calibri"/>
        <family val="2"/>
        <scheme val="minor"/>
      </rPr>
      <t>B</t>
    </r>
  </si>
  <si>
    <r>
      <t xml:space="preserve">ESTIMATIVA 2020 e 2021 PARA O PRODUTO </t>
    </r>
    <r>
      <rPr>
        <b/>
        <i/>
        <sz val="16"/>
        <color theme="1"/>
        <rFont val="Calibri"/>
        <family val="2"/>
        <scheme val="minor"/>
      </rPr>
      <t>A</t>
    </r>
  </si>
  <si>
    <r>
      <t>Intervalo (</t>
    </r>
    <r>
      <rPr>
        <b/>
        <i/>
        <sz val="11"/>
        <color theme="0"/>
        <rFont val="Calibri"/>
        <family val="2"/>
        <scheme val="minor"/>
      </rPr>
      <t>K</t>
    </r>
    <r>
      <rPr>
        <b/>
        <i/>
        <vertAlign val="subscript"/>
        <sz val="11"/>
        <color theme="0"/>
        <rFont val="Calibri"/>
        <family val="2"/>
        <scheme val="minor"/>
      </rPr>
      <t>i</t>
    </r>
    <r>
      <rPr>
        <b/>
        <i/>
        <sz val="11"/>
        <color theme="0"/>
        <rFont val="Calibri"/>
        <family val="2"/>
        <scheme val="minor"/>
      </rPr>
      <t>)</t>
    </r>
  </si>
  <si>
    <r>
      <t>x</t>
    </r>
    <r>
      <rPr>
        <b/>
        <i/>
        <vertAlign val="subscript"/>
        <sz val="11"/>
        <color theme="0"/>
        <rFont val="Calibri"/>
        <family val="2"/>
        <scheme val="minor"/>
      </rPr>
      <t>i</t>
    </r>
  </si>
  <si>
    <r>
      <t>Frequência simples (</t>
    </r>
    <r>
      <rPr>
        <b/>
        <i/>
        <sz val="11"/>
        <color theme="0"/>
        <rFont val="Calibri"/>
        <family val="2"/>
        <scheme val="minor"/>
      </rPr>
      <t>f</t>
    </r>
    <r>
      <rPr>
        <b/>
        <i/>
        <vertAlign val="subscript"/>
        <sz val="11"/>
        <color theme="0"/>
        <rFont val="Calibri"/>
        <family val="2"/>
        <scheme val="minor"/>
      </rPr>
      <t>i</t>
    </r>
    <r>
      <rPr>
        <b/>
        <i/>
        <sz val="11"/>
        <color theme="0"/>
        <rFont val="Calibri"/>
        <family val="2"/>
        <scheme val="minor"/>
      </rPr>
      <t>)</t>
    </r>
  </si>
  <si>
    <r>
      <t>Frequência relativa (</t>
    </r>
    <r>
      <rPr>
        <b/>
        <i/>
        <sz val="11"/>
        <color theme="0"/>
        <rFont val="Calibri"/>
        <family val="2"/>
        <scheme val="minor"/>
      </rPr>
      <t>f</t>
    </r>
    <r>
      <rPr>
        <b/>
        <i/>
        <vertAlign val="subscript"/>
        <sz val="11"/>
        <color theme="0"/>
        <rFont val="Calibri"/>
        <family val="2"/>
        <scheme val="minor"/>
      </rPr>
      <t>ri</t>
    </r>
    <r>
      <rPr>
        <b/>
        <sz val="11"/>
        <color theme="0"/>
        <rFont val="Calibri"/>
        <family val="2"/>
        <scheme val="minor"/>
      </rPr>
      <t>)</t>
    </r>
  </si>
  <si>
    <r>
      <t>Frequência acumulada (</t>
    </r>
    <r>
      <rPr>
        <b/>
        <i/>
        <sz val="11"/>
        <color theme="0"/>
        <rFont val="Calibri"/>
        <family val="2"/>
        <scheme val="minor"/>
      </rPr>
      <t>f</t>
    </r>
    <r>
      <rPr>
        <b/>
        <i/>
        <vertAlign val="subscript"/>
        <sz val="11"/>
        <color theme="0"/>
        <rFont val="Calibri"/>
        <family val="2"/>
        <scheme val="minor"/>
      </rPr>
      <t>a</t>
    </r>
    <r>
      <rPr>
        <b/>
        <sz val="11"/>
        <color theme="0"/>
        <rFont val="Calibri"/>
        <family val="2"/>
        <scheme val="minor"/>
      </rPr>
      <t>)</t>
    </r>
  </si>
  <si>
    <r>
      <t>Frequência relativa acumulada (</t>
    </r>
    <r>
      <rPr>
        <b/>
        <i/>
        <sz val="11"/>
        <color theme="0"/>
        <rFont val="Calibri"/>
        <family val="2"/>
        <scheme val="minor"/>
      </rPr>
      <t>f</t>
    </r>
    <r>
      <rPr>
        <b/>
        <i/>
        <vertAlign val="subscript"/>
        <sz val="11"/>
        <color theme="0"/>
        <rFont val="Calibri"/>
        <family val="2"/>
        <scheme val="minor"/>
      </rPr>
      <t>ra</t>
    </r>
    <r>
      <rPr>
        <b/>
        <i/>
        <sz val="11"/>
        <color theme="0"/>
        <rFont val="Calibri"/>
        <family val="2"/>
        <scheme val="minor"/>
      </rPr>
      <t>)</t>
    </r>
  </si>
  <si>
    <r>
      <t>Qui Quadrado (Q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) Trimestral</t>
    </r>
  </si>
  <si>
    <r>
      <t>Saldo (</t>
    </r>
    <r>
      <rPr>
        <b/>
        <u/>
        <sz val="11"/>
        <color theme="0"/>
        <rFont val="Calibri"/>
        <family val="2"/>
        <scheme val="minor"/>
      </rPr>
      <t>com retorno</t>
    </r>
    <r>
      <rPr>
        <b/>
        <sz val="11"/>
        <color theme="0"/>
        <rFont val="Calibri"/>
        <family val="2"/>
        <scheme val="minor"/>
      </rPr>
      <t>)</t>
    </r>
  </si>
  <si>
    <r>
      <t>Saldo (</t>
    </r>
    <r>
      <rPr>
        <b/>
        <u/>
        <sz val="11"/>
        <color theme="0"/>
        <rFont val="Calibri"/>
        <family val="2"/>
        <scheme val="minor"/>
      </rPr>
      <t>sem retorno</t>
    </r>
    <r>
      <rPr>
        <b/>
        <sz val="11"/>
        <color theme="0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</si>
</sst>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R$&quot;* #,##0.00_-;\-&quot;R$&quot;* #,##0.00_-;_-&quot;R$&quot;* &quot;-&quot;??_-;_-@_-"/>
    <numFmt numFmtId="164" formatCode="0.00000%"/>
    <numFmt numFmtId="165" formatCode="_-[$€-2]\ * #,##0.00_-;\-[$€-2]\ * #,##0.00_-;_-[$€-2]\ * &quot;-&quot;??_-;_-@_-"/>
    <numFmt numFmtId="166" formatCode="_-[$€-2]\ * #,##0.00000_-;\-[$€-2]\ * #,##0.00000_-;_-[$€-2]\ * &quot;-&quot;?????_-;_-@_-"/>
    <numFmt numFmtId="167" formatCode="_-[$€-2]\ * #,##0.00000_-;\-[$€-2]\ * #,##0.00000_-;_-[$€-2]\ * &quot;-&quot;??_-;_-@_-"/>
    <numFmt numFmtId="168" formatCode="_-[$R$-416]\ * #,##0.00_-;\-[$R$-416]\ * #,##0.00_-;_-[$R$-416]\ * &quot;-&quot;??_-;_-@_-"/>
    <numFmt numFmtId="169" formatCode="_-[$R$-416]\ * #,##0.00000_-;\-[$R$-416]\ * #,##0.00000_-;_-[$R$-416]\ * &quot;-&quot;??_-;_-@_-"/>
    <numFmt numFmtId="170" formatCode="0.0"/>
    <numFmt numFmtId="171" formatCode="_-&quot;R$&quot;* #,##0.0000_-;\-&quot;R$&quot;* #,##0.0000_-;_-&quot;R$&quot;* &quot;-&quot;??_-;_-@_-"/>
    <numFmt numFmtId="172" formatCode="_-[$R$-416]\ * #,##0.00000_-;\-[$R$-416]\ * #,##0.00000_-;_-[$R$-416]\ * &quot;-&quot;?????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1"/>
      <color theme="1"/>
      <name val="Cambria Math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vertAlign val="subscript"/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0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 style="medium">
        <color theme="0"/>
      </bottom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theme="1"/>
      </left>
      <right style="medium">
        <color theme="0"/>
      </right>
      <top style="medium">
        <color theme="1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 style="medium">
        <color theme="0"/>
      </diagonal>
    </border>
    <border diagonalUp="1">
      <left/>
      <right style="medium">
        <color theme="0"/>
      </right>
      <top style="medium">
        <color theme="0"/>
      </top>
      <bottom style="medium">
        <color auto="1"/>
      </bottom>
      <diagonal style="medium">
        <color theme="0"/>
      </diagonal>
    </border>
    <border>
      <left style="thin">
        <color theme="0"/>
      </left>
      <right/>
      <top style="thin">
        <color theme="0"/>
      </top>
      <bottom style="medium">
        <color auto="1"/>
      </bottom>
      <diagonal/>
    </border>
    <border>
      <left/>
      <right/>
      <top style="thin">
        <color theme="0"/>
      </top>
      <bottom style="medium">
        <color auto="1"/>
      </bottom>
      <diagonal/>
    </border>
    <border>
      <left/>
      <right style="thin">
        <color theme="0"/>
      </right>
      <top style="thin">
        <color theme="0"/>
      </top>
      <bottom style="medium">
        <color auto="1"/>
      </bottom>
      <diagonal/>
    </border>
    <border>
      <left/>
      <right/>
      <top style="medium">
        <color theme="0"/>
      </top>
      <bottom style="medium">
        <color auto="1"/>
      </bottom>
      <diagonal/>
    </border>
    <border>
      <left/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double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/>
      <bottom style="medium">
        <color auto="1"/>
      </bottom>
      <diagonal/>
    </border>
    <border>
      <left style="medium">
        <color theme="0"/>
      </left>
      <right style="medium">
        <color auto="1"/>
      </right>
      <top/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auto="1"/>
      </left>
      <right style="medium">
        <color auto="1"/>
      </right>
      <top/>
      <bottom style="medium">
        <color theme="1"/>
      </bottom>
      <diagonal/>
    </border>
    <border>
      <left/>
      <right/>
      <top/>
      <bottom style="medium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7" xfId="0" applyBorder="1" applyAlignment="1">
      <alignment horizontal="center"/>
    </xf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9" fontId="0" fillId="0" borderId="10" xfId="0" applyNumberFormat="1" applyBorder="1" applyAlignment="1">
      <alignment vertical="center"/>
    </xf>
    <xf numFmtId="0" fontId="0" fillId="0" borderId="10" xfId="0" applyBorder="1"/>
    <xf numFmtId="0" fontId="0" fillId="0" borderId="11" xfId="0" applyBorder="1"/>
    <xf numFmtId="165" fontId="0" fillId="0" borderId="10" xfId="0" applyNumberFormat="1" applyBorder="1" applyAlignment="1">
      <alignment vertical="center"/>
    </xf>
    <xf numFmtId="1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165" fontId="0" fillId="0" borderId="10" xfId="0" applyNumberFormat="1" applyBorder="1" applyAlignment="1">
      <alignment horizontal="right" vertical="center"/>
    </xf>
    <xf numFmtId="0" fontId="1" fillId="0" borderId="6" xfId="0" applyFont="1" applyBorder="1" applyAlignment="1">
      <alignment wrapText="1"/>
    </xf>
    <xf numFmtId="165" fontId="0" fillId="0" borderId="7" xfId="0" applyNumberFormat="1" applyBorder="1" applyAlignment="1">
      <alignment horizontal="right" vertical="center"/>
    </xf>
    <xf numFmtId="0" fontId="0" fillId="0" borderId="7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168" fontId="0" fillId="0" borderId="14" xfId="0" applyNumberFormat="1" applyBorder="1"/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2" applyNumberFormat="1" applyFont="1" applyBorder="1"/>
    <xf numFmtId="164" fontId="0" fillId="0" borderId="10" xfId="0" applyNumberFormat="1" applyBorder="1" applyAlignment="1">
      <alignment horizontal="center"/>
    </xf>
    <xf numFmtId="164" fontId="0" fillId="0" borderId="10" xfId="0" applyNumberFormat="1" applyBorder="1"/>
    <xf numFmtId="0" fontId="0" fillId="0" borderId="12" xfId="0" applyBorder="1" applyAlignment="1">
      <alignment horizontal="center"/>
    </xf>
    <xf numFmtId="164" fontId="0" fillId="0" borderId="13" xfId="2" applyNumberFormat="1" applyFont="1" applyBorder="1"/>
    <xf numFmtId="168" fontId="0" fillId="0" borderId="13" xfId="0" applyNumberFormat="1" applyBorder="1"/>
    <xf numFmtId="0" fontId="0" fillId="0" borderId="18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2" xfId="0" applyNumberFormat="1" applyBorder="1"/>
    <xf numFmtId="0" fontId="0" fillId="0" borderId="23" xfId="0" applyBorder="1"/>
    <xf numFmtId="0" fontId="1" fillId="0" borderId="25" xfId="0" applyFont="1" applyBorder="1" applyAlignment="1">
      <alignment wrapText="1"/>
    </xf>
    <xf numFmtId="165" fontId="0" fillId="0" borderId="25" xfId="0" applyNumberFormat="1" applyBorder="1" applyAlignment="1">
      <alignment vertical="center"/>
    </xf>
    <xf numFmtId="0" fontId="0" fillId="0" borderId="25" xfId="0" applyBorder="1"/>
    <xf numFmtId="0" fontId="0" fillId="0" borderId="26" xfId="0" applyBorder="1"/>
    <xf numFmtId="0" fontId="0" fillId="0" borderId="1" xfId="0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1" fillId="0" borderId="28" xfId="0" applyFont="1" applyBorder="1" applyAlignment="1">
      <alignment wrapText="1"/>
    </xf>
    <xf numFmtId="0" fontId="1" fillId="0" borderId="28" xfId="0" applyFont="1" applyBorder="1" applyAlignment="1">
      <alignment horizontal="left" vertical="center" wrapText="1"/>
    </xf>
    <xf numFmtId="0" fontId="0" fillId="0" borderId="30" xfId="0" applyBorder="1"/>
    <xf numFmtId="0" fontId="0" fillId="0" borderId="27" xfId="0" applyBorder="1"/>
    <xf numFmtId="0" fontId="0" fillId="0" borderId="31" xfId="0" applyBorder="1"/>
    <xf numFmtId="0" fontId="1" fillId="0" borderId="30" xfId="0" applyFont="1" applyBorder="1" applyAlignment="1">
      <alignment wrapText="1"/>
    </xf>
    <xf numFmtId="165" fontId="0" fillId="0" borderId="30" xfId="0" applyNumberFormat="1" applyBorder="1" applyAlignment="1">
      <alignment vertical="center"/>
    </xf>
    <xf numFmtId="0" fontId="1" fillId="0" borderId="10" xfId="0" applyFont="1" applyBorder="1" applyAlignment="1">
      <alignment wrapText="1"/>
    </xf>
    <xf numFmtId="166" fontId="0" fillId="0" borderId="10" xfId="0" applyNumberFormat="1" applyBorder="1"/>
    <xf numFmtId="0" fontId="0" fillId="0" borderId="10" xfId="0" quotePrefix="1" applyBorder="1"/>
    <xf numFmtId="0" fontId="0" fillId="0" borderId="16" xfId="0" applyBorder="1"/>
    <xf numFmtId="0" fontId="0" fillId="0" borderId="28" xfId="0" applyBorder="1"/>
    <xf numFmtId="0" fontId="1" fillId="0" borderId="18" xfId="0" applyFont="1" applyBorder="1" applyAlignment="1">
      <alignment horizontal="center"/>
    </xf>
    <xf numFmtId="168" fontId="0" fillId="0" borderId="33" xfId="0" applyNumberFormat="1" applyBorder="1"/>
    <xf numFmtId="0" fontId="1" fillId="0" borderId="34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4" xfId="0" applyBorder="1"/>
    <xf numFmtId="0" fontId="0" fillId="0" borderId="36" xfId="0" applyBorder="1" applyAlignment="1">
      <alignment horizontal="center"/>
    </xf>
    <xf numFmtId="165" fontId="0" fillId="0" borderId="14" xfId="0" applyNumberFormat="1" applyBorder="1"/>
    <xf numFmtId="0" fontId="1" fillId="0" borderId="18" xfId="0" applyFont="1" applyBorder="1" applyAlignment="1"/>
    <xf numFmtId="165" fontId="0" fillId="0" borderId="33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2" applyNumberFormat="1" applyFont="1" applyBorder="1"/>
    <xf numFmtId="164" fontId="0" fillId="0" borderId="4" xfId="0" applyNumberFormat="1" applyBorder="1" applyAlignment="1">
      <alignment horizontal="center"/>
    </xf>
    <xf numFmtId="164" fontId="0" fillId="0" borderId="4" xfId="0" applyNumberFormat="1" applyBorder="1"/>
    <xf numFmtId="164" fontId="0" fillId="0" borderId="7" xfId="0" applyNumberFormat="1" applyBorder="1" applyAlignment="1">
      <alignment horizontal="center"/>
    </xf>
    <xf numFmtId="164" fontId="0" fillId="0" borderId="7" xfId="0" applyNumberFormat="1" applyBorder="1"/>
    <xf numFmtId="0" fontId="0" fillId="0" borderId="15" xfId="0" applyBorder="1"/>
    <xf numFmtId="0" fontId="0" fillId="0" borderId="33" xfId="0" applyBorder="1"/>
    <xf numFmtId="0" fontId="0" fillId="0" borderId="37" xfId="0" applyBorder="1"/>
    <xf numFmtId="0" fontId="0" fillId="0" borderId="38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164" fontId="0" fillId="0" borderId="41" xfId="2" applyNumberFormat="1" applyFont="1" applyBorder="1" applyAlignment="1">
      <alignment horizontal="center"/>
    </xf>
    <xf numFmtId="168" fontId="0" fillId="0" borderId="29" xfId="0" applyNumberFormat="1" applyBorder="1"/>
    <xf numFmtId="165" fontId="0" fillId="0" borderId="29" xfId="0" applyNumberFormat="1" applyBorder="1"/>
    <xf numFmtId="165" fontId="0" fillId="0" borderId="13" xfId="0" applyNumberFormat="1" applyBorder="1"/>
    <xf numFmtId="0" fontId="0" fillId="0" borderId="42" xfId="0" applyBorder="1"/>
    <xf numFmtId="0" fontId="0" fillId="0" borderId="43" xfId="0" applyBorder="1"/>
    <xf numFmtId="2" fontId="0" fillId="0" borderId="4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9" fontId="0" fillId="0" borderId="10" xfId="0" applyNumberFormat="1" applyBorder="1"/>
    <xf numFmtId="169" fontId="0" fillId="0" borderId="13" xfId="0" applyNumberFormat="1" applyBorder="1"/>
    <xf numFmtId="169" fontId="0" fillId="0" borderId="7" xfId="0" applyNumberFormat="1" applyBorder="1"/>
    <xf numFmtId="167" fontId="0" fillId="0" borderId="10" xfId="0" applyNumberFormat="1" applyBorder="1" applyAlignment="1">
      <alignment vertical="center"/>
    </xf>
    <xf numFmtId="167" fontId="0" fillId="0" borderId="4" xfId="1" applyNumberFormat="1" applyFont="1" applyBorder="1" applyAlignment="1">
      <alignment vertical="center"/>
    </xf>
    <xf numFmtId="169" fontId="0" fillId="0" borderId="21" xfId="0" applyNumberFormat="1" applyBorder="1"/>
    <xf numFmtId="169" fontId="0" fillId="0" borderId="16" xfId="0" applyNumberFormat="1" applyBorder="1"/>
    <xf numFmtId="169" fontId="0" fillId="0" borderId="17" xfId="0" applyNumberFormat="1" applyBorder="1"/>
    <xf numFmtId="169" fontId="0" fillId="0" borderId="2" xfId="2" applyNumberFormat="1" applyFont="1" applyBorder="1" applyAlignment="1">
      <alignment horizontal="center"/>
    </xf>
    <xf numFmtId="169" fontId="0" fillId="0" borderId="4" xfId="0" applyNumberFormat="1" applyBorder="1"/>
    <xf numFmtId="169" fontId="0" fillId="0" borderId="2" xfId="0" applyNumberFormat="1" applyBorder="1"/>
    <xf numFmtId="169" fontId="0" fillId="0" borderId="5" xfId="0" applyNumberFormat="1" applyBorder="1"/>
    <xf numFmtId="169" fontId="0" fillId="0" borderId="11" xfId="0" applyNumberFormat="1" applyBorder="1"/>
    <xf numFmtId="0" fontId="0" fillId="0" borderId="1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164" fontId="0" fillId="0" borderId="19" xfId="2" applyNumberFormat="1" applyFont="1" applyBorder="1" applyAlignment="1">
      <alignment horizontal="center" vertical="center"/>
    </xf>
    <xf numFmtId="164" fontId="0" fillId="0" borderId="19" xfId="0" applyNumberFormat="1" applyFont="1" applyBorder="1" applyAlignment="1">
      <alignment horizontal="center" vertical="center"/>
    </xf>
    <xf numFmtId="169" fontId="0" fillId="0" borderId="19" xfId="0" applyNumberFormat="1" applyFont="1" applyBorder="1" applyAlignment="1">
      <alignment horizontal="center" vertical="center"/>
    </xf>
    <xf numFmtId="169" fontId="0" fillId="0" borderId="20" xfId="0" applyNumberFormat="1" applyFont="1" applyBorder="1" applyAlignment="1">
      <alignment horizontal="center" vertical="center"/>
    </xf>
    <xf numFmtId="168" fontId="0" fillId="0" borderId="33" xfId="0" applyNumberFormat="1" applyFont="1" applyBorder="1" applyAlignment="1">
      <alignment horizontal="center" vertical="center"/>
    </xf>
    <xf numFmtId="168" fontId="0" fillId="0" borderId="14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169" fontId="0" fillId="0" borderId="0" xfId="0" applyNumberFormat="1" applyBorder="1"/>
    <xf numFmtId="0" fontId="5" fillId="0" borderId="18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164" fontId="0" fillId="0" borderId="52" xfId="2" applyNumberFormat="1" applyFont="1" applyBorder="1" applyAlignment="1">
      <alignment horizontal="center"/>
    </xf>
    <xf numFmtId="0" fontId="0" fillId="0" borderId="53" xfId="0" applyFont="1" applyBorder="1" applyAlignment="1">
      <alignment horizontal="center" vertical="center"/>
    </xf>
    <xf numFmtId="0" fontId="0" fillId="0" borderId="54" xfId="0" applyFont="1" applyFill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164" fontId="0" fillId="0" borderId="54" xfId="2" applyNumberFormat="1" applyFont="1" applyBorder="1" applyAlignment="1">
      <alignment horizontal="center" vertical="center"/>
    </xf>
    <xf numFmtId="164" fontId="0" fillId="0" borderId="54" xfId="0" applyNumberFormat="1" applyFont="1" applyBorder="1" applyAlignment="1">
      <alignment horizontal="center" vertical="center"/>
    </xf>
    <xf numFmtId="169" fontId="0" fillId="0" borderId="54" xfId="0" applyNumberFormat="1" applyFont="1" applyBorder="1" applyAlignment="1">
      <alignment horizontal="center" vertical="center"/>
    </xf>
    <xf numFmtId="169" fontId="0" fillId="0" borderId="55" xfId="0" applyNumberFormat="1" applyFont="1" applyBorder="1" applyAlignment="1">
      <alignment horizontal="center" vertical="center"/>
    </xf>
    <xf numFmtId="0" fontId="0" fillId="0" borderId="56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9" fontId="0" fillId="0" borderId="57" xfId="0" applyNumberFormat="1" applyBorder="1"/>
    <xf numFmtId="0" fontId="0" fillId="0" borderId="58" xfId="0" applyFont="1" applyFill="1" applyBorder="1" applyAlignment="1">
      <alignment horizontal="center" vertical="center"/>
    </xf>
    <xf numFmtId="0" fontId="0" fillId="0" borderId="58" xfId="0" applyFont="1" applyBorder="1" applyAlignment="1">
      <alignment horizontal="center" vertical="center"/>
    </xf>
    <xf numFmtId="164" fontId="0" fillId="0" borderId="58" xfId="2" applyNumberFormat="1" applyFont="1" applyBorder="1" applyAlignment="1">
      <alignment horizontal="center" vertical="center"/>
    </xf>
    <xf numFmtId="164" fontId="0" fillId="0" borderId="58" xfId="0" applyNumberFormat="1" applyFont="1" applyBorder="1" applyAlignment="1">
      <alignment horizontal="center" vertical="center"/>
    </xf>
    <xf numFmtId="169" fontId="0" fillId="0" borderId="59" xfId="0" applyNumberFormat="1" applyFont="1" applyBorder="1" applyAlignment="1">
      <alignment horizontal="center" vertical="center"/>
    </xf>
    <xf numFmtId="170" fontId="0" fillId="0" borderId="54" xfId="0" applyNumberFormat="1" applyFont="1" applyBorder="1" applyAlignment="1">
      <alignment horizontal="center" vertical="center"/>
    </xf>
    <xf numFmtId="170" fontId="0" fillId="0" borderId="0" xfId="0" applyNumberFormat="1" applyBorder="1" applyAlignment="1">
      <alignment horizontal="center"/>
    </xf>
    <xf numFmtId="170" fontId="0" fillId="0" borderId="58" xfId="0" applyNumberFormat="1" applyFont="1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/>
    </xf>
    <xf numFmtId="171" fontId="0" fillId="0" borderId="54" xfId="1" applyNumberFormat="1" applyFont="1" applyBorder="1" applyAlignment="1">
      <alignment horizontal="center" vertical="center"/>
    </xf>
    <xf numFmtId="171" fontId="0" fillId="0" borderId="0" xfId="1" applyNumberFormat="1" applyFont="1" applyBorder="1" applyAlignment="1">
      <alignment horizontal="center"/>
    </xf>
    <xf numFmtId="171" fontId="0" fillId="0" borderId="58" xfId="1" applyNumberFormat="1" applyFont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  <xf numFmtId="169" fontId="0" fillId="0" borderId="61" xfId="0" applyNumberFormat="1" applyBorder="1"/>
    <xf numFmtId="0" fontId="11" fillId="0" borderId="1" xfId="0" applyFont="1" applyBorder="1"/>
    <xf numFmtId="171" fontId="11" fillId="0" borderId="1" xfId="0" applyNumberFormat="1" applyFont="1" applyBorder="1"/>
    <xf numFmtId="0" fontId="10" fillId="2" borderId="34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172" fontId="0" fillId="0" borderId="10" xfId="0" applyNumberFormat="1" applyFont="1" applyBorder="1" applyAlignment="1">
      <alignment horizontal="center" vertical="center"/>
    </xf>
    <xf numFmtId="168" fontId="0" fillId="0" borderId="4" xfId="0" applyNumberFormat="1" applyBorder="1"/>
    <xf numFmtId="168" fontId="0" fillId="0" borderId="10" xfId="0" applyNumberFormat="1" applyBorder="1"/>
    <xf numFmtId="10" fontId="0" fillId="0" borderId="54" xfId="2" applyNumberFormat="1" applyFont="1" applyBorder="1" applyAlignment="1">
      <alignment horizontal="center" vertical="center"/>
    </xf>
    <xf numFmtId="10" fontId="0" fillId="0" borderId="0" xfId="2" applyNumberFormat="1" applyFont="1" applyBorder="1" applyAlignment="1">
      <alignment horizontal="center"/>
    </xf>
    <xf numFmtId="10" fontId="0" fillId="0" borderId="58" xfId="2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44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0" fontId="7" fillId="0" borderId="48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171" fontId="0" fillId="0" borderId="62" xfId="1" applyNumberFormat="1" applyFont="1" applyBorder="1" applyAlignment="1">
      <alignment horizontal="center" vertical="center"/>
    </xf>
    <xf numFmtId="171" fontId="0" fillId="0" borderId="63" xfId="1" applyNumberFormat="1" applyFont="1" applyBorder="1" applyAlignment="1">
      <alignment horizontal="center" vertical="center"/>
    </xf>
    <xf numFmtId="171" fontId="0" fillId="0" borderId="64" xfId="1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/>
    </xf>
    <xf numFmtId="0" fontId="10" fillId="2" borderId="32" xfId="0" applyFont="1" applyFill="1" applyBorder="1" applyAlignment="1">
      <alignment horizontal="center" vertical="center" wrapText="1"/>
    </xf>
    <xf numFmtId="0" fontId="10" fillId="2" borderId="60" xfId="0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/>
    </xf>
    <xf numFmtId="0" fontId="7" fillId="0" borderId="45" xfId="0" applyFont="1" applyBorder="1" applyAlignment="1">
      <alignment horizontal="center"/>
    </xf>
    <xf numFmtId="0" fontId="10" fillId="2" borderId="34" xfId="0" applyFont="1" applyFill="1" applyBorder="1" applyAlignment="1">
      <alignment horizontal="center" vertical="center" wrapText="1"/>
    </xf>
    <xf numFmtId="0" fontId="10" fillId="2" borderId="32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13" fillId="2" borderId="60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0" fillId="0" borderId="54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58" xfId="0" applyFont="1" applyFill="1" applyBorder="1" applyAlignment="1">
      <alignment horizontal="right" vertical="center"/>
    </xf>
    <xf numFmtId="0" fontId="0" fillId="0" borderId="54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58" xfId="0" applyFont="1" applyFill="1" applyBorder="1" applyAlignment="1">
      <alignment horizontal="left" vertical="center"/>
    </xf>
    <xf numFmtId="169" fontId="0" fillId="0" borderId="54" xfId="2" applyNumberFormat="1" applyFont="1" applyBorder="1" applyAlignment="1">
      <alignment horizontal="center" vertical="center"/>
    </xf>
    <xf numFmtId="169" fontId="0" fillId="0" borderId="0" xfId="2" applyNumberFormat="1" applyFont="1" applyBorder="1" applyAlignment="1">
      <alignment horizontal="center"/>
    </xf>
    <xf numFmtId="169" fontId="0" fillId="0" borderId="57" xfId="2" applyNumberFormat="1" applyFont="1" applyBorder="1" applyAlignment="1">
      <alignment horizontal="center"/>
    </xf>
    <xf numFmtId="169" fontId="0" fillId="0" borderId="59" xfId="2" applyNumberFormat="1" applyFont="1" applyBorder="1" applyAlignment="1">
      <alignment horizontal="center"/>
    </xf>
    <xf numFmtId="169" fontId="0" fillId="0" borderId="50" xfId="0" applyNumberFormat="1" applyBorder="1" applyAlignment="1">
      <alignment horizontal="center"/>
    </xf>
    <xf numFmtId="169" fontId="0" fillId="0" borderId="52" xfId="2" applyNumberFormat="1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Maior Liberação - Produto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'Parte 1'!$N$16</c:f>
              <c:strCache>
                <c:ptCount val="1"/>
                <c:pt idx="0">
                  <c:v>Liberação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0955-452D-9773-D388DC6EFD8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55-452D-9773-D388DC6EFD8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55-452D-9773-D388DC6EFD84}"/>
              </c:ext>
            </c:extLst>
          </c:dPt>
          <c:dPt>
            <c:idx val="3"/>
            <c:bubble3D val="0"/>
            <c:explosion val="39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955-452D-9773-D388DC6EFD8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955-452D-9773-D388DC6EFD8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955-452D-9773-D388DC6EFD8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955-452D-9773-D388DC6EFD8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955-452D-9773-D388DC6EFD8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955-452D-9773-D388DC6EFD8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955-452D-9773-D388DC6EFD8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955-452D-9773-D388DC6EFD8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955-452D-9773-D388DC6EFD8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55-452D-9773-D388DC6EFD8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55-452D-9773-D388DC6EFD8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55-452D-9773-D388DC6EFD8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55-452D-9773-D388DC6EFD8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55-452D-9773-D388DC6EFD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55-452D-9773-D388DC6EFD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55-452D-9773-D388DC6EFD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55-452D-9773-D388DC6EFD8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55-452D-9773-D388DC6EFD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55-452D-9773-D388DC6EFD8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55-452D-9773-D388DC6EF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'Parte 1'!$N$18:$N$29</c:f>
              <c:numCache>
                <c:formatCode>_-[$R$-416]\ * #,##0.00000_-;\-[$R$-416]\ * #,##0.00000_-;_-[$R$-416]\ * "-"??_-;_-@_-</c:formatCode>
                <c:ptCount val="12"/>
                <c:pt idx="0">
                  <c:v>1513728</c:v>
                </c:pt>
                <c:pt idx="1">
                  <c:v>1422904.3199999998</c:v>
                </c:pt>
                <c:pt idx="2">
                  <c:v>1337530.0607999999</c:v>
                </c:pt>
                <c:pt idx="3">
                  <c:v>1546452.2562969599</c:v>
                </c:pt>
                <c:pt idx="4">
                  <c:v>1432324.0797822445</c:v>
                </c:pt>
                <c:pt idx="5">
                  <c:v>1078551.6769872478</c:v>
                </c:pt>
                <c:pt idx="6">
                  <c:v>1013838.5763680128</c:v>
                </c:pt>
                <c:pt idx="7">
                  <c:v>953008.261785932</c:v>
                </c:pt>
                <c:pt idx="8">
                  <c:v>895827.7660787761</c:v>
                </c:pt>
                <c:pt idx="9">
                  <c:v>842078.10011404951</c:v>
                </c:pt>
                <c:pt idx="10">
                  <c:v>791553.41410720651</c:v>
                </c:pt>
                <c:pt idx="11">
                  <c:v>915194.05739075225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52D-9773-D388DC6EF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Maior Liberação - Produto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'Parte 1'!$N$16</c:f>
              <c:strCache>
                <c:ptCount val="1"/>
                <c:pt idx="0">
                  <c:v>Liberação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74-4C32-990C-6234D67F33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74-4C32-990C-6234D67F33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74-4C32-990C-6234D67F333C}"/>
              </c:ext>
            </c:extLst>
          </c:dPt>
          <c:dPt>
            <c:idx val="3"/>
            <c:bubble3D val="0"/>
            <c:explosion val="3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74-4C32-990C-6234D67F33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74-4C32-990C-6234D67F33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174-4C32-990C-6234D67F33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174-4C32-990C-6234D67F33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174-4C32-990C-6234D67F33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174-4C32-990C-6234D67F33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174-4C32-990C-6234D67F33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174-4C32-990C-6234D67F33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174-4C32-990C-6234D67F333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74-4C32-990C-6234D67F333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74-4C32-990C-6234D67F333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74-4C32-990C-6234D67F333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74-4C32-990C-6234D67F333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174-4C32-990C-6234D67F333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174-4C32-990C-6234D67F333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174-4C32-990C-6234D67F333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174-4C32-990C-6234D67F333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174-4C32-990C-6234D67F333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174-4C32-990C-6234D67F333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174-4C32-990C-6234D67F3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'Parte 1'!$N$36:$N$47</c:f>
              <c:numCache>
                <c:formatCode>_-[$R$-416]\ * #,##0.00000_-;\-[$R$-416]\ * #,##0.00000_-;_-[$R$-416]\ * "-"??_-;_-@_-</c:formatCode>
                <c:ptCount val="12"/>
                <c:pt idx="0">
                  <c:v>851472</c:v>
                </c:pt>
                <c:pt idx="1">
                  <c:v>800383.67999999993</c:v>
                </c:pt>
                <c:pt idx="2">
                  <c:v>752360.65919999999</c:v>
                </c:pt>
                <c:pt idx="3">
                  <c:v>869879.39416704013</c:v>
                </c:pt>
                <c:pt idx="4">
                  <c:v>805682.29487751261</c:v>
                </c:pt>
                <c:pt idx="5">
                  <c:v>606685.31830532686</c:v>
                </c:pt>
                <c:pt idx="6">
                  <c:v>570284.1992070073</c:v>
                </c:pt>
                <c:pt idx="7">
                  <c:v>536067.1472545868</c:v>
                </c:pt>
                <c:pt idx="8">
                  <c:v>503903.11841931165</c:v>
                </c:pt>
                <c:pt idx="9">
                  <c:v>473668.93131415296</c:v>
                </c:pt>
                <c:pt idx="10">
                  <c:v>445248.79543530376</c:v>
                </c:pt>
                <c:pt idx="11">
                  <c:v>514796.65728229831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174-4C32-990C-6234D67F3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Maior Liberação - Produto A</a:t>
            </a:r>
            <a:r>
              <a:rPr lang="en-US" baseline="0"/>
              <a:t> x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'Parte 1'!$N$16</c:f>
              <c:strCache>
                <c:ptCount val="1"/>
                <c:pt idx="0">
                  <c:v>Liberação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A6-45F0-AA22-D49C157EE0F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A6-45F0-AA22-D49C157EE0F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A6-45F0-AA22-D49C157EE0F3}"/>
              </c:ext>
            </c:extLst>
          </c:dPt>
          <c:dPt>
            <c:idx val="3"/>
            <c:bubble3D val="0"/>
            <c:explosion val="3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4A6-45F0-AA22-D49C157EE0F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4A6-45F0-AA22-D49C157EE0F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4A6-45F0-AA22-D49C157EE0F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4A6-45F0-AA22-D49C157EE0F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4A6-45F0-AA22-D49C157EE0F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4A6-45F0-AA22-D49C157EE0F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4A6-45F0-AA22-D49C157EE0F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4A6-45F0-AA22-D49C157EE0F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4A6-45F0-AA22-D49C157EE0F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A6-45F0-AA22-D49C157EE0F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A6-45F0-AA22-D49C157EE0F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A6-45F0-AA22-D49C157EE0F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A6-45F0-AA22-D49C157EE0F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A6-45F0-AA22-D49C157EE0F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4A6-45F0-AA22-D49C157EE0F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4A6-45F0-AA22-D49C157EE0F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4A6-45F0-AA22-D49C157EE0F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4A6-45F0-AA22-D49C157EE0F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4A6-45F0-AA22-D49C157EE0F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4A6-45F0-AA22-D49C157EE0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'Parte 1'!$N$55:$N$66</c:f>
              <c:numCache>
                <c:formatCode>_-[$R$-416]\ * #,##0.00000_-;\-[$R$-416]\ * #,##0.00000_-;_-[$R$-416]\ * "-"??_-;_-@_-</c:formatCode>
                <c:ptCount val="12"/>
                <c:pt idx="0">
                  <c:v>540000</c:v>
                </c:pt>
                <c:pt idx="1">
                  <c:v>507600</c:v>
                </c:pt>
                <c:pt idx="2">
                  <c:v>477144</c:v>
                </c:pt>
                <c:pt idx="3">
                  <c:v>551673.89280000003</c:v>
                </c:pt>
                <c:pt idx="4">
                  <c:v>510960.35951136006</c:v>
                </c:pt>
                <c:pt idx="5">
                  <c:v>384757.30486131838</c:v>
                </c:pt>
                <c:pt idx="6">
                  <c:v>361671.8665696393</c:v>
                </c:pt>
                <c:pt idx="7">
                  <c:v>339971.5545754609</c:v>
                </c:pt>
                <c:pt idx="8">
                  <c:v>319573.26130093326</c:v>
                </c:pt>
                <c:pt idx="9">
                  <c:v>300398.86562287726</c:v>
                </c:pt>
                <c:pt idx="10">
                  <c:v>282374.93368550466</c:v>
                </c:pt>
                <c:pt idx="11">
                  <c:v>326481.89832718048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4A6-45F0-AA22-D49C157EE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 b="1"/>
              <a:t>Qui Quadrado - Produto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162799228678712E-2"/>
          <c:y val="0.15671453996304111"/>
          <c:w val="0.93967440154264259"/>
          <c:h val="0.7156614881506389"/>
        </c:manualLayout>
      </c:layout>
      <c:bar3D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'Parte 2'!$E$3:$E$10</c:f>
              <c:strCache>
                <c:ptCount val="8"/>
                <c:pt idx="0">
                  <c:v>1º Tri 2020</c:v>
                </c:pt>
                <c:pt idx="1">
                  <c:v>2º Tri 2020</c:v>
                </c:pt>
                <c:pt idx="2">
                  <c:v>3º Tri 2020</c:v>
                </c:pt>
                <c:pt idx="3">
                  <c:v>4º Tri 2020</c:v>
                </c:pt>
                <c:pt idx="4">
                  <c:v>1º Tri 2021</c:v>
                </c:pt>
                <c:pt idx="5">
                  <c:v>2º Tri 2021</c:v>
                </c:pt>
                <c:pt idx="6">
                  <c:v>3º Tri 2021</c:v>
                </c:pt>
                <c:pt idx="7">
                  <c:v>4º Tri 2021</c:v>
                </c:pt>
              </c:strCache>
            </c:strRef>
          </c:cat>
          <c:val>
            <c:numRef>
              <c:f>'Parte 2'!$F$3:$F$10</c:f>
              <c:numCache>
                <c:formatCode>_-"R$"* #,##0.0000_-;\-"R$"* #,##0.0000_-;_-"R$"* "-"??_-;_-@_-</c:formatCode>
                <c:ptCount val="8"/>
                <c:pt idx="0">
                  <c:v>55877057613.168732</c:v>
                </c:pt>
                <c:pt idx="1">
                  <c:v>37937242798.353912</c:v>
                </c:pt>
                <c:pt idx="2">
                  <c:v>23469650205.761318</c:v>
                </c:pt>
                <c:pt idx="3">
                  <c:v>12474279835.390945</c:v>
                </c:pt>
                <c:pt idx="4">
                  <c:v>4951131687.2427988</c:v>
                </c:pt>
                <c:pt idx="5">
                  <c:v>900205761.316872</c:v>
                </c:pt>
                <c:pt idx="6">
                  <c:v>321502057.61316812</c:v>
                </c:pt>
                <c:pt idx="7">
                  <c:v>3215020576.1316876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B-46A8-9F5F-F59474D661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shape val="box"/>
        <c:axId val="419932280"/>
        <c:axId val="419932672"/>
        <c:axId val="0"/>
      </c:bar3DChart>
      <c:catAx>
        <c:axId val="41993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932672"/>
        <c:crosses val="autoZero"/>
        <c:auto val="1"/>
        <c:lblAlgn val="ctr"/>
        <c:lblOffset val="100"/>
        <c:noMultiLvlLbl val="0"/>
      </c:catAx>
      <c:valAx>
        <c:axId val="419932672"/>
        <c:scaling>
          <c:orientation val="minMax"/>
        </c:scaling>
        <c:delete val="1"/>
        <c:axPos val="l"/>
        <c:numFmt formatCode="_-&quot;R$&quot;* #,##0.0000_-;\-&quot;R$&quot;* #,##0.0000_-;_-&quot;R$&quot;* &quot;-&quot;??_-;_-@_-" sourceLinked="1"/>
        <c:majorTickMark val="none"/>
        <c:minorTickMark val="none"/>
        <c:tickLblPos val="nextTo"/>
        <c:crossAx val="41993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 b="1"/>
              <a:t>Qui Quadrado - Produto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324596110847174E-2"/>
          <c:y val="0.15439098618711505"/>
          <c:w val="0.95090654215131964"/>
          <c:h val="0.7198773058017639"/>
        </c:manualLayout>
      </c:layout>
      <c:bar3D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'Parte 2'!$E$3:$E$10</c:f>
              <c:strCache>
                <c:ptCount val="8"/>
                <c:pt idx="0">
                  <c:v>1º Tri 2020</c:v>
                </c:pt>
                <c:pt idx="1">
                  <c:v>2º Tri 2020</c:v>
                </c:pt>
                <c:pt idx="2">
                  <c:v>3º Tri 2020</c:v>
                </c:pt>
                <c:pt idx="3">
                  <c:v>4º Tri 2020</c:v>
                </c:pt>
                <c:pt idx="4">
                  <c:v>1º Tri 2021</c:v>
                </c:pt>
                <c:pt idx="5">
                  <c:v>2º Tri 2021</c:v>
                </c:pt>
                <c:pt idx="6">
                  <c:v>3º Tri 2021</c:v>
                </c:pt>
                <c:pt idx="7">
                  <c:v>4º Tri 2021</c:v>
                </c:pt>
              </c:strCache>
            </c:strRef>
          </c:cat>
          <c:val>
            <c:numRef>
              <c:f>'Parte 2'!$G$3:$G$10</c:f>
              <c:numCache>
                <c:formatCode>_-"R$"* #,##0.0000_-;\-"R$"* #,##0.0000_-;_-"R$"* "-"??_-;_-@_-</c:formatCode>
                <c:ptCount val="8"/>
                <c:pt idx="0">
                  <c:v>25837551440.329224</c:v>
                </c:pt>
                <c:pt idx="1">
                  <c:v>17542181069.958847</c:v>
                </c:pt>
                <c:pt idx="2">
                  <c:v>10852366255.144033</c:v>
                </c:pt>
                <c:pt idx="3">
                  <c:v>5768106995.8847733</c:v>
                </c:pt>
                <c:pt idx="4">
                  <c:v>2289403292.1810699</c:v>
                </c:pt>
                <c:pt idx="5">
                  <c:v>416255144.03292185</c:v>
                </c:pt>
                <c:pt idx="6">
                  <c:v>148662551.44032899</c:v>
                </c:pt>
                <c:pt idx="7">
                  <c:v>1486625514.4032924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2-4BD1-9BE1-613700CBC2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shape val="box"/>
        <c:axId val="419931104"/>
        <c:axId val="419930712"/>
        <c:axId val="0"/>
      </c:bar3DChart>
      <c:catAx>
        <c:axId val="41993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930712"/>
        <c:crosses val="autoZero"/>
        <c:auto val="1"/>
        <c:lblAlgn val="ctr"/>
        <c:lblOffset val="100"/>
        <c:noMultiLvlLbl val="0"/>
      </c:catAx>
      <c:valAx>
        <c:axId val="419930712"/>
        <c:scaling>
          <c:orientation val="minMax"/>
        </c:scaling>
        <c:delete val="1"/>
        <c:axPos val="l"/>
        <c:numFmt formatCode="_-&quot;R$&quot;* #,##0.0000_-;\-&quot;R$&quot;* #,##0.0000_-;_-&quot;R$&quot;* &quot;-&quot;??_-;_-@_-" sourceLinked="1"/>
        <c:majorTickMark val="none"/>
        <c:minorTickMark val="none"/>
        <c:tickLblPos val="nextTo"/>
        <c:crossAx val="41993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 b="1"/>
              <a:t>Qui Quadrado - Produto A e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'Parte 2'!$E$3:$E$10</c:f>
              <c:strCache>
                <c:ptCount val="8"/>
                <c:pt idx="0">
                  <c:v>1º Tri 2020</c:v>
                </c:pt>
                <c:pt idx="1">
                  <c:v>2º Tri 2020</c:v>
                </c:pt>
                <c:pt idx="2">
                  <c:v>3º Tri 2020</c:v>
                </c:pt>
                <c:pt idx="3">
                  <c:v>4º Tri 2020</c:v>
                </c:pt>
                <c:pt idx="4">
                  <c:v>1º Tri 2021</c:v>
                </c:pt>
                <c:pt idx="5">
                  <c:v>2º Tri 2021</c:v>
                </c:pt>
                <c:pt idx="6">
                  <c:v>3º Tri 2021</c:v>
                </c:pt>
                <c:pt idx="7">
                  <c:v>4º Tri 2021</c:v>
                </c:pt>
              </c:strCache>
            </c:strRef>
          </c:cat>
          <c:val>
            <c:numRef>
              <c:f>'Parte 2'!$H$3:$H$10</c:f>
              <c:numCache>
                <c:formatCode>_-"R$"* #,##0.0000_-;\-"R$"* #,##0.0000_-;_-"R$"* "-"??_-;_-@_-</c:formatCode>
                <c:ptCount val="8"/>
                <c:pt idx="0">
                  <c:v>157707407407.40741</c:v>
                </c:pt>
                <c:pt idx="1">
                  <c:v>107074074074.07408</c:v>
                </c:pt>
                <c:pt idx="2">
                  <c:v>66240740740.740746</c:v>
                </c:pt>
                <c:pt idx="3">
                  <c:v>35207407407.40741</c:v>
                </c:pt>
                <c:pt idx="4">
                  <c:v>13974074074.074074</c:v>
                </c:pt>
                <c:pt idx="5">
                  <c:v>2540740740.7407413</c:v>
                </c:pt>
                <c:pt idx="6">
                  <c:v>907407407.40740776</c:v>
                </c:pt>
                <c:pt idx="7">
                  <c:v>9074074074.0740681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F-4807-9514-4D477F9039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shape val="box"/>
        <c:axId val="421913512"/>
        <c:axId val="421913904"/>
        <c:axId val="0"/>
      </c:bar3DChart>
      <c:catAx>
        <c:axId val="42191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913904"/>
        <c:crosses val="autoZero"/>
        <c:auto val="1"/>
        <c:lblAlgn val="ctr"/>
        <c:lblOffset val="100"/>
        <c:noMultiLvlLbl val="0"/>
      </c:catAx>
      <c:valAx>
        <c:axId val="421913904"/>
        <c:scaling>
          <c:orientation val="minMax"/>
        </c:scaling>
        <c:delete val="1"/>
        <c:axPos val="l"/>
        <c:numFmt formatCode="_-&quot;R$&quot;* #,##0.0000_-;\-&quot;R$&quot;* #,##0.0000_-;_-&quot;R$&quot;* &quot;-&quot;??_-;_-@_-" sourceLinked="1"/>
        <c:majorTickMark val="none"/>
        <c:minorTickMark val="none"/>
        <c:tickLblPos val="nextTo"/>
        <c:crossAx val="42191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1019175</xdr:colOff>
      <xdr:row>16</xdr:row>
      <xdr:rowOff>100012</xdr:rowOff>
    </xdr:from>
    <xdr:ext cx="2771775" cy="7260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2405025-90F6-4C07-A384-17EEE1495ADB}"/>
                </a:ext>
              </a:extLst>
            </xdr:cNvPr>
            <xdr:cNvSpPr txBox="1"/>
          </xdr:nvSpPr>
          <xdr:spPr>
            <a:xfrm>
              <a:off x="19631025" y="4938712"/>
              <a:ext cx="2771775" cy="726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Mediana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Anual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do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Produto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Produto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𝐴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:</m:t>
                    </m:r>
                  </m:oMath>
                </m:oMathPara>
              </a14:m>
              <a:endParaRPr lang="pt-BR" sz="1100" b="0" i="0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𝑖𝑛𝑓𝑒𝑟𝑖𝑜𝑟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</m:ctrlPr>
                          </m:fPr>
                          <m:num>
                            <m:f>
                              <m:fPr>
                                <m:type m:val="skw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  <m:t>𝑛</m:t>
                                </m:r>
                              </m:num>
                              <m:den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 </m:t>
                            </m:r>
                            <m:sSub>
                              <m:sSub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𝑓𝑎</m:t>
                                </m:r>
                              </m:e>
                              <m: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  <m:t>5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∗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pt-BR" sz="11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2405025-90F6-4C07-A384-17EEE1495ADB}"/>
                </a:ext>
              </a:extLst>
            </xdr:cNvPr>
            <xdr:cNvSpPr txBox="1"/>
          </xdr:nvSpPr>
          <xdr:spPr>
            <a:xfrm>
              <a:off x="19631025" y="4938712"/>
              <a:ext cx="2771775" cy="726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Mediana Anual do Produto Produto 𝐴:</a:t>
              </a:r>
              <a:endParaRPr lang="pt-BR" sz="1100" b="0" i="0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 𝐾_5 𝑖𝑛𝑓𝑒𝑟𝑖𝑜𝑟+((𝑛⁄2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〖𝑓𝑎〗_4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𝑓_5 )  ∗ℎ_5</a:t>
              </a:r>
              <a:endParaRPr lang="pt-BR" sz="11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16</xdr:col>
      <xdr:colOff>933450</xdr:colOff>
      <xdr:row>20</xdr:row>
      <xdr:rowOff>171450</xdr:rowOff>
    </xdr:from>
    <xdr:ext cx="2952750" cy="7260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2B3D3A47-CA75-4DC6-9105-52815B8AC4D4}"/>
                </a:ext>
              </a:extLst>
            </xdr:cNvPr>
            <xdr:cNvSpPr txBox="1"/>
          </xdr:nvSpPr>
          <xdr:spPr>
            <a:xfrm>
              <a:off x="19545300" y="6734175"/>
              <a:ext cx="2952750" cy="726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Mediana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Anual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do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Produto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Produto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𝐵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: </m:t>
                    </m:r>
                  </m:oMath>
                </m:oMathPara>
              </a14:m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𝑖𝑛𝑓𝑒𝑟𝑖𝑜𝑟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</m:ctrlPr>
                          </m:fPr>
                          <m:num>
                            <m:f>
                              <m:fPr>
                                <m:type m:val="skw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  <m:t>𝑛</m:t>
                                </m:r>
                              </m:num>
                              <m:den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 </m:t>
                            </m:r>
                            <m:sSub>
                              <m:sSub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𝑓𝑎</m:t>
                                </m:r>
                              </m:e>
                              <m: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  <m:t>5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∗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pt-BR" sz="11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2B3D3A47-CA75-4DC6-9105-52815B8AC4D4}"/>
                </a:ext>
              </a:extLst>
            </xdr:cNvPr>
            <xdr:cNvSpPr txBox="1"/>
          </xdr:nvSpPr>
          <xdr:spPr>
            <a:xfrm>
              <a:off x="19545300" y="6734175"/>
              <a:ext cx="2952750" cy="726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Mediana Anual do Produto Produto 𝐵: </a:t>
              </a:r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𝐾_5 𝑖𝑛𝑓𝑒𝑟𝑖𝑜𝑟+((𝑛⁄2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〖𝑓𝑎〗_4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𝑓_5 )  ∗ℎ_5</a:t>
              </a:r>
              <a:endParaRPr lang="pt-BR" sz="11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20</xdr:col>
      <xdr:colOff>57150</xdr:colOff>
      <xdr:row>16</xdr:row>
      <xdr:rowOff>95250</xdr:rowOff>
    </xdr:from>
    <xdr:ext cx="2781300" cy="6828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5920DD7E-3FBA-4DE1-AD54-97B5A7CF9E2A}"/>
                </a:ext>
              </a:extLst>
            </xdr:cNvPr>
            <xdr:cNvSpPr txBox="1"/>
          </xdr:nvSpPr>
          <xdr:spPr>
            <a:xfrm>
              <a:off x="22612350" y="4933950"/>
              <a:ext cx="2781300" cy="682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Mediana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do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Recurso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do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Produto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Produto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:</m:t>
                    </m:r>
                  </m:oMath>
                </m:oMathPara>
              </a14:m>
              <a:endParaRPr lang="pt-BR" sz="1100" b="0" i="1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endParaRPr lang="pt-BR" sz="1100" b="0" i="1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𝑀𝑒𝑑𝑖𝑎𝑛𝑎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𝐴𝑛𝑢𝑎𝑙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𝑑𝑜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𝑃𝑟𝑜𝑑𝑢𝑡𝑜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𝑅𝑒𝑐𝑢𝑟𝑠𝑜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5920DD7E-3FBA-4DE1-AD54-97B5A7CF9E2A}"/>
                </a:ext>
              </a:extLst>
            </xdr:cNvPr>
            <xdr:cNvSpPr txBox="1"/>
          </xdr:nvSpPr>
          <xdr:spPr>
            <a:xfrm>
              <a:off x="22612350" y="4933950"/>
              <a:ext cx="2781300" cy="682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Mediana do  Recurso do Produto Produto 𝐴:</a:t>
              </a:r>
              <a:endParaRPr lang="pt-BR" sz="1100" b="0" i="1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endParaRPr lang="pt-BR" sz="1100" b="0" i="1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(𝑀𝑒𝑑𝑖𝑎𝑛𝑎 𝐴𝑛𝑢𝑎𝑙 𝑑𝑜 𝑃𝑟𝑜𝑑𝑢𝑡𝑜 𝐴 ∗𝑅𝑒𝑐𝑢𝑟𝑠𝑜)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𝑓_5 </a:t>
              </a:r>
              <a:endParaRPr lang="pt-BR" sz="11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22</xdr:col>
      <xdr:colOff>619125</xdr:colOff>
      <xdr:row>16</xdr:row>
      <xdr:rowOff>95250</xdr:rowOff>
    </xdr:from>
    <xdr:ext cx="2781300" cy="6828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46ABD740-64F5-4D1A-9170-F2C081C5D1FF}"/>
                </a:ext>
              </a:extLst>
            </xdr:cNvPr>
            <xdr:cNvSpPr txBox="1"/>
          </xdr:nvSpPr>
          <xdr:spPr>
            <a:xfrm>
              <a:off x="25736550" y="4933950"/>
              <a:ext cx="2781300" cy="682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Mediana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do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Recurso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do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Produto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Produto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:</m:t>
                    </m:r>
                  </m:oMath>
                </m:oMathPara>
              </a14:m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𝑀𝑒𝑑𝑖𝑎𝑛𝑎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𝐴𝑛𝑢𝑎𝑙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𝑑𝑜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𝑃𝑟𝑜𝑑𝑢𝑡𝑜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𝐿𝑖𝑏𝑒𝑟𝑎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çã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46ABD740-64F5-4D1A-9170-F2C081C5D1FF}"/>
                </a:ext>
              </a:extLst>
            </xdr:cNvPr>
            <xdr:cNvSpPr txBox="1"/>
          </xdr:nvSpPr>
          <xdr:spPr>
            <a:xfrm>
              <a:off x="25736550" y="4933950"/>
              <a:ext cx="2781300" cy="682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Mediana do  Recurso do Produto Produto 𝐴:</a:t>
              </a:r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(𝑀𝑒𝑑𝑖𝑎𝑛𝑎 𝐴𝑛𝑢𝑎𝑙 𝑑𝑜 𝑃𝑟𝑜𝑑𝑢𝑡𝑜 𝐴 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𝐿𝑖𝑏𝑒𝑟𝑎çã𝑜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𝑓_5 </a:t>
              </a:r>
              <a:endParaRPr lang="pt-BR" sz="11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20</xdr:col>
      <xdr:colOff>0</xdr:colOff>
      <xdr:row>21</xdr:row>
      <xdr:rowOff>0</xdr:rowOff>
    </xdr:from>
    <xdr:ext cx="2781300" cy="6828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CFA70203-3F0B-4914-9B75-03B6673FB4B6}"/>
                </a:ext>
              </a:extLst>
            </xdr:cNvPr>
            <xdr:cNvSpPr txBox="1"/>
          </xdr:nvSpPr>
          <xdr:spPr>
            <a:xfrm>
              <a:off x="22555200" y="6762750"/>
              <a:ext cx="2781300" cy="682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Mediana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do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Recurso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do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Produto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Produto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𝐵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:</m:t>
                    </m:r>
                  </m:oMath>
                </m:oMathPara>
              </a14:m>
              <a:endParaRPr lang="pt-BR" sz="1100" b="0" i="1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endParaRPr lang="pt-BR" sz="1100" b="0" i="1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𝑀𝑒𝑑𝑖𝑎𝑛𝑎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𝐴𝑛𝑢𝑎𝑙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𝑑𝑜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𝑃𝑟𝑜𝑑𝑢𝑡𝑜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𝑅𝑒𝑐𝑢𝑟𝑠𝑜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CFA70203-3F0B-4914-9B75-03B6673FB4B6}"/>
                </a:ext>
              </a:extLst>
            </xdr:cNvPr>
            <xdr:cNvSpPr txBox="1"/>
          </xdr:nvSpPr>
          <xdr:spPr>
            <a:xfrm>
              <a:off x="22555200" y="6762750"/>
              <a:ext cx="2781300" cy="682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Mediana do  Recurso do Produto Produto 𝐵:</a:t>
              </a:r>
              <a:endParaRPr lang="pt-BR" sz="1100" b="0" i="1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endParaRPr lang="pt-BR" sz="1100" b="0" i="1">
                <a:latin typeface="Cambria" panose="02040503050406030204" pitchFamily="18" charset="0"/>
                <a:ea typeface="Cambria" panose="02040503050406030204" pitchFamily="18" charset="0"/>
              </a:endParaRPr>
            </a:p>
            <a:p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(𝑀𝑒𝑑𝑖𝑎𝑛𝑎 𝐴𝑛𝑢𝑎𝑙 𝑑𝑜 𝑃𝑟𝑜𝑑𝑢𝑡𝑜 𝐴 ∗𝑅𝑒𝑐𝑢𝑟𝑠𝑜)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𝑓_5 </a:t>
              </a:r>
              <a:endParaRPr lang="pt-BR" sz="11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22</xdr:col>
      <xdr:colOff>314325</xdr:colOff>
      <xdr:row>21</xdr:row>
      <xdr:rowOff>0</xdr:rowOff>
    </xdr:from>
    <xdr:ext cx="2781300" cy="6828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1B1E8FE8-DDAE-4A7B-860E-55E937691175}"/>
                </a:ext>
              </a:extLst>
            </xdr:cNvPr>
            <xdr:cNvSpPr txBox="1"/>
          </xdr:nvSpPr>
          <xdr:spPr>
            <a:xfrm>
              <a:off x="25431750" y="6762750"/>
              <a:ext cx="2781300" cy="682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Mediana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do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Recurso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do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Produto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Produto</m:t>
                    </m:r>
                    <m:r>
                      <a:rPr lang="pt-BR" sz="1100" b="0" i="0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𝐵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" panose="02040503050406030204" pitchFamily="18" charset="0"/>
                      </a:rPr>
                      <m:t>:</m:t>
                    </m:r>
                  </m:oMath>
                </m:oMathPara>
              </a14:m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𝑀𝑒𝑑𝑖𝑎𝑛𝑎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𝐴𝑛𝑢𝑎𝑙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𝑑𝑜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𝑃𝑟𝑜𝑑𝑢𝑡𝑜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𝐿𝑖𝑏𝑒𝑟𝑎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çã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1B1E8FE8-DDAE-4A7B-860E-55E937691175}"/>
                </a:ext>
              </a:extLst>
            </xdr:cNvPr>
            <xdr:cNvSpPr txBox="1"/>
          </xdr:nvSpPr>
          <xdr:spPr>
            <a:xfrm>
              <a:off x="25431750" y="6762750"/>
              <a:ext cx="2781300" cy="682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Mediana do  Recurso do Produto Produto 𝐵:</a:t>
              </a:r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endParaRPr lang="pt-BR" sz="1100" b="0" i="1">
                <a:latin typeface="Cambria Math" panose="02040503050406030204" pitchFamily="18" charset="0"/>
                <a:ea typeface="Cambria" panose="02040503050406030204" pitchFamily="18" charset="0"/>
              </a:endParaRPr>
            </a:p>
            <a:p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(𝑀𝑒𝑑𝑖𝑎𝑛𝑎 𝐴𝑛𝑢𝑎𝑙 𝑑𝑜 𝑃𝑟𝑜𝑑𝑢𝑡𝑜 𝐴 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𝐿𝑖𝑏𝑒𝑟𝑎çã𝑜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pt-BR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𝑓_5 </a:t>
              </a:r>
              <a:endParaRPr lang="pt-BR" sz="1100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2</xdr:col>
      <xdr:colOff>14287</xdr:colOff>
      <xdr:row>5</xdr:row>
      <xdr:rowOff>80962</xdr:rowOff>
    </xdr:from>
    <xdr:to>
      <xdr:col>8</xdr:col>
      <xdr:colOff>4762</xdr:colOff>
      <xdr:row>12</xdr:row>
      <xdr:rowOff>80962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33125E0-6770-464B-AE81-F5AECA108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5</xdr:row>
      <xdr:rowOff>76200</xdr:rowOff>
    </xdr:from>
    <xdr:to>
      <xdr:col>10</xdr:col>
      <xdr:colOff>1038225</xdr:colOff>
      <xdr:row>12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8229CFF-CECC-48DE-B8C8-FEE6B5EBF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1152525</xdr:colOff>
      <xdr:row>5</xdr:row>
      <xdr:rowOff>76200</xdr:rowOff>
    </xdr:from>
    <xdr:to>
      <xdr:col>13</xdr:col>
      <xdr:colOff>781050</xdr:colOff>
      <xdr:row>12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F29F8FD-F73E-4C70-AC08-9EF170C82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130965</xdr:colOff>
      <xdr:row>0</xdr:row>
      <xdr:rowOff>110725</xdr:rowOff>
    </xdr:from>
    <xdr:to>
      <xdr:col>9</xdr:col>
      <xdr:colOff>1381124</xdr:colOff>
      <xdr:row>13</xdr:row>
      <xdr:rowOff>119062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0</xdr:row>
      <xdr:rowOff>107156</xdr:rowOff>
    </xdr:from>
    <xdr:to>
      <xdr:col>13</xdr:col>
      <xdr:colOff>1357311</xdr:colOff>
      <xdr:row>13</xdr:row>
      <xdr:rowOff>107156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1440656</xdr:colOff>
      <xdr:row>0</xdr:row>
      <xdr:rowOff>95251</xdr:rowOff>
    </xdr:from>
    <xdr:to>
      <xdr:col>19</xdr:col>
      <xdr:colOff>35719</xdr:colOff>
      <xdr:row>13</xdr:row>
      <xdr:rowOff>107156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B5:D12" totalsRowShown="0" headerRowDxfId="28">
  <autoFilter ref="B5:D12" xr:uid="{00000000-0009-0000-0100-000002000000}"/>
  <tableColumns count="3">
    <tableColumn id="1" xr3:uid="{00000000-0010-0000-0000-000001000000}" name="Dados"/>
    <tableColumn id="2" xr3:uid="{00000000-0010-0000-0000-000002000000}" name="Tipos"/>
    <tableColumn id="3" xr3:uid="{00000000-0010-0000-0000-000003000000}" name="Descriçã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24" displayName="Tabela24" ref="B15:D22" totalsRowShown="0" headerRowDxfId="27">
  <autoFilter ref="B15:D22" xr:uid="{00000000-0009-0000-0100-000003000000}"/>
  <tableColumns count="3">
    <tableColumn id="1" xr3:uid="{00000000-0010-0000-0100-000001000000}" name="Dados"/>
    <tableColumn id="2" xr3:uid="{00000000-0010-0000-0100-000002000000}" name="Tipos"/>
    <tableColumn id="3" xr3:uid="{00000000-0010-0000-0100-000003000000}" name="Descriçã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W74"/>
  <sheetViews>
    <sheetView topLeftCell="D28" workbookViewId="0">
      <selection activeCell="L1" sqref="L1"/>
    </sheetView>
  </sheetViews>
  <sheetFormatPr defaultRowHeight="15" x14ac:dyDescent="0.25"/>
  <cols>
    <col min="2" max="2" width="27" bestFit="1" customWidth="1"/>
    <col min="4" max="4" width="56" bestFit="1" customWidth="1"/>
    <col min="5" max="5" width="15.85546875" customWidth="1"/>
    <col min="6" max="6" width="12.5703125" customWidth="1"/>
    <col min="7" max="7" width="13.140625" bestFit="1" customWidth="1"/>
    <col min="8" max="9" width="18.28515625" customWidth="1"/>
    <col min="10" max="10" width="14.5703125" bestFit="1" customWidth="1"/>
    <col min="11" max="11" width="17.42578125" bestFit="1" customWidth="1"/>
    <col min="12" max="12" width="19.85546875" customWidth="1"/>
    <col min="16" max="16" width="18.7109375" customWidth="1"/>
    <col min="18" max="18" width="11.28515625" customWidth="1"/>
    <col min="19" max="19" width="14.5703125" customWidth="1"/>
    <col min="20" max="20" width="17.140625" customWidth="1"/>
    <col min="21" max="22" width="16.140625" customWidth="1"/>
  </cols>
  <sheetData>
    <row r="4" spans="2:12" x14ac:dyDescent="0.25">
      <c r="B4" s="163" t="s">
        <v>21</v>
      </c>
      <c r="C4" s="163"/>
      <c r="D4" s="163"/>
      <c r="E4" s="163"/>
      <c r="F4" s="163"/>
    </row>
    <row r="5" spans="2:12" x14ac:dyDescent="0.25">
      <c r="B5" s="1" t="s">
        <v>0</v>
      </c>
      <c r="C5" s="1" t="s">
        <v>1</v>
      </c>
      <c r="D5" s="1" t="s">
        <v>3</v>
      </c>
    </row>
    <row r="6" spans="2:12" x14ac:dyDescent="0.25">
      <c r="B6" s="2">
        <v>90000000</v>
      </c>
      <c r="C6" t="s">
        <v>2</v>
      </c>
      <c r="D6" t="s">
        <v>4</v>
      </c>
    </row>
    <row r="7" spans="2:12" x14ac:dyDescent="0.25">
      <c r="B7">
        <v>64</v>
      </c>
      <c r="C7" t="s">
        <v>5</v>
      </c>
      <c r="D7" t="s">
        <v>10</v>
      </c>
    </row>
    <row r="8" spans="2:12" x14ac:dyDescent="0.25">
      <c r="B8">
        <v>14</v>
      </c>
      <c r="C8" t="s">
        <v>5</v>
      </c>
      <c r="D8" t="s">
        <v>6</v>
      </c>
    </row>
    <row r="9" spans="2:12" x14ac:dyDescent="0.25">
      <c r="B9">
        <v>23</v>
      </c>
      <c r="C9" t="s">
        <v>5</v>
      </c>
      <c r="D9" t="s">
        <v>9</v>
      </c>
    </row>
    <row r="10" spans="2:12" x14ac:dyDescent="0.25">
      <c r="B10">
        <v>15</v>
      </c>
      <c r="C10" t="s">
        <v>5</v>
      </c>
      <c r="D10" t="s">
        <v>12</v>
      </c>
      <c r="K10" s="3"/>
      <c r="L10" s="3"/>
    </row>
    <row r="11" spans="2:12" x14ac:dyDescent="0.25">
      <c r="B11">
        <v>6</v>
      </c>
      <c r="C11" t="s">
        <v>13</v>
      </c>
      <c r="D11" t="s">
        <v>15</v>
      </c>
    </row>
    <row r="12" spans="2:12" x14ac:dyDescent="0.25">
      <c r="B12">
        <v>6</v>
      </c>
      <c r="C12" t="s">
        <v>5</v>
      </c>
      <c r="D12" t="s">
        <v>16</v>
      </c>
    </row>
    <row r="14" spans="2:12" x14ac:dyDescent="0.25">
      <c r="B14" s="163" t="s">
        <v>20</v>
      </c>
      <c r="C14" s="163"/>
      <c r="D14" s="163"/>
      <c r="E14" s="163"/>
      <c r="F14" s="163"/>
    </row>
    <row r="15" spans="2:12" x14ac:dyDescent="0.25">
      <c r="B15" s="1" t="s">
        <v>0</v>
      </c>
      <c r="C15" s="1" t="s">
        <v>1</v>
      </c>
      <c r="D15" s="1" t="s">
        <v>3</v>
      </c>
    </row>
    <row r="16" spans="2:12" x14ac:dyDescent="0.25">
      <c r="B16" s="2">
        <v>90000000</v>
      </c>
      <c r="C16" t="s">
        <v>2</v>
      </c>
      <c r="D16" t="s">
        <v>4</v>
      </c>
    </row>
    <row r="17" spans="2:23" x14ac:dyDescent="0.25">
      <c r="B17">
        <v>36</v>
      </c>
      <c r="C17" t="s">
        <v>5</v>
      </c>
      <c r="D17" t="s">
        <v>11</v>
      </c>
    </row>
    <row r="18" spans="2:23" x14ac:dyDescent="0.25">
      <c r="B18">
        <v>10</v>
      </c>
      <c r="C18" t="s">
        <v>5</v>
      </c>
      <c r="D18" t="s">
        <v>7</v>
      </c>
    </row>
    <row r="19" spans="2:23" x14ac:dyDescent="0.25">
      <c r="B19">
        <v>31</v>
      </c>
      <c r="C19" t="s">
        <v>5</v>
      </c>
      <c r="D19" t="s">
        <v>8</v>
      </c>
    </row>
    <row r="20" spans="2:23" x14ac:dyDescent="0.25">
      <c r="B20">
        <v>15</v>
      </c>
      <c r="C20" t="s">
        <v>5</v>
      </c>
      <c r="D20" t="s">
        <v>12</v>
      </c>
    </row>
    <row r="21" spans="2:23" x14ac:dyDescent="0.25">
      <c r="B21">
        <v>6</v>
      </c>
      <c r="C21" t="s">
        <v>13</v>
      </c>
      <c r="D21" t="s">
        <v>15</v>
      </c>
    </row>
    <row r="22" spans="2:23" x14ac:dyDescent="0.25">
      <c r="B22">
        <v>6</v>
      </c>
      <c r="C22" t="s">
        <v>5</v>
      </c>
      <c r="D22" t="s">
        <v>17</v>
      </c>
    </row>
    <row r="25" spans="2:23" x14ac:dyDescent="0.25">
      <c r="E25" s="163" t="s">
        <v>19</v>
      </c>
      <c r="F25" s="163"/>
      <c r="G25" s="163"/>
      <c r="H25" s="163"/>
      <c r="I25" s="163"/>
      <c r="J25" s="163"/>
      <c r="K25" s="163"/>
      <c r="L25" s="8"/>
    </row>
    <row r="26" spans="2:23" x14ac:dyDescent="0.25">
      <c r="E26" s="163" t="s">
        <v>14</v>
      </c>
      <c r="F26" s="163" t="s">
        <v>24</v>
      </c>
      <c r="G26" s="163"/>
      <c r="H26" s="163" t="s">
        <v>32</v>
      </c>
      <c r="I26" s="163" t="s">
        <v>31</v>
      </c>
      <c r="J26" s="163" t="s">
        <v>26</v>
      </c>
      <c r="K26" s="163" t="s">
        <v>27</v>
      </c>
      <c r="N26" s="3"/>
      <c r="W26" s="164"/>
    </row>
    <row r="27" spans="2:23" x14ac:dyDescent="0.25">
      <c r="E27" s="163"/>
      <c r="F27" s="1" t="s">
        <v>22</v>
      </c>
      <c r="G27" s="1" t="s">
        <v>23</v>
      </c>
      <c r="H27" s="163"/>
      <c r="I27" s="163"/>
      <c r="J27" s="163"/>
      <c r="K27" s="163"/>
      <c r="W27" s="164"/>
    </row>
    <row r="28" spans="2:23" x14ac:dyDescent="0.25">
      <c r="E28">
        <v>0</v>
      </c>
      <c r="F28">
        <v>1</v>
      </c>
      <c r="G28">
        <v>31</v>
      </c>
      <c r="H28" s="4">
        <v>0.06</v>
      </c>
      <c r="I28">
        <f>K28*H28</f>
        <v>3456000</v>
      </c>
      <c r="J28">
        <f>B6*B7/100</f>
        <v>57600000</v>
      </c>
      <c r="K28" s="6">
        <f>B6*B7/100</f>
        <v>57600000</v>
      </c>
    </row>
    <row r="29" spans="2:23" x14ac:dyDescent="0.25">
      <c r="E29">
        <v>1</v>
      </c>
      <c r="F29">
        <v>1</v>
      </c>
      <c r="G29">
        <v>28</v>
      </c>
      <c r="H29" s="4">
        <v>0.06</v>
      </c>
      <c r="I29">
        <f t="shared" ref="I29:I39" si="0">K29*H29</f>
        <v>3248640</v>
      </c>
      <c r="J29">
        <f t="shared" ref="J29:J39" si="1">K28*$B$7/100</f>
        <v>36864000</v>
      </c>
      <c r="K29" s="6">
        <f t="shared" ref="K29:K39" si="2">K28-(K28*H28)</f>
        <v>54144000</v>
      </c>
    </row>
    <row r="30" spans="2:23" x14ac:dyDescent="0.25">
      <c r="E30">
        <v>2</v>
      </c>
      <c r="F30">
        <v>1</v>
      </c>
      <c r="G30">
        <v>31</v>
      </c>
      <c r="H30" s="4">
        <v>0.06</v>
      </c>
      <c r="I30">
        <f t="shared" si="0"/>
        <v>3053721.6000000001</v>
      </c>
      <c r="J30">
        <f t="shared" si="1"/>
        <v>34652160</v>
      </c>
      <c r="K30" s="6">
        <f t="shared" si="2"/>
        <v>50895360</v>
      </c>
    </row>
    <row r="31" spans="2:23" x14ac:dyDescent="0.25">
      <c r="E31">
        <v>3</v>
      </c>
      <c r="F31">
        <v>1</v>
      </c>
      <c r="G31">
        <v>30</v>
      </c>
      <c r="H31" s="4">
        <v>0.06</v>
      </c>
      <c r="I31">
        <f t="shared" si="0"/>
        <v>2870498.304</v>
      </c>
      <c r="J31">
        <f t="shared" si="1"/>
        <v>32573030.399999999</v>
      </c>
      <c r="K31" s="6">
        <f t="shared" si="2"/>
        <v>47841638.399999999</v>
      </c>
    </row>
    <row r="32" spans="2:23" x14ac:dyDescent="0.25">
      <c r="E32">
        <v>4</v>
      </c>
      <c r="F32">
        <v>1</v>
      </c>
      <c r="G32">
        <v>31</v>
      </c>
      <c r="H32" s="4">
        <v>0.06</v>
      </c>
      <c r="I32">
        <f t="shared" si="0"/>
        <v>2698268.40576</v>
      </c>
      <c r="J32">
        <f t="shared" si="1"/>
        <v>30618648.575999998</v>
      </c>
      <c r="K32" s="6">
        <f t="shared" si="2"/>
        <v>44971140.096000001</v>
      </c>
    </row>
    <row r="33" spans="5:12" x14ac:dyDescent="0.25">
      <c r="E33">
        <v>5</v>
      </c>
      <c r="F33">
        <v>1</v>
      </c>
      <c r="G33">
        <v>30</v>
      </c>
      <c r="H33" s="4">
        <v>0.06</v>
      </c>
      <c r="I33">
        <f t="shared" si="0"/>
        <v>2536372.3014143999</v>
      </c>
      <c r="J33">
        <f t="shared" si="1"/>
        <v>28781529.66144</v>
      </c>
      <c r="K33" s="6">
        <f t="shared" si="2"/>
        <v>42272871.690240003</v>
      </c>
    </row>
    <row r="34" spans="5:12" x14ac:dyDescent="0.25">
      <c r="E34">
        <v>6</v>
      </c>
      <c r="F34">
        <v>1</v>
      </c>
      <c r="G34">
        <v>31</v>
      </c>
      <c r="H34" s="4">
        <v>0.06</v>
      </c>
      <c r="I34">
        <f t="shared" si="0"/>
        <v>2384189.9633295359</v>
      </c>
      <c r="J34">
        <f t="shared" si="1"/>
        <v>27054637.881753601</v>
      </c>
      <c r="K34" s="6">
        <f t="shared" si="2"/>
        <v>39736499.388825603</v>
      </c>
    </row>
    <row r="35" spans="5:12" x14ac:dyDescent="0.25">
      <c r="E35">
        <v>7</v>
      </c>
      <c r="F35">
        <v>1</v>
      </c>
      <c r="G35">
        <v>31</v>
      </c>
      <c r="H35" s="4">
        <v>0.06</v>
      </c>
      <c r="I35">
        <f t="shared" si="0"/>
        <v>2241138.5655297637</v>
      </c>
      <c r="J35">
        <f t="shared" si="1"/>
        <v>25431359.608848386</v>
      </c>
      <c r="K35" s="6">
        <f t="shared" si="2"/>
        <v>37352309.425496064</v>
      </c>
    </row>
    <row r="36" spans="5:12" x14ac:dyDescent="0.25">
      <c r="E36">
        <v>8</v>
      </c>
      <c r="F36">
        <v>1</v>
      </c>
      <c r="G36">
        <v>30</v>
      </c>
      <c r="H36" s="4">
        <v>0.06</v>
      </c>
      <c r="I36">
        <f t="shared" si="0"/>
        <v>2106670.2515979782</v>
      </c>
      <c r="J36">
        <f t="shared" si="1"/>
        <v>23905478.032317482</v>
      </c>
      <c r="K36" s="6">
        <f t="shared" si="2"/>
        <v>35111170.8599663</v>
      </c>
    </row>
    <row r="37" spans="5:12" x14ac:dyDescent="0.25">
      <c r="E37">
        <v>9</v>
      </c>
      <c r="F37">
        <v>1</v>
      </c>
      <c r="G37">
        <v>31</v>
      </c>
      <c r="H37" s="4">
        <v>0.06</v>
      </c>
      <c r="I37">
        <f t="shared" si="0"/>
        <v>1980270.0365020994</v>
      </c>
      <c r="J37">
        <f t="shared" si="1"/>
        <v>22471149.350378431</v>
      </c>
      <c r="K37" s="6">
        <f t="shared" si="2"/>
        <v>33004500.608368322</v>
      </c>
    </row>
    <row r="38" spans="5:12" x14ac:dyDescent="0.25">
      <c r="E38">
        <v>10</v>
      </c>
      <c r="F38">
        <v>1</v>
      </c>
      <c r="G38">
        <v>30</v>
      </c>
      <c r="H38" s="4">
        <v>0.06</v>
      </c>
      <c r="I38">
        <f t="shared" si="0"/>
        <v>1861453.8343119733</v>
      </c>
      <c r="J38">
        <f t="shared" si="1"/>
        <v>21122880.389355727</v>
      </c>
      <c r="K38" s="6">
        <f t="shared" si="2"/>
        <v>31024230.571866222</v>
      </c>
    </row>
    <row r="39" spans="5:12" x14ac:dyDescent="0.25">
      <c r="E39">
        <v>11</v>
      </c>
      <c r="F39">
        <v>1</v>
      </c>
      <c r="G39">
        <v>31</v>
      </c>
      <c r="H39" s="4">
        <v>7.3800000000000004E-2</v>
      </c>
      <c r="I39">
        <f t="shared" si="0"/>
        <v>2152212.9232315035</v>
      </c>
      <c r="J39">
        <f t="shared" si="1"/>
        <v>19855507.565994382</v>
      </c>
      <c r="K39" s="6">
        <f t="shared" si="2"/>
        <v>29162776.737554248</v>
      </c>
    </row>
    <row r="40" spans="5:12" x14ac:dyDescent="0.25">
      <c r="H40" s="1" t="s">
        <v>28</v>
      </c>
      <c r="I40">
        <f>B6*B9/100</f>
        <v>20700000</v>
      </c>
      <c r="J40" s="1" t="s">
        <v>30</v>
      </c>
      <c r="K40" s="6">
        <f>SUM(K28:K39)</f>
        <v>503116497.77831674</v>
      </c>
    </row>
    <row r="42" spans="5:12" x14ac:dyDescent="0.25">
      <c r="E42" s="163" t="s">
        <v>18</v>
      </c>
      <c r="F42" s="163"/>
      <c r="G42" s="163"/>
      <c r="H42" s="163"/>
      <c r="I42" s="163"/>
      <c r="J42" s="163"/>
      <c r="K42" s="163"/>
      <c r="L42" s="163"/>
    </row>
    <row r="43" spans="5:12" x14ac:dyDescent="0.25">
      <c r="E43" s="7" t="s">
        <v>14</v>
      </c>
      <c r="F43" s="7" t="s">
        <v>24</v>
      </c>
      <c r="G43" s="7"/>
      <c r="H43" s="163" t="s">
        <v>32</v>
      </c>
      <c r="I43" s="163" t="s">
        <v>25</v>
      </c>
      <c r="J43" s="163" t="s">
        <v>26</v>
      </c>
      <c r="K43" s="163" t="s">
        <v>27</v>
      </c>
    </row>
    <row r="44" spans="5:12" x14ac:dyDescent="0.25">
      <c r="E44" s="7"/>
      <c r="F44" s="1" t="s">
        <v>22</v>
      </c>
      <c r="G44" s="1" t="s">
        <v>23</v>
      </c>
      <c r="H44" s="163"/>
      <c r="I44" s="163"/>
      <c r="J44" s="163"/>
      <c r="K44" s="163"/>
    </row>
    <row r="45" spans="5:12" x14ac:dyDescent="0.25">
      <c r="E45">
        <v>0</v>
      </c>
      <c r="F45">
        <v>1</v>
      </c>
      <c r="G45">
        <v>31</v>
      </c>
      <c r="H45" s="5">
        <v>0.06</v>
      </c>
      <c r="I45">
        <f>H45*K45</f>
        <v>1944000</v>
      </c>
      <c r="J45">
        <f>B16*B17/100</f>
        <v>32400000</v>
      </c>
      <c r="K45" s="6">
        <f>B16*B17/100</f>
        <v>32400000</v>
      </c>
    </row>
    <row r="46" spans="5:12" x14ac:dyDescent="0.25">
      <c r="E46">
        <v>1</v>
      </c>
      <c r="F46">
        <v>1</v>
      </c>
      <c r="G46">
        <v>28</v>
      </c>
      <c r="H46" s="5">
        <v>0.06</v>
      </c>
      <c r="I46">
        <f t="shared" ref="I46:I56" si="3">H46*K46</f>
        <v>1827360</v>
      </c>
      <c r="J46">
        <f t="shared" ref="J46:J56" si="4">K45*$B$17/100</f>
        <v>11664000</v>
      </c>
      <c r="K46" s="6">
        <f t="shared" ref="K46:K56" si="5">K45-(K45*H45)</f>
        <v>30456000</v>
      </c>
    </row>
    <row r="47" spans="5:12" x14ac:dyDescent="0.25">
      <c r="E47">
        <v>2</v>
      </c>
      <c r="F47">
        <v>1</v>
      </c>
      <c r="G47">
        <v>31</v>
      </c>
      <c r="H47" s="5">
        <v>0.06</v>
      </c>
      <c r="I47">
        <f t="shared" si="3"/>
        <v>1717718.4</v>
      </c>
      <c r="J47">
        <f t="shared" si="4"/>
        <v>10964160</v>
      </c>
      <c r="K47" s="6">
        <f t="shared" si="5"/>
        <v>28628640</v>
      </c>
    </row>
    <row r="48" spans="5:12" x14ac:dyDescent="0.25">
      <c r="E48">
        <v>3</v>
      </c>
      <c r="F48">
        <v>1</v>
      </c>
      <c r="G48">
        <v>30</v>
      </c>
      <c r="H48" s="5">
        <v>7.3800000000000004E-2</v>
      </c>
      <c r="I48">
        <f t="shared" si="3"/>
        <v>1986026.0140800003</v>
      </c>
      <c r="J48">
        <f t="shared" si="4"/>
        <v>10306310.4</v>
      </c>
      <c r="K48" s="6">
        <f t="shared" si="5"/>
        <v>26910921.600000001</v>
      </c>
    </row>
    <row r="49" spans="5:12" x14ac:dyDescent="0.25">
      <c r="E49">
        <v>4</v>
      </c>
      <c r="F49">
        <v>1</v>
      </c>
      <c r="G49">
        <v>31</v>
      </c>
      <c r="H49" s="5">
        <v>7.3800000000000004E-2</v>
      </c>
      <c r="I49">
        <f t="shared" si="3"/>
        <v>1839457.2942408964</v>
      </c>
      <c r="J49">
        <f t="shared" si="4"/>
        <v>9687931.7760000005</v>
      </c>
      <c r="K49" s="6">
        <f t="shared" si="5"/>
        <v>24924895.585920002</v>
      </c>
    </row>
    <row r="50" spans="5:12" x14ac:dyDescent="0.25">
      <c r="E50">
        <v>5</v>
      </c>
      <c r="F50">
        <v>1</v>
      </c>
      <c r="G50">
        <v>30</v>
      </c>
      <c r="H50" s="5">
        <v>0.06</v>
      </c>
      <c r="I50">
        <f t="shared" si="3"/>
        <v>1385126.2975007463</v>
      </c>
      <c r="J50">
        <f t="shared" si="4"/>
        <v>8972962.4109312017</v>
      </c>
      <c r="K50" s="6">
        <f t="shared" si="5"/>
        <v>23085438.291679107</v>
      </c>
    </row>
    <row r="51" spans="5:12" x14ac:dyDescent="0.25">
      <c r="E51">
        <v>6</v>
      </c>
      <c r="F51">
        <v>1</v>
      </c>
      <c r="G51">
        <v>31</v>
      </c>
      <c r="H51" s="5">
        <v>0.06</v>
      </c>
      <c r="I51">
        <f t="shared" si="3"/>
        <v>1302018.7196507016</v>
      </c>
      <c r="J51">
        <f t="shared" si="4"/>
        <v>8310757.7850044789</v>
      </c>
      <c r="K51" s="6">
        <f t="shared" si="5"/>
        <v>21700311.994178362</v>
      </c>
    </row>
    <row r="52" spans="5:12" x14ac:dyDescent="0.25">
      <c r="E52">
        <v>7</v>
      </c>
      <c r="F52">
        <v>1</v>
      </c>
      <c r="G52">
        <v>31</v>
      </c>
      <c r="H52" s="5">
        <v>0.06</v>
      </c>
      <c r="I52">
        <f t="shared" si="3"/>
        <v>1223897.5964716596</v>
      </c>
      <c r="J52">
        <f t="shared" si="4"/>
        <v>7812112.3179042097</v>
      </c>
      <c r="K52" s="6">
        <f t="shared" si="5"/>
        <v>20398293.274527662</v>
      </c>
    </row>
    <row r="53" spans="5:12" x14ac:dyDescent="0.25">
      <c r="E53">
        <v>8</v>
      </c>
      <c r="F53">
        <v>1</v>
      </c>
      <c r="G53">
        <v>30</v>
      </c>
      <c r="H53" s="5">
        <v>0.06</v>
      </c>
      <c r="I53">
        <f t="shared" si="3"/>
        <v>1150463.74068336</v>
      </c>
      <c r="J53">
        <f t="shared" si="4"/>
        <v>7343385.5788299581</v>
      </c>
      <c r="K53" s="6">
        <f t="shared" si="5"/>
        <v>19174395.678056002</v>
      </c>
    </row>
    <row r="54" spans="5:12" x14ac:dyDescent="0.25">
      <c r="E54">
        <v>9</v>
      </c>
      <c r="F54">
        <v>1</v>
      </c>
      <c r="G54">
        <v>31</v>
      </c>
      <c r="H54" s="5">
        <v>0.06</v>
      </c>
      <c r="I54">
        <f t="shared" si="3"/>
        <v>1081435.9162423583</v>
      </c>
      <c r="J54">
        <f t="shared" si="4"/>
        <v>6902782.4441001602</v>
      </c>
      <c r="K54" s="6">
        <f t="shared" si="5"/>
        <v>18023931.93737264</v>
      </c>
    </row>
    <row r="55" spans="5:12" x14ac:dyDescent="0.25">
      <c r="E55">
        <v>10</v>
      </c>
      <c r="F55">
        <v>1</v>
      </c>
      <c r="G55">
        <v>30</v>
      </c>
      <c r="H55" s="5">
        <v>0.06</v>
      </c>
      <c r="I55">
        <f t="shared" si="3"/>
        <v>1016549.7612678169</v>
      </c>
      <c r="J55">
        <f t="shared" si="4"/>
        <v>6488615.4974541496</v>
      </c>
      <c r="K55" s="6">
        <f t="shared" si="5"/>
        <v>16942496.021130282</v>
      </c>
    </row>
    <row r="56" spans="5:12" x14ac:dyDescent="0.25">
      <c r="E56">
        <v>11</v>
      </c>
      <c r="F56">
        <v>1</v>
      </c>
      <c r="G56">
        <v>31</v>
      </c>
      <c r="H56" s="5">
        <v>7.3800000000000004E-2</v>
      </c>
      <c r="I56">
        <f t="shared" si="3"/>
        <v>1175334.8339778502</v>
      </c>
      <c r="J56">
        <f t="shared" si="4"/>
        <v>6099298.5676069017</v>
      </c>
      <c r="K56" s="6">
        <f t="shared" si="5"/>
        <v>15925946.259862466</v>
      </c>
    </row>
    <row r="57" spans="5:12" x14ac:dyDescent="0.25">
      <c r="H57" s="1" t="s">
        <v>28</v>
      </c>
      <c r="I57">
        <f>$B$16*$B$19/100</f>
        <v>27900000</v>
      </c>
      <c r="J57" s="1" t="s">
        <v>30</v>
      </c>
      <c r="K57" s="6">
        <f>SUM(K45:K56)</f>
        <v>278571270.64272654</v>
      </c>
    </row>
    <row r="59" spans="5:12" x14ac:dyDescent="0.25">
      <c r="E59" s="163" t="s">
        <v>29</v>
      </c>
      <c r="F59" s="163"/>
      <c r="G59" s="163"/>
      <c r="H59" s="163"/>
      <c r="I59" s="163"/>
      <c r="J59" s="163"/>
      <c r="K59" s="163"/>
      <c r="L59" s="163"/>
    </row>
    <row r="60" spans="5:12" x14ac:dyDescent="0.25">
      <c r="E60" s="163" t="s">
        <v>14</v>
      </c>
      <c r="F60" s="163" t="s">
        <v>24</v>
      </c>
      <c r="G60" s="163"/>
      <c r="H60" s="163" t="s">
        <v>32</v>
      </c>
      <c r="I60" s="163" t="s">
        <v>25</v>
      </c>
      <c r="J60" s="163" t="s">
        <v>26</v>
      </c>
      <c r="K60" s="163" t="s">
        <v>27</v>
      </c>
    </row>
    <row r="61" spans="5:12" x14ac:dyDescent="0.25">
      <c r="E61" s="163"/>
      <c r="F61" s="1" t="s">
        <v>22</v>
      </c>
      <c r="G61" s="1" t="s">
        <v>23</v>
      </c>
      <c r="H61" s="163"/>
      <c r="I61" s="163"/>
      <c r="J61" s="163"/>
      <c r="K61" s="163"/>
    </row>
    <row r="62" spans="5:12" x14ac:dyDescent="0.25">
      <c r="E62">
        <v>0</v>
      </c>
      <c r="F62">
        <v>1</v>
      </c>
      <c r="G62">
        <v>31</v>
      </c>
      <c r="H62" s="5">
        <v>0.06</v>
      </c>
      <c r="I62">
        <f>H62*K62</f>
        <v>5400000</v>
      </c>
      <c r="J62">
        <f t="shared" ref="J62:K73" si="6">J28+J45</f>
        <v>90000000</v>
      </c>
      <c r="K62" s="6">
        <f t="shared" si="6"/>
        <v>90000000</v>
      </c>
    </row>
    <row r="63" spans="5:12" x14ac:dyDescent="0.25">
      <c r="E63">
        <v>1</v>
      </c>
      <c r="F63">
        <v>1</v>
      </c>
      <c r="G63">
        <v>28</v>
      </c>
      <c r="H63" s="5">
        <v>0.06</v>
      </c>
      <c r="I63">
        <f t="shared" ref="I63:I73" si="7">H63*K63</f>
        <v>5076000</v>
      </c>
      <c r="J63">
        <f t="shared" si="6"/>
        <v>48528000</v>
      </c>
      <c r="K63" s="6">
        <f t="shared" si="6"/>
        <v>84600000</v>
      </c>
    </row>
    <row r="64" spans="5:12" x14ac:dyDescent="0.25">
      <c r="E64">
        <v>2</v>
      </c>
      <c r="F64">
        <v>1</v>
      </c>
      <c r="G64">
        <v>31</v>
      </c>
      <c r="H64" s="5">
        <v>0.06</v>
      </c>
      <c r="I64">
        <f t="shared" si="7"/>
        <v>4771440</v>
      </c>
      <c r="J64">
        <f t="shared" si="6"/>
        <v>45616320</v>
      </c>
      <c r="K64" s="6">
        <f t="shared" si="6"/>
        <v>79524000</v>
      </c>
    </row>
    <row r="65" spans="5:11" x14ac:dyDescent="0.25">
      <c r="E65">
        <v>3</v>
      </c>
      <c r="F65">
        <v>1</v>
      </c>
      <c r="G65">
        <v>30</v>
      </c>
      <c r="H65" s="5">
        <v>7.3800000000000004E-2</v>
      </c>
      <c r="I65">
        <f t="shared" si="7"/>
        <v>5516738.9280000003</v>
      </c>
      <c r="J65">
        <f t="shared" si="6"/>
        <v>42879340.799999997</v>
      </c>
      <c r="K65" s="6">
        <f t="shared" si="6"/>
        <v>74752560</v>
      </c>
    </row>
    <row r="66" spans="5:11" x14ac:dyDescent="0.25">
      <c r="E66">
        <v>4</v>
      </c>
      <c r="F66">
        <v>1</v>
      </c>
      <c r="G66">
        <v>31</v>
      </c>
      <c r="H66" s="5">
        <v>7.3800000000000004E-2</v>
      </c>
      <c r="I66">
        <f t="shared" si="7"/>
        <v>5158327.4333256967</v>
      </c>
      <c r="J66">
        <f t="shared" si="6"/>
        <v>40306580.351999998</v>
      </c>
      <c r="K66" s="6">
        <f t="shared" si="6"/>
        <v>69896035.681920007</v>
      </c>
    </row>
    <row r="67" spans="5:11" x14ac:dyDescent="0.25">
      <c r="E67">
        <v>5</v>
      </c>
      <c r="F67">
        <v>1</v>
      </c>
      <c r="G67">
        <v>30</v>
      </c>
      <c r="H67" s="5">
        <v>0.06</v>
      </c>
      <c r="I67">
        <f t="shared" si="7"/>
        <v>3921498.5989151467</v>
      </c>
      <c r="J67">
        <f t="shared" si="6"/>
        <v>37754492.0723712</v>
      </c>
      <c r="K67" s="6">
        <f t="shared" si="6"/>
        <v>65358309.98191911</v>
      </c>
    </row>
    <row r="68" spans="5:11" x14ac:dyDescent="0.25">
      <c r="E68">
        <v>6</v>
      </c>
      <c r="F68">
        <v>1</v>
      </c>
      <c r="G68">
        <v>31</v>
      </c>
      <c r="H68" s="5">
        <v>0.06</v>
      </c>
      <c r="I68">
        <f t="shared" si="7"/>
        <v>3686208.682980238</v>
      </c>
      <c r="J68">
        <f t="shared" si="6"/>
        <v>35365395.666758083</v>
      </c>
      <c r="K68" s="6">
        <f t="shared" si="6"/>
        <v>61436811.383003965</v>
      </c>
    </row>
    <row r="69" spans="5:11" x14ac:dyDescent="0.25">
      <c r="E69">
        <v>7</v>
      </c>
      <c r="F69">
        <v>1</v>
      </c>
      <c r="G69">
        <v>31</v>
      </c>
      <c r="H69" s="5">
        <v>0.06</v>
      </c>
      <c r="I69">
        <f t="shared" si="7"/>
        <v>3465036.1620014235</v>
      </c>
      <c r="J69">
        <f t="shared" si="6"/>
        <v>33243471.926752597</v>
      </c>
      <c r="K69" s="6">
        <f t="shared" si="6"/>
        <v>57750602.700023726</v>
      </c>
    </row>
    <row r="70" spans="5:11" x14ac:dyDescent="0.25">
      <c r="E70">
        <v>8</v>
      </c>
      <c r="F70">
        <v>1</v>
      </c>
      <c r="G70">
        <v>30</v>
      </c>
      <c r="H70" s="5">
        <v>0.06</v>
      </c>
      <c r="I70">
        <f t="shared" si="7"/>
        <v>3257133.9922813382</v>
      </c>
      <c r="J70">
        <f t="shared" si="6"/>
        <v>31248863.611147441</v>
      </c>
      <c r="K70" s="6">
        <f t="shared" si="6"/>
        <v>54285566.538022302</v>
      </c>
    </row>
    <row r="71" spans="5:11" x14ac:dyDescent="0.25">
      <c r="E71">
        <v>9</v>
      </c>
      <c r="F71">
        <v>1</v>
      </c>
      <c r="G71">
        <v>31</v>
      </c>
      <c r="H71" s="5">
        <v>0.06</v>
      </c>
      <c r="I71">
        <f t="shared" si="7"/>
        <v>3061705.9527444574</v>
      </c>
      <c r="J71">
        <f t="shared" si="6"/>
        <v>29373931.794478592</v>
      </c>
      <c r="K71" s="6">
        <f t="shared" si="6"/>
        <v>51028432.545740962</v>
      </c>
    </row>
    <row r="72" spans="5:11" x14ac:dyDescent="0.25">
      <c r="E72">
        <v>10</v>
      </c>
      <c r="F72">
        <v>1</v>
      </c>
      <c r="G72">
        <v>30</v>
      </c>
      <c r="H72" s="5">
        <v>0.06</v>
      </c>
      <c r="I72">
        <f t="shared" si="7"/>
        <v>2878003.5955797904</v>
      </c>
      <c r="J72">
        <f t="shared" si="6"/>
        <v>27611495.886809878</v>
      </c>
      <c r="K72" s="6">
        <f t="shared" si="6"/>
        <v>47966726.592996508</v>
      </c>
    </row>
    <row r="73" spans="5:11" x14ac:dyDescent="0.25">
      <c r="E73">
        <v>11</v>
      </c>
      <c r="F73">
        <v>1</v>
      </c>
      <c r="G73">
        <v>31</v>
      </c>
      <c r="H73" s="5">
        <v>7.3800000000000004E-2</v>
      </c>
      <c r="I73">
        <f t="shared" si="7"/>
        <v>3327547.7572093536</v>
      </c>
      <c r="J73">
        <f t="shared" si="6"/>
        <v>25954806.133601286</v>
      </c>
      <c r="K73" s="6">
        <f t="shared" si="6"/>
        <v>45088722.997416712</v>
      </c>
    </row>
    <row r="74" spans="5:11" x14ac:dyDescent="0.25">
      <c r="H74" s="1" t="s">
        <v>33</v>
      </c>
      <c r="I74">
        <f>I28+I57</f>
        <v>31356000</v>
      </c>
      <c r="J74" s="1" t="s">
        <v>30</v>
      </c>
      <c r="K74" s="6">
        <f>K40+K57</f>
        <v>781687768.42104328</v>
      </c>
    </row>
  </sheetData>
  <mergeCells count="22">
    <mergeCell ref="W26:W27"/>
    <mergeCell ref="E60:E61"/>
    <mergeCell ref="F60:G60"/>
    <mergeCell ref="H60:H61"/>
    <mergeCell ref="J60:J61"/>
    <mergeCell ref="H43:H44"/>
    <mergeCell ref="J43:J44"/>
    <mergeCell ref="K43:K44"/>
    <mergeCell ref="J26:J27"/>
    <mergeCell ref="K26:K27"/>
    <mergeCell ref="I26:I27"/>
    <mergeCell ref="K60:K61"/>
    <mergeCell ref="E42:L42"/>
    <mergeCell ref="E59:L59"/>
    <mergeCell ref="I43:I44"/>
    <mergeCell ref="I60:I61"/>
    <mergeCell ref="B14:F14"/>
    <mergeCell ref="B4:F4"/>
    <mergeCell ref="F26:G26"/>
    <mergeCell ref="E26:E27"/>
    <mergeCell ref="H26:H27"/>
    <mergeCell ref="E25:K25"/>
  </mergeCells>
  <conditionalFormatting sqref="K29:K40">
    <cfRule type="cellIs" dxfId="26" priority="8" operator="greaterThan">
      <formula>$I$28</formula>
    </cfRule>
    <cfRule type="cellIs" dxfId="25" priority="9" operator="lessThan">
      <formula>$I$28</formula>
    </cfRule>
  </conditionalFormatting>
  <conditionalFormatting sqref="K46:K57">
    <cfRule type="cellIs" dxfId="24" priority="10" operator="greaterThan">
      <formula>$I$57</formula>
    </cfRule>
    <cfRule type="cellIs" dxfId="23" priority="11" operator="greaterThan">
      <formula>$I$57</formula>
    </cfRule>
  </conditionalFormatting>
  <conditionalFormatting sqref="K48:K56">
    <cfRule type="cellIs" dxfId="22" priority="15" operator="lessThan">
      <formula>$I$57</formula>
    </cfRule>
  </conditionalFormatting>
  <conditionalFormatting sqref="K63:K74">
    <cfRule type="cellIs" dxfId="21" priority="16" operator="lessThan">
      <formula>#REF!</formula>
    </cfRule>
    <cfRule type="cellIs" dxfId="20" priority="17" operator="greaterThan">
      <formula>#REF!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1"/>
  <sheetViews>
    <sheetView topLeftCell="A7" workbookViewId="0">
      <selection activeCell="M16" sqref="M16:M17"/>
    </sheetView>
  </sheetViews>
  <sheetFormatPr defaultRowHeight="15" x14ac:dyDescent="0.25"/>
  <cols>
    <col min="3" max="3" width="3" bestFit="1" customWidth="1"/>
    <col min="4" max="4" width="13.28515625" bestFit="1" customWidth="1"/>
    <col min="5" max="5" width="3" customWidth="1"/>
    <col min="7" max="7" width="18.42578125" bestFit="1" customWidth="1"/>
    <col min="8" max="8" width="21.85546875" bestFit="1" customWidth="1"/>
    <col min="9" max="9" width="21.140625" bestFit="1" customWidth="1"/>
    <col min="10" max="11" width="33.42578125" bestFit="1" customWidth="1"/>
    <col min="12" max="12" width="21" bestFit="1" customWidth="1"/>
    <col min="13" max="13" width="19.7109375" bestFit="1" customWidth="1"/>
    <col min="14" max="16" width="21.140625" customWidth="1"/>
    <col min="17" max="17" width="16.140625" customWidth="1"/>
    <col min="18" max="18" width="21.140625" customWidth="1"/>
    <col min="19" max="19" width="17.85546875" bestFit="1" customWidth="1"/>
    <col min="20" max="20" width="4" customWidth="1"/>
    <col min="21" max="21" width="19.42578125" customWidth="1"/>
    <col min="22" max="23" width="19" bestFit="1" customWidth="1"/>
    <col min="24" max="24" width="17.42578125" bestFit="1" customWidth="1"/>
    <col min="25" max="25" width="13.140625" bestFit="1" customWidth="1"/>
  </cols>
  <sheetData>
    <row r="1" spans="1:26" ht="15.75" thickBot="1" x14ac:dyDescent="0.3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51"/>
      <c r="Q1" s="58"/>
      <c r="R1" s="88"/>
      <c r="S1" s="87"/>
      <c r="T1" s="87"/>
      <c r="U1" s="87"/>
      <c r="V1" s="87"/>
      <c r="W1" s="87"/>
      <c r="X1" s="87"/>
      <c r="Y1" s="87"/>
      <c r="Z1" s="44"/>
    </row>
    <row r="2" spans="1:26" ht="15.75" thickBot="1" x14ac:dyDescent="0.3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51"/>
      <c r="Q2" s="15"/>
      <c r="R2" s="10" t="s">
        <v>45</v>
      </c>
      <c r="S2" s="95">
        <v>9000000</v>
      </c>
      <c r="T2" s="11"/>
      <c r="U2" s="11"/>
      <c r="V2" s="11"/>
      <c r="W2" s="11"/>
      <c r="X2" s="11"/>
      <c r="Y2" s="12"/>
      <c r="Z2" s="44"/>
    </row>
    <row r="3" spans="1:26" ht="15.75" thickBot="1" x14ac:dyDescent="0.3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51"/>
      <c r="Q3" s="15"/>
      <c r="R3" s="48" t="s">
        <v>57</v>
      </c>
      <c r="S3" s="13">
        <v>0.64</v>
      </c>
      <c r="T3" s="14"/>
      <c r="U3" s="14"/>
      <c r="V3" s="14"/>
      <c r="W3" s="14"/>
      <c r="X3" s="14"/>
      <c r="Y3" s="15"/>
    </row>
    <row r="4" spans="1:26" ht="15.75" thickBot="1" x14ac:dyDescent="0.3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51"/>
      <c r="Q4" s="15"/>
      <c r="R4" s="48" t="s">
        <v>58</v>
      </c>
      <c r="S4" s="13">
        <v>0.36</v>
      </c>
      <c r="T4" s="14"/>
      <c r="U4" s="14"/>
      <c r="V4" s="14"/>
      <c r="W4" s="14"/>
      <c r="X4" s="14"/>
      <c r="Y4" s="15"/>
      <c r="Z4" s="46"/>
    </row>
    <row r="5" spans="1:26" ht="30.75" thickBot="1" x14ac:dyDescent="0.3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51"/>
      <c r="Q5" s="15"/>
      <c r="R5" s="48" t="s">
        <v>59</v>
      </c>
      <c r="S5" s="13">
        <v>0.23</v>
      </c>
      <c r="T5" s="14"/>
      <c r="U5" s="14"/>
      <c r="V5" s="14"/>
      <c r="W5" s="14"/>
      <c r="X5" s="14"/>
      <c r="Y5" s="15"/>
      <c r="Z5" s="46"/>
    </row>
    <row r="6" spans="1:26" ht="30.75" thickBot="1" x14ac:dyDescent="0.3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51"/>
      <c r="Q6" s="15"/>
      <c r="R6" s="48" t="s">
        <v>60</v>
      </c>
      <c r="S6" s="13">
        <v>0.31</v>
      </c>
      <c r="T6" s="14"/>
      <c r="U6" s="14"/>
      <c r="V6" s="14"/>
      <c r="W6" s="14"/>
      <c r="X6" s="14"/>
      <c r="Y6" s="15"/>
      <c r="Z6" s="46"/>
    </row>
    <row r="7" spans="1:26" ht="45.75" thickBot="1" x14ac:dyDescent="0.3">
      <c r="A7" s="45"/>
      <c r="B7" s="45"/>
      <c r="C7" s="45"/>
      <c r="D7" s="45"/>
      <c r="E7" s="45"/>
      <c r="F7" s="45"/>
      <c r="G7" s="47"/>
      <c r="H7" s="45"/>
      <c r="I7" s="45"/>
      <c r="J7" s="45"/>
      <c r="K7" s="45"/>
      <c r="L7" s="45"/>
      <c r="M7" s="45"/>
      <c r="N7" s="45"/>
      <c r="O7" s="45"/>
      <c r="P7" s="51"/>
      <c r="Q7" s="15"/>
      <c r="R7" s="48" t="s">
        <v>12</v>
      </c>
      <c r="S7" s="94">
        <f>S2*15%</f>
        <v>1350000</v>
      </c>
      <c r="T7" s="14"/>
      <c r="U7" s="14"/>
      <c r="V7" s="14"/>
      <c r="W7" s="14"/>
      <c r="X7" s="14"/>
      <c r="Y7" s="15"/>
      <c r="Z7" s="46"/>
    </row>
    <row r="8" spans="1:26" ht="30.75" thickBot="1" x14ac:dyDescent="0.3">
      <c r="A8" s="45"/>
      <c r="B8" s="45"/>
      <c r="C8" s="45"/>
      <c r="D8" s="45"/>
      <c r="E8" s="45"/>
      <c r="F8" s="45"/>
      <c r="G8" s="47"/>
      <c r="H8" s="45"/>
      <c r="I8" s="45"/>
      <c r="J8" s="45"/>
      <c r="K8" s="45"/>
      <c r="L8" s="45"/>
      <c r="M8" s="45"/>
      <c r="N8" s="45"/>
      <c r="O8" s="45"/>
      <c r="P8" s="51"/>
      <c r="Q8" s="15"/>
      <c r="R8" s="48" t="s">
        <v>61</v>
      </c>
      <c r="S8" s="17">
        <f>TRUNC(D22+(((G30/2)-J21)/H22)*(F22-D22),0)</f>
        <v>8</v>
      </c>
      <c r="T8" s="18"/>
      <c r="U8" s="14" t="s">
        <v>51</v>
      </c>
      <c r="V8" s="91">
        <f>L22*8/22</f>
        <v>7057521.9501465596</v>
      </c>
      <c r="W8" s="14" t="s">
        <v>52</v>
      </c>
      <c r="X8" s="91">
        <f>N22*8/22</f>
        <v>520845.11992081621</v>
      </c>
      <c r="Y8" s="15" t="s">
        <v>47</v>
      </c>
      <c r="Z8" s="46"/>
    </row>
    <row r="9" spans="1:26" ht="30.75" thickBot="1" x14ac:dyDescent="0.3">
      <c r="A9" s="45"/>
      <c r="B9" s="45"/>
      <c r="C9" s="45"/>
      <c r="D9" s="45"/>
      <c r="E9" s="45"/>
      <c r="F9" s="45"/>
      <c r="G9" s="47"/>
      <c r="H9" s="45"/>
      <c r="I9" s="45"/>
      <c r="J9" s="45"/>
      <c r="K9" s="45"/>
      <c r="L9" s="45"/>
      <c r="M9" s="45"/>
      <c r="N9" s="45"/>
      <c r="O9" s="45"/>
      <c r="P9" s="51"/>
      <c r="Q9" s="15"/>
      <c r="R9" s="48" t="s">
        <v>62</v>
      </c>
      <c r="S9" s="17">
        <f>TRUNC(D41+(((G48/2)-J39)/H41)*(F41-D41))</f>
        <v>8</v>
      </c>
      <c r="T9" s="14"/>
      <c r="U9" s="14" t="s">
        <v>51</v>
      </c>
      <c r="V9" s="92">
        <f>L40*8/22</f>
        <v>3969856.0969574405</v>
      </c>
      <c r="W9" s="14" t="s">
        <v>52</v>
      </c>
      <c r="X9" s="92">
        <f>N40*8/22</f>
        <v>292975.37995545915</v>
      </c>
      <c r="Y9" s="15" t="s">
        <v>47</v>
      </c>
      <c r="Z9" s="46"/>
    </row>
    <row r="10" spans="1:26" ht="46.5" thickTop="1" thickBot="1" x14ac:dyDescent="0.3">
      <c r="A10" s="45"/>
      <c r="B10" s="45"/>
      <c r="C10" s="45"/>
      <c r="D10" s="45"/>
      <c r="E10" s="45"/>
      <c r="F10" s="45"/>
      <c r="G10" s="47"/>
      <c r="H10" s="45"/>
      <c r="I10" s="45"/>
      <c r="J10" s="45"/>
      <c r="K10" s="45"/>
      <c r="L10" s="45"/>
      <c r="M10" s="45"/>
      <c r="N10" s="45"/>
      <c r="O10" s="45"/>
      <c r="P10" s="51"/>
      <c r="Q10" s="15"/>
      <c r="R10" s="49" t="s">
        <v>63</v>
      </c>
      <c r="S10" s="17"/>
      <c r="T10" s="14"/>
      <c r="V10" s="89">
        <f xml:space="preserve"> V8/V9</f>
        <v>1.7777777777777775</v>
      </c>
      <c r="W10" s="90"/>
      <c r="X10" s="89">
        <f>X8/X9</f>
        <v>1.7777777777777777</v>
      </c>
      <c r="Y10" s="15"/>
      <c r="Z10" s="46"/>
    </row>
    <row r="11" spans="1:26" ht="15.75" thickBot="1" x14ac:dyDescent="0.3">
      <c r="A11" s="45"/>
      <c r="B11" s="45"/>
      <c r="C11" s="45"/>
      <c r="D11" s="47"/>
      <c r="E11" s="47"/>
      <c r="F11" s="47"/>
      <c r="G11" s="47"/>
      <c r="H11" s="45"/>
      <c r="I11" s="45"/>
      <c r="J11" s="45"/>
      <c r="K11" s="45"/>
      <c r="L11" s="45"/>
      <c r="M11" s="45"/>
      <c r="N11" s="45"/>
      <c r="O11" s="45"/>
      <c r="P11" s="51"/>
      <c r="Q11" s="15"/>
      <c r="R11" s="48" t="s">
        <v>64</v>
      </c>
      <c r="S11" s="19" t="s">
        <v>48</v>
      </c>
      <c r="T11" s="14" t="s">
        <v>49</v>
      </c>
      <c r="U11" s="91">
        <f>L24</f>
        <v>16897309.606133547</v>
      </c>
      <c r="V11" s="14" t="s">
        <v>52</v>
      </c>
      <c r="W11" s="91">
        <f>N24</f>
        <v>1013838.5763680128</v>
      </c>
      <c r="X11" s="14" t="s">
        <v>53</v>
      </c>
      <c r="Y11" s="15"/>
      <c r="Z11" s="46"/>
    </row>
    <row r="12" spans="1:26" ht="15.75" thickBot="1" x14ac:dyDescent="0.3">
      <c r="A12" s="45"/>
      <c r="B12" s="45"/>
      <c r="C12" s="45"/>
      <c r="D12" s="47"/>
      <c r="E12" s="47"/>
      <c r="F12" s="47"/>
      <c r="G12" s="47"/>
      <c r="H12" s="45"/>
      <c r="I12" s="45"/>
      <c r="J12" s="45"/>
      <c r="K12" s="45"/>
      <c r="L12" s="45"/>
      <c r="M12" s="45"/>
      <c r="N12" s="45"/>
      <c r="O12" s="45"/>
      <c r="P12" s="51"/>
      <c r="Q12" s="15"/>
      <c r="R12" s="48" t="s">
        <v>65</v>
      </c>
      <c r="S12" s="19" t="s">
        <v>48</v>
      </c>
      <c r="T12" s="14" t="s">
        <v>49</v>
      </c>
      <c r="U12" s="91">
        <f>L42</f>
        <v>9504736.6534501221</v>
      </c>
      <c r="V12" s="14" t="s">
        <v>52</v>
      </c>
      <c r="W12" s="91">
        <f>N42</f>
        <v>570284.1992070073</v>
      </c>
      <c r="X12" s="14" t="s">
        <v>53</v>
      </c>
      <c r="Y12" s="15"/>
      <c r="Z12" s="46"/>
    </row>
    <row r="13" spans="1:26" ht="15.75" thickBot="1" x14ac:dyDescent="0.3">
      <c r="A13" s="45"/>
      <c r="B13" s="45"/>
      <c r="C13" s="45"/>
      <c r="D13" s="47"/>
      <c r="E13" s="47"/>
      <c r="F13" s="47"/>
      <c r="G13" s="47"/>
      <c r="H13" s="45"/>
      <c r="I13" s="45"/>
      <c r="J13" s="45"/>
      <c r="K13" s="45"/>
      <c r="L13" s="45"/>
      <c r="M13" s="45"/>
      <c r="N13" s="45"/>
      <c r="O13" s="45"/>
      <c r="P13" s="51"/>
      <c r="Q13" s="15"/>
      <c r="R13" s="20" t="s">
        <v>66</v>
      </c>
      <c r="S13" s="21" t="s">
        <v>48</v>
      </c>
      <c r="T13" s="22" t="s">
        <v>49</v>
      </c>
      <c r="U13" s="93">
        <f>L61</f>
        <v>6027864.4428273216</v>
      </c>
      <c r="V13" s="22" t="s">
        <v>52</v>
      </c>
      <c r="W13" s="93">
        <f>N61</f>
        <v>361671.8665696393</v>
      </c>
      <c r="X13" s="22" t="s">
        <v>53</v>
      </c>
      <c r="Y13" s="23"/>
      <c r="Z13" s="46"/>
    </row>
    <row r="14" spans="1:26" x14ac:dyDescent="0.25">
      <c r="A14" s="45"/>
      <c r="B14" s="45"/>
      <c r="C14" s="45"/>
      <c r="D14" s="47"/>
      <c r="E14" s="47"/>
      <c r="F14" s="47"/>
      <c r="G14" s="47"/>
      <c r="H14" s="45"/>
      <c r="I14" s="45"/>
      <c r="J14" s="45"/>
      <c r="K14" s="45"/>
      <c r="L14" s="45"/>
      <c r="M14" s="45"/>
      <c r="N14" s="45"/>
      <c r="O14" s="45"/>
      <c r="P14" s="45"/>
      <c r="Q14" s="40"/>
      <c r="R14" s="41"/>
      <c r="S14" s="42"/>
      <c r="T14" s="43"/>
      <c r="U14" s="43"/>
      <c r="V14" s="43"/>
      <c r="W14" s="43"/>
      <c r="X14" s="43"/>
      <c r="Y14" s="43"/>
      <c r="Z14" s="43"/>
    </row>
    <row r="15" spans="1:26" ht="21.75" thickBot="1" x14ac:dyDescent="0.4">
      <c r="A15" s="50"/>
      <c r="B15" s="50"/>
      <c r="C15" s="165" t="s">
        <v>54</v>
      </c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7"/>
      <c r="Q15" s="52"/>
      <c r="R15" s="53"/>
      <c r="S15" s="54"/>
      <c r="T15" s="50"/>
      <c r="U15" s="50"/>
      <c r="V15" s="50"/>
      <c r="W15" s="50"/>
      <c r="X15" s="50"/>
      <c r="Y15" s="50"/>
      <c r="Z15" s="50"/>
    </row>
    <row r="16" spans="1:26" ht="18.75" thickBot="1" x14ac:dyDescent="0.4">
      <c r="A16" s="14"/>
      <c r="B16" s="58"/>
      <c r="C16" s="175" t="s">
        <v>42</v>
      </c>
      <c r="D16" s="173" t="s">
        <v>43</v>
      </c>
      <c r="E16" s="173"/>
      <c r="F16" s="173"/>
      <c r="G16" s="175" t="s">
        <v>41</v>
      </c>
      <c r="H16" s="173" t="s">
        <v>37</v>
      </c>
      <c r="I16" s="173" t="s">
        <v>39</v>
      </c>
      <c r="J16" s="173" t="s">
        <v>38</v>
      </c>
      <c r="K16" s="173" t="s">
        <v>40</v>
      </c>
      <c r="L16" s="173" t="s">
        <v>47</v>
      </c>
      <c r="M16" s="173" t="s">
        <v>50</v>
      </c>
      <c r="N16" s="173" t="s">
        <v>25</v>
      </c>
      <c r="O16" s="177" t="s">
        <v>46</v>
      </c>
      <c r="P16" s="177"/>
      <c r="Q16" s="59"/>
      <c r="R16" s="55"/>
      <c r="S16" s="16"/>
      <c r="T16" s="14"/>
      <c r="U16" s="14"/>
      <c r="V16" s="14"/>
      <c r="W16" s="14"/>
      <c r="X16" s="14"/>
      <c r="Y16" s="14"/>
      <c r="Z16" s="14"/>
    </row>
    <row r="17" spans="1:26" ht="15.75" thickBot="1" x14ac:dyDescent="0.3">
      <c r="A17" s="14"/>
      <c r="B17" s="58"/>
      <c r="C17" s="179"/>
      <c r="D17" s="62" t="s">
        <v>34</v>
      </c>
      <c r="E17" s="63"/>
      <c r="F17" s="62" t="s">
        <v>35</v>
      </c>
      <c r="G17" s="179"/>
      <c r="H17" s="178"/>
      <c r="I17" s="178"/>
      <c r="J17" s="178"/>
      <c r="K17" s="178"/>
      <c r="L17" s="178"/>
      <c r="M17" s="178"/>
      <c r="N17" s="178"/>
      <c r="O17" s="60" t="s">
        <v>47</v>
      </c>
      <c r="P17" s="60" t="s">
        <v>25</v>
      </c>
      <c r="Q17" s="59"/>
      <c r="R17" s="14"/>
      <c r="S17" s="14"/>
      <c r="T17" s="14"/>
      <c r="U17" s="14"/>
      <c r="V17" s="14"/>
      <c r="W17" s="14"/>
      <c r="X17" s="14"/>
      <c r="Y17" s="14"/>
      <c r="Z17" s="14"/>
    </row>
    <row r="18" spans="1:26" s="116" customFormat="1" ht="12.75" customHeight="1" thickBot="1" x14ac:dyDescent="0.3">
      <c r="A18" s="104"/>
      <c r="B18" s="105"/>
      <c r="C18" s="106">
        <v>1</v>
      </c>
      <c r="D18" s="107">
        <v>1</v>
      </c>
      <c r="E18" s="107" t="s">
        <v>36</v>
      </c>
      <c r="F18" s="107">
        <v>31</v>
      </c>
      <c r="G18" s="108">
        <f>(F18-D18)/2</f>
        <v>15</v>
      </c>
      <c r="H18" s="108">
        <v>22</v>
      </c>
      <c r="I18" s="109">
        <f t="shared" ref="I18:I29" si="0">H18/$H$30</f>
        <v>8.6274509803921567E-2</v>
      </c>
      <c r="J18" s="108">
        <v>22</v>
      </c>
      <c r="K18" s="110">
        <f>I18</f>
        <v>8.6274509803921567E-2</v>
      </c>
      <c r="L18" s="111">
        <f>$S$2*$S$3* 4.38</f>
        <v>25228800</v>
      </c>
      <c r="M18" s="110">
        <v>0.06</v>
      </c>
      <c r="N18" s="112">
        <f>L18*M18</f>
        <v>1513728</v>
      </c>
      <c r="O18" s="113"/>
      <c r="P18" s="114"/>
      <c r="Q18" s="104"/>
      <c r="R18" s="104"/>
      <c r="S18" s="104"/>
      <c r="T18" s="104"/>
      <c r="U18" s="104"/>
      <c r="V18" s="104"/>
      <c r="W18" s="104"/>
      <c r="X18" s="115"/>
      <c r="Y18" s="104"/>
      <c r="Z18" s="104"/>
    </row>
    <row r="19" spans="1:26" ht="15.75" thickBot="1" x14ac:dyDescent="0.3">
      <c r="A19" s="14"/>
      <c r="B19" s="58"/>
      <c r="C19" s="65">
        <v>2</v>
      </c>
      <c r="D19" s="27">
        <v>1</v>
      </c>
      <c r="E19" s="27" t="s">
        <v>36</v>
      </c>
      <c r="F19" s="27">
        <v>28</v>
      </c>
      <c r="G19" s="28">
        <f t="shared" ref="G19:G29" si="1">(F19-D19)/2</f>
        <v>13.5</v>
      </c>
      <c r="H19" s="28">
        <v>20</v>
      </c>
      <c r="I19" s="29">
        <f t="shared" si="0"/>
        <v>7.8431372549019607E-2</v>
      </c>
      <c r="J19" s="28">
        <f t="shared" ref="J19:J29" si="2">(H19+J18)</f>
        <v>42</v>
      </c>
      <c r="K19" s="30">
        <f>I19+K18</f>
        <v>0.16470588235294117</v>
      </c>
      <c r="L19" s="91">
        <f>L18-N18</f>
        <v>23715072</v>
      </c>
      <c r="M19" s="31">
        <v>0.06</v>
      </c>
      <c r="N19" s="96">
        <f>L19*M19</f>
        <v>1422904.3199999998</v>
      </c>
      <c r="O19" s="84"/>
      <c r="P19" s="34"/>
      <c r="Q19" s="56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thickBot="1" x14ac:dyDescent="0.3">
      <c r="A20" s="14"/>
      <c r="B20" s="58"/>
      <c r="C20" s="65">
        <v>3</v>
      </c>
      <c r="D20" s="27">
        <v>1</v>
      </c>
      <c r="E20" s="27" t="s">
        <v>36</v>
      </c>
      <c r="F20" s="27">
        <v>31</v>
      </c>
      <c r="G20" s="28">
        <f t="shared" si="1"/>
        <v>15</v>
      </c>
      <c r="H20" s="28">
        <v>20</v>
      </c>
      <c r="I20" s="29">
        <f t="shared" si="0"/>
        <v>7.8431372549019607E-2</v>
      </c>
      <c r="J20" s="28">
        <f t="shared" si="2"/>
        <v>62</v>
      </c>
      <c r="K20" s="30">
        <f t="shared" ref="K20:K29" si="3">I20+K19</f>
        <v>0.24313725490196078</v>
      </c>
      <c r="L20" s="91">
        <f t="shared" ref="L20:L29" si="4">L19-N19</f>
        <v>22292167.68</v>
      </c>
      <c r="M20" s="31">
        <v>0.06</v>
      </c>
      <c r="N20" s="97">
        <f t="shared" ref="N20:N29" si="5">L20*M20</f>
        <v>1337530.0607999999</v>
      </c>
      <c r="O20" s="101">
        <f>AVERAGE(L18:L20)</f>
        <v>23745346.560000002</v>
      </c>
      <c r="P20" s="101">
        <f>AVERAGE(N18:N20)</f>
        <v>1424720.7935999997</v>
      </c>
      <c r="Q20" s="59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thickBot="1" x14ac:dyDescent="0.3">
      <c r="A21" s="14"/>
      <c r="B21" s="58"/>
      <c r="C21" s="65">
        <v>4</v>
      </c>
      <c r="D21" s="27">
        <v>1</v>
      </c>
      <c r="E21" s="27" t="s">
        <v>36</v>
      </c>
      <c r="F21" s="27">
        <v>30</v>
      </c>
      <c r="G21" s="28">
        <f t="shared" si="1"/>
        <v>14.5</v>
      </c>
      <c r="H21" s="28">
        <v>21</v>
      </c>
      <c r="I21" s="29">
        <f t="shared" si="0"/>
        <v>8.2352941176470587E-2</v>
      </c>
      <c r="J21" s="28">
        <f t="shared" si="2"/>
        <v>83</v>
      </c>
      <c r="K21" s="30">
        <f t="shared" si="3"/>
        <v>0.32549019607843138</v>
      </c>
      <c r="L21" s="91">
        <f t="shared" si="4"/>
        <v>20954637.619199999</v>
      </c>
      <c r="M21" s="31">
        <v>7.3800000000000004E-2</v>
      </c>
      <c r="N21" s="96">
        <f t="shared" si="5"/>
        <v>1546452.2562969599</v>
      </c>
      <c r="O21" s="61"/>
      <c r="P21" s="25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thickBot="1" x14ac:dyDescent="0.3">
      <c r="A22" s="14"/>
      <c r="B22" s="58"/>
      <c r="C22" s="65">
        <v>5</v>
      </c>
      <c r="D22" s="27">
        <v>1</v>
      </c>
      <c r="E22" s="27" t="s">
        <v>36</v>
      </c>
      <c r="F22" s="27">
        <v>31</v>
      </c>
      <c r="G22" s="28">
        <f t="shared" si="1"/>
        <v>15</v>
      </c>
      <c r="H22" s="28">
        <v>22</v>
      </c>
      <c r="I22" s="29">
        <f t="shared" si="0"/>
        <v>8.6274509803921567E-2</v>
      </c>
      <c r="J22" s="28">
        <f t="shared" si="2"/>
        <v>105</v>
      </c>
      <c r="K22" s="30">
        <f t="shared" si="3"/>
        <v>0.41176470588235292</v>
      </c>
      <c r="L22" s="91">
        <f t="shared" si="4"/>
        <v>19408185.36290304</v>
      </c>
      <c r="M22" s="31">
        <v>7.3800000000000004E-2</v>
      </c>
      <c r="N22" s="96">
        <f t="shared" si="5"/>
        <v>1432324.0797822445</v>
      </c>
      <c r="O22" s="84"/>
      <c r="P22" s="3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thickBot="1" x14ac:dyDescent="0.3">
      <c r="A23" s="14"/>
      <c r="B23" s="58"/>
      <c r="C23" s="65">
        <v>6</v>
      </c>
      <c r="D23" s="27">
        <v>1</v>
      </c>
      <c r="E23" s="27" t="s">
        <v>36</v>
      </c>
      <c r="F23" s="27">
        <v>30</v>
      </c>
      <c r="G23" s="28">
        <f t="shared" si="1"/>
        <v>14.5</v>
      </c>
      <c r="H23" s="28">
        <v>20</v>
      </c>
      <c r="I23" s="29">
        <f t="shared" si="0"/>
        <v>7.8431372549019607E-2</v>
      </c>
      <c r="J23" s="28">
        <f t="shared" si="2"/>
        <v>125</v>
      </c>
      <c r="K23" s="30">
        <f t="shared" si="3"/>
        <v>0.49019607843137253</v>
      </c>
      <c r="L23" s="91">
        <f t="shared" si="4"/>
        <v>17975861.283120796</v>
      </c>
      <c r="M23" s="31">
        <v>0.06</v>
      </c>
      <c r="N23" s="97">
        <f t="shared" si="5"/>
        <v>1078551.6769872478</v>
      </c>
      <c r="O23" s="101">
        <f>AVERAGE(L21:L23)</f>
        <v>19446228.088407945</v>
      </c>
      <c r="P23" s="101">
        <f>AVERAGE(N21:N23)</f>
        <v>1352442.6710221507</v>
      </c>
      <c r="Q23" s="59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thickBot="1" x14ac:dyDescent="0.3">
      <c r="A24" s="14"/>
      <c r="B24" s="58"/>
      <c r="C24" s="65">
        <v>7</v>
      </c>
      <c r="D24" s="27">
        <v>1</v>
      </c>
      <c r="E24" s="27" t="s">
        <v>36</v>
      </c>
      <c r="F24" s="27">
        <v>31</v>
      </c>
      <c r="G24" s="28">
        <f t="shared" si="1"/>
        <v>15</v>
      </c>
      <c r="H24" s="28">
        <v>23</v>
      </c>
      <c r="I24" s="29">
        <f t="shared" si="0"/>
        <v>9.0196078431372548E-2</v>
      </c>
      <c r="J24" s="28">
        <f t="shared" si="2"/>
        <v>148</v>
      </c>
      <c r="K24" s="30">
        <f t="shared" si="3"/>
        <v>0.58039215686274503</v>
      </c>
      <c r="L24" s="91">
        <f t="shared" si="4"/>
        <v>16897309.606133547</v>
      </c>
      <c r="M24" s="31">
        <v>0.06</v>
      </c>
      <c r="N24" s="96">
        <f t="shared" si="5"/>
        <v>1013838.5763680128</v>
      </c>
      <c r="O24" s="61"/>
      <c r="P24" s="25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thickBot="1" x14ac:dyDescent="0.3">
      <c r="A25" s="14"/>
      <c r="B25" s="58"/>
      <c r="C25" s="65">
        <v>8</v>
      </c>
      <c r="D25" s="27">
        <v>1</v>
      </c>
      <c r="E25" s="27" t="s">
        <v>36</v>
      </c>
      <c r="F25" s="27">
        <v>31</v>
      </c>
      <c r="G25" s="28">
        <f t="shared" si="1"/>
        <v>15</v>
      </c>
      <c r="H25" s="28">
        <v>22</v>
      </c>
      <c r="I25" s="29">
        <f t="shared" si="0"/>
        <v>8.6274509803921567E-2</v>
      </c>
      <c r="J25" s="28">
        <f t="shared" si="2"/>
        <v>170</v>
      </c>
      <c r="K25" s="30">
        <f t="shared" si="3"/>
        <v>0.66666666666666663</v>
      </c>
      <c r="L25" s="91">
        <f t="shared" si="4"/>
        <v>15883471.029765533</v>
      </c>
      <c r="M25" s="31">
        <v>0.06</v>
      </c>
      <c r="N25" s="96">
        <f t="shared" si="5"/>
        <v>953008.261785932</v>
      </c>
      <c r="O25" s="84"/>
      <c r="P25" s="3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thickBot="1" x14ac:dyDescent="0.3">
      <c r="A26" s="14"/>
      <c r="B26" s="58"/>
      <c r="C26" s="65">
        <v>9</v>
      </c>
      <c r="D26" s="27">
        <v>1</v>
      </c>
      <c r="E26" s="27" t="s">
        <v>36</v>
      </c>
      <c r="F26" s="27">
        <v>30</v>
      </c>
      <c r="G26" s="28">
        <f t="shared" si="1"/>
        <v>14.5</v>
      </c>
      <c r="H26" s="28">
        <v>21</v>
      </c>
      <c r="I26" s="29">
        <f t="shared" si="0"/>
        <v>8.2352941176470587E-2</v>
      </c>
      <c r="J26" s="28">
        <f t="shared" si="2"/>
        <v>191</v>
      </c>
      <c r="K26" s="30">
        <f t="shared" si="3"/>
        <v>0.74901960784313726</v>
      </c>
      <c r="L26" s="91">
        <f t="shared" si="4"/>
        <v>14930462.767979601</v>
      </c>
      <c r="M26" s="31">
        <v>0.06</v>
      </c>
      <c r="N26" s="97">
        <f t="shared" si="5"/>
        <v>895827.7660787761</v>
      </c>
      <c r="O26" s="101">
        <f t="shared" ref="O26" si="6">AVERAGE(L24:L26)</f>
        <v>15903747.801292894</v>
      </c>
      <c r="P26" s="101">
        <f>AVERAGE(N24:N26)</f>
        <v>954224.86807757372</v>
      </c>
      <c r="Q26" s="59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thickBot="1" x14ac:dyDescent="0.3">
      <c r="A27" s="14"/>
      <c r="B27" s="58"/>
      <c r="C27" s="65">
        <v>10</v>
      </c>
      <c r="D27" s="27">
        <v>1</v>
      </c>
      <c r="E27" s="27" t="s">
        <v>36</v>
      </c>
      <c r="F27" s="27">
        <v>31</v>
      </c>
      <c r="G27" s="28">
        <f t="shared" si="1"/>
        <v>15</v>
      </c>
      <c r="H27" s="28">
        <v>23</v>
      </c>
      <c r="I27" s="29">
        <f t="shared" si="0"/>
        <v>9.0196078431372548E-2</v>
      </c>
      <c r="J27" s="28">
        <f t="shared" si="2"/>
        <v>214</v>
      </c>
      <c r="K27" s="30">
        <f t="shared" si="3"/>
        <v>0.83921568627450982</v>
      </c>
      <c r="L27" s="91">
        <f t="shared" si="4"/>
        <v>14034635.001900826</v>
      </c>
      <c r="M27" s="31">
        <v>0.06</v>
      </c>
      <c r="N27" s="96">
        <f t="shared" si="5"/>
        <v>842078.10011404951</v>
      </c>
      <c r="O27" s="61"/>
      <c r="P27" s="25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thickBot="1" x14ac:dyDescent="0.3">
      <c r="A28" s="14"/>
      <c r="B28" s="58"/>
      <c r="C28" s="65">
        <v>11</v>
      </c>
      <c r="D28" s="27">
        <v>1</v>
      </c>
      <c r="E28" s="27" t="s">
        <v>36</v>
      </c>
      <c r="F28" s="27">
        <v>30</v>
      </c>
      <c r="G28" s="28">
        <f t="shared" si="1"/>
        <v>14.5</v>
      </c>
      <c r="H28" s="28">
        <v>20</v>
      </c>
      <c r="I28" s="29">
        <f t="shared" si="0"/>
        <v>7.8431372549019607E-2</v>
      </c>
      <c r="J28" s="28">
        <f t="shared" si="2"/>
        <v>234</v>
      </c>
      <c r="K28" s="30">
        <f t="shared" si="3"/>
        <v>0.91764705882352948</v>
      </c>
      <c r="L28" s="91">
        <f t="shared" si="4"/>
        <v>13192556.901786776</v>
      </c>
      <c r="M28" s="31">
        <v>0.06</v>
      </c>
      <c r="N28" s="96">
        <f t="shared" si="5"/>
        <v>791553.41410720651</v>
      </c>
      <c r="O28" s="84"/>
      <c r="P28" s="3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thickBot="1" x14ac:dyDescent="0.3">
      <c r="A29" s="14"/>
      <c r="B29" s="58"/>
      <c r="C29" s="79">
        <v>12</v>
      </c>
      <c r="D29" s="36">
        <v>1</v>
      </c>
      <c r="E29" s="36" t="s">
        <v>36</v>
      </c>
      <c r="F29" s="36">
        <v>31</v>
      </c>
      <c r="G29" s="24">
        <f t="shared" si="1"/>
        <v>15</v>
      </c>
      <c r="H29" s="24">
        <v>21</v>
      </c>
      <c r="I29" s="33">
        <f t="shared" si="0"/>
        <v>8.2352941176470587E-2</v>
      </c>
      <c r="J29" s="37">
        <f t="shared" si="2"/>
        <v>255</v>
      </c>
      <c r="K29" s="38">
        <f t="shared" si="3"/>
        <v>1</v>
      </c>
      <c r="L29" s="92">
        <f t="shared" si="4"/>
        <v>12401003.487679569</v>
      </c>
      <c r="M29" s="39">
        <v>7.3800000000000004E-2</v>
      </c>
      <c r="N29" s="98">
        <f t="shared" si="5"/>
        <v>915194.05739075225</v>
      </c>
      <c r="O29" s="101">
        <f t="shared" ref="O29" si="7">AVERAGE(L27:L29)</f>
        <v>13209398.463789059</v>
      </c>
      <c r="P29" s="101">
        <f>AVERAGE(N27:N29)</f>
        <v>849608.52387066942</v>
      </c>
      <c r="Q29" s="59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thickBot="1" x14ac:dyDescent="0.3">
      <c r="A30" s="14"/>
      <c r="B30" s="58"/>
      <c r="C30" s="80" t="s">
        <v>44</v>
      </c>
      <c r="D30" s="77"/>
      <c r="E30" s="64"/>
      <c r="F30" s="76"/>
      <c r="G30" s="81">
        <f>SUBTOTAL(9,G18:G29)</f>
        <v>176.5</v>
      </c>
      <c r="H30" s="82">
        <f>SUBTOTAL(9,H18:H29)</f>
        <v>255</v>
      </c>
      <c r="I30" s="83">
        <f>SUBTOTAL(9,I18:I29)</f>
        <v>1</v>
      </c>
      <c r="J30" s="77"/>
      <c r="K30" s="76"/>
      <c r="L30" s="99">
        <f>SUBTOTAL(9,L18:L29)</f>
        <v>216914162.74046969</v>
      </c>
      <c r="M30" s="78"/>
      <c r="N30" s="99">
        <f>SUBTOTAL(9,N18:N29)</f>
        <v>13742990.569711182</v>
      </c>
      <c r="O30" s="61"/>
      <c r="P30" s="25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thickBot="1" x14ac:dyDescent="0.3">
      <c r="A31" s="14"/>
      <c r="B31" s="14"/>
      <c r="C31" s="64"/>
      <c r="D31" s="14"/>
      <c r="E31" s="14"/>
      <c r="F31" s="14"/>
      <c r="G31" s="64"/>
      <c r="H31" s="64"/>
      <c r="I31" s="64"/>
      <c r="J31" s="14"/>
      <c r="K31" s="14"/>
      <c r="L31" s="64"/>
      <c r="M31" s="14"/>
      <c r="N31" s="6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thickBot="1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57"/>
      <c r="N32" s="14">
        <f>LARGE(N18:N29,1)</f>
        <v>1546452.2562969599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21.75" thickBot="1" x14ac:dyDescent="0.4">
      <c r="A33" s="14"/>
      <c r="B33" s="14"/>
      <c r="C33" s="168" t="s">
        <v>55</v>
      </c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70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8.75" thickBot="1" x14ac:dyDescent="0.4">
      <c r="A34" s="14"/>
      <c r="B34" s="58"/>
      <c r="C34" s="175" t="s">
        <v>42</v>
      </c>
      <c r="D34" s="173" t="s">
        <v>43</v>
      </c>
      <c r="E34" s="173"/>
      <c r="F34" s="173"/>
      <c r="G34" s="175" t="s">
        <v>41</v>
      </c>
      <c r="H34" s="173" t="s">
        <v>37</v>
      </c>
      <c r="I34" s="173" t="s">
        <v>39</v>
      </c>
      <c r="J34" s="173" t="s">
        <v>67</v>
      </c>
      <c r="K34" s="173" t="s">
        <v>68</v>
      </c>
      <c r="L34" s="173" t="s">
        <v>47</v>
      </c>
      <c r="M34" s="173" t="s">
        <v>50</v>
      </c>
      <c r="N34" s="173" t="s">
        <v>25</v>
      </c>
      <c r="O34" s="177" t="s">
        <v>46</v>
      </c>
      <c r="P34" s="177"/>
      <c r="Q34" s="59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thickBot="1" x14ac:dyDescent="0.3">
      <c r="A35" s="14"/>
      <c r="B35" s="58"/>
      <c r="C35" s="176"/>
      <c r="D35" s="60" t="s">
        <v>34</v>
      </c>
      <c r="E35" s="35"/>
      <c r="F35" s="67" t="s">
        <v>35</v>
      </c>
      <c r="G35" s="176"/>
      <c r="H35" s="174"/>
      <c r="I35" s="174"/>
      <c r="J35" s="174"/>
      <c r="K35" s="174"/>
      <c r="L35" s="174"/>
      <c r="M35" s="174"/>
      <c r="N35" s="174"/>
      <c r="O35" s="67" t="s">
        <v>47</v>
      </c>
      <c r="P35" s="60" t="s">
        <v>25</v>
      </c>
      <c r="Q35" s="59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thickBot="1" x14ac:dyDescent="0.3">
      <c r="A36" s="14"/>
      <c r="B36" s="58"/>
      <c r="C36" s="69">
        <v>1</v>
      </c>
      <c r="D36" s="70">
        <v>1</v>
      </c>
      <c r="E36" s="70" t="s">
        <v>36</v>
      </c>
      <c r="F36" s="70">
        <v>31</v>
      </c>
      <c r="G36" s="70">
        <f>(F36-D36)/2</f>
        <v>15</v>
      </c>
      <c r="H36" s="70">
        <v>22</v>
      </c>
      <c r="I36" s="71">
        <f t="shared" ref="I36:I47" si="8">H36/$H$30</f>
        <v>8.6274509803921567E-2</v>
      </c>
      <c r="J36" s="70">
        <v>22</v>
      </c>
      <c r="K36" s="72">
        <f>I36</f>
        <v>8.6274509803921567E-2</v>
      </c>
      <c r="L36" s="100">
        <f>$S$2*$S$4* 4.38</f>
        <v>14191200</v>
      </c>
      <c r="M36" s="73">
        <v>0.06</v>
      </c>
      <c r="N36" s="102">
        <f>L36*M36</f>
        <v>851472</v>
      </c>
      <c r="O36" s="68"/>
      <c r="P36" s="66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thickBot="1" x14ac:dyDescent="0.3">
      <c r="A37" s="14"/>
      <c r="B37" s="58"/>
      <c r="C37" s="26">
        <v>2</v>
      </c>
      <c r="D37" s="28">
        <v>1</v>
      </c>
      <c r="E37" s="28" t="s">
        <v>36</v>
      </c>
      <c r="F37" s="28">
        <v>28</v>
      </c>
      <c r="G37" s="28">
        <f t="shared" ref="G37:G47" si="9">(F37-D37)/2</f>
        <v>13.5</v>
      </c>
      <c r="H37" s="28">
        <v>20</v>
      </c>
      <c r="I37" s="29">
        <f t="shared" si="8"/>
        <v>7.8431372549019607E-2</v>
      </c>
      <c r="J37" s="28">
        <f t="shared" ref="J37:J47" si="10">(H37+J36)</f>
        <v>42</v>
      </c>
      <c r="K37" s="30">
        <f>I37+K36</f>
        <v>0.16470588235294117</v>
      </c>
      <c r="L37" s="91">
        <f>L36-N36</f>
        <v>13339728</v>
      </c>
      <c r="M37" s="31">
        <v>0.06</v>
      </c>
      <c r="N37" s="103">
        <f t="shared" ref="N37:N47" si="11">L37*M37</f>
        <v>800383.67999999993</v>
      </c>
      <c r="O37" s="85"/>
      <c r="P37" s="86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thickBot="1" x14ac:dyDescent="0.3">
      <c r="A38" s="14"/>
      <c r="B38" s="58"/>
      <c r="C38" s="26">
        <v>3</v>
      </c>
      <c r="D38" s="28">
        <v>1</v>
      </c>
      <c r="E38" s="28" t="s">
        <v>36</v>
      </c>
      <c r="F38" s="28">
        <v>31</v>
      </c>
      <c r="G38" s="28">
        <f t="shared" si="9"/>
        <v>15</v>
      </c>
      <c r="H38" s="28">
        <v>20</v>
      </c>
      <c r="I38" s="29">
        <f t="shared" si="8"/>
        <v>7.8431372549019607E-2</v>
      </c>
      <c r="J38" s="28">
        <f t="shared" si="10"/>
        <v>62</v>
      </c>
      <c r="K38" s="30">
        <f t="shared" ref="K38:K47" si="12">I38+K37</f>
        <v>0.24313725490196078</v>
      </c>
      <c r="L38" s="91">
        <f t="shared" ref="L38:L47" si="13">L37-N37</f>
        <v>12539344.32</v>
      </c>
      <c r="M38" s="31">
        <v>0.06</v>
      </c>
      <c r="N38" s="97">
        <f t="shared" si="11"/>
        <v>752360.65919999999</v>
      </c>
      <c r="O38" s="101">
        <f>AVERAGE(L36:L38)</f>
        <v>13356757.439999999</v>
      </c>
      <c r="P38" s="101">
        <f>AVERAGE(N36:N38)</f>
        <v>801405.4463999999</v>
      </c>
      <c r="Q38" s="59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thickBot="1" x14ac:dyDescent="0.3">
      <c r="A39" s="14"/>
      <c r="B39" s="58"/>
      <c r="C39" s="26">
        <v>4</v>
      </c>
      <c r="D39" s="28">
        <v>1</v>
      </c>
      <c r="E39" s="28" t="s">
        <v>36</v>
      </c>
      <c r="F39" s="28">
        <v>30</v>
      </c>
      <c r="G39" s="28">
        <f t="shared" si="9"/>
        <v>14.5</v>
      </c>
      <c r="H39" s="28">
        <v>21</v>
      </c>
      <c r="I39" s="29">
        <f t="shared" si="8"/>
        <v>8.2352941176470587E-2</v>
      </c>
      <c r="J39" s="28">
        <f t="shared" si="10"/>
        <v>83</v>
      </c>
      <c r="K39" s="30">
        <f t="shared" si="12"/>
        <v>0.32549019607843138</v>
      </c>
      <c r="L39" s="91">
        <f t="shared" si="13"/>
        <v>11786983.660800001</v>
      </c>
      <c r="M39" s="31">
        <v>7.3800000000000004E-2</v>
      </c>
      <c r="N39" s="103">
        <f t="shared" si="11"/>
        <v>869879.39416704013</v>
      </c>
      <c r="O39" s="68"/>
      <c r="P39" s="66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thickBot="1" x14ac:dyDescent="0.3">
      <c r="A40" s="14"/>
      <c r="B40" s="58"/>
      <c r="C40" s="26">
        <v>5</v>
      </c>
      <c r="D40" s="28">
        <v>1</v>
      </c>
      <c r="E40" s="28" t="s">
        <v>36</v>
      </c>
      <c r="F40" s="28">
        <v>31</v>
      </c>
      <c r="G40" s="28">
        <f t="shared" si="9"/>
        <v>15</v>
      </c>
      <c r="H40" s="28">
        <v>22</v>
      </c>
      <c r="I40" s="29">
        <f t="shared" si="8"/>
        <v>8.6274509803921567E-2</v>
      </c>
      <c r="J40" s="28">
        <f t="shared" si="10"/>
        <v>105</v>
      </c>
      <c r="K40" s="30">
        <f t="shared" si="12"/>
        <v>0.41176470588235292</v>
      </c>
      <c r="L40" s="91">
        <f t="shared" si="13"/>
        <v>10917104.266632961</v>
      </c>
      <c r="M40" s="31">
        <v>7.3800000000000004E-2</v>
      </c>
      <c r="N40" s="103">
        <f t="shared" si="11"/>
        <v>805682.29487751261</v>
      </c>
      <c r="O40" s="85"/>
      <c r="P40" s="86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thickBot="1" x14ac:dyDescent="0.3">
      <c r="A41" s="14"/>
      <c r="B41" s="58"/>
      <c r="C41" s="26">
        <v>6</v>
      </c>
      <c r="D41" s="28">
        <v>1</v>
      </c>
      <c r="E41" s="28" t="s">
        <v>36</v>
      </c>
      <c r="F41" s="28">
        <v>30</v>
      </c>
      <c r="G41" s="28">
        <f t="shared" si="9"/>
        <v>14.5</v>
      </c>
      <c r="H41" s="28">
        <v>20</v>
      </c>
      <c r="I41" s="29">
        <f t="shared" si="8"/>
        <v>7.8431372549019607E-2</v>
      </c>
      <c r="J41" s="28">
        <f t="shared" si="10"/>
        <v>125</v>
      </c>
      <c r="K41" s="30">
        <f t="shared" si="12"/>
        <v>0.49019607843137253</v>
      </c>
      <c r="L41" s="91">
        <f t="shared" si="13"/>
        <v>10111421.971755449</v>
      </c>
      <c r="M41" s="31">
        <v>0.06</v>
      </c>
      <c r="N41" s="97">
        <f t="shared" si="11"/>
        <v>606685.31830532686</v>
      </c>
      <c r="O41" s="101">
        <f t="shared" ref="O41" si="14">AVERAGE(L39:L41)</f>
        <v>10938503.29972947</v>
      </c>
      <c r="P41" s="101">
        <f>AVERAGE(N39:N41)</f>
        <v>760749.00244995987</v>
      </c>
      <c r="Q41" s="59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thickBot="1" x14ac:dyDescent="0.3">
      <c r="A42" s="14"/>
      <c r="B42" s="58"/>
      <c r="C42" s="26">
        <v>7</v>
      </c>
      <c r="D42" s="28">
        <v>1</v>
      </c>
      <c r="E42" s="28" t="s">
        <v>36</v>
      </c>
      <c r="F42" s="28">
        <v>31</v>
      </c>
      <c r="G42" s="28">
        <f t="shared" si="9"/>
        <v>15</v>
      </c>
      <c r="H42" s="28">
        <v>23</v>
      </c>
      <c r="I42" s="29">
        <f t="shared" si="8"/>
        <v>9.0196078431372548E-2</v>
      </c>
      <c r="J42" s="28">
        <f t="shared" si="10"/>
        <v>148</v>
      </c>
      <c r="K42" s="30">
        <f t="shared" si="12"/>
        <v>0.58039215686274503</v>
      </c>
      <c r="L42" s="91">
        <f t="shared" si="13"/>
        <v>9504736.6534501221</v>
      </c>
      <c r="M42" s="31">
        <v>0.06</v>
      </c>
      <c r="N42" s="103">
        <f t="shared" si="11"/>
        <v>570284.1992070073</v>
      </c>
      <c r="O42" s="61"/>
      <c r="P42" s="25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thickBot="1" x14ac:dyDescent="0.3">
      <c r="A43" s="14"/>
      <c r="B43" s="58"/>
      <c r="C43" s="26">
        <v>8</v>
      </c>
      <c r="D43" s="28">
        <v>1</v>
      </c>
      <c r="E43" s="28" t="s">
        <v>36</v>
      </c>
      <c r="F43" s="28">
        <v>31</v>
      </c>
      <c r="G43" s="28">
        <f t="shared" si="9"/>
        <v>15</v>
      </c>
      <c r="H43" s="28">
        <v>22</v>
      </c>
      <c r="I43" s="29">
        <f t="shared" si="8"/>
        <v>8.6274509803921567E-2</v>
      </c>
      <c r="J43" s="28">
        <f t="shared" si="10"/>
        <v>170</v>
      </c>
      <c r="K43" s="30">
        <f t="shared" si="12"/>
        <v>0.66666666666666663</v>
      </c>
      <c r="L43" s="91">
        <f t="shared" si="13"/>
        <v>8934452.4542431142</v>
      </c>
      <c r="M43" s="31">
        <v>0.06</v>
      </c>
      <c r="N43" s="103">
        <f t="shared" si="11"/>
        <v>536067.1472545868</v>
      </c>
      <c r="O43" s="84"/>
      <c r="P43" s="3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thickBot="1" x14ac:dyDescent="0.3">
      <c r="A44" s="14"/>
      <c r="B44" s="58"/>
      <c r="C44" s="26">
        <v>9</v>
      </c>
      <c r="D44" s="28">
        <v>1</v>
      </c>
      <c r="E44" s="28" t="s">
        <v>36</v>
      </c>
      <c r="F44" s="28">
        <v>30</v>
      </c>
      <c r="G44" s="28">
        <f t="shared" si="9"/>
        <v>14.5</v>
      </c>
      <c r="H44" s="28">
        <v>21</v>
      </c>
      <c r="I44" s="29">
        <f t="shared" si="8"/>
        <v>8.2352941176470587E-2</v>
      </c>
      <c r="J44" s="28">
        <f t="shared" si="10"/>
        <v>191</v>
      </c>
      <c r="K44" s="30">
        <f t="shared" si="12"/>
        <v>0.74901960784313726</v>
      </c>
      <c r="L44" s="91">
        <f t="shared" si="13"/>
        <v>8398385.306988528</v>
      </c>
      <c r="M44" s="31">
        <v>0.06</v>
      </c>
      <c r="N44" s="97">
        <f t="shared" si="11"/>
        <v>503903.11841931165</v>
      </c>
      <c r="O44" s="101">
        <f t="shared" ref="O44" si="15">AVERAGE(L42:L44)</f>
        <v>8945858.1382272542</v>
      </c>
      <c r="P44" s="101">
        <f>AVERAGE(N42:N44)</f>
        <v>536751.48829363531</v>
      </c>
      <c r="Q44" s="59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thickBot="1" x14ac:dyDescent="0.3">
      <c r="A45" s="14"/>
      <c r="B45" s="58"/>
      <c r="C45" s="26">
        <v>10</v>
      </c>
      <c r="D45" s="28">
        <v>1</v>
      </c>
      <c r="E45" s="28" t="s">
        <v>36</v>
      </c>
      <c r="F45" s="28">
        <v>31</v>
      </c>
      <c r="G45" s="28">
        <f t="shared" si="9"/>
        <v>15</v>
      </c>
      <c r="H45" s="28">
        <v>23</v>
      </c>
      <c r="I45" s="29">
        <f t="shared" si="8"/>
        <v>9.0196078431372548E-2</v>
      </c>
      <c r="J45" s="28">
        <f t="shared" si="10"/>
        <v>214</v>
      </c>
      <c r="K45" s="30">
        <f t="shared" si="12"/>
        <v>0.83921568627450982</v>
      </c>
      <c r="L45" s="91">
        <f t="shared" si="13"/>
        <v>7894482.1885692161</v>
      </c>
      <c r="M45" s="31">
        <v>0.06</v>
      </c>
      <c r="N45" s="103">
        <f t="shared" si="11"/>
        <v>473668.93131415296</v>
      </c>
      <c r="O45" s="61"/>
      <c r="P45" s="25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thickBot="1" x14ac:dyDescent="0.3">
      <c r="A46" s="14"/>
      <c r="B46" s="58"/>
      <c r="C46" s="26">
        <v>11</v>
      </c>
      <c r="D46" s="28">
        <v>1</v>
      </c>
      <c r="E46" s="28" t="s">
        <v>36</v>
      </c>
      <c r="F46" s="28">
        <v>30</v>
      </c>
      <c r="G46" s="28">
        <f t="shared" si="9"/>
        <v>14.5</v>
      </c>
      <c r="H46" s="28">
        <v>20</v>
      </c>
      <c r="I46" s="29">
        <f t="shared" si="8"/>
        <v>7.8431372549019607E-2</v>
      </c>
      <c r="J46" s="28">
        <f t="shared" si="10"/>
        <v>234</v>
      </c>
      <c r="K46" s="30">
        <f t="shared" si="12"/>
        <v>0.91764705882352948</v>
      </c>
      <c r="L46" s="91">
        <f t="shared" si="13"/>
        <v>7420813.2572550634</v>
      </c>
      <c r="M46" s="31">
        <v>0.06</v>
      </c>
      <c r="N46" s="103">
        <f t="shared" si="11"/>
        <v>445248.79543530376</v>
      </c>
      <c r="O46" s="84"/>
      <c r="P46" s="3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thickBot="1" x14ac:dyDescent="0.3">
      <c r="A47" s="14"/>
      <c r="B47" s="58"/>
      <c r="C47" s="32">
        <v>12</v>
      </c>
      <c r="D47" s="9">
        <v>1</v>
      </c>
      <c r="E47" s="9" t="s">
        <v>36</v>
      </c>
      <c r="F47" s="9">
        <v>31</v>
      </c>
      <c r="G47" s="24">
        <f t="shared" si="9"/>
        <v>15</v>
      </c>
      <c r="H47" s="24">
        <v>21</v>
      </c>
      <c r="I47" s="33">
        <f t="shared" si="8"/>
        <v>8.2352941176470587E-2</v>
      </c>
      <c r="J47" s="9">
        <f t="shared" si="10"/>
        <v>255</v>
      </c>
      <c r="K47" s="74">
        <f t="shared" si="12"/>
        <v>1</v>
      </c>
      <c r="L47" s="92">
        <f t="shared" si="13"/>
        <v>6975564.4618197596</v>
      </c>
      <c r="M47" s="75">
        <v>7.3800000000000004E-2</v>
      </c>
      <c r="N47" s="98">
        <f t="shared" si="11"/>
        <v>514796.65728229831</v>
      </c>
      <c r="O47" s="101">
        <f t="shared" ref="O47" si="16">AVERAGE(L45:L47)</f>
        <v>7430286.6358813467</v>
      </c>
      <c r="P47" s="101">
        <f>AVERAGE(N45:N47)</f>
        <v>477904.79467725166</v>
      </c>
      <c r="Q47" s="59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thickBot="1" x14ac:dyDescent="0.3">
      <c r="A48" s="14"/>
      <c r="B48" s="58"/>
      <c r="C48" s="80" t="s">
        <v>44</v>
      </c>
      <c r="D48" s="77"/>
      <c r="E48" s="64"/>
      <c r="F48" s="76"/>
      <c r="G48" s="81">
        <f>SUBTOTAL(9,G36:G47)</f>
        <v>176.5</v>
      </c>
      <c r="H48" s="82">
        <f>SUBTOTAL(9,H36:H47)</f>
        <v>255</v>
      </c>
      <c r="I48" s="83">
        <f>SUBTOTAL(9,I36:I47)</f>
        <v>1</v>
      </c>
      <c r="J48" s="77"/>
      <c r="K48" s="76"/>
      <c r="L48" s="101">
        <f>SUBTOTAL(9,L36:L47)</f>
        <v>122014216.54151419</v>
      </c>
      <c r="M48" s="78"/>
      <c r="N48" s="101">
        <f>SUBTOTAL(9,N36:N47)</f>
        <v>7730432.1954625398</v>
      </c>
      <c r="O48" s="68"/>
      <c r="P48" s="66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thickBot="1" x14ac:dyDescent="0.3">
      <c r="A49" s="14"/>
      <c r="B49" s="14"/>
      <c r="C49" s="64"/>
      <c r="D49" s="14"/>
      <c r="E49" s="14"/>
      <c r="F49" s="14"/>
      <c r="G49" s="64"/>
      <c r="H49" s="64"/>
      <c r="I49" s="64"/>
      <c r="J49" s="14"/>
      <c r="K49" s="14"/>
      <c r="L49" s="64"/>
      <c r="M49" s="14"/>
      <c r="N49" s="6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thickBo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thickBo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21.75" thickBot="1" x14ac:dyDescent="0.4">
      <c r="A52" s="14"/>
      <c r="B52" s="14"/>
      <c r="C52" s="168" t="s">
        <v>56</v>
      </c>
      <c r="D52" s="171"/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2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8.75" thickBot="1" x14ac:dyDescent="0.4">
      <c r="A53" s="14"/>
      <c r="B53" s="58"/>
      <c r="C53" s="175" t="s">
        <v>42</v>
      </c>
      <c r="D53" s="173" t="s">
        <v>43</v>
      </c>
      <c r="E53" s="173"/>
      <c r="F53" s="173"/>
      <c r="G53" s="175" t="s">
        <v>41</v>
      </c>
      <c r="H53" s="173" t="s">
        <v>37</v>
      </c>
      <c r="I53" s="173" t="s">
        <v>39</v>
      </c>
      <c r="J53" s="173" t="s">
        <v>38</v>
      </c>
      <c r="K53" s="173" t="s">
        <v>40</v>
      </c>
      <c r="L53" s="173" t="s">
        <v>47</v>
      </c>
      <c r="M53" s="173" t="s">
        <v>50</v>
      </c>
      <c r="N53" s="173" t="s">
        <v>25</v>
      </c>
      <c r="O53" s="177" t="s">
        <v>46</v>
      </c>
      <c r="P53" s="177"/>
      <c r="Q53" s="59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thickBot="1" x14ac:dyDescent="0.3">
      <c r="A54" s="14"/>
      <c r="B54" s="58"/>
      <c r="C54" s="176"/>
      <c r="D54" s="60" t="s">
        <v>34</v>
      </c>
      <c r="E54" s="35"/>
      <c r="F54" s="60" t="s">
        <v>35</v>
      </c>
      <c r="G54" s="176"/>
      <c r="H54" s="174"/>
      <c r="I54" s="174"/>
      <c r="J54" s="174"/>
      <c r="K54" s="174"/>
      <c r="L54" s="174"/>
      <c r="M54" s="174"/>
      <c r="N54" s="174"/>
      <c r="O54" s="60" t="s">
        <v>47</v>
      </c>
      <c r="P54" s="60" t="s">
        <v>25</v>
      </c>
      <c r="Q54" s="59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thickBot="1" x14ac:dyDescent="0.3">
      <c r="A55" s="14"/>
      <c r="B55" s="58"/>
      <c r="C55" s="69">
        <v>1</v>
      </c>
      <c r="D55" s="70">
        <v>1</v>
      </c>
      <c r="E55" s="70" t="s">
        <v>36</v>
      </c>
      <c r="F55" s="70">
        <v>31</v>
      </c>
      <c r="G55" s="70">
        <f>(F55-D55)/2</f>
        <v>15</v>
      </c>
      <c r="H55" s="70">
        <v>22</v>
      </c>
      <c r="I55" s="71">
        <f t="shared" ref="I55:I66" si="17">H55/$H$30</f>
        <v>8.6274509803921567E-2</v>
      </c>
      <c r="J55" s="70">
        <v>22</v>
      </c>
      <c r="K55" s="72">
        <f>I55</f>
        <v>8.6274509803921567E-2</v>
      </c>
      <c r="L55" s="100">
        <f>$S$2</f>
        <v>9000000</v>
      </c>
      <c r="M55" s="73">
        <v>0.06</v>
      </c>
      <c r="N55" s="102">
        <f>L55*M55</f>
        <v>540000</v>
      </c>
      <c r="O55" s="61"/>
      <c r="P55" s="25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thickBot="1" x14ac:dyDescent="0.3">
      <c r="A56" s="14"/>
      <c r="B56" s="58"/>
      <c r="C56" s="26">
        <v>2</v>
      </c>
      <c r="D56" s="28">
        <v>1</v>
      </c>
      <c r="E56" s="28" t="s">
        <v>36</v>
      </c>
      <c r="F56" s="28">
        <v>28</v>
      </c>
      <c r="G56" s="28">
        <f t="shared" ref="G56:G66" si="18">(F56-D56)/2</f>
        <v>13.5</v>
      </c>
      <c r="H56" s="28">
        <v>20</v>
      </c>
      <c r="I56" s="29">
        <f t="shared" si="17"/>
        <v>7.8431372549019607E-2</v>
      </c>
      <c r="J56" s="28">
        <f t="shared" ref="J56:J66" si="19">(H56+J55)</f>
        <v>42</v>
      </c>
      <c r="K56" s="30">
        <f>I56+K55</f>
        <v>0.16470588235294117</v>
      </c>
      <c r="L56" s="91">
        <f>L55-N55</f>
        <v>8460000</v>
      </c>
      <c r="M56" s="31">
        <v>0.06</v>
      </c>
      <c r="N56" s="103">
        <f t="shared" ref="N56:N66" si="20">L56*M56</f>
        <v>507600</v>
      </c>
      <c r="O56" s="84"/>
      <c r="P56" s="3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thickBot="1" x14ac:dyDescent="0.3">
      <c r="A57" s="14"/>
      <c r="B57" s="58"/>
      <c r="C57" s="26">
        <v>3</v>
      </c>
      <c r="D57" s="28">
        <v>1</v>
      </c>
      <c r="E57" s="28" t="s">
        <v>36</v>
      </c>
      <c r="F57" s="28">
        <v>31</v>
      </c>
      <c r="G57" s="28">
        <f t="shared" si="18"/>
        <v>15</v>
      </c>
      <c r="H57" s="28">
        <v>20</v>
      </c>
      <c r="I57" s="29">
        <f t="shared" si="17"/>
        <v>7.8431372549019607E-2</v>
      </c>
      <c r="J57" s="28">
        <f t="shared" si="19"/>
        <v>62</v>
      </c>
      <c r="K57" s="30">
        <f t="shared" ref="K57:K66" si="21">I57+K56</f>
        <v>0.24313725490196078</v>
      </c>
      <c r="L57" s="91">
        <f t="shared" ref="L57:L66" si="22">L56-N56</f>
        <v>7952400</v>
      </c>
      <c r="M57" s="31">
        <v>0.06</v>
      </c>
      <c r="N57" s="97">
        <f t="shared" si="20"/>
        <v>477144</v>
      </c>
      <c r="O57" s="101">
        <f>AVERAGE(L55:L57)</f>
        <v>8470800</v>
      </c>
      <c r="P57" s="101">
        <f>AVERAGE(N55:N57)</f>
        <v>508248</v>
      </c>
      <c r="Q57" s="59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thickBot="1" x14ac:dyDescent="0.3">
      <c r="A58" s="14"/>
      <c r="B58" s="58"/>
      <c r="C58" s="26">
        <v>4</v>
      </c>
      <c r="D58" s="28">
        <v>1</v>
      </c>
      <c r="E58" s="28" t="s">
        <v>36</v>
      </c>
      <c r="F58" s="28">
        <v>30</v>
      </c>
      <c r="G58" s="28">
        <f t="shared" si="18"/>
        <v>14.5</v>
      </c>
      <c r="H58" s="28">
        <v>21</v>
      </c>
      <c r="I58" s="29">
        <f t="shared" si="17"/>
        <v>8.2352941176470587E-2</v>
      </c>
      <c r="J58" s="28">
        <f t="shared" si="19"/>
        <v>83</v>
      </c>
      <c r="K58" s="30">
        <f t="shared" si="21"/>
        <v>0.32549019607843138</v>
      </c>
      <c r="L58" s="91">
        <f t="shared" si="22"/>
        <v>7475256</v>
      </c>
      <c r="M58" s="31">
        <v>7.3800000000000004E-2</v>
      </c>
      <c r="N58" s="103">
        <f t="shared" si="20"/>
        <v>551673.89280000003</v>
      </c>
      <c r="O58" s="61"/>
      <c r="P58" s="25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thickBot="1" x14ac:dyDescent="0.3">
      <c r="A59" s="14"/>
      <c r="B59" s="58"/>
      <c r="C59" s="26">
        <v>5</v>
      </c>
      <c r="D59" s="28">
        <v>1</v>
      </c>
      <c r="E59" s="28" t="s">
        <v>36</v>
      </c>
      <c r="F59" s="28">
        <v>31</v>
      </c>
      <c r="G59" s="28">
        <f t="shared" si="18"/>
        <v>15</v>
      </c>
      <c r="H59" s="28">
        <v>22</v>
      </c>
      <c r="I59" s="29">
        <f t="shared" si="17"/>
        <v>8.6274509803921567E-2</v>
      </c>
      <c r="J59" s="28">
        <f t="shared" si="19"/>
        <v>105</v>
      </c>
      <c r="K59" s="30">
        <f t="shared" si="21"/>
        <v>0.41176470588235292</v>
      </c>
      <c r="L59" s="91">
        <f t="shared" si="22"/>
        <v>6923582.1072000004</v>
      </c>
      <c r="M59" s="31">
        <v>7.3800000000000004E-2</v>
      </c>
      <c r="N59" s="103">
        <f t="shared" si="20"/>
        <v>510960.35951136006</v>
      </c>
      <c r="O59" s="84"/>
      <c r="P59" s="3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thickBot="1" x14ac:dyDescent="0.3">
      <c r="A60" s="14"/>
      <c r="B60" s="58"/>
      <c r="C60" s="26">
        <v>6</v>
      </c>
      <c r="D60" s="28">
        <v>1</v>
      </c>
      <c r="E60" s="28" t="s">
        <v>36</v>
      </c>
      <c r="F60" s="28">
        <v>30</v>
      </c>
      <c r="G60" s="28">
        <f t="shared" si="18"/>
        <v>14.5</v>
      </c>
      <c r="H60" s="28">
        <v>20</v>
      </c>
      <c r="I60" s="29">
        <f t="shared" si="17"/>
        <v>7.8431372549019607E-2</v>
      </c>
      <c r="J60" s="28">
        <f t="shared" si="19"/>
        <v>125</v>
      </c>
      <c r="K60" s="30">
        <f t="shared" si="21"/>
        <v>0.49019607843137253</v>
      </c>
      <c r="L60" s="91">
        <f t="shared" si="22"/>
        <v>6412621.7476886399</v>
      </c>
      <c r="M60" s="31">
        <v>0.06</v>
      </c>
      <c r="N60" s="97">
        <f t="shared" si="20"/>
        <v>384757.30486131838</v>
      </c>
      <c r="O60" s="101">
        <f t="shared" ref="O60" si="23">AVERAGE(L58:L60)</f>
        <v>6937153.2849628804</v>
      </c>
      <c r="P60" s="101">
        <f>AVERAGE(N58:N60)</f>
        <v>482463.8523908928</v>
      </c>
      <c r="Q60" s="59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thickBot="1" x14ac:dyDescent="0.3">
      <c r="A61" s="14"/>
      <c r="B61" s="58"/>
      <c r="C61" s="26">
        <v>7</v>
      </c>
      <c r="D61" s="28">
        <v>1</v>
      </c>
      <c r="E61" s="28" t="s">
        <v>36</v>
      </c>
      <c r="F61" s="28">
        <v>31</v>
      </c>
      <c r="G61" s="28">
        <f t="shared" si="18"/>
        <v>15</v>
      </c>
      <c r="H61" s="28">
        <v>23</v>
      </c>
      <c r="I61" s="29">
        <f t="shared" si="17"/>
        <v>9.0196078431372548E-2</v>
      </c>
      <c r="J61" s="28">
        <f t="shared" si="19"/>
        <v>148</v>
      </c>
      <c r="K61" s="30">
        <f t="shared" si="21"/>
        <v>0.58039215686274503</v>
      </c>
      <c r="L61" s="91">
        <f t="shared" si="22"/>
        <v>6027864.4428273216</v>
      </c>
      <c r="M61" s="31">
        <v>0.06</v>
      </c>
      <c r="N61" s="103">
        <f t="shared" si="20"/>
        <v>361671.8665696393</v>
      </c>
      <c r="O61" s="61"/>
      <c r="P61" s="25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thickBot="1" x14ac:dyDescent="0.3">
      <c r="A62" s="14"/>
      <c r="B62" s="58"/>
      <c r="C62" s="26">
        <v>8</v>
      </c>
      <c r="D62" s="28">
        <v>1</v>
      </c>
      <c r="E62" s="28" t="s">
        <v>36</v>
      </c>
      <c r="F62" s="28">
        <v>31</v>
      </c>
      <c r="G62" s="28">
        <f t="shared" si="18"/>
        <v>15</v>
      </c>
      <c r="H62" s="28">
        <v>22</v>
      </c>
      <c r="I62" s="29">
        <f t="shared" si="17"/>
        <v>8.6274509803921567E-2</v>
      </c>
      <c r="J62" s="28">
        <f t="shared" si="19"/>
        <v>170</v>
      </c>
      <c r="K62" s="30">
        <f t="shared" si="21"/>
        <v>0.66666666666666663</v>
      </c>
      <c r="L62" s="91">
        <f t="shared" si="22"/>
        <v>5666192.5762576824</v>
      </c>
      <c r="M62" s="31">
        <v>0.06</v>
      </c>
      <c r="N62" s="103">
        <f t="shared" si="20"/>
        <v>339971.5545754609</v>
      </c>
      <c r="O62" s="84"/>
      <c r="P62" s="3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thickBot="1" x14ac:dyDescent="0.3">
      <c r="A63" s="14"/>
      <c r="B63" s="58"/>
      <c r="C63" s="26">
        <v>9</v>
      </c>
      <c r="D63" s="28">
        <v>1</v>
      </c>
      <c r="E63" s="28" t="s">
        <v>36</v>
      </c>
      <c r="F63" s="28">
        <v>30</v>
      </c>
      <c r="G63" s="28">
        <f t="shared" si="18"/>
        <v>14.5</v>
      </c>
      <c r="H63" s="28">
        <v>21</v>
      </c>
      <c r="I63" s="29">
        <f t="shared" si="17"/>
        <v>8.2352941176470587E-2</v>
      </c>
      <c r="J63" s="28">
        <f t="shared" si="19"/>
        <v>191</v>
      </c>
      <c r="K63" s="30">
        <f t="shared" si="21"/>
        <v>0.74901960784313726</v>
      </c>
      <c r="L63" s="91">
        <f t="shared" si="22"/>
        <v>5326221.0216822214</v>
      </c>
      <c r="M63" s="31">
        <v>0.06</v>
      </c>
      <c r="N63" s="97">
        <f t="shared" si="20"/>
        <v>319573.26130093326</v>
      </c>
      <c r="O63" s="101">
        <f t="shared" ref="O63" si="24">AVERAGE(L61:L63)</f>
        <v>5673426.0135890758</v>
      </c>
      <c r="P63" s="101">
        <f>AVERAGE(N61:N63)</f>
        <v>340405.56081534451</v>
      </c>
      <c r="Q63" s="59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thickBot="1" x14ac:dyDescent="0.3">
      <c r="A64" s="14"/>
      <c r="B64" s="58"/>
      <c r="C64" s="26">
        <v>10</v>
      </c>
      <c r="D64" s="28">
        <v>1</v>
      </c>
      <c r="E64" s="28" t="s">
        <v>36</v>
      </c>
      <c r="F64" s="28">
        <v>31</v>
      </c>
      <c r="G64" s="28">
        <f t="shared" si="18"/>
        <v>15</v>
      </c>
      <c r="H64" s="28">
        <v>23</v>
      </c>
      <c r="I64" s="29">
        <f t="shared" si="17"/>
        <v>9.0196078431372548E-2</v>
      </c>
      <c r="J64" s="28">
        <f t="shared" si="19"/>
        <v>214</v>
      </c>
      <c r="K64" s="30">
        <f t="shared" si="21"/>
        <v>0.83921568627450982</v>
      </c>
      <c r="L64" s="91">
        <f t="shared" si="22"/>
        <v>5006647.7603812879</v>
      </c>
      <c r="M64" s="31">
        <v>0.06</v>
      </c>
      <c r="N64" s="103">
        <f t="shared" si="20"/>
        <v>300398.86562287726</v>
      </c>
      <c r="O64" s="61"/>
      <c r="P64" s="25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thickBot="1" x14ac:dyDescent="0.3">
      <c r="A65" s="14"/>
      <c r="B65" s="58"/>
      <c r="C65" s="26">
        <v>11</v>
      </c>
      <c r="D65" s="28">
        <v>1</v>
      </c>
      <c r="E65" s="28" t="s">
        <v>36</v>
      </c>
      <c r="F65" s="28">
        <v>30</v>
      </c>
      <c r="G65" s="28">
        <f t="shared" si="18"/>
        <v>14.5</v>
      </c>
      <c r="H65" s="28">
        <v>20</v>
      </c>
      <c r="I65" s="29">
        <f t="shared" si="17"/>
        <v>7.8431372549019607E-2</v>
      </c>
      <c r="J65" s="28">
        <f t="shared" si="19"/>
        <v>234</v>
      </c>
      <c r="K65" s="30">
        <f t="shared" si="21"/>
        <v>0.91764705882352948</v>
      </c>
      <c r="L65" s="91">
        <f t="shared" si="22"/>
        <v>4706248.8947584108</v>
      </c>
      <c r="M65" s="31">
        <v>0.06</v>
      </c>
      <c r="N65" s="103">
        <f t="shared" si="20"/>
        <v>282374.93368550466</v>
      </c>
      <c r="O65" s="84"/>
      <c r="P65" s="3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thickBot="1" x14ac:dyDescent="0.3">
      <c r="A66" s="14"/>
      <c r="B66" s="58"/>
      <c r="C66" s="32">
        <v>12</v>
      </c>
      <c r="D66" s="9">
        <v>1</v>
      </c>
      <c r="E66" s="9" t="s">
        <v>36</v>
      </c>
      <c r="F66" s="9">
        <v>31</v>
      </c>
      <c r="G66" s="24">
        <f t="shared" si="18"/>
        <v>15</v>
      </c>
      <c r="H66" s="24">
        <v>21</v>
      </c>
      <c r="I66" s="33">
        <f t="shared" si="17"/>
        <v>8.2352941176470587E-2</v>
      </c>
      <c r="J66" s="9">
        <f t="shared" si="19"/>
        <v>255</v>
      </c>
      <c r="K66" s="74">
        <f t="shared" si="21"/>
        <v>1</v>
      </c>
      <c r="L66" s="92">
        <f t="shared" si="22"/>
        <v>4423873.9610729059</v>
      </c>
      <c r="M66" s="75">
        <v>7.3800000000000004E-2</v>
      </c>
      <c r="N66" s="98">
        <f t="shared" si="20"/>
        <v>326481.89832718048</v>
      </c>
      <c r="O66" s="101">
        <f t="shared" ref="O66" si="25">AVERAGE(L64:L66)</f>
        <v>4712256.8720708685</v>
      </c>
      <c r="P66" s="101">
        <f>AVERAGE(N64:N66)</f>
        <v>303085.23254518746</v>
      </c>
      <c r="Q66" s="59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thickBot="1" x14ac:dyDescent="0.3">
      <c r="A67" s="14"/>
      <c r="B67" s="58"/>
      <c r="C67" s="80" t="s">
        <v>44</v>
      </c>
      <c r="D67" s="77"/>
      <c r="E67" s="64"/>
      <c r="F67" s="76"/>
      <c r="G67" s="81">
        <f>SUBTOTAL(9,G55:G66)</f>
        <v>176.5</v>
      </c>
      <c r="H67" s="82">
        <f>SUBTOTAL(9,H55:H66)</f>
        <v>255</v>
      </c>
      <c r="I67" s="83">
        <f>SUBTOTAL(9,I55:I66)</f>
        <v>1</v>
      </c>
      <c r="J67" s="77"/>
      <c r="K67" s="76"/>
      <c r="L67" s="101">
        <f>SUBTOTAL(9,L55:L66)</f>
        <v>77380908.511868462</v>
      </c>
      <c r="M67" s="78"/>
      <c r="N67" s="101">
        <f>SUBTOTAL(9,N55:N66)</f>
        <v>4902607.9372542743</v>
      </c>
      <c r="O67" s="61"/>
      <c r="P67" s="25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thickBot="1" x14ac:dyDescent="0.3">
      <c r="A68" s="14"/>
      <c r="B68" s="14"/>
      <c r="C68" s="64"/>
      <c r="D68" s="14"/>
      <c r="E68" s="14"/>
      <c r="F68" s="14"/>
      <c r="G68" s="64"/>
      <c r="H68" s="64"/>
      <c r="I68" s="64"/>
      <c r="J68" s="14"/>
      <c r="K68" s="14"/>
      <c r="L68" s="64"/>
      <c r="M68" s="14"/>
      <c r="N68" s="6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thickBot="1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thickBot="1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thickBo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thickBo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thickBo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thickBot="1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thickBo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thickBot="1" x14ac:dyDescent="0.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thickBot="1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thickBot="1" x14ac:dyDescent="0.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thickBot="1" x14ac:dyDescent="0.3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thickBot="1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thickBot="1" x14ac:dyDescent="0.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thickBot="1" x14ac:dyDescent="0.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thickBot="1" x14ac:dyDescent="0.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thickBot="1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thickBot="1" x14ac:dyDescent="0.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thickBo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thickBot="1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thickBot="1" x14ac:dyDescent="0.3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thickBot="1" x14ac:dyDescent="0.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thickBot="1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thickBot="1" x14ac:dyDescent="0.3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thickBot="1" x14ac:dyDescent="0.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thickBot="1" x14ac:dyDescent="0.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thickBot="1" x14ac:dyDescent="0.3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thickBot="1" x14ac:dyDescent="0.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thickBot="1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thickBot="1" x14ac:dyDescent="0.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thickBot="1" x14ac:dyDescent="0.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thickBot="1" x14ac:dyDescent="0.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thickBot="1" x14ac:dyDescent="0.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thickBot="1" x14ac:dyDescent="0.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thickBot="1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thickBot="1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thickBot="1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thickBot="1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thickBot="1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thickBo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thickBot="1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thickBot="1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thickBot="1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thickBot="1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thickBot="1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thickBot="1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thickBot="1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thickBot="1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thickBot="1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thickBot="1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thickBot="1" x14ac:dyDescent="0.3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thickBot="1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thickBot="1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thickBot="1" x14ac:dyDescent="0.3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thickBot="1" x14ac:dyDescent="0.3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thickBot="1" x14ac:dyDescent="0.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thickBot="1" x14ac:dyDescent="0.3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thickBot="1" x14ac:dyDescent="0.3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thickBot="1" x14ac:dyDescent="0.3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thickBot="1" x14ac:dyDescent="0.3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thickBo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thickBot="1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thickBot="1" x14ac:dyDescent="0.3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thickBot="1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thickBot="1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thickBot="1" x14ac:dyDescent="0.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thickBot="1" x14ac:dyDescent="0.3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thickBot="1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thickBot="1" x14ac:dyDescent="0.3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thickBot="1" x14ac:dyDescent="0.3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thickBot="1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thickBot="1" x14ac:dyDescent="0.3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thickBot="1" x14ac:dyDescent="0.3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thickBot="1" x14ac:dyDescent="0.3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thickBot="1" x14ac:dyDescent="0.3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thickBot="1" x14ac:dyDescent="0.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thickBot="1" x14ac:dyDescent="0.3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thickBot="1" x14ac:dyDescent="0.3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thickBot="1" x14ac:dyDescent="0.3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thickBot="1" x14ac:dyDescent="0.3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thickBot="1" x14ac:dyDescent="0.3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thickBot="1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thickBot="1" x14ac:dyDescent="0.3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thickBot="1" x14ac:dyDescent="0.3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thickBot="1" x14ac:dyDescent="0.3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thickBot="1" x14ac:dyDescent="0.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thickBot="1" x14ac:dyDescent="0.3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thickBot="1" x14ac:dyDescent="0.3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thickBot="1" x14ac:dyDescent="0.3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thickBot="1" x14ac:dyDescent="0.3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thickBot="1" x14ac:dyDescent="0.3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thickBot="1" x14ac:dyDescent="0.3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thickBot="1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thickBot="1" x14ac:dyDescent="0.3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thickBot="1" x14ac:dyDescent="0.3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thickBot="1" x14ac:dyDescent="0.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thickBot="1" x14ac:dyDescent="0.3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thickBot="1" x14ac:dyDescent="0.3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thickBot="1" x14ac:dyDescent="0.3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thickBot="1" x14ac:dyDescent="0.3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thickBot="1" x14ac:dyDescent="0.3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thickBot="1" x14ac:dyDescent="0.3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thickBo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thickBot="1" x14ac:dyDescent="0.3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thickBot="1" x14ac:dyDescent="0.3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thickBot="1" x14ac:dyDescent="0.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thickBot="1" x14ac:dyDescent="0.3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thickBot="1" x14ac:dyDescent="0.3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thickBot="1" x14ac:dyDescent="0.3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thickBot="1" x14ac:dyDescent="0.3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thickBot="1" x14ac:dyDescent="0.3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thickBot="1" x14ac:dyDescent="0.3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thickBot="1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thickBot="1" x14ac:dyDescent="0.3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thickBot="1" x14ac:dyDescent="0.3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thickBot="1" x14ac:dyDescent="0.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thickBot="1" x14ac:dyDescent="0.3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thickBot="1" x14ac:dyDescent="0.3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thickBot="1" x14ac:dyDescent="0.3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thickBot="1" x14ac:dyDescent="0.3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thickBot="1" x14ac:dyDescent="0.3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thickBot="1" x14ac:dyDescent="0.3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thickBot="1" x14ac:dyDescent="0.3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thickBot="1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thickBot="1" x14ac:dyDescent="0.3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thickBot="1" x14ac:dyDescent="0.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thickBot="1" x14ac:dyDescent="0.3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thickBot="1" x14ac:dyDescent="0.3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thickBot="1" x14ac:dyDescent="0.3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thickBot="1" x14ac:dyDescent="0.3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thickBot="1" x14ac:dyDescent="0.3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thickBot="1" x14ac:dyDescent="0.3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thickBot="1" x14ac:dyDescent="0.3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thickBot="1" x14ac:dyDescent="0.3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thickBot="1" x14ac:dyDescent="0.3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thickBot="1" x14ac:dyDescent="0.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thickBot="1" x14ac:dyDescent="0.3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thickBot="1" x14ac:dyDescent="0.3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thickBot="1" x14ac:dyDescent="0.3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thickBot="1" x14ac:dyDescent="0.3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thickBot="1" x14ac:dyDescent="0.3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thickBot="1" x14ac:dyDescent="0.3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thickBot="1" x14ac:dyDescent="0.3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thickBot="1" x14ac:dyDescent="0.3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thickBot="1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thickBot="1" x14ac:dyDescent="0.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thickBot="1" x14ac:dyDescent="0.3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thickBot="1" x14ac:dyDescent="0.3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thickBot="1" x14ac:dyDescent="0.3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thickBot="1" x14ac:dyDescent="0.3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thickBot="1" x14ac:dyDescent="0.3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thickBot="1" x14ac:dyDescent="0.3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thickBot="1" x14ac:dyDescent="0.3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thickBot="1" x14ac:dyDescent="0.3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thickBot="1" x14ac:dyDescent="0.3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thickBot="1" x14ac:dyDescent="0.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thickBot="1" x14ac:dyDescent="0.3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thickBot="1" x14ac:dyDescent="0.3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thickBot="1" x14ac:dyDescent="0.3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thickBot="1" x14ac:dyDescent="0.3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thickBot="1" x14ac:dyDescent="0.3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thickBot="1" x14ac:dyDescent="0.3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thickBot="1" x14ac:dyDescent="0.3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thickBot="1" x14ac:dyDescent="0.3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thickBot="1" x14ac:dyDescent="0.3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thickBot="1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thickBot="1" x14ac:dyDescent="0.3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thickBot="1" x14ac:dyDescent="0.3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thickBot="1" x14ac:dyDescent="0.3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thickBot="1" x14ac:dyDescent="0.3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thickBot="1" x14ac:dyDescent="0.3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thickBot="1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thickBot="1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thickBot="1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thickBot="1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thickBot="1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thickBot="1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thickBot="1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thickBot="1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thickBot="1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thickBot="1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thickBot="1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thickBot="1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thickBot="1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thickBot="1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thickBot="1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thickBot="1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thickBot="1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thickBot="1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thickBot="1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thickBot="1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thickBot="1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thickBot="1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thickBot="1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thickBot="1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thickBot="1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thickBot="1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thickBot="1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thickBot="1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thickBot="1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thickBot="1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thickBot="1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thickBot="1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thickBot="1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thickBot="1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thickBot="1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thickBot="1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thickBot="1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thickBot="1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thickBot="1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thickBot="1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thickBot="1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thickBot="1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thickBot="1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thickBot="1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thickBot="1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thickBot="1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thickBot="1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thickBot="1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thickBot="1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thickBot="1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thickBot="1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thickBot="1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thickBot="1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thickBot="1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thickBot="1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thickBot="1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thickBot="1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thickBot="1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thickBot="1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thickBot="1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thickBot="1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thickBot="1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thickBot="1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</sheetData>
  <mergeCells count="36">
    <mergeCell ref="O16:P16"/>
    <mergeCell ref="N16:N17"/>
    <mergeCell ref="M16:M17"/>
    <mergeCell ref="L16:L17"/>
    <mergeCell ref="K16:K17"/>
    <mergeCell ref="H16:H17"/>
    <mergeCell ref="G16:G17"/>
    <mergeCell ref="C16:C17"/>
    <mergeCell ref="C34:C35"/>
    <mergeCell ref="G34:G35"/>
    <mergeCell ref="H34:H35"/>
    <mergeCell ref="D34:F34"/>
    <mergeCell ref="D16:F16"/>
    <mergeCell ref="K34:K35"/>
    <mergeCell ref="L34:L35"/>
    <mergeCell ref="M34:M35"/>
    <mergeCell ref="N34:N35"/>
    <mergeCell ref="I16:I17"/>
    <mergeCell ref="I34:I35"/>
    <mergeCell ref="J16:J17"/>
    <mergeCell ref="C15:P15"/>
    <mergeCell ref="C33:P33"/>
    <mergeCell ref="C52:P52"/>
    <mergeCell ref="J53:J54"/>
    <mergeCell ref="I53:I54"/>
    <mergeCell ref="H53:H54"/>
    <mergeCell ref="G53:G54"/>
    <mergeCell ref="C53:C54"/>
    <mergeCell ref="D53:F53"/>
    <mergeCell ref="O34:P34"/>
    <mergeCell ref="O53:P53"/>
    <mergeCell ref="N53:N54"/>
    <mergeCell ref="M53:M54"/>
    <mergeCell ref="L53:L54"/>
    <mergeCell ref="K53:K54"/>
    <mergeCell ref="J34:J3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37"/>
  <sheetViews>
    <sheetView showGridLines="0" tabSelected="1" topLeftCell="H88" zoomScale="80" zoomScaleNormal="80" workbookViewId="0">
      <selection activeCell="N7" sqref="N7"/>
    </sheetView>
  </sheetViews>
  <sheetFormatPr defaultRowHeight="15" x14ac:dyDescent="0.25"/>
  <cols>
    <col min="1" max="1" width="0" hidden="1" customWidth="1"/>
    <col min="2" max="2" width="2.140625" customWidth="1"/>
    <col min="3" max="3" width="3" bestFit="1" customWidth="1"/>
    <col min="4" max="4" width="18.42578125" customWidth="1"/>
    <col min="5" max="5" width="7.7109375" bestFit="1" customWidth="1"/>
    <col min="6" max="6" width="3" customWidth="1"/>
    <col min="7" max="7" width="8.5703125" bestFit="1" customWidth="1"/>
    <col min="8" max="8" width="5" bestFit="1" customWidth="1"/>
    <col min="9" max="9" width="21.85546875" bestFit="1" customWidth="1"/>
    <col min="10" max="10" width="21.140625" bestFit="1" customWidth="1"/>
    <col min="11" max="11" width="25.5703125" bestFit="1" customWidth="1"/>
    <col min="12" max="12" width="19.42578125" customWidth="1"/>
    <col min="13" max="13" width="19.7109375" bestFit="1" customWidth="1"/>
    <col min="14" max="15" width="22.42578125" bestFit="1" customWidth="1"/>
    <col min="16" max="17" width="21.140625" customWidth="1"/>
    <col min="18" max="18" width="24.85546875" bestFit="1" customWidth="1"/>
    <col min="19" max="19" width="21.140625" customWidth="1"/>
    <col min="20" max="20" width="5.85546875" customWidth="1"/>
    <col min="21" max="21" width="21.140625" customWidth="1"/>
    <col min="22" max="22" width="19.140625" bestFit="1" customWidth="1"/>
    <col min="23" max="23" width="4" customWidth="1"/>
    <col min="24" max="24" width="21.42578125" bestFit="1" customWidth="1"/>
    <col min="25" max="25" width="20.28515625" bestFit="1" customWidth="1"/>
    <col min="26" max="26" width="19" bestFit="1" customWidth="1"/>
    <col min="27" max="27" width="17.42578125" bestFit="1" customWidth="1"/>
    <col min="28" max="28" width="13.140625" bestFit="1" customWidth="1"/>
  </cols>
  <sheetData>
    <row r="1" spans="1:29" ht="15.75" thickBot="1" x14ac:dyDescent="0.3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51"/>
      <c r="T1" s="58"/>
      <c r="U1" s="88"/>
      <c r="V1" s="87"/>
      <c r="W1" s="87"/>
      <c r="X1" s="87"/>
      <c r="Y1" s="87"/>
      <c r="Z1" s="87"/>
      <c r="AA1" s="87"/>
      <c r="AB1" s="87"/>
      <c r="AC1" s="44"/>
    </row>
    <row r="2" spans="1:29" ht="15.75" thickBot="1" x14ac:dyDescent="0.3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51"/>
      <c r="T2" s="15"/>
      <c r="U2" s="10" t="s">
        <v>45</v>
      </c>
      <c r="V2" s="95">
        <v>9000000</v>
      </c>
      <c r="W2" s="11"/>
      <c r="X2" s="158">
        <f>V2*4.38</f>
        <v>39420000</v>
      </c>
      <c r="Y2" s="11"/>
      <c r="Z2" s="11"/>
      <c r="AA2" s="11"/>
      <c r="AB2" s="12"/>
      <c r="AC2" s="44"/>
    </row>
    <row r="3" spans="1:29" ht="15.75" thickBot="1" x14ac:dyDescent="0.3">
      <c r="A3" s="45"/>
      <c r="B3" s="45"/>
      <c r="C3" s="45"/>
      <c r="D3" s="45"/>
      <c r="E3" s="152" t="s">
        <v>94</v>
      </c>
      <c r="F3" s="153">
        <f>R18</f>
        <v>55877057613.168732</v>
      </c>
      <c r="G3" s="153">
        <f>R48</f>
        <v>25837551440.329224</v>
      </c>
      <c r="H3" s="153">
        <f>R79</f>
        <v>157707407407.40741</v>
      </c>
      <c r="J3" s="45"/>
      <c r="K3" s="45"/>
      <c r="L3" s="45"/>
      <c r="M3" s="45"/>
      <c r="N3" s="45"/>
      <c r="O3" s="45"/>
      <c r="P3" s="45"/>
      <c r="Q3" s="45"/>
      <c r="R3" s="45"/>
      <c r="S3" s="51"/>
      <c r="T3" s="15"/>
      <c r="U3" s="48" t="s">
        <v>57</v>
      </c>
      <c r="V3" s="13">
        <v>0.64</v>
      </c>
      <c r="W3" s="14"/>
      <c r="X3" s="14"/>
      <c r="Y3" s="14"/>
      <c r="Z3" s="14"/>
      <c r="AA3" s="14"/>
      <c r="AB3" s="15"/>
    </row>
    <row r="4" spans="1:29" ht="15.75" thickBot="1" x14ac:dyDescent="0.3">
      <c r="A4" s="45"/>
      <c r="B4" s="45"/>
      <c r="C4" s="45"/>
      <c r="D4" s="45"/>
      <c r="E4" s="152" t="s">
        <v>95</v>
      </c>
      <c r="F4" s="153">
        <f>R21</f>
        <v>37937242798.353912</v>
      </c>
      <c r="G4" s="153">
        <f>R51</f>
        <v>17542181069.958847</v>
      </c>
      <c r="H4" s="153">
        <f>R82</f>
        <v>107074074074.07408</v>
      </c>
      <c r="J4" s="45"/>
      <c r="K4" s="45"/>
      <c r="L4" s="45"/>
      <c r="M4" s="45"/>
      <c r="N4" s="45"/>
      <c r="O4" s="45"/>
      <c r="P4" s="45"/>
      <c r="Q4" s="45"/>
      <c r="R4" s="45"/>
      <c r="S4" s="51"/>
      <c r="T4" s="15"/>
      <c r="U4" s="48" t="s">
        <v>58</v>
      </c>
      <c r="V4" s="13">
        <v>0.36</v>
      </c>
      <c r="W4" s="14"/>
      <c r="X4" s="14"/>
      <c r="Y4" s="14"/>
      <c r="Z4" s="14"/>
      <c r="AA4" s="14"/>
      <c r="AB4" s="15"/>
      <c r="AC4" s="46"/>
    </row>
    <row r="5" spans="1:29" ht="30.75" thickBot="1" x14ac:dyDescent="0.3">
      <c r="A5" s="45"/>
      <c r="B5" s="45"/>
      <c r="C5" s="45"/>
      <c r="D5" s="45"/>
      <c r="E5" s="152" t="s">
        <v>96</v>
      </c>
      <c r="F5" s="153">
        <f>R24</f>
        <v>23469650205.761318</v>
      </c>
      <c r="G5" s="153">
        <f>R54</f>
        <v>10852366255.144033</v>
      </c>
      <c r="H5" s="153">
        <f>R85</f>
        <v>66240740740.740746</v>
      </c>
      <c r="J5" s="45"/>
      <c r="K5" s="45"/>
      <c r="L5" s="45"/>
      <c r="M5" s="45"/>
      <c r="N5" s="45"/>
      <c r="O5" s="45"/>
      <c r="P5" s="45"/>
      <c r="Q5" s="45"/>
      <c r="R5" s="45"/>
      <c r="S5" s="51"/>
      <c r="T5" s="15"/>
      <c r="U5" s="48" t="s">
        <v>59</v>
      </c>
      <c r="V5" s="13">
        <v>0.23</v>
      </c>
      <c r="W5" s="14"/>
      <c r="X5" s="159">
        <f>X2*V5</f>
        <v>9066600</v>
      </c>
      <c r="Y5" s="14"/>
      <c r="Z5" s="14"/>
      <c r="AA5" s="14"/>
      <c r="AB5" s="15"/>
      <c r="AC5" s="46"/>
    </row>
    <row r="6" spans="1:29" ht="30.75" thickBot="1" x14ac:dyDescent="0.3">
      <c r="A6" s="45"/>
      <c r="B6" s="45"/>
      <c r="C6" s="45"/>
      <c r="D6" s="45"/>
      <c r="E6" s="152" t="s">
        <v>97</v>
      </c>
      <c r="F6" s="153">
        <f>R27</f>
        <v>12474279835.390945</v>
      </c>
      <c r="G6" s="153">
        <f>R57</f>
        <v>5768106995.8847733</v>
      </c>
      <c r="H6" s="153">
        <f>R88</f>
        <v>35207407407.40741</v>
      </c>
      <c r="J6" s="45"/>
      <c r="K6" s="45"/>
      <c r="L6" s="45"/>
      <c r="M6" s="45"/>
      <c r="N6" s="45"/>
      <c r="O6" s="45"/>
      <c r="P6" s="45"/>
      <c r="Q6" s="45"/>
      <c r="R6" s="45"/>
      <c r="S6" s="51"/>
      <c r="T6" s="15"/>
      <c r="U6" s="48" t="s">
        <v>60</v>
      </c>
      <c r="V6" s="13">
        <v>0.31</v>
      </c>
      <c r="W6" s="14"/>
      <c r="X6" s="159">
        <f>X2*V6</f>
        <v>12220200</v>
      </c>
      <c r="Y6" s="14"/>
      <c r="Z6" s="14"/>
      <c r="AA6" s="14"/>
      <c r="AB6" s="15"/>
      <c r="AC6" s="46"/>
    </row>
    <row r="7" spans="1:29" ht="45.75" thickBot="1" x14ac:dyDescent="0.3">
      <c r="A7" s="45"/>
      <c r="B7" s="45"/>
      <c r="C7" s="45"/>
      <c r="D7" s="45"/>
      <c r="E7" s="152" t="s">
        <v>98</v>
      </c>
      <c r="F7" s="153">
        <f>R30</f>
        <v>4951131687.2427988</v>
      </c>
      <c r="G7" s="153">
        <f>R60</f>
        <v>2289403292.1810699</v>
      </c>
      <c r="H7" s="153">
        <f>R91</f>
        <v>13974074074.074074</v>
      </c>
      <c r="J7" s="45"/>
      <c r="K7" s="45"/>
      <c r="L7" s="45"/>
      <c r="M7" s="45"/>
      <c r="N7" s="45"/>
      <c r="O7" s="45"/>
      <c r="P7" s="45"/>
      <c r="Q7" s="45"/>
      <c r="R7" s="45"/>
      <c r="S7" s="51"/>
      <c r="T7" s="15"/>
      <c r="U7" s="48" t="s">
        <v>12</v>
      </c>
      <c r="V7" s="94">
        <f>V2*15%</f>
        <v>1350000</v>
      </c>
      <c r="W7" s="14"/>
      <c r="X7" s="14"/>
      <c r="Y7" s="14"/>
      <c r="Z7" s="14"/>
      <c r="AA7" s="14"/>
      <c r="AB7" s="15"/>
      <c r="AC7" s="46"/>
    </row>
    <row r="8" spans="1:29" ht="15.75" thickBot="1" x14ac:dyDescent="0.3">
      <c r="A8" s="45"/>
      <c r="B8" s="45"/>
      <c r="C8" s="45"/>
      <c r="D8" s="45"/>
      <c r="E8" s="152" t="s">
        <v>99</v>
      </c>
      <c r="F8" s="153">
        <f>R33</f>
        <v>900205761.316872</v>
      </c>
      <c r="G8" s="153">
        <f>R63</f>
        <v>416255144.03292185</v>
      </c>
      <c r="H8" s="153">
        <f>R94</f>
        <v>2540740740.7407413</v>
      </c>
      <c r="J8" s="45"/>
      <c r="K8" s="45"/>
      <c r="L8" s="45"/>
      <c r="M8" s="45"/>
      <c r="N8" s="45"/>
      <c r="O8" s="45"/>
      <c r="P8" s="45"/>
      <c r="Q8" s="45"/>
      <c r="R8" s="45"/>
      <c r="S8" s="51"/>
      <c r="T8" s="15"/>
      <c r="U8" s="48"/>
      <c r="V8" s="17"/>
      <c r="W8" s="18"/>
      <c r="X8" s="14"/>
      <c r="Y8" s="91"/>
      <c r="Z8" s="14"/>
      <c r="AA8" s="91"/>
      <c r="AB8" s="15"/>
      <c r="AC8" s="46"/>
    </row>
    <row r="9" spans="1:29" ht="15.75" thickBot="1" x14ac:dyDescent="0.3">
      <c r="A9" s="45"/>
      <c r="B9" s="45"/>
      <c r="C9" s="45"/>
      <c r="D9" s="45"/>
      <c r="E9" s="152" t="s">
        <v>100</v>
      </c>
      <c r="F9" s="153">
        <f>R36</f>
        <v>321502057.61316812</v>
      </c>
      <c r="G9" s="153">
        <f>R66</f>
        <v>148662551.44032899</v>
      </c>
      <c r="H9" s="153">
        <f>R97</f>
        <v>907407407.40740776</v>
      </c>
      <c r="J9" s="45"/>
      <c r="K9" s="45"/>
      <c r="L9" s="45"/>
      <c r="M9" s="45"/>
      <c r="N9" s="45"/>
      <c r="O9" s="45"/>
      <c r="P9" s="45"/>
      <c r="Q9" s="45"/>
      <c r="R9" s="45"/>
      <c r="S9" s="51"/>
      <c r="T9" s="15"/>
      <c r="AC9" s="46"/>
    </row>
    <row r="10" spans="1:29" ht="15.75" thickBot="1" x14ac:dyDescent="0.3">
      <c r="A10" s="45"/>
      <c r="B10" s="45"/>
      <c r="C10" s="45"/>
      <c r="D10" s="45"/>
      <c r="E10" s="152" t="s">
        <v>101</v>
      </c>
      <c r="F10" s="153">
        <f>R39</f>
        <v>3215020576.1316876</v>
      </c>
      <c r="G10" s="153">
        <f>R69</f>
        <v>1486625514.4032924</v>
      </c>
      <c r="H10" s="153">
        <f>R100</f>
        <v>9074074074.0740681</v>
      </c>
      <c r="J10" s="45"/>
      <c r="K10" s="45"/>
      <c r="L10" s="45"/>
      <c r="M10" s="45"/>
      <c r="N10" s="45"/>
      <c r="O10" s="45"/>
      <c r="P10" s="45"/>
      <c r="Q10" s="45"/>
      <c r="R10" s="45"/>
      <c r="S10" s="51"/>
      <c r="T10" s="15"/>
      <c r="AC10" s="46"/>
    </row>
    <row r="11" spans="1:29" ht="15.75" thickBot="1" x14ac:dyDescent="0.3">
      <c r="A11" s="45"/>
      <c r="B11" s="45"/>
      <c r="C11" s="45"/>
      <c r="D11" s="45"/>
      <c r="E11" s="47"/>
      <c r="F11" s="47"/>
      <c r="G11" s="47"/>
      <c r="H11" s="47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51"/>
      <c r="T11" s="15"/>
      <c r="AC11" s="46"/>
    </row>
    <row r="12" spans="1:29" ht="15.75" thickBot="1" x14ac:dyDescent="0.3">
      <c r="A12" s="45"/>
      <c r="B12" s="45"/>
      <c r="C12" s="45"/>
      <c r="D12" s="45"/>
      <c r="E12" s="47"/>
      <c r="F12" s="47"/>
      <c r="G12" s="47"/>
      <c r="H12" s="47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51"/>
      <c r="T12" s="15"/>
      <c r="AC12" s="46"/>
    </row>
    <row r="13" spans="1:29" ht="15.75" thickBot="1" x14ac:dyDescent="0.3">
      <c r="A13" s="45"/>
      <c r="B13" s="45"/>
      <c r="C13" s="45"/>
      <c r="D13" s="45"/>
      <c r="E13" s="47"/>
      <c r="F13" s="47"/>
      <c r="G13" s="47"/>
      <c r="H13" s="47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51"/>
      <c r="T13" s="15"/>
      <c r="U13" s="20"/>
      <c r="V13" s="21"/>
      <c r="W13" s="22"/>
      <c r="X13" s="93"/>
      <c r="Y13" s="22"/>
      <c r="Z13" s="93"/>
      <c r="AA13" s="22"/>
      <c r="AB13" s="23"/>
      <c r="AC13" s="46"/>
    </row>
    <row r="14" spans="1:29" x14ac:dyDescent="0.25">
      <c r="A14" s="45"/>
      <c r="B14" s="45"/>
      <c r="C14" s="45"/>
      <c r="D14" s="45"/>
      <c r="E14" s="47"/>
      <c r="F14" s="47"/>
      <c r="G14" s="47"/>
      <c r="H14" s="47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0"/>
      <c r="U14" s="41"/>
      <c r="V14" s="42"/>
      <c r="W14" s="43"/>
      <c r="X14" s="43"/>
      <c r="Y14" s="43"/>
      <c r="Z14" s="43"/>
      <c r="AA14" s="43"/>
      <c r="AB14" s="43"/>
      <c r="AC14" s="43"/>
    </row>
    <row r="15" spans="1:29" ht="21.75" thickBot="1" x14ac:dyDescent="0.4">
      <c r="A15" s="50"/>
      <c r="B15" s="50"/>
      <c r="C15" s="186" t="s">
        <v>106</v>
      </c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52"/>
      <c r="U15" s="53"/>
      <c r="V15" s="54"/>
      <c r="W15" s="50"/>
      <c r="X15" s="50"/>
      <c r="Y15" s="50"/>
      <c r="Z15" s="50"/>
      <c r="AA15" s="50"/>
      <c r="AB15" s="50"/>
      <c r="AC15" s="50"/>
    </row>
    <row r="16" spans="1:29" s="149" customFormat="1" ht="18.75" thickBot="1" x14ac:dyDescent="0.3">
      <c r="A16" s="18"/>
      <c r="B16" s="146"/>
      <c r="C16" s="191" t="s">
        <v>42</v>
      </c>
      <c r="D16" s="191" t="s">
        <v>93</v>
      </c>
      <c r="E16" s="189" t="s">
        <v>107</v>
      </c>
      <c r="F16" s="189"/>
      <c r="G16" s="189"/>
      <c r="H16" s="191" t="s">
        <v>108</v>
      </c>
      <c r="I16" s="189" t="s">
        <v>109</v>
      </c>
      <c r="J16" s="184" t="s">
        <v>110</v>
      </c>
      <c r="K16" s="189" t="s">
        <v>111</v>
      </c>
      <c r="L16" s="184" t="s">
        <v>112</v>
      </c>
      <c r="M16" s="189" t="s">
        <v>102</v>
      </c>
      <c r="N16" s="184" t="s">
        <v>114</v>
      </c>
      <c r="O16" s="184" t="s">
        <v>115</v>
      </c>
      <c r="P16" s="184" t="s">
        <v>50</v>
      </c>
      <c r="Q16" s="184" t="s">
        <v>25</v>
      </c>
      <c r="R16" s="184" t="s">
        <v>113</v>
      </c>
      <c r="S16" s="189" t="s">
        <v>103</v>
      </c>
      <c r="T16" s="147"/>
      <c r="U16" s="148"/>
      <c r="V16" s="16"/>
      <c r="W16" s="18"/>
      <c r="X16" s="18"/>
      <c r="Y16" s="18"/>
      <c r="Z16" s="18"/>
      <c r="AA16" s="18"/>
      <c r="AB16" s="18"/>
      <c r="AC16" s="18"/>
    </row>
    <row r="17" spans="1:29" s="149" customFormat="1" ht="15.75" thickBot="1" x14ac:dyDescent="0.3">
      <c r="A17" s="18"/>
      <c r="B17" s="146"/>
      <c r="C17" s="193"/>
      <c r="D17" s="192"/>
      <c r="E17" s="154" t="s">
        <v>34</v>
      </c>
      <c r="F17" s="155"/>
      <c r="G17" s="154" t="s">
        <v>35</v>
      </c>
      <c r="H17" s="193"/>
      <c r="I17" s="190"/>
      <c r="J17" s="188"/>
      <c r="K17" s="190"/>
      <c r="L17" s="188"/>
      <c r="M17" s="190"/>
      <c r="N17" s="188"/>
      <c r="O17" s="188"/>
      <c r="P17" s="185"/>
      <c r="Q17" s="185"/>
      <c r="R17" s="188"/>
      <c r="S17" s="190"/>
      <c r="T17" s="150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16" customFormat="1" ht="12.75" customHeight="1" thickBot="1" x14ac:dyDescent="0.3">
      <c r="A18" s="104"/>
      <c r="B18" s="105"/>
      <c r="C18" s="123">
        <v>1</v>
      </c>
      <c r="D18" s="194" t="s">
        <v>69</v>
      </c>
      <c r="E18" s="194">
        <v>1</v>
      </c>
      <c r="F18" s="124" t="s">
        <v>36</v>
      </c>
      <c r="G18" s="197">
        <v>31</v>
      </c>
      <c r="H18" s="139">
        <f>(G18-E18)/2</f>
        <v>15</v>
      </c>
      <c r="I18" s="125">
        <v>22</v>
      </c>
      <c r="J18" s="126">
        <f t="shared" ref="J18:J29" si="0">I18/$I$42</f>
        <v>4.3478260869565216E-2</v>
      </c>
      <c r="K18" s="125">
        <v>22</v>
      </c>
      <c r="L18" s="127">
        <f>J18</f>
        <v>4.3478260869565216E-2</v>
      </c>
      <c r="M18" s="143">
        <v>0</v>
      </c>
      <c r="N18" s="128">
        <f>X2*V3</f>
        <v>25228800</v>
      </c>
      <c r="O18" s="128">
        <f>X2*V3</f>
        <v>25228800</v>
      </c>
      <c r="P18" s="160">
        <v>0.06</v>
      </c>
      <c r="Q18" s="200">
        <f>O18*P18</f>
        <v>1513728</v>
      </c>
      <c r="R18" s="180">
        <f>SUM((M18-S18)^2+(M19-S19)^2+(M20-S20)^2)/3</f>
        <v>55877057613.168732</v>
      </c>
      <c r="S18" s="129">
        <v>250000</v>
      </c>
      <c r="T18" s="157"/>
      <c r="U18" s="104"/>
      <c r="V18" s="104"/>
      <c r="W18" s="104"/>
      <c r="X18" s="104"/>
      <c r="Y18" s="104"/>
      <c r="Z18" s="104"/>
      <c r="AA18" s="115"/>
      <c r="AB18" s="104"/>
      <c r="AC18" s="104"/>
    </row>
    <row r="19" spans="1:29" ht="15.75" thickBot="1" x14ac:dyDescent="0.3">
      <c r="A19" s="104"/>
      <c r="B19" s="58"/>
      <c r="C19" s="130">
        <v>2</v>
      </c>
      <c r="D19" s="195" t="s">
        <v>70</v>
      </c>
      <c r="E19" s="195">
        <v>1</v>
      </c>
      <c r="F19" s="131" t="s">
        <v>36</v>
      </c>
      <c r="G19" s="198">
        <v>29</v>
      </c>
      <c r="H19" s="140">
        <f t="shared" ref="H19:H41" si="1">(G19-E19)/2</f>
        <v>14</v>
      </c>
      <c r="I19" s="117">
        <v>19</v>
      </c>
      <c r="J19" s="142">
        <f t="shared" si="0"/>
        <v>3.7549407114624504E-2</v>
      </c>
      <c r="K19" s="117">
        <f t="shared" ref="K19:K41" si="2">(I19+K18)</f>
        <v>41</v>
      </c>
      <c r="L19" s="132">
        <f>J19+L18</f>
        <v>8.1027667984189727E-2</v>
      </c>
      <c r="M19" s="144">
        <f>C18*S18/18</f>
        <v>13888.888888888889</v>
      </c>
      <c r="N19" s="118">
        <f>N18+M18-Q18-S18</f>
        <v>23465072</v>
      </c>
      <c r="O19" s="118">
        <f>O18-Q18-S18</f>
        <v>23465072</v>
      </c>
      <c r="P19" s="161">
        <v>0.06</v>
      </c>
      <c r="Q19" s="201">
        <f t="shared" ref="Q19:Q41" si="3">O19*P19</f>
        <v>1407904.3199999998</v>
      </c>
      <c r="R19" s="181"/>
      <c r="S19" s="133">
        <v>250000</v>
      </c>
      <c r="T19" s="56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ht="15.75" thickBot="1" x14ac:dyDescent="0.3">
      <c r="A20" s="104"/>
      <c r="B20" s="58"/>
      <c r="C20" s="130">
        <v>3</v>
      </c>
      <c r="D20" s="195" t="s">
        <v>71</v>
      </c>
      <c r="E20" s="195">
        <v>1</v>
      </c>
      <c r="F20" s="131" t="s">
        <v>36</v>
      </c>
      <c r="G20" s="198">
        <v>31</v>
      </c>
      <c r="H20" s="140">
        <f t="shared" si="1"/>
        <v>15</v>
      </c>
      <c r="I20" s="117">
        <v>22</v>
      </c>
      <c r="J20" s="142">
        <f t="shared" si="0"/>
        <v>4.3478260869565216E-2</v>
      </c>
      <c r="K20" s="117">
        <f t="shared" si="2"/>
        <v>63</v>
      </c>
      <c r="L20" s="132">
        <f t="shared" ref="L20:L41" si="4">J20+L19</f>
        <v>0.12450592885375494</v>
      </c>
      <c r="M20" s="144">
        <f t="shared" ref="M20:M41" si="5">C19*S19/18</f>
        <v>27777.777777777777</v>
      </c>
      <c r="N20" s="118">
        <f t="shared" ref="N20:N41" si="6">N19+M19-Q19-S19</f>
        <v>21821056.568888888</v>
      </c>
      <c r="O20" s="118">
        <f t="shared" ref="N20:O41" si="7">O19-Q19-S19</f>
        <v>21807167.68</v>
      </c>
      <c r="P20" s="161">
        <v>0.06</v>
      </c>
      <c r="Q20" s="201">
        <f t="shared" si="3"/>
        <v>1308430.0607999999</v>
      </c>
      <c r="R20" s="182"/>
      <c r="S20" s="133">
        <v>250000</v>
      </c>
      <c r="T20" s="59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15.75" thickBot="1" x14ac:dyDescent="0.3">
      <c r="A21" s="104"/>
      <c r="B21" s="58"/>
      <c r="C21" s="130">
        <v>4</v>
      </c>
      <c r="D21" s="195" t="s">
        <v>72</v>
      </c>
      <c r="E21" s="195">
        <v>1</v>
      </c>
      <c r="F21" s="131" t="s">
        <v>36</v>
      </c>
      <c r="G21" s="198">
        <v>30</v>
      </c>
      <c r="H21" s="140">
        <f t="shared" si="1"/>
        <v>14.5</v>
      </c>
      <c r="I21" s="117">
        <v>20</v>
      </c>
      <c r="J21" s="142">
        <f t="shared" si="0"/>
        <v>3.9525691699604744E-2</v>
      </c>
      <c r="K21" s="117">
        <f t="shared" si="2"/>
        <v>83</v>
      </c>
      <c r="L21" s="132">
        <f t="shared" si="4"/>
        <v>0.16403162055335968</v>
      </c>
      <c r="M21" s="144">
        <f t="shared" si="5"/>
        <v>41666.666666666664</v>
      </c>
      <c r="N21" s="118">
        <f t="shared" si="6"/>
        <v>20290404.285866663</v>
      </c>
      <c r="O21" s="118">
        <f t="shared" si="7"/>
        <v>20248737.619199999</v>
      </c>
      <c r="P21" s="161">
        <v>7.3800000000000004E-2</v>
      </c>
      <c r="Q21" s="201">
        <f t="shared" si="3"/>
        <v>1494356.83629696</v>
      </c>
      <c r="R21" s="180">
        <f>SUM((M21-S21)^2+(M22-S22)^2+(M23-S23)^2)/3</f>
        <v>37937242798.353912</v>
      </c>
      <c r="S21" s="133">
        <v>250000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15.75" thickBot="1" x14ac:dyDescent="0.3">
      <c r="A22" s="104"/>
      <c r="B22" s="58"/>
      <c r="C22" s="130">
        <v>5</v>
      </c>
      <c r="D22" s="195" t="s">
        <v>73</v>
      </c>
      <c r="E22" s="195">
        <v>1</v>
      </c>
      <c r="F22" s="131" t="s">
        <v>36</v>
      </c>
      <c r="G22" s="198">
        <v>31</v>
      </c>
      <c r="H22" s="140">
        <f t="shared" si="1"/>
        <v>15</v>
      </c>
      <c r="I22" s="117">
        <v>20</v>
      </c>
      <c r="J22" s="142">
        <f t="shared" si="0"/>
        <v>3.9525691699604744E-2</v>
      </c>
      <c r="K22" s="117">
        <f t="shared" si="2"/>
        <v>103</v>
      </c>
      <c r="L22" s="132">
        <f t="shared" si="4"/>
        <v>0.20355731225296442</v>
      </c>
      <c r="M22" s="144">
        <f t="shared" si="5"/>
        <v>55555.555555555555</v>
      </c>
      <c r="N22" s="118">
        <f t="shared" si="6"/>
        <v>18587714.11623637</v>
      </c>
      <c r="O22" s="118">
        <f t="shared" si="7"/>
        <v>18504380.782903038</v>
      </c>
      <c r="P22" s="161">
        <v>7.3800000000000004E-2</v>
      </c>
      <c r="Q22" s="201">
        <f t="shared" si="3"/>
        <v>1365623.3017782443</v>
      </c>
      <c r="R22" s="181"/>
      <c r="S22" s="133">
        <v>250000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5.75" thickBot="1" x14ac:dyDescent="0.3">
      <c r="A23" s="104"/>
      <c r="B23" s="58"/>
      <c r="C23" s="130">
        <v>6</v>
      </c>
      <c r="D23" s="195" t="s">
        <v>74</v>
      </c>
      <c r="E23" s="195">
        <v>1</v>
      </c>
      <c r="F23" s="131" t="s">
        <v>36</v>
      </c>
      <c r="G23" s="198">
        <v>30</v>
      </c>
      <c r="H23" s="140">
        <f t="shared" si="1"/>
        <v>14.5</v>
      </c>
      <c r="I23" s="117">
        <v>22</v>
      </c>
      <c r="J23" s="142">
        <f t="shared" si="0"/>
        <v>4.3478260869565216E-2</v>
      </c>
      <c r="K23" s="117">
        <f t="shared" si="2"/>
        <v>125</v>
      </c>
      <c r="L23" s="132">
        <f t="shared" si="4"/>
        <v>0.24703557312252963</v>
      </c>
      <c r="M23" s="144">
        <f t="shared" si="5"/>
        <v>69444.444444444438</v>
      </c>
      <c r="N23" s="118">
        <f t="shared" si="6"/>
        <v>17027646.37001368</v>
      </c>
      <c r="O23" s="118">
        <f t="shared" si="7"/>
        <v>16888757.481124792</v>
      </c>
      <c r="P23" s="161">
        <v>0.06</v>
      </c>
      <c r="Q23" s="201">
        <f t="shared" si="3"/>
        <v>1013325.4488674875</v>
      </c>
      <c r="R23" s="182"/>
      <c r="S23" s="133">
        <v>250000</v>
      </c>
      <c r="T23" s="59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5.75" thickBot="1" x14ac:dyDescent="0.3">
      <c r="A24" s="104"/>
      <c r="B24" s="58"/>
      <c r="C24" s="130">
        <v>7</v>
      </c>
      <c r="D24" s="195" t="s">
        <v>75</v>
      </c>
      <c r="E24" s="195">
        <v>1</v>
      </c>
      <c r="F24" s="131" t="s">
        <v>36</v>
      </c>
      <c r="G24" s="198">
        <v>31</v>
      </c>
      <c r="H24" s="140">
        <f t="shared" si="1"/>
        <v>15</v>
      </c>
      <c r="I24" s="117">
        <v>23</v>
      </c>
      <c r="J24" s="142">
        <f t="shared" si="0"/>
        <v>4.5454545454545456E-2</v>
      </c>
      <c r="K24" s="117">
        <f t="shared" si="2"/>
        <v>148</v>
      </c>
      <c r="L24" s="132">
        <f t="shared" si="4"/>
        <v>0.29249011857707508</v>
      </c>
      <c r="M24" s="144">
        <f t="shared" si="5"/>
        <v>83333.333333333328</v>
      </c>
      <c r="N24" s="118">
        <f t="shared" si="6"/>
        <v>15833765.365590638</v>
      </c>
      <c r="O24" s="118">
        <f t="shared" si="7"/>
        <v>15625432.032257305</v>
      </c>
      <c r="P24" s="161">
        <v>0.06</v>
      </c>
      <c r="Q24" s="201">
        <f t="shared" si="3"/>
        <v>937525.92193543829</v>
      </c>
      <c r="R24" s="180">
        <f>SUM((M24-S24)^2+(M25-S25)^2+(M26-S26)^2)/3</f>
        <v>23469650205.761318</v>
      </c>
      <c r="S24" s="133">
        <v>250000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15.75" thickBot="1" x14ac:dyDescent="0.3">
      <c r="A25" s="104"/>
      <c r="B25" s="58"/>
      <c r="C25" s="130">
        <v>8</v>
      </c>
      <c r="D25" s="195" t="s">
        <v>76</v>
      </c>
      <c r="E25" s="195">
        <v>1</v>
      </c>
      <c r="F25" s="131" t="s">
        <v>36</v>
      </c>
      <c r="G25" s="198">
        <v>31</v>
      </c>
      <c r="H25" s="140">
        <f t="shared" si="1"/>
        <v>15</v>
      </c>
      <c r="I25" s="117">
        <v>21</v>
      </c>
      <c r="J25" s="142">
        <f t="shared" si="0"/>
        <v>4.1501976284584984E-2</v>
      </c>
      <c r="K25" s="117">
        <f t="shared" si="2"/>
        <v>169</v>
      </c>
      <c r="L25" s="132">
        <f t="shared" si="4"/>
        <v>0.33399209486166004</v>
      </c>
      <c r="M25" s="144">
        <f t="shared" si="5"/>
        <v>97222.222222222219</v>
      </c>
      <c r="N25" s="118">
        <f t="shared" si="6"/>
        <v>14729572.776988532</v>
      </c>
      <c r="O25" s="118">
        <f t="shared" si="7"/>
        <v>14437906.110321866</v>
      </c>
      <c r="P25" s="161">
        <v>0.06</v>
      </c>
      <c r="Q25" s="201">
        <f t="shared" si="3"/>
        <v>866274.36661931197</v>
      </c>
      <c r="R25" s="181"/>
      <c r="S25" s="133">
        <v>250000</v>
      </c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5.75" thickBot="1" x14ac:dyDescent="0.3">
      <c r="A26" s="104"/>
      <c r="B26" s="58"/>
      <c r="C26" s="130">
        <v>9</v>
      </c>
      <c r="D26" s="195" t="s">
        <v>77</v>
      </c>
      <c r="E26" s="195">
        <v>1</v>
      </c>
      <c r="F26" s="131" t="s">
        <v>36</v>
      </c>
      <c r="G26" s="198">
        <v>30</v>
      </c>
      <c r="H26" s="140">
        <f t="shared" si="1"/>
        <v>14.5</v>
      </c>
      <c r="I26" s="117">
        <v>21</v>
      </c>
      <c r="J26" s="142">
        <f t="shared" si="0"/>
        <v>4.1501976284584984E-2</v>
      </c>
      <c r="K26" s="117">
        <f t="shared" si="2"/>
        <v>190</v>
      </c>
      <c r="L26" s="132">
        <f t="shared" si="4"/>
        <v>0.375494071146245</v>
      </c>
      <c r="M26" s="144">
        <f t="shared" si="5"/>
        <v>111111.11111111111</v>
      </c>
      <c r="N26" s="118">
        <f t="shared" si="6"/>
        <v>13710520.632591443</v>
      </c>
      <c r="O26" s="118">
        <f t="shared" si="7"/>
        <v>13321631.743702555</v>
      </c>
      <c r="P26" s="161">
        <v>0.06</v>
      </c>
      <c r="Q26" s="201">
        <f t="shared" si="3"/>
        <v>799297.90462215326</v>
      </c>
      <c r="R26" s="182"/>
      <c r="S26" s="133">
        <v>250000</v>
      </c>
      <c r="T26" s="59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5.75" thickBot="1" x14ac:dyDescent="0.3">
      <c r="A27" s="104"/>
      <c r="B27" s="58"/>
      <c r="C27" s="130">
        <v>10</v>
      </c>
      <c r="D27" s="195" t="s">
        <v>78</v>
      </c>
      <c r="E27" s="195">
        <v>1</v>
      </c>
      <c r="F27" s="131" t="s">
        <v>36</v>
      </c>
      <c r="G27" s="198">
        <v>31</v>
      </c>
      <c r="H27" s="140">
        <f t="shared" si="1"/>
        <v>15</v>
      </c>
      <c r="I27" s="117">
        <v>21</v>
      </c>
      <c r="J27" s="142">
        <f t="shared" si="0"/>
        <v>4.1501976284584984E-2</v>
      </c>
      <c r="K27" s="117">
        <f t="shared" si="2"/>
        <v>211</v>
      </c>
      <c r="L27" s="132">
        <f t="shared" si="4"/>
        <v>0.41699604743082996</v>
      </c>
      <c r="M27" s="144">
        <f t="shared" si="5"/>
        <v>125000</v>
      </c>
      <c r="N27" s="118">
        <f t="shared" si="6"/>
        <v>12772333.839080403</v>
      </c>
      <c r="O27" s="118">
        <f t="shared" si="7"/>
        <v>12272333.839080403</v>
      </c>
      <c r="P27" s="161">
        <v>0.06</v>
      </c>
      <c r="Q27" s="201">
        <f t="shared" si="3"/>
        <v>736340.03034482407</v>
      </c>
      <c r="R27" s="180">
        <f>SUM((M27-S27)^2+(M28-S28)^2+(M29-S29)^2)/3</f>
        <v>12474279835.390945</v>
      </c>
      <c r="S27" s="133">
        <v>250000</v>
      </c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15.75" thickBot="1" x14ac:dyDescent="0.3">
      <c r="A28" s="104"/>
      <c r="B28" s="58"/>
      <c r="C28" s="130">
        <v>11</v>
      </c>
      <c r="D28" s="195" t="s">
        <v>79</v>
      </c>
      <c r="E28" s="195">
        <v>1</v>
      </c>
      <c r="F28" s="131" t="s">
        <v>36</v>
      </c>
      <c r="G28" s="198">
        <v>30</v>
      </c>
      <c r="H28" s="140">
        <f t="shared" si="1"/>
        <v>14.5</v>
      </c>
      <c r="I28" s="117">
        <v>20</v>
      </c>
      <c r="J28" s="142">
        <f t="shared" si="0"/>
        <v>3.9525691699604744E-2</v>
      </c>
      <c r="K28" s="117">
        <f t="shared" si="2"/>
        <v>231</v>
      </c>
      <c r="L28" s="132">
        <f t="shared" si="4"/>
        <v>0.4565217391304347</v>
      </c>
      <c r="M28" s="144">
        <f t="shared" si="5"/>
        <v>138888.88888888888</v>
      </c>
      <c r="N28" s="118">
        <f t="shared" si="6"/>
        <v>11910993.808735579</v>
      </c>
      <c r="O28" s="118">
        <f t="shared" si="7"/>
        <v>11285993.808735579</v>
      </c>
      <c r="P28" s="161">
        <v>0.06</v>
      </c>
      <c r="Q28" s="201">
        <f t="shared" si="3"/>
        <v>677159.62852413475</v>
      </c>
      <c r="R28" s="181"/>
      <c r="S28" s="133">
        <v>250000</v>
      </c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15.75" thickBot="1" x14ac:dyDescent="0.3">
      <c r="A29" s="104"/>
      <c r="B29" s="58"/>
      <c r="C29" s="130">
        <v>12</v>
      </c>
      <c r="D29" s="195" t="s">
        <v>80</v>
      </c>
      <c r="E29" s="195">
        <v>1</v>
      </c>
      <c r="F29" s="131" t="s">
        <v>36</v>
      </c>
      <c r="G29" s="198">
        <v>31</v>
      </c>
      <c r="H29" s="140">
        <f t="shared" si="1"/>
        <v>15</v>
      </c>
      <c r="I29" s="117">
        <v>22</v>
      </c>
      <c r="J29" s="142">
        <f t="shared" si="0"/>
        <v>4.3478260869565216E-2</v>
      </c>
      <c r="K29" s="117">
        <f t="shared" si="2"/>
        <v>253</v>
      </c>
      <c r="L29" s="132">
        <f t="shared" si="4"/>
        <v>0.49999999999999989</v>
      </c>
      <c r="M29" s="144">
        <f t="shared" si="5"/>
        <v>152777.77777777778</v>
      </c>
      <c r="N29" s="118">
        <f t="shared" si="6"/>
        <v>11122723.069100333</v>
      </c>
      <c r="O29" s="118">
        <f t="shared" si="7"/>
        <v>10358834.180211445</v>
      </c>
      <c r="P29" s="161">
        <v>7.3800000000000004E-2</v>
      </c>
      <c r="Q29" s="201">
        <f t="shared" si="3"/>
        <v>764481.96249960468</v>
      </c>
      <c r="R29" s="182"/>
      <c r="S29" s="133">
        <v>250000</v>
      </c>
      <c r="T29" s="59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15.75" thickBot="1" x14ac:dyDescent="0.3">
      <c r="A30" s="104"/>
      <c r="B30" s="58"/>
      <c r="C30" s="130">
        <v>13</v>
      </c>
      <c r="D30" s="195" t="s">
        <v>81</v>
      </c>
      <c r="E30" s="195">
        <v>1</v>
      </c>
      <c r="F30" s="131" t="s">
        <v>36</v>
      </c>
      <c r="G30" s="198">
        <v>31</v>
      </c>
      <c r="H30" s="140">
        <f t="shared" si="1"/>
        <v>15</v>
      </c>
      <c r="I30" s="117">
        <v>20</v>
      </c>
      <c r="J30" s="142">
        <f t="shared" ref="J30:J41" si="8">I30/$I$42</f>
        <v>3.9525691699604744E-2</v>
      </c>
      <c r="K30" s="117">
        <f t="shared" si="2"/>
        <v>273</v>
      </c>
      <c r="L30" s="132">
        <f t="shared" si="4"/>
        <v>0.53952569169960463</v>
      </c>
      <c r="M30" s="144">
        <f t="shared" si="5"/>
        <v>166666.66666666666</v>
      </c>
      <c r="N30" s="118">
        <f t="shared" si="6"/>
        <v>10261018.884378506</v>
      </c>
      <c r="O30" s="118">
        <f t="shared" si="7"/>
        <v>9344352.2177118398</v>
      </c>
      <c r="P30" s="161">
        <v>0.06</v>
      </c>
      <c r="Q30" s="201">
        <f t="shared" si="3"/>
        <v>560661.1330627104</v>
      </c>
      <c r="R30" s="180">
        <f>SUM((M30-S30)^2+(M31-S31)^2+(M32-S32)^2)/3</f>
        <v>4951131687.2427988</v>
      </c>
      <c r="S30" s="133">
        <v>250000</v>
      </c>
      <c r="T30" s="59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5.75" thickBot="1" x14ac:dyDescent="0.3">
      <c r="A31" s="104"/>
      <c r="B31" s="58"/>
      <c r="C31" s="130">
        <v>14</v>
      </c>
      <c r="D31" s="195" t="s">
        <v>82</v>
      </c>
      <c r="E31" s="195">
        <v>1</v>
      </c>
      <c r="F31" s="131" t="s">
        <v>36</v>
      </c>
      <c r="G31" s="198">
        <v>28</v>
      </c>
      <c r="H31" s="140">
        <f t="shared" si="1"/>
        <v>13.5</v>
      </c>
      <c r="I31" s="117">
        <v>19</v>
      </c>
      <c r="J31" s="142">
        <f t="shared" si="8"/>
        <v>3.7549407114624504E-2</v>
      </c>
      <c r="K31" s="117">
        <f t="shared" si="2"/>
        <v>292</v>
      </c>
      <c r="L31" s="132">
        <f t="shared" si="4"/>
        <v>0.57707509881422914</v>
      </c>
      <c r="M31" s="144">
        <f t="shared" si="5"/>
        <v>180555.55555555556</v>
      </c>
      <c r="N31" s="118">
        <f t="shared" si="6"/>
        <v>9617024.4179824609</v>
      </c>
      <c r="O31" s="118">
        <f t="shared" si="7"/>
        <v>8533691.0846491288</v>
      </c>
      <c r="P31" s="161">
        <v>0.06</v>
      </c>
      <c r="Q31" s="201">
        <f t="shared" si="3"/>
        <v>512021.46507894772</v>
      </c>
      <c r="R31" s="181"/>
      <c r="S31" s="133">
        <v>250000</v>
      </c>
      <c r="T31" s="59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5.75" thickBot="1" x14ac:dyDescent="0.3">
      <c r="A32" s="104"/>
      <c r="B32" s="58"/>
      <c r="C32" s="130">
        <v>15</v>
      </c>
      <c r="D32" s="195" t="s">
        <v>83</v>
      </c>
      <c r="E32" s="195">
        <v>1</v>
      </c>
      <c r="F32" s="131" t="s">
        <v>36</v>
      </c>
      <c r="G32" s="198">
        <v>31</v>
      </c>
      <c r="H32" s="140">
        <f t="shared" si="1"/>
        <v>15</v>
      </c>
      <c r="I32" s="117">
        <v>23</v>
      </c>
      <c r="J32" s="142">
        <f t="shared" si="8"/>
        <v>4.5454545454545456E-2</v>
      </c>
      <c r="K32" s="117">
        <f t="shared" si="2"/>
        <v>315</v>
      </c>
      <c r="L32" s="132">
        <f t="shared" si="4"/>
        <v>0.62252964426877455</v>
      </c>
      <c r="M32" s="144">
        <f t="shared" si="5"/>
        <v>194444.44444444444</v>
      </c>
      <c r="N32" s="118">
        <f t="shared" si="6"/>
        <v>9035558.5084590688</v>
      </c>
      <c r="O32" s="118">
        <f t="shared" si="7"/>
        <v>7771669.6195701808</v>
      </c>
      <c r="P32" s="161">
        <v>0.06</v>
      </c>
      <c r="Q32" s="201">
        <f t="shared" si="3"/>
        <v>466300.17717421084</v>
      </c>
      <c r="R32" s="182"/>
      <c r="S32" s="133">
        <v>250000</v>
      </c>
      <c r="T32" s="59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5.75" thickBot="1" x14ac:dyDescent="0.3">
      <c r="A33" s="104"/>
      <c r="B33" s="58"/>
      <c r="C33" s="130">
        <v>16</v>
      </c>
      <c r="D33" s="195" t="s">
        <v>84</v>
      </c>
      <c r="E33" s="195">
        <v>1</v>
      </c>
      <c r="F33" s="131" t="s">
        <v>36</v>
      </c>
      <c r="G33" s="198">
        <v>30</v>
      </c>
      <c r="H33" s="140">
        <f t="shared" si="1"/>
        <v>14.5</v>
      </c>
      <c r="I33" s="117">
        <v>20</v>
      </c>
      <c r="J33" s="142">
        <f t="shared" si="8"/>
        <v>3.9525691699604744E-2</v>
      </c>
      <c r="K33" s="117">
        <f t="shared" si="2"/>
        <v>335</v>
      </c>
      <c r="L33" s="132">
        <f t="shared" si="4"/>
        <v>0.66205533596837929</v>
      </c>
      <c r="M33" s="144">
        <f t="shared" si="5"/>
        <v>208333.33333333334</v>
      </c>
      <c r="N33" s="118">
        <f t="shared" si="6"/>
        <v>8513702.7757293023</v>
      </c>
      <c r="O33" s="118">
        <f t="shared" si="7"/>
        <v>7055369.4423959702</v>
      </c>
      <c r="P33" s="161">
        <v>7.3800000000000004E-2</v>
      </c>
      <c r="Q33" s="201">
        <f t="shared" si="3"/>
        <v>520686.26484882261</v>
      </c>
      <c r="R33" s="180">
        <f>SUM((M33-S33)^2+(M34-S34)^2+(M35-S35)^2)/3</f>
        <v>900205761.316872</v>
      </c>
      <c r="S33" s="133">
        <v>250000</v>
      </c>
      <c r="T33" s="59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5.75" thickBot="1" x14ac:dyDescent="0.3">
      <c r="A34" s="104"/>
      <c r="B34" s="58"/>
      <c r="C34" s="130">
        <v>17</v>
      </c>
      <c r="D34" s="195" t="s">
        <v>85</v>
      </c>
      <c r="E34" s="195">
        <v>1</v>
      </c>
      <c r="F34" s="131" t="s">
        <v>36</v>
      </c>
      <c r="G34" s="198">
        <v>31</v>
      </c>
      <c r="H34" s="140">
        <f t="shared" si="1"/>
        <v>15</v>
      </c>
      <c r="I34" s="117">
        <v>21</v>
      </c>
      <c r="J34" s="142">
        <f t="shared" si="8"/>
        <v>4.1501976284584984E-2</v>
      </c>
      <c r="K34" s="117">
        <f t="shared" si="2"/>
        <v>356</v>
      </c>
      <c r="L34" s="132">
        <f t="shared" si="4"/>
        <v>0.70355731225296425</v>
      </c>
      <c r="M34" s="144">
        <f t="shared" si="5"/>
        <v>222222.22222222222</v>
      </c>
      <c r="N34" s="118">
        <f t="shared" si="6"/>
        <v>7951349.8442138135</v>
      </c>
      <c r="O34" s="118">
        <f t="shared" si="7"/>
        <v>6284683.1775471475</v>
      </c>
      <c r="P34" s="161">
        <v>7.3800000000000004E-2</v>
      </c>
      <c r="Q34" s="201">
        <f t="shared" si="3"/>
        <v>463809.61850297952</v>
      </c>
      <c r="R34" s="181"/>
      <c r="S34" s="133">
        <v>250000</v>
      </c>
      <c r="T34" s="59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15.75" thickBot="1" x14ac:dyDescent="0.3">
      <c r="A35" s="104"/>
      <c r="B35" s="58"/>
      <c r="C35" s="130">
        <v>18</v>
      </c>
      <c r="D35" s="195" t="s">
        <v>86</v>
      </c>
      <c r="E35" s="195">
        <v>1</v>
      </c>
      <c r="F35" s="131" t="s">
        <v>36</v>
      </c>
      <c r="G35" s="198">
        <v>30</v>
      </c>
      <c r="H35" s="140">
        <f t="shared" si="1"/>
        <v>14.5</v>
      </c>
      <c r="I35" s="117">
        <v>22</v>
      </c>
      <c r="J35" s="142">
        <f t="shared" si="8"/>
        <v>4.3478260869565216E-2</v>
      </c>
      <c r="K35" s="117">
        <f t="shared" si="2"/>
        <v>378</v>
      </c>
      <c r="L35" s="132">
        <f t="shared" si="4"/>
        <v>0.74703557312252944</v>
      </c>
      <c r="M35" s="144">
        <f t="shared" si="5"/>
        <v>236111.11111111112</v>
      </c>
      <c r="N35" s="118">
        <f t="shared" si="6"/>
        <v>7459762.4479330564</v>
      </c>
      <c r="O35" s="118">
        <f t="shared" si="7"/>
        <v>5570873.5590441683</v>
      </c>
      <c r="P35" s="161">
        <v>0.06</v>
      </c>
      <c r="Q35" s="201">
        <f t="shared" si="3"/>
        <v>334252.41354265012</v>
      </c>
      <c r="R35" s="182"/>
      <c r="S35" s="133">
        <v>250000</v>
      </c>
      <c r="T35" s="59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ht="15.75" thickBot="1" x14ac:dyDescent="0.3">
      <c r="A36" s="104"/>
      <c r="B36" s="58"/>
      <c r="C36" s="130">
        <v>19</v>
      </c>
      <c r="D36" s="195" t="s">
        <v>87</v>
      </c>
      <c r="E36" s="195">
        <v>1</v>
      </c>
      <c r="F36" s="131" t="s">
        <v>36</v>
      </c>
      <c r="G36" s="198">
        <v>31</v>
      </c>
      <c r="H36" s="140">
        <f t="shared" si="1"/>
        <v>15</v>
      </c>
      <c r="I36" s="117">
        <v>22</v>
      </c>
      <c r="J36" s="142">
        <f t="shared" si="8"/>
        <v>4.3478260869565216E-2</v>
      </c>
      <c r="K36" s="117">
        <f t="shared" si="2"/>
        <v>400</v>
      </c>
      <c r="L36" s="132">
        <f t="shared" si="4"/>
        <v>0.79051383399209463</v>
      </c>
      <c r="M36" s="144">
        <f t="shared" si="5"/>
        <v>250000</v>
      </c>
      <c r="N36" s="118">
        <f t="shared" si="6"/>
        <v>7111621.1455015177</v>
      </c>
      <c r="O36" s="118">
        <f t="shared" si="7"/>
        <v>4986621.1455015186</v>
      </c>
      <c r="P36" s="161">
        <v>0.06</v>
      </c>
      <c r="Q36" s="201">
        <f t="shared" si="3"/>
        <v>299197.26873009111</v>
      </c>
      <c r="R36" s="180">
        <f>SUM((M36-S36)^2+(M37-S37)^2+(M38-S38)^2)/3</f>
        <v>321502057.61316812</v>
      </c>
      <c r="S36" s="133">
        <v>250000</v>
      </c>
      <c r="T36" s="59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ht="15.75" thickBot="1" x14ac:dyDescent="0.3">
      <c r="A37" s="104"/>
      <c r="B37" s="58"/>
      <c r="C37" s="130">
        <v>20</v>
      </c>
      <c r="D37" s="195" t="s">
        <v>88</v>
      </c>
      <c r="E37" s="195">
        <v>1</v>
      </c>
      <c r="F37" s="131" t="s">
        <v>36</v>
      </c>
      <c r="G37" s="198">
        <v>31</v>
      </c>
      <c r="H37" s="140">
        <f t="shared" si="1"/>
        <v>15</v>
      </c>
      <c r="I37" s="117">
        <v>22</v>
      </c>
      <c r="J37" s="142">
        <f t="shared" si="8"/>
        <v>4.3478260869565216E-2</v>
      </c>
      <c r="K37" s="117">
        <f t="shared" si="2"/>
        <v>422</v>
      </c>
      <c r="L37" s="132">
        <f t="shared" si="4"/>
        <v>0.83399209486165982</v>
      </c>
      <c r="M37" s="144">
        <f t="shared" si="5"/>
        <v>263888.88888888888</v>
      </c>
      <c r="N37" s="118">
        <f t="shared" si="6"/>
        <v>6812423.8767714268</v>
      </c>
      <c r="O37" s="118">
        <f t="shared" si="7"/>
        <v>4437423.8767714277</v>
      </c>
      <c r="P37" s="161">
        <v>0.06</v>
      </c>
      <c r="Q37" s="201">
        <f t="shared" si="3"/>
        <v>266245.43260628567</v>
      </c>
      <c r="R37" s="181"/>
      <c r="S37" s="133">
        <v>250000</v>
      </c>
      <c r="T37" s="59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5.75" thickBot="1" x14ac:dyDescent="0.3">
      <c r="A38" s="104"/>
      <c r="B38" s="58"/>
      <c r="C38" s="130">
        <v>21</v>
      </c>
      <c r="D38" s="195" t="s">
        <v>89</v>
      </c>
      <c r="E38" s="195">
        <v>1</v>
      </c>
      <c r="F38" s="131" t="s">
        <v>36</v>
      </c>
      <c r="G38" s="198">
        <v>30</v>
      </c>
      <c r="H38" s="140">
        <f t="shared" si="1"/>
        <v>14.5</v>
      </c>
      <c r="I38" s="117">
        <v>21</v>
      </c>
      <c r="J38" s="142">
        <f t="shared" si="8"/>
        <v>4.1501976284584984E-2</v>
      </c>
      <c r="K38" s="117">
        <f t="shared" si="2"/>
        <v>443</v>
      </c>
      <c r="L38" s="132">
        <f t="shared" si="4"/>
        <v>0.87549407114624478</v>
      </c>
      <c r="M38" s="144">
        <f t="shared" si="5"/>
        <v>277777.77777777775</v>
      </c>
      <c r="N38" s="118">
        <f t="shared" si="6"/>
        <v>6560067.3330540303</v>
      </c>
      <c r="O38" s="118">
        <f t="shared" si="7"/>
        <v>3921178.4441651423</v>
      </c>
      <c r="P38" s="161">
        <v>0.06</v>
      </c>
      <c r="Q38" s="201">
        <f t="shared" si="3"/>
        <v>235270.70664990853</v>
      </c>
      <c r="R38" s="182"/>
      <c r="S38" s="133">
        <v>250000</v>
      </c>
      <c r="T38" s="59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15.75" thickBot="1" x14ac:dyDescent="0.3">
      <c r="A39" s="104"/>
      <c r="B39" s="58"/>
      <c r="C39" s="130">
        <v>22</v>
      </c>
      <c r="D39" s="195" t="s">
        <v>90</v>
      </c>
      <c r="E39" s="195">
        <v>1</v>
      </c>
      <c r="F39" s="131" t="s">
        <v>36</v>
      </c>
      <c r="G39" s="198">
        <v>31</v>
      </c>
      <c r="H39" s="140">
        <f t="shared" si="1"/>
        <v>15</v>
      </c>
      <c r="I39" s="117">
        <v>20</v>
      </c>
      <c r="J39" s="142">
        <f t="shared" si="8"/>
        <v>3.9525691699604744E-2</v>
      </c>
      <c r="K39" s="117">
        <f t="shared" si="2"/>
        <v>463</v>
      </c>
      <c r="L39" s="132">
        <f t="shared" si="4"/>
        <v>0.91501976284584952</v>
      </c>
      <c r="M39" s="144">
        <f t="shared" si="5"/>
        <v>291666.66666666669</v>
      </c>
      <c r="N39" s="118">
        <f t="shared" si="6"/>
        <v>6352574.4041818995</v>
      </c>
      <c r="O39" s="118">
        <f t="shared" si="7"/>
        <v>3435907.7375152339</v>
      </c>
      <c r="P39" s="161">
        <v>0.06</v>
      </c>
      <c r="Q39" s="201">
        <f t="shared" si="3"/>
        <v>206154.46425091402</v>
      </c>
      <c r="R39" s="180">
        <f>SUM((M39-S39)^2+(M40-S40)^2+(M41-S41)^2)/3</f>
        <v>3215020576.1316876</v>
      </c>
      <c r="S39" s="133">
        <v>250000</v>
      </c>
      <c r="T39" s="59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15.75" thickBot="1" x14ac:dyDescent="0.3">
      <c r="A40" s="104"/>
      <c r="B40" s="58"/>
      <c r="C40" s="130">
        <v>23</v>
      </c>
      <c r="D40" s="195" t="s">
        <v>91</v>
      </c>
      <c r="E40" s="195">
        <v>1</v>
      </c>
      <c r="F40" s="131" t="s">
        <v>36</v>
      </c>
      <c r="G40" s="198">
        <v>30</v>
      </c>
      <c r="H40" s="140">
        <f t="shared" si="1"/>
        <v>14.5</v>
      </c>
      <c r="I40" s="117">
        <v>20</v>
      </c>
      <c r="J40" s="142">
        <f t="shared" si="8"/>
        <v>3.9525691699604744E-2</v>
      </c>
      <c r="K40" s="117">
        <f t="shared" si="2"/>
        <v>483</v>
      </c>
      <c r="L40" s="132">
        <f t="shared" si="4"/>
        <v>0.95454545454545425</v>
      </c>
      <c r="M40" s="144">
        <f t="shared" si="5"/>
        <v>305555.55555555556</v>
      </c>
      <c r="N40" s="118">
        <f t="shared" si="6"/>
        <v>6188086.6065976527</v>
      </c>
      <c r="O40" s="118">
        <f t="shared" si="7"/>
        <v>2979753.2732643201</v>
      </c>
      <c r="P40" s="161">
        <v>0.06</v>
      </c>
      <c r="Q40" s="202">
        <f t="shared" si="3"/>
        <v>178785.19639585921</v>
      </c>
      <c r="R40" s="181"/>
      <c r="S40" s="133">
        <v>250000</v>
      </c>
      <c r="T40" s="59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5.75" thickBot="1" x14ac:dyDescent="0.3">
      <c r="A41" s="104"/>
      <c r="B41" s="58"/>
      <c r="C41" s="130">
        <v>24</v>
      </c>
      <c r="D41" s="196" t="s">
        <v>92</v>
      </c>
      <c r="E41" s="196">
        <v>1</v>
      </c>
      <c r="F41" s="134" t="s">
        <v>36</v>
      </c>
      <c r="G41" s="199">
        <v>31</v>
      </c>
      <c r="H41" s="141">
        <f t="shared" si="1"/>
        <v>15</v>
      </c>
      <c r="I41" s="135">
        <v>23</v>
      </c>
      <c r="J41" s="136">
        <f t="shared" si="8"/>
        <v>4.5454545454545456E-2</v>
      </c>
      <c r="K41" s="135">
        <f t="shared" si="2"/>
        <v>506</v>
      </c>
      <c r="L41" s="137">
        <f t="shared" si="4"/>
        <v>0.99999999999999967</v>
      </c>
      <c r="M41" s="145">
        <f t="shared" si="5"/>
        <v>319444.44444444444</v>
      </c>
      <c r="N41" s="151">
        <f t="shared" si="6"/>
        <v>6064856.9657573495</v>
      </c>
      <c r="O41" s="151">
        <f t="shared" si="7"/>
        <v>2550968.076868461</v>
      </c>
      <c r="P41" s="162">
        <v>7.3800000000000004E-2</v>
      </c>
      <c r="Q41" s="203">
        <f t="shared" si="3"/>
        <v>188261.44407289242</v>
      </c>
      <c r="R41" s="182"/>
      <c r="S41" s="138">
        <v>250000</v>
      </c>
      <c r="T41" s="59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5.75" thickBot="1" x14ac:dyDescent="0.3">
      <c r="A42" s="14"/>
      <c r="B42" s="58"/>
      <c r="C42" s="119" t="s">
        <v>44</v>
      </c>
      <c r="D42" s="64"/>
      <c r="E42" s="77"/>
      <c r="F42" s="64"/>
      <c r="G42" s="76"/>
      <c r="H42" s="120">
        <f>SUBTOTAL(9,H18:H41)</f>
        <v>353.5</v>
      </c>
      <c r="I42" s="121">
        <f>SUBTOTAL(9,I18:I41)</f>
        <v>506</v>
      </c>
      <c r="J42" s="122">
        <f>SUBTOTAL(9,J18:J41)</f>
        <v>0.99999999999999967</v>
      </c>
      <c r="K42" s="77"/>
      <c r="L42" s="76"/>
      <c r="M42" s="78"/>
      <c r="N42" s="204">
        <f t="shared" ref="N42" si="9">SUBTOTAL(9,N18:N41)</f>
        <v>298428650.04365259</v>
      </c>
      <c r="O42" s="205">
        <f>SUBTOTAL(9,O18:O41)</f>
        <v>270317538.93254155</v>
      </c>
      <c r="P42" s="64"/>
      <c r="Q42" s="64"/>
      <c r="R42" s="14"/>
      <c r="S42" s="101">
        <f>SUBTOTAL(9,S18:S41)</f>
        <v>6000000</v>
      </c>
      <c r="T42" s="14"/>
      <c r="U42" s="14"/>
      <c r="V42" s="14"/>
      <c r="W42" s="14"/>
      <c r="X42" s="14"/>
      <c r="Y42" s="14"/>
      <c r="Z42" s="14"/>
      <c r="AA42" s="14"/>
    </row>
    <row r="43" spans="1:29" ht="15.75" thickBot="1" x14ac:dyDescent="0.3">
      <c r="A43" s="14"/>
      <c r="B43" s="14"/>
      <c r="C43" s="64"/>
      <c r="D43" s="64"/>
      <c r="E43" s="14"/>
      <c r="F43" s="14"/>
      <c r="G43" s="14"/>
      <c r="H43" s="64"/>
      <c r="I43" s="64"/>
      <c r="J43" s="64"/>
      <c r="K43" s="14"/>
      <c r="L43" s="14"/>
      <c r="M43" s="14"/>
      <c r="N43" s="64"/>
      <c r="O43" s="14"/>
      <c r="P43" s="64"/>
      <c r="Q43" s="6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5.75" thickBo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57"/>
      <c r="N44" s="57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21.75" thickBot="1" x14ac:dyDescent="0.4">
      <c r="A45" s="14"/>
      <c r="B45" s="14"/>
      <c r="C45" s="183" t="s">
        <v>104</v>
      </c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2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8.75" customHeight="1" thickBot="1" x14ac:dyDescent="0.3">
      <c r="A46" s="14"/>
      <c r="B46" s="58"/>
      <c r="C46" s="191" t="s">
        <v>42</v>
      </c>
      <c r="D46" s="191" t="s">
        <v>93</v>
      </c>
      <c r="E46" s="189" t="s">
        <v>107</v>
      </c>
      <c r="F46" s="189"/>
      <c r="G46" s="189"/>
      <c r="H46" s="191" t="s">
        <v>108</v>
      </c>
      <c r="I46" s="189" t="s">
        <v>109</v>
      </c>
      <c r="J46" s="184" t="s">
        <v>110</v>
      </c>
      <c r="K46" s="189" t="s">
        <v>111</v>
      </c>
      <c r="L46" s="184" t="s">
        <v>112</v>
      </c>
      <c r="M46" s="189" t="s">
        <v>102</v>
      </c>
      <c r="N46" s="184" t="s">
        <v>114</v>
      </c>
      <c r="O46" s="184" t="s">
        <v>115</v>
      </c>
      <c r="P46" s="184" t="s">
        <v>50</v>
      </c>
      <c r="Q46" s="184" t="s">
        <v>25</v>
      </c>
      <c r="R46" s="184" t="s">
        <v>113</v>
      </c>
      <c r="S46" s="189" t="s">
        <v>103</v>
      </c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5.75" thickBot="1" x14ac:dyDescent="0.3">
      <c r="A47" s="14"/>
      <c r="B47" s="58"/>
      <c r="C47" s="193"/>
      <c r="D47" s="192"/>
      <c r="E47" s="156" t="s">
        <v>34</v>
      </c>
      <c r="F47" s="155"/>
      <c r="G47" s="156" t="s">
        <v>35</v>
      </c>
      <c r="H47" s="193"/>
      <c r="I47" s="190"/>
      <c r="J47" s="188"/>
      <c r="K47" s="190"/>
      <c r="L47" s="188"/>
      <c r="M47" s="190"/>
      <c r="N47" s="188"/>
      <c r="O47" s="188"/>
      <c r="P47" s="185"/>
      <c r="Q47" s="185"/>
      <c r="R47" s="188"/>
      <c r="S47" s="190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5.75" customHeight="1" thickBot="1" x14ac:dyDescent="0.3">
      <c r="A48" s="14"/>
      <c r="B48" s="58"/>
      <c r="C48" s="123">
        <v>1</v>
      </c>
      <c r="D48" s="194" t="s">
        <v>69</v>
      </c>
      <c r="E48" s="194">
        <v>1</v>
      </c>
      <c r="F48" s="124" t="s">
        <v>36</v>
      </c>
      <c r="G48" s="197">
        <v>31</v>
      </c>
      <c r="H48" s="139">
        <f>(G48-E48)/2</f>
        <v>15</v>
      </c>
      <c r="I48" s="125">
        <v>22</v>
      </c>
      <c r="J48" s="126">
        <f t="shared" ref="J48:J71" si="10">I48/$I$42</f>
        <v>4.3478260869565216E-2</v>
      </c>
      <c r="K48" s="125">
        <v>22</v>
      </c>
      <c r="L48" s="127">
        <f>J48</f>
        <v>4.3478260869565216E-2</v>
      </c>
      <c r="M48" s="143">
        <v>0</v>
      </c>
      <c r="N48" s="128">
        <f>X2*V4</f>
        <v>14191200</v>
      </c>
      <c r="O48" s="128">
        <f>X2*V4</f>
        <v>14191200</v>
      </c>
      <c r="P48" s="160">
        <v>0.06</v>
      </c>
      <c r="Q48" s="200">
        <f>O48*P48</f>
        <v>851472</v>
      </c>
      <c r="R48" s="180">
        <f>SUM((M48-S48)^2+(M49-S49)^2+(M50-S50)^2)/3</f>
        <v>25837551440.329224</v>
      </c>
      <c r="S48" s="129">
        <v>170000</v>
      </c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5.75" thickBot="1" x14ac:dyDescent="0.3">
      <c r="A49" s="14"/>
      <c r="B49" s="58"/>
      <c r="C49" s="130">
        <v>2</v>
      </c>
      <c r="D49" s="195" t="s">
        <v>70</v>
      </c>
      <c r="E49" s="195">
        <v>1</v>
      </c>
      <c r="F49" s="131" t="s">
        <v>36</v>
      </c>
      <c r="G49" s="198">
        <v>29</v>
      </c>
      <c r="H49" s="140">
        <f t="shared" ref="H49:H71" si="11">(G49-E49)/2</f>
        <v>14</v>
      </c>
      <c r="I49" s="117">
        <v>19</v>
      </c>
      <c r="J49" s="142">
        <f t="shared" si="10"/>
        <v>3.7549407114624504E-2</v>
      </c>
      <c r="K49" s="117">
        <f t="shared" ref="K49:K71" si="12">(I49+K48)</f>
        <v>41</v>
      </c>
      <c r="L49" s="132">
        <f>J49+L48</f>
        <v>8.1027667984189727E-2</v>
      </c>
      <c r="M49" s="144">
        <f>C48*S48/18</f>
        <v>9444.4444444444453</v>
      </c>
      <c r="N49" s="118">
        <f>N48+M48-Q48-S48</f>
        <v>13169728</v>
      </c>
      <c r="O49" s="118">
        <f>O48-Q48-S48</f>
        <v>13169728</v>
      </c>
      <c r="P49" s="161">
        <v>0.06</v>
      </c>
      <c r="Q49" s="201">
        <f t="shared" ref="Q49:Q71" si="13">O49*P49</f>
        <v>790183.67999999993</v>
      </c>
      <c r="R49" s="181"/>
      <c r="S49" s="133">
        <v>170000</v>
      </c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5.75" thickBot="1" x14ac:dyDescent="0.3">
      <c r="A50" s="14"/>
      <c r="B50" s="58"/>
      <c r="C50" s="130">
        <v>3</v>
      </c>
      <c r="D50" s="195" t="s">
        <v>71</v>
      </c>
      <c r="E50" s="195">
        <v>1</v>
      </c>
      <c r="F50" s="131" t="s">
        <v>36</v>
      </c>
      <c r="G50" s="198">
        <v>31</v>
      </c>
      <c r="H50" s="140">
        <f t="shared" si="11"/>
        <v>15</v>
      </c>
      <c r="I50" s="117">
        <v>22</v>
      </c>
      <c r="J50" s="142">
        <f t="shared" si="10"/>
        <v>4.3478260869565216E-2</v>
      </c>
      <c r="K50" s="117">
        <f t="shared" si="12"/>
        <v>63</v>
      </c>
      <c r="L50" s="132">
        <f t="shared" ref="L50:L71" si="14">J50+L49</f>
        <v>0.12450592885375494</v>
      </c>
      <c r="M50" s="144">
        <f t="shared" ref="M50:M71" si="15">C49*S49/18</f>
        <v>18888.888888888891</v>
      </c>
      <c r="N50" s="118">
        <f t="shared" ref="N50:N71" si="16">N49+M49-Q49-S49</f>
        <v>12218988.764444444</v>
      </c>
      <c r="O50" s="118">
        <f t="shared" ref="O50:O71" si="17">O49-Q49-S49</f>
        <v>12209544.32</v>
      </c>
      <c r="P50" s="161">
        <v>0.06</v>
      </c>
      <c r="Q50" s="201">
        <f t="shared" si="13"/>
        <v>732572.65919999999</v>
      </c>
      <c r="R50" s="182"/>
      <c r="S50" s="133">
        <v>170000</v>
      </c>
      <c r="T50" s="59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5.75" thickBot="1" x14ac:dyDescent="0.3">
      <c r="A51" s="14"/>
      <c r="B51" s="58"/>
      <c r="C51" s="130">
        <v>4</v>
      </c>
      <c r="D51" s="195" t="s">
        <v>72</v>
      </c>
      <c r="E51" s="195">
        <v>1</v>
      </c>
      <c r="F51" s="131" t="s">
        <v>36</v>
      </c>
      <c r="G51" s="198">
        <v>30</v>
      </c>
      <c r="H51" s="140">
        <f t="shared" si="11"/>
        <v>14.5</v>
      </c>
      <c r="I51" s="117">
        <v>20</v>
      </c>
      <c r="J51" s="142">
        <f t="shared" si="10"/>
        <v>3.9525691699604744E-2</v>
      </c>
      <c r="K51" s="117">
        <f t="shared" si="12"/>
        <v>83</v>
      </c>
      <c r="L51" s="132">
        <f t="shared" si="14"/>
        <v>0.16403162055335968</v>
      </c>
      <c r="M51" s="144">
        <f t="shared" si="15"/>
        <v>28333.333333333332</v>
      </c>
      <c r="N51" s="118">
        <f t="shared" si="16"/>
        <v>11335304.994133333</v>
      </c>
      <c r="O51" s="118">
        <f t="shared" si="17"/>
        <v>11306971.660800001</v>
      </c>
      <c r="P51" s="161">
        <v>7.3800000000000004E-2</v>
      </c>
      <c r="Q51" s="201">
        <f t="shared" si="13"/>
        <v>834454.50856704009</v>
      </c>
      <c r="R51" s="180">
        <f>SUM((M51-S51)^2+(M52-S52)^2+(M53-S53)^2)/3</f>
        <v>17542181069.958847</v>
      </c>
      <c r="S51" s="133">
        <v>170000</v>
      </c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5.75" thickBot="1" x14ac:dyDescent="0.3">
      <c r="A52" s="14"/>
      <c r="B52" s="58"/>
      <c r="C52" s="130">
        <v>5</v>
      </c>
      <c r="D52" s="195" t="s">
        <v>73</v>
      </c>
      <c r="E52" s="195">
        <v>1</v>
      </c>
      <c r="F52" s="131" t="s">
        <v>36</v>
      </c>
      <c r="G52" s="198">
        <v>31</v>
      </c>
      <c r="H52" s="140">
        <f t="shared" si="11"/>
        <v>15</v>
      </c>
      <c r="I52" s="117">
        <v>20</v>
      </c>
      <c r="J52" s="142">
        <f t="shared" si="10"/>
        <v>3.9525691699604744E-2</v>
      </c>
      <c r="K52" s="117">
        <f t="shared" si="12"/>
        <v>103</v>
      </c>
      <c r="L52" s="132">
        <f t="shared" si="14"/>
        <v>0.20355731225296442</v>
      </c>
      <c r="M52" s="144">
        <f t="shared" si="15"/>
        <v>37777.777777777781</v>
      </c>
      <c r="N52" s="118">
        <f t="shared" si="16"/>
        <v>10359183.818899626</v>
      </c>
      <c r="O52" s="118">
        <f t="shared" si="17"/>
        <v>10302517.15223296</v>
      </c>
      <c r="P52" s="161">
        <v>7.3800000000000004E-2</v>
      </c>
      <c r="Q52" s="201">
        <f t="shared" si="13"/>
        <v>760325.76583479252</v>
      </c>
      <c r="R52" s="181"/>
      <c r="S52" s="133">
        <v>170000</v>
      </c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5.75" customHeight="1" thickBot="1" x14ac:dyDescent="0.3">
      <c r="A53" s="14"/>
      <c r="B53" s="58"/>
      <c r="C53" s="130">
        <v>6</v>
      </c>
      <c r="D53" s="195" t="s">
        <v>74</v>
      </c>
      <c r="E53" s="195">
        <v>1</v>
      </c>
      <c r="F53" s="131" t="s">
        <v>36</v>
      </c>
      <c r="G53" s="198">
        <v>30</v>
      </c>
      <c r="H53" s="140">
        <f t="shared" si="11"/>
        <v>14.5</v>
      </c>
      <c r="I53" s="117">
        <v>22</v>
      </c>
      <c r="J53" s="142">
        <f t="shared" si="10"/>
        <v>4.3478260869565216E-2</v>
      </c>
      <c r="K53" s="117">
        <f t="shared" si="12"/>
        <v>125</v>
      </c>
      <c r="L53" s="132">
        <f t="shared" si="14"/>
        <v>0.24703557312252963</v>
      </c>
      <c r="M53" s="144">
        <f t="shared" si="15"/>
        <v>47222.222222222219</v>
      </c>
      <c r="N53" s="118">
        <f t="shared" si="16"/>
        <v>9466635.8308426104</v>
      </c>
      <c r="O53" s="118">
        <f t="shared" si="17"/>
        <v>9372191.3863981664</v>
      </c>
      <c r="P53" s="161">
        <v>0.06</v>
      </c>
      <c r="Q53" s="201">
        <f t="shared" si="13"/>
        <v>562331.48318389</v>
      </c>
      <c r="R53" s="182"/>
      <c r="S53" s="133">
        <v>170000</v>
      </c>
      <c r="T53" s="59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5.75" thickBot="1" x14ac:dyDescent="0.3">
      <c r="A54" s="14"/>
      <c r="B54" s="58"/>
      <c r="C54" s="130">
        <v>7</v>
      </c>
      <c r="D54" s="195" t="s">
        <v>75</v>
      </c>
      <c r="E54" s="195">
        <v>1</v>
      </c>
      <c r="F54" s="131" t="s">
        <v>36</v>
      </c>
      <c r="G54" s="198">
        <v>31</v>
      </c>
      <c r="H54" s="140">
        <f t="shared" si="11"/>
        <v>15</v>
      </c>
      <c r="I54" s="117">
        <v>23</v>
      </c>
      <c r="J54" s="142">
        <f t="shared" si="10"/>
        <v>4.5454545454545456E-2</v>
      </c>
      <c r="K54" s="117">
        <f t="shared" si="12"/>
        <v>148</v>
      </c>
      <c r="L54" s="132">
        <f t="shared" si="14"/>
        <v>0.29249011857707508</v>
      </c>
      <c r="M54" s="144">
        <f t="shared" si="15"/>
        <v>56666.666666666664</v>
      </c>
      <c r="N54" s="118">
        <f t="shared" si="16"/>
        <v>8781526.5698809419</v>
      </c>
      <c r="O54" s="118">
        <f t="shared" si="17"/>
        <v>8639859.9032142758</v>
      </c>
      <c r="P54" s="161">
        <v>0.06</v>
      </c>
      <c r="Q54" s="201">
        <f t="shared" si="13"/>
        <v>518391.59419285652</v>
      </c>
      <c r="R54" s="180">
        <f>SUM((M54-S54)^2+(M55-S55)^2+(M56-S56)^2)/3</f>
        <v>10852366255.144033</v>
      </c>
      <c r="S54" s="133">
        <v>170000</v>
      </c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5.75" customHeight="1" thickBot="1" x14ac:dyDescent="0.3">
      <c r="A55" s="14"/>
      <c r="B55" s="58"/>
      <c r="C55" s="130">
        <v>8</v>
      </c>
      <c r="D55" s="195" t="s">
        <v>76</v>
      </c>
      <c r="E55" s="195">
        <v>1</v>
      </c>
      <c r="F55" s="131" t="s">
        <v>36</v>
      </c>
      <c r="G55" s="198">
        <v>31</v>
      </c>
      <c r="H55" s="140">
        <f t="shared" si="11"/>
        <v>15</v>
      </c>
      <c r="I55" s="117">
        <v>21</v>
      </c>
      <c r="J55" s="142">
        <f t="shared" si="10"/>
        <v>4.1501976284584984E-2</v>
      </c>
      <c r="K55" s="117">
        <f t="shared" si="12"/>
        <v>169</v>
      </c>
      <c r="L55" s="132">
        <f t="shared" si="14"/>
        <v>0.33399209486166004</v>
      </c>
      <c r="M55" s="144">
        <f t="shared" si="15"/>
        <v>66111.111111111109</v>
      </c>
      <c r="N55" s="118">
        <f t="shared" si="16"/>
        <v>8149801.642354751</v>
      </c>
      <c r="O55" s="118">
        <f t="shared" si="17"/>
        <v>7951468.3090214189</v>
      </c>
      <c r="P55" s="161">
        <v>0.06</v>
      </c>
      <c r="Q55" s="201">
        <f t="shared" si="13"/>
        <v>477088.09854128514</v>
      </c>
      <c r="R55" s="181"/>
      <c r="S55" s="133">
        <v>170000</v>
      </c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5.75" thickBot="1" x14ac:dyDescent="0.3">
      <c r="A56" s="14"/>
      <c r="B56" s="58"/>
      <c r="C56" s="130">
        <v>9</v>
      </c>
      <c r="D56" s="195" t="s">
        <v>77</v>
      </c>
      <c r="E56" s="195">
        <v>1</v>
      </c>
      <c r="F56" s="131" t="s">
        <v>36</v>
      </c>
      <c r="G56" s="198">
        <v>30</v>
      </c>
      <c r="H56" s="140">
        <f t="shared" si="11"/>
        <v>14.5</v>
      </c>
      <c r="I56" s="117">
        <v>21</v>
      </c>
      <c r="J56" s="142">
        <f t="shared" si="10"/>
        <v>4.1501976284584984E-2</v>
      </c>
      <c r="K56" s="117">
        <f t="shared" si="12"/>
        <v>190</v>
      </c>
      <c r="L56" s="132">
        <f t="shared" si="14"/>
        <v>0.375494071146245</v>
      </c>
      <c r="M56" s="144">
        <f t="shared" si="15"/>
        <v>75555.555555555562</v>
      </c>
      <c r="N56" s="118">
        <f t="shared" si="16"/>
        <v>7568824.6549245771</v>
      </c>
      <c r="O56" s="118">
        <f t="shared" si="17"/>
        <v>7304380.210480134</v>
      </c>
      <c r="P56" s="161">
        <v>0.06</v>
      </c>
      <c r="Q56" s="201">
        <f t="shared" si="13"/>
        <v>438262.81262880802</v>
      </c>
      <c r="R56" s="182"/>
      <c r="S56" s="133">
        <v>170000</v>
      </c>
      <c r="T56" s="59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ht="15.75" customHeight="1" thickBot="1" x14ac:dyDescent="0.3">
      <c r="A57" s="14"/>
      <c r="B57" s="58"/>
      <c r="C57" s="130">
        <v>10</v>
      </c>
      <c r="D57" s="195" t="s">
        <v>78</v>
      </c>
      <c r="E57" s="195">
        <v>1</v>
      </c>
      <c r="F57" s="131" t="s">
        <v>36</v>
      </c>
      <c r="G57" s="198">
        <v>31</v>
      </c>
      <c r="H57" s="140">
        <f t="shared" si="11"/>
        <v>15</v>
      </c>
      <c r="I57" s="117">
        <v>21</v>
      </c>
      <c r="J57" s="142">
        <f t="shared" si="10"/>
        <v>4.1501976284584984E-2</v>
      </c>
      <c r="K57" s="117">
        <f t="shared" si="12"/>
        <v>211</v>
      </c>
      <c r="L57" s="132">
        <f t="shared" si="14"/>
        <v>0.41699604743082996</v>
      </c>
      <c r="M57" s="144">
        <f t="shared" si="15"/>
        <v>85000</v>
      </c>
      <c r="N57" s="118">
        <f t="shared" si="16"/>
        <v>7036117.3978513246</v>
      </c>
      <c r="O57" s="118">
        <f t="shared" si="17"/>
        <v>6696117.3978513256</v>
      </c>
      <c r="P57" s="161">
        <v>0.06</v>
      </c>
      <c r="Q57" s="201">
        <f t="shared" si="13"/>
        <v>401767.04387107951</v>
      </c>
      <c r="R57" s="180">
        <f>SUM((M57-S57)^2+(M58-S58)^2+(M59-S59)^2)/3</f>
        <v>5768106995.8847733</v>
      </c>
      <c r="S57" s="133">
        <v>170000</v>
      </c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ht="15.75" customHeight="1" thickBot="1" x14ac:dyDescent="0.3">
      <c r="A58" s="14"/>
      <c r="B58" s="58"/>
      <c r="C58" s="130">
        <v>11</v>
      </c>
      <c r="D58" s="195" t="s">
        <v>79</v>
      </c>
      <c r="E58" s="195">
        <v>1</v>
      </c>
      <c r="F58" s="131" t="s">
        <v>36</v>
      </c>
      <c r="G58" s="198">
        <v>30</v>
      </c>
      <c r="H58" s="140">
        <f t="shared" si="11"/>
        <v>14.5</v>
      </c>
      <c r="I58" s="117">
        <v>20</v>
      </c>
      <c r="J58" s="142">
        <f t="shared" si="10"/>
        <v>3.9525691699604744E-2</v>
      </c>
      <c r="K58" s="117">
        <f t="shared" si="12"/>
        <v>231</v>
      </c>
      <c r="L58" s="132">
        <f t="shared" si="14"/>
        <v>0.4565217391304347</v>
      </c>
      <c r="M58" s="144">
        <f t="shared" si="15"/>
        <v>94444.444444444438</v>
      </c>
      <c r="N58" s="118">
        <f t="shared" si="16"/>
        <v>6549350.3539802451</v>
      </c>
      <c r="O58" s="118">
        <f t="shared" si="17"/>
        <v>6124350.353980246</v>
      </c>
      <c r="P58" s="161">
        <v>0.06</v>
      </c>
      <c r="Q58" s="201">
        <f t="shared" si="13"/>
        <v>367461.02123881475</v>
      </c>
      <c r="R58" s="181"/>
      <c r="S58" s="133">
        <v>170000</v>
      </c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ht="15.75" customHeight="1" thickBot="1" x14ac:dyDescent="0.3">
      <c r="A59" s="14"/>
      <c r="B59" s="58"/>
      <c r="C59" s="130">
        <v>12</v>
      </c>
      <c r="D59" s="195" t="s">
        <v>80</v>
      </c>
      <c r="E59" s="195">
        <v>1</v>
      </c>
      <c r="F59" s="131" t="s">
        <v>36</v>
      </c>
      <c r="G59" s="198">
        <v>31</v>
      </c>
      <c r="H59" s="140">
        <f t="shared" si="11"/>
        <v>15</v>
      </c>
      <c r="I59" s="117">
        <v>22</v>
      </c>
      <c r="J59" s="142">
        <f t="shared" si="10"/>
        <v>4.3478260869565216E-2</v>
      </c>
      <c r="K59" s="117">
        <f t="shared" si="12"/>
        <v>253</v>
      </c>
      <c r="L59" s="132">
        <f t="shared" si="14"/>
        <v>0.49999999999999989</v>
      </c>
      <c r="M59" s="144">
        <f t="shared" si="15"/>
        <v>103888.88888888889</v>
      </c>
      <c r="N59" s="118">
        <f t="shared" si="16"/>
        <v>6106333.7771858741</v>
      </c>
      <c r="O59" s="118">
        <f t="shared" si="17"/>
        <v>5586889.332741431</v>
      </c>
      <c r="P59" s="161">
        <v>7.3800000000000004E-2</v>
      </c>
      <c r="Q59" s="201">
        <f t="shared" si="13"/>
        <v>412312.4327563176</v>
      </c>
      <c r="R59" s="182"/>
      <c r="S59" s="133">
        <v>170000</v>
      </c>
      <c r="T59" s="59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ht="15.75" customHeight="1" thickBot="1" x14ac:dyDescent="0.3">
      <c r="A60" s="14"/>
      <c r="B60" s="58"/>
      <c r="C60" s="130">
        <v>13</v>
      </c>
      <c r="D60" s="195" t="s">
        <v>81</v>
      </c>
      <c r="E60" s="195">
        <v>1</v>
      </c>
      <c r="F60" s="131" t="s">
        <v>36</v>
      </c>
      <c r="G60" s="198">
        <v>31</v>
      </c>
      <c r="H60" s="140">
        <f t="shared" si="11"/>
        <v>15</v>
      </c>
      <c r="I60" s="117">
        <v>20</v>
      </c>
      <c r="J60" s="142">
        <f t="shared" si="10"/>
        <v>3.9525691699604744E-2</v>
      </c>
      <c r="K60" s="117">
        <f t="shared" si="12"/>
        <v>273</v>
      </c>
      <c r="L60" s="132">
        <f t="shared" si="14"/>
        <v>0.53952569169960463</v>
      </c>
      <c r="M60" s="144">
        <f t="shared" si="15"/>
        <v>113333.33333333333</v>
      </c>
      <c r="N60" s="118">
        <f t="shared" si="16"/>
        <v>5627910.2333184453</v>
      </c>
      <c r="O60" s="118">
        <f t="shared" si="17"/>
        <v>5004576.8999851132</v>
      </c>
      <c r="P60" s="161">
        <v>0.06</v>
      </c>
      <c r="Q60" s="201">
        <f t="shared" si="13"/>
        <v>300274.6139991068</v>
      </c>
      <c r="R60" s="180">
        <f>SUM((M60-S60)^2+(M61-S61)^2+(M62-S62)^2)/3</f>
        <v>2289403292.1810699</v>
      </c>
      <c r="S60" s="133">
        <v>170000</v>
      </c>
      <c r="T60" s="59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ht="15.75" customHeight="1" thickBot="1" x14ac:dyDescent="0.3">
      <c r="A61" s="14"/>
      <c r="B61" s="58"/>
      <c r="C61" s="130">
        <v>14</v>
      </c>
      <c r="D61" s="195" t="s">
        <v>82</v>
      </c>
      <c r="E61" s="195">
        <v>1</v>
      </c>
      <c r="F61" s="131" t="s">
        <v>36</v>
      </c>
      <c r="G61" s="198">
        <v>28</v>
      </c>
      <c r="H61" s="140">
        <f t="shared" si="11"/>
        <v>13.5</v>
      </c>
      <c r="I61" s="117">
        <v>19</v>
      </c>
      <c r="J61" s="142">
        <f t="shared" si="10"/>
        <v>3.7549407114624504E-2</v>
      </c>
      <c r="K61" s="117">
        <f t="shared" si="12"/>
        <v>292</v>
      </c>
      <c r="L61" s="132">
        <f t="shared" si="14"/>
        <v>0.57707509881422914</v>
      </c>
      <c r="M61" s="144">
        <f t="shared" si="15"/>
        <v>122777.77777777778</v>
      </c>
      <c r="N61" s="118">
        <f t="shared" si="16"/>
        <v>5270968.9526526714</v>
      </c>
      <c r="O61" s="118">
        <f t="shared" si="17"/>
        <v>4534302.2859860063</v>
      </c>
      <c r="P61" s="161">
        <v>0.06</v>
      </c>
      <c r="Q61" s="201">
        <f t="shared" si="13"/>
        <v>272058.13715916034</v>
      </c>
      <c r="R61" s="181"/>
      <c r="S61" s="133">
        <v>170000</v>
      </c>
      <c r="T61" s="59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15.75" thickBot="1" x14ac:dyDescent="0.3">
      <c r="A62" s="14"/>
      <c r="B62" s="58"/>
      <c r="C62" s="130">
        <v>15</v>
      </c>
      <c r="D62" s="195" t="s">
        <v>83</v>
      </c>
      <c r="E62" s="195">
        <v>1</v>
      </c>
      <c r="F62" s="131" t="s">
        <v>36</v>
      </c>
      <c r="G62" s="198">
        <v>31</v>
      </c>
      <c r="H62" s="140">
        <f t="shared" si="11"/>
        <v>15</v>
      </c>
      <c r="I62" s="117">
        <v>23</v>
      </c>
      <c r="J62" s="142">
        <f t="shared" si="10"/>
        <v>4.5454545454545456E-2</v>
      </c>
      <c r="K62" s="117">
        <f t="shared" si="12"/>
        <v>315</v>
      </c>
      <c r="L62" s="132">
        <f t="shared" si="14"/>
        <v>0.62252964426877455</v>
      </c>
      <c r="M62" s="144">
        <f t="shared" si="15"/>
        <v>132222.22222222222</v>
      </c>
      <c r="N62" s="118">
        <f t="shared" si="16"/>
        <v>4951688.593271289</v>
      </c>
      <c r="O62" s="118">
        <f t="shared" si="17"/>
        <v>4092244.1488268459</v>
      </c>
      <c r="P62" s="161">
        <v>0.06</v>
      </c>
      <c r="Q62" s="201">
        <f t="shared" si="13"/>
        <v>245534.64892961073</v>
      </c>
      <c r="R62" s="182"/>
      <c r="S62" s="133">
        <v>170000</v>
      </c>
      <c r="T62" s="59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15.75" thickBot="1" x14ac:dyDescent="0.3">
      <c r="A63" s="14"/>
      <c r="B63" s="58"/>
      <c r="C63" s="130">
        <v>16</v>
      </c>
      <c r="D63" s="195" t="s">
        <v>84</v>
      </c>
      <c r="E63" s="195">
        <v>1</v>
      </c>
      <c r="F63" s="131" t="s">
        <v>36</v>
      </c>
      <c r="G63" s="198">
        <v>30</v>
      </c>
      <c r="H63" s="140">
        <f t="shared" si="11"/>
        <v>14.5</v>
      </c>
      <c r="I63" s="117">
        <v>20</v>
      </c>
      <c r="J63" s="142">
        <f t="shared" si="10"/>
        <v>3.9525691699604744E-2</v>
      </c>
      <c r="K63" s="117">
        <f t="shared" si="12"/>
        <v>335</v>
      </c>
      <c r="L63" s="132">
        <f t="shared" si="14"/>
        <v>0.66205533596837929</v>
      </c>
      <c r="M63" s="144">
        <f t="shared" si="15"/>
        <v>141666.66666666666</v>
      </c>
      <c r="N63" s="118">
        <f t="shared" si="16"/>
        <v>4668376.1665639002</v>
      </c>
      <c r="O63" s="118">
        <f t="shared" si="17"/>
        <v>3676709.4998972351</v>
      </c>
      <c r="P63" s="161">
        <v>7.3800000000000004E-2</v>
      </c>
      <c r="Q63" s="201">
        <f t="shared" si="13"/>
        <v>271341.16109241598</v>
      </c>
      <c r="R63" s="180">
        <f>SUM((M63-S63)^2+(M64-S64)^2+(M65-S65)^2)/3</f>
        <v>416255144.03292185</v>
      </c>
      <c r="S63" s="133">
        <v>170000</v>
      </c>
      <c r="T63" s="59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5.75" thickBot="1" x14ac:dyDescent="0.3">
      <c r="A64" s="14"/>
      <c r="B64" s="58"/>
      <c r="C64" s="130">
        <v>17</v>
      </c>
      <c r="D64" s="195" t="s">
        <v>85</v>
      </c>
      <c r="E64" s="195">
        <v>1</v>
      </c>
      <c r="F64" s="131" t="s">
        <v>36</v>
      </c>
      <c r="G64" s="198">
        <v>31</v>
      </c>
      <c r="H64" s="140">
        <f t="shared" si="11"/>
        <v>15</v>
      </c>
      <c r="I64" s="117">
        <v>21</v>
      </c>
      <c r="J64" s="142">
        <f t="shared" si="10"/>
        <v>4.1501976284584984E-2</v>
      </c>
      <c r="K64" s="117">
        <f t="shared" si="12"/>
        <v>356</v>
      </c>
      <c r="L64" s="132">
        <f t="shared" si="14"/>
        <v>0.70355731225296425</v>
      </c>
      <c r="M64" s="144">
        <f t="shared" si="15"/>
        <v>151111.11111111112</v>
      </c>
      <c r="N64" s="118">
        <f t="shared" si="16"/>
        <v>4368701.6721381508</v>
      </c>
      <c r="O64" s="118">
        <f t="shared" si="17"/>
        <v>3235368.3388048192</v>
      </c>
      <c r="P64" s="161">
        <v>7.3800000000000004E-2</v>
      </c>
      <c r="Q64" s="201">
        <f t="shared" si="13"/>
        <v>238770.18340379567</v>
      </c>
      <c r="R64" s="181"/>
      <c r="S64" s="133">
        <v>170000</v>
      </c>
      <c r="T64" s="59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5.75" thickBot="1" x14ac:dyDescent="0.3">
      <c r="A65" s="14"/>
      <c r="B65" s="58"/>
      <c r="C65" s="130">
        <v>18</v>
      </c>
      <c r="D65" s="195" t="s">
        <v>86</v>
      </c>
      <c r="E65" s="195">
        <v>1</v>
      </c>
      <c r="F65" s="131" t="s">
        <v>36</v>
      </c>
      <c r="G65" s="198">
        <v>30</v>
      </c>
      <c r="H65" s="140">
        <f t="shared" si="11"/>
        <v>14.5</v>
      </c>
      <c r="I65" s="117">
        <v>22</v>
      </c>
      <c r="J65" s="142">
        <f t="shared" si="10"/>
        <v>4.3478260869565216E-2</v>
      </c>
      <c r="K65" s="117">
        <f t="shared" si="12"/>
        <v>378</v>
      </c>
      <c r="L65" s="132">
        <f t="shared" si="14"/>
        <v>0.74703557312252944</v>
      </c>
      <c r="M65" s="144">
        <f t="shared" si="15"/>
        <v>160555.55555555556</v>
      </c>
      <c r="N65" s="118">
        <f t="shared" si="16"/>
        <v>4111042.5998454662</v>
      </c>
      <c r="O65" s="118">
        <f t="shared" si="17"/>
        <v>2826598.1554010236</v>
      </c>
      <c r="P65" s="161">
        <v>0.06</v>
      </c>
      <c r="Q65" s="201">
        <f t="shared" si="13"/>
        <v>169595.8893240614</v>
      </c>
      <c r="R65" s="182"/>
      <c r="S65" s="133">
        <v>170000</v>
      </c>
      <c r="T65" s="59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5.75" thickBot="1" x14ac:dyDescent="0.3">
      <c r="A66" s="14"/>
      <c r="B66" s="58"/>
      <c r="C66" s="130">
        <v>19</v>
      </c>
      <c r="D66" s="195" t="s">
        <v>87</v>
      </c>
      <c r="E66" s="195">
        <v>1</v>
      </c>
      <c r="F66" s="131" t="s">
        <v>36</v>
      </c>
      <c r="G66" s="198">
        <v>31</v>
      </c>
      <c r="H66" s="140">
        <f t="shared" si="11"/>
        <v>15</v>
      </c>
      <c r="I66" s="117">
        <v>22</v>
      </c>
      <c r="J66" s="142">
        <f t="shared" si="10"/>
        <v>4.3478260869565216E-2</v>
      </c>
      <c r="K66" s="117">
        <f t="shared" si="12"/>
        <v>400</v>
      </c>
      <c r="L66" s="132">
        <f t="shared" si="14"/>
        <v>0.79051383399209463</v>
      </c>
      <c r="M66" s="144">
        <f t="shared" si="15"/>
        <v>170000</v>
      </c>
      <c r="N66" s="118">
        <f t="shared" si="16"/>
        <v>3932002.2660769606</v>
      </c>
      <c r="O66" s="118">
        <f t="shared" si="17"/>
        <v>2487002.266076962</v>
      </c>
      <c r="P66" s="161">
        <v>0.06</v>
      </c>
      <c r="Q66" s="201">
        <f t="shared" si="13"/>
        <v>149220.13596461772</v>
      </c>
      <c r="R66" s="180">
        <f>SUM((M66-S66)^2+(M67-S67)^2+(M68-S68)^2)/3</f>
        <v>148662551.44032899</v>
      </c>
      <c r="S66" s="133">
        <v>170000</v>
      </c>
      <c r="T66" s="59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5.75" thickBot="1" x14ac:dyDescent="0.3">
      <c r="A67" s="14"/>
      <c r="B67" s="58"/>
      <c r="C67" s="130">
        <v>20</v>
      </c>
      <c r="D67" s="195" t="s">
        <v>88</v>
      </c>
      <c r="E67" s="195">
        <v>1</v>
      </c>
      <c r="F67" s="131" t="s">
        <v>36</v>
      </c>
      <c r="G67" s="198">
        <v>31</v>
      </c>
      <c r="H67" s="140">
        <f t="shared" si="11"/>
        <v>15</v>
      </c>
      <c r="I67" s="117">
        <v>22</v>
      </c>
      <c r="J67" s="142">
        <f t="shared" si="10"/>
        <v>4.3478260869565216E-2</v>
      </c>
      <c r="K67" s="117">
        <f t="shared" si="12"/>
        <v>422</v>
      </c>
      <c r="L67" s="132">
        <f t="shared" si="14"/>
        <v>0.83399209486165982</v>
      </c>
      <c r="M67" s="144">
        <f t="shared" si="15"/>
        <v>179444.44444444444</v>
      </c>
      <c r="N67" s="118">
        <f t="shared" si="16"/>
        <v>3782782.130112343</v>
      </c>
      <c r="O67" s="118">
        <f t="shared" si="17"/>
        <v>2167782.1301123444</v>
      </c>
      <c r="P67" s="161">
        <v>0.06</v>
      </c>
      <c r="Q67" s="201">
        <f t="shared" si="13"/>
        <v>130066.92780674066</v>
      </c>
      <c r="R67" s="181"/>
      <c r="S67" s="133">
        <v>170000</v>
      </c>
      <c r="T67" s="59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5.75" thickBot="1" x14ac:dyDescent="0.3">
      <c r="A68" s="14"/>
      <c r="B68" s="58"/>
      <c r="C68" s="130">
        <v>21</v>
      </c>
      <c r="D68" s="195" t="s">
        <v>89</v>
      </c>
      <c r="E68" s="195">
        <v>1</v>
      </c>
      <c r="F68" s="131" t="s">
        <v>36</v>
      </c>
      <c r="G68" s="198">
        <v>30</v>
      </c>
      <c r="H68" s="140">
        <f t="shared" si="11"/>
        <v>14.5</v>
      </c>
      <c r="I68" s="117">
        <v>21</v>
      </c>
      <c r="J68" s="142">
        <f t="shared" si="10"/>
        <v>4.1501976284584984E-2</v>
      </c>
      <c r="K68" s="117">
        <f t="shared" si="12"/>
        <v>443</v>
      </c>
      <c r="L68" s="132">
        <f t="shared" si="14"/>
        <v>0.87549407114624478</v>
      </c>
      <c r="M68" s="144">
        <f t="shared" si="15"/>
        <v>188888.88888888888</v>
      </c>
      <c r="N68" s="118">
        <f t="shared" si="16"/>
        <v>3662159.6467500469</v>
      </c>
      <c r="O68" s="118">
        <f t="shared" si="17"/>
        <v>1867715.2023056038</v>
      </c>
      <c r="P68" s="161">
        <v>0.06</v>
      </c>
      <c r="Q68" s="201">
        <f t="shared" si="13"/>
        <v>112062.91213833622</v>
      </c>
      <c r="R68" s="182"/>
      <c r="S68" s="133">
        <v>170000</v>
      </c>
      <c r="T68" s="59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5.75" thickBot="1" x14ac:dyDescent="0.3">
      <c r="A69" s="14"/>
      <c r="B69" s="58"/>
      <c r="C69" s="130">
        <v>22</v>
      </c>
      <c r="D69" s="195" t="s">
        <v>90</v>
      </c>
      <c r="E69" s="195">
        <v>1</v>
      </c>
      <c r="F69" s="131" t="s">
        <v>36</v>
      </c>
      <c r="G69" s="198">
        <v>31</v>
      </c>
      <c r="H69" s="140">
        <f t="shared" si="11"/>
        <v>15</v>
      </c>
      <c r="I69" s="117">
        <v>20</v>
      </c>
      <c r="J69" s="142">
        <f t="shared" si="10"/>
        <v>3.9525691699604744E-2</v>
      </c>
      <c r="K69" s="117">
        <f t="shared" si="12"/>
        <v>463</v>
      </c>
      <c r="L69" s="132">
        <f t="shared" si="14"/>
        <v>0.91501976284584952</v>
      </c>
      <c r="M69" s="144">
        <f t="shared" si="15"/>
        <v>198333.33333333334</v>
      </c>
      <c r="N69" s="118">
        <f t="shared" si="16"/>
        <v>3568985.6235005995</v>
      </c>
      <c r="O69" s="118">
        <f t="shared" si="17"/>
        <v>1585652.2901672674</v>
      </c>
      <c r="P69" s="161">
        <v>0.06</v>
      </c>
      <c r="Q69" s="201">
        <f t="shared" si="13"/>
        <v>95139.137410036041</v>
      </c>
      <c r="R69" s="180">
        <f>SUM((M69-S69)^2+(M70-S70)^2+(M71-S71)^2)/3</f>
        <v>1486625514.4032924</v>
      </c>
      <c r="S69" s="133">
        <v>170000</v>
      </c>
      <c r="T69" s="59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5.75" thickBot="1" x14ac:dyDescent="0.3">
      <c r="A70" s="14"/>
      <c r="B70" s="58"/>
      <c r="C70" s="130">
        <v>23</v>
      </c>
      <c r="D70" s="195" t="s">
        <v>91</v>
      </c>
      <c r="E70" s="195">
        <v>1</v>
      </c>
      <c r="F70" s="131" t="s">
        <v>36</v>
      </c>
      <c r="G70" s="198">
        <v>30</v>
      </c>
      <c r="H70" s="140">
        <f t="shared" si="11"/>
        <v>14.5</v>
      </c>
      <c r="I70" s="117">
        <v>20</v>
      </c>
      <c r="J70" s="142">
        <f t="shared" si="10"/>
        <v>3.9525691699604744E-2</v>
      </c>
      <c r="K70" s="117">
        <f t="shared" si="12"/>
        <v>483</v>
      </c>
      <c r="L70" s="132">
        <f t="shared" si="14"/>
        <v>0.95454545454545425</v>
      </c>
      <c r="M70" s="144">
        <f t="shared" si="15"/>
        <v>207777.77777777778</v>
      </c>
      <c r="N70" s="118">
        <f t="shared" si="16"/>
        <v>3502179.8194238972</v>
      </c>
      <c r="O70" s="118">
        <f t="shared" si="17"/>
        <v>1320513.1527572314</v>
      </c>
      <c r="P70" s="161">
        <v>0.06</v>
      </c>
      <c r="Q70" s="202">
        <f t="shared" si="13"/>
        <v>79230.789165433875</v>
      </c>
      <c r="R70" s="181"/>
      <c r="S70" s="133">
        <v>170000</v>
      </c>
      <c r="T70" s="59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5.75" thickBot="1" x14ac:dyDescent="0.3">
      <c r="A71" s="14"/>
      <c r="B71" s="58"/>
      <c r="C71" s="130">
        <v>24</v>
      </c>
      <c r="D71" s="196" t="s">
        <v>92</v>
      </c>
      <c r="E71" s="196">
        <v>1</v>
      </c>
      <c r="F71" s="134" t="s">
        <v>36</v>
      </c>
      <c r="G71" s="199">
        <v>31</v>
      </c>
      <c r="H71" s="141">
        <f t="shared" si="11"/>
        <v>15</v>
      </c>
      <c r="I71" s="135">
        <v>23</v>
      </c>
      <c r="J71" s="136">
        <f t="shared" si="10"/>
        <v>4.5454545454545456E-2</v>
      </c>
      <c r="K71" s="135">
        <f t="shared" si="12"/>
        <v>506</v>
      </c>
      <c r="L71" s="137">
        <f t="shared" si="14"/>
        <v>0.99999999999999967</v>
      </c>
      <c r="M71" s="145">
        <f t="shared" si="15"/>
        <v>217222.22222222222</v>
      </c>
      <c r="N71" s="151">
        <f t="shared" si="16"/>
        <v>3460726.8080362412</v>
      </c>
      <c r="O71" s="151">
        <f t="shared" si="17"/>
        <v>1071282.3635917974</v>
      </c>
      <c r="P71" s="162">
        <v>7.3800000000000004E-2</v>
      </c>
      <c r="Q71" s="203">
        <f t="shared" si="13"/>
        <v>79060.638433074651</v>
      </c>
      <c r="R71" s="182"/>
      <c r="S71" s="138">
        <v>170000</v>
      </c>
      <c r="T71" s="59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ht="15.75" thickBot="1" x14ac:dyDescent="0.3">
      <c r="A72" s="14"/>
      <c r="B72" s="58"/>
      <c r="C72" s="119" t="s">
        <v>44</v>
      </c>
      <c r="D72" s="64"/>
      <c r="E72" s="77"/>
      <c r="F72" s="64"/>
      <c r="G72" s="76"/>
      <c r="H72" s="120">
        <f>SUBTOTAL(9,H48:H71)</f>
        <v>353.5</v>
      </c>
      <c r="I72" s="121">
        <f>SUBTOTAL(9,I48:I71)</f>
        <v>506</v>
      </c>
      <c r="J72" s="122">
        <f>SUBTOTAL(9,J48:J71)</f>
        <v>0.99999999999999967</v>
      </c>
      <c r="K72" s="77"/>
      <c r="L72" s="76"/>
      <c r="M72" s="78"/>
      <c r="N72" s="204">
        <f t="shared" ref="N72" si="18">SUBTOTAL(9,N48:N71)</f>
        <v>165840520.31618771</v>
      </c>
      <c r="O72" s="205">
        <f>SUBTOTAL(9,O48:O71)</f>
        <v>146724964.76063222</v>
      </c>
      <c r="P72" s="64"/>
      <c r="Q72" s="64"/>
      <c r="R72" s="14"/>
      <c r="S72" s="101">
        <f>SUBTOTAL(9,S48:S71)</f>
        <v>4080000</v>
      </c>
      <c r="T72" s="14"/>
      <c r="U72" s="14"/>
      <c r="V72" s="14"/>
      <c r="W72" s="14"/>
      <c r="X72" s="14"/>
      <c r="Y72" s="14"/>
      <c r="Z72" s="14"/>
      <c r="AA72" s="14"/>
    </row>
    <row r="73" spans="1:29" ht="15.75" thickBot="1" x14ac:dyDescent="0.3">
      <c r="A73" s="14"/>
      <c r="B73" s="14"/>
      <c r="C73" s="64"/>
      <c r="D73" s="64"/>
      <c r="E73" s="14"/>
      <c r="F73" s="14"/>
      <c r="G73" s="14"/>
      <c r="H73" s="64"/>
      <c r="I73" s="64"/>
      <c r="J73" s="64"/>
      <c r="K73" s="14"/>
      <c r="L73" s="14"/>
      <c r="M73" s="14"/>
      <c r="N73" s="64"/>
      <c r="O73" s="64"/>
      <c r="P73" s="64"/>
      <c r="Q73" s="6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ht="15.75" thickBot="1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ht="15.75" thickBo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ht="21.75" thickBot="1" x14ac:dyDescent="0.4">
      <c r="A76" s="14"/>
      <c r="B76" s="14"/>
      <c r="C76" s="183" t="s">
        <v>105</v>
      </c>
      <c r="D76" s="171"/>
      <c r="E76" s="171"/>
      <c r="F76" s="171"/>
      <c r="G76" s="171"/>
      <c r="H76" s="171"/>
      <c r="I76" s="171"/>
      <c r="J76" s="171"/>
      <c r="K76" s="171"/>
      <c r="L76" s="171"/>
      <c r="M76" s="171"/>
      <c r="N76" s="171"/>
      <c r="O76" s="171"/>
      <c r="P76" s="171"/>
      <c r="Q76" s="171"/>
      <c r="R76" s="171"/>
      <c r="S76" s="172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8.75" customHeight="1" thickBot="1" x14ac:dyDescent="0.3">
      <c r="A77" s="14"/>
      <c r="B77" s="58"/>
      <c r="C77" s="191" t="s">
        <v>42</v>
      </c>
      <c r="D77" s="191" t="s">
        <v>93</v>
      </c>
      <c r="E77" s="189" t="s">
        <v>107</v>
      </c>
      <c r="F77" s="189"/>
      <c r="G77" s="189"/>
      <c r="H77" s="191" t="s">
        <v>108</v>
      </c>
      <c r="I77" s="189" t="s">
        <v>109</v>
      </c>
      <c r="J77" s="184" t="s">
        <v>110</v>
      </c>
      <c r="K77" s="189" t="s">
        <v>111</v>
      </c>
      <c r="L77" s="184" t="s">
        <v>112</v>
      </c>
      <c r="M77" s="189" t="s">
        <v>102</v>
      </c>
      <c r="N77" s="184" t="s">
        <v>114</v>
      </c>
      <c r="O77" s="184" t="s">
        <v>115</v>
      </c>
      <c r="P77" s="184" t="s">
        <v>50</v>
      </c>
      <c r="Q77" s="184" t="s">
        <v>25</v>
      </c>
      <c r="R77" s="184" t="s">
        <v>113</v>
      </c>
      <c r="S77" s="189" t="s">
        <v>103</v>
      </c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ht="15.75" thickBot="1" x14ac:dyDescent="0.3">
      <c r="A78" s="14"/>
      <c r="B78" s="58"/>
      <c r="C78" s="193"/>
      <c r="D78" s="192"/>
      <c r="E78" s="156" t="s">
        <v>34</v>
      </c>
      <c r="F78" s="155"/>
      <c r="G78" s="156" t="s">
        <v>35</v>
      </c>
      <c r="H78" s="193"/>
      <c r="I78" s="190"/>
      <c r="J78" s="188"/>
      <c r="K78" s="190"/>
      <c r="L78" s="188"/>
      <c r="M78" s="190"/>
      <c r="N78" s="188"/>
      <c r="O78" s="188"/>
      <c r="P78" s="185"/>
      <c r="Q78" s="185"/>
      <c r="R78" s="188"/>
      <c r="S78" s="190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ht="15.75" thickBot="1" x14ac:dyDescent="0.3">
      <c r="A79" s="14"/>
      <c r="B79" s="58"/>
      <c r="C79" s="123">
        <v>1</v>
      </c>
      <c r="D79" s="194" t="s">
        <v>69</v>
      </c>
      <c r="E79" s="194">
        <v>1</v>
      </c>
      <c r="F79" s="124" t="s">
        <v>36</v>
      </c>
      <c r="G79" s="197">
        <v>31</v>
      </c>
      <c r="H79" s="139">
        <f>(G79-E79)/2</f>
        <v>15</v>
      </c>
      <c r="I79" s="125">
        <v>22</v>
      </c>
      <c r="J79" s="126">
        <f t="shared" ref="J79:J102" si="19">I79/$I$42</f>
        <v>4.3478260869565216E-2</v>
      </c>
      <c r="K79" s="125">
        <v>22</v>
      </c>
      <c r="L79" s="127">
        <f>J79</f>
        <v>4.3478260869565216E-2</v>
      </c>
      <c r="M79" s="143">
        <v>0</v>
      </c>
      <c r="N79" s="128">
        <f>X2</f>
        <v>39420000</v>
      </c>
      <c r="O79" s="128">
        <f>X2</f>
        <v>39420000</v>
      </c>
      <c r="P79" s="160">
        <v>0.06</v>
      </c>
      <c r="Q79" s="200">
        <f>O79*P79</f>
        <v>2365200</v>
      </c>
      <c r="R79" s="180">
        <f>SUM((M79-S79)^2+(M80-S80)^2+(M81-S81)^2)/3</f>
        <v>157707407407.40741</v>
      </c>
      <c r="S79" s="129">
        <f>S18+S48</f>
        <v>420000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ht="15.75" thickBot="1" x14ac:dyDescent="0.3">
      <c r="A80" s="14"/>
      <c r="B80" s="58"/>
      <c r="C80" s="130">
        <v>2</v>
      </c>
      <c r="D80" s="195" t="s">
        <v>70</v>
      </c>
      <c r="E80" s="195">
        <v>1</v>
      </c>
      <c r="F80" s="131" t="s">
        <v>36</v>
      </c>
      <c r="G80" s="198">
        <v>29</v>
      </c>
      <c r="H80" s="140">
        <f t="shared" ref="H80:H102" si="20">(G80-E80)/2</f>
        <v>14</v>
      </c>
      <c r="I80" s="117">
        <v>19</v>
      </c>
      <c r="J80" s="142">
        <f t="shared" si="19"/>
        <v>3.7549407114624504E-2</v>
      </c>
      <c r="K80" s="117">
        <f t="shared" ref="K80:K102" si="21">(I80+K79)</f>
        <v>41</v>
      </c>
      <c r="L80" s="132">
        <f>J80+L79</f>
        <v>8.1027667984189727E-2</v>
      </c>
      <c r="M80" s="144">
        <f>C79*S79/18</f>
        <v>23333.333333333332</v>
      </c>
      <c r="N80" s="118">
        <f>N79+M79-Q79-S79</f>
        <v>36634800</v>
      </c>
      <c r="O80" s="118">
        <f>O79-Q79-S79</f>
        <v>36634800</v>
      </c>
      <c r="P80" s="161">
        <v>0.06</v>
      </c>
      <c r="Q80" s="201">
        <f t="shared" ref="Q80:Q102" si="22">O80*P80</f>
        <v>2198088</v>
      </c>
      <c r="R80" s="181"/>
      <c r="S80" s="133">
        <f t="shared" ref="S80:S102" si="23">S19+S49</f>
        <v>420000</v>
      </c>
      <c r="T80" s="59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ht="15.75" thickBot="1" x14ac:dyDescent="0.3">
      <c r="A81" s="14"/>
      <c r="B81" s="58"/>
      <c r="C81" s="130">
        <v>3</v>
      </c>
      <c r="D81" s="195" t="s">
        <v>71</v>
      </c>
      <c r="E81" s="195">
        <v>1</v>
      </c>
      <c r="F81" s="131" t="s">
        <v>36</v>
      </c>
      <c r="G81" s="198">
        <v>31</v>
      </c>
      <c r="H81" s="140">
        <f t="shared" si="20"/>
        <v>15</v>
      </c>
      <c r="I81" s="117">
        <v>22</v>
      </c>
      <c r="J81" s="142">
        <f t="shared" si="19"/>
        <v>4.3478260869565216E-2</v>
      </c>
      <c r="K81" s="117">
        <f t="shared" si="21"/>
        <v>63</v>
      </c>
      <c r="L81" s="132">
        <f t="shared" ref="L81:L102" si="24">J81+L80</f>
        <v>0.12450592885375494</v>
      </c>
      <c r="M81" s="144">
        <f t="shared" ref="M81:M102" si="25">C80*S80/18</f>
        <v>46666.666666666664</v>
      </c>
      <c r="N81" s="118">
        <f t="shared" ref="N81:N102" si="26">N80+M80-Q80-S80</f>
        <v>34040045.333333336</v>
      </c>
      <c r="O81" s="118">
        <f t="shared" ref="O81:O102" si="27">O80-Q80-S80</f>
        <v>34016712</v>
      </c>
      <c r="P81" s="161">
        <v>0.06</v>
      </c>
      <c r="Q81" s="201">
        <f t="shared" si="22"/>
        <v>2041002.72</v>
      </c>
      <c r="R81" s="182"/>
      <c r="S81" s="133">
        <f t="shared" si="23"/>
        <v>420000</v>
      </c>
      <c r="T81" s="59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ht="15.75" thickBot="1" x14ac:dyDescent="0.3">
      <c r="A82" s="14"/>
      <c r="B82" s="58"/>
      <c r="C82" s="130">
        <v>4</v>
      </c>
      <c r="D82" s="195" t="s">
        <v>72</v>
      </c>
      <c r="E82" s="195">
        <v>1</v>
      </c>
      <c r="F82" s="131" t="s">
        <v>36</v>
      </c>
      <c r="G82" s="198">
        <v>30</v>
      </c>
      <c r="H82" s="140">
        <f t="shared" si="20"/>
        <v>14.5</v>
      </c>
      <c r="I82" s="117">
        <v>20</v>
      </c>
      <c r="J82" s="142">
        <f t="shared" si="19"/>
        <v>3.9525691699604744E-2</v>
      </c>
      <c r="K82" s="117">
        <f t="shared" si="21"/>
        <v>83</v>
      </c>
      <c r="L82" s="132">
        <f t="shared" si="24"/>
        <v>0.16403162055335968</v>
      </c>
      <c r="M82" s="144">
        <f t="shared" si="25"/>
        <v>70000</v>
      </c>
      <c r="N82" s="118">
        <f t="shared" si="26"/>
        <v>31625709.280000001</v>
      </c>
      <c r="O82" s="118">
        <f t="shared" si="27"/>
        <v>31555709.280000001</v>
      </c>
      <c r="P82" s="161">
        <v>7.3800000000000004E-2</v>
      </c>
      <c r="Q82" s="201">
        <f t="shared" si="22"/>
        <v>2328811.3448640001</v>
      </c>
      <c r="R82" s="180">
        <f>SUM((M82-S82)^2+(M83-S83)^2+(M84-S84)^2)/3</f>
        <v>107074074074.07408</v>
      </c>
      <c r="S82" s="133">
        <f t="shared" si="23"/>
        <v>420000</v>
      </c>
      <c r="T82" s="59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ht="15.75" thickBot="1" x14ac:dyDescent="0.3">
      <c r="A83" s="14"/>
      <c r="B83" s="58"/>
      <c r="C83" s="130">
        <v>5</v>
      </c>
      <c r="D83" s="195" t="s">
        <v>73</v>
      </c>
      <c r="E83" s="195">
        <v>1</v>
      </c>
      <c r="F83" s="131" t="s">
        <v>36</v>
      </c>
      <c r="G83" s="198">
        <v>31</v>
      </c>
      <c r="H83" s="140">
        <f t="shared" si="20"/>
        <v>15</v>
      </c>
      <c r="I83" s="117">
        <v>20</v>
      </c>
      <c r="J83" s="142">
        <f t="shared" si="19"/>
        <v>3.9525691699604744E-2</v>
      </c>
      <c r="K83" s="117">
        <f t="shared" si="21"/>
        <v>103</v>
      </c>
      <c r="L83" s="132">
        <f t="shared" si="24"/>
        <v>0.20355731225296442</v>
      </c>
      <c r="M83" s="144">
        <f t="shared" si="25"/>
        <v>93333.333333333328</v>
      </c>
      <c r="N83" s="118">
        <f t="shared" si="26"/>
        <v>28946897.935136002</v>
      </c>
      <c r="O83" s="118">
        <f t="shared" si="27"/>
        <v>28806897.935136002</v>
      </c>
      <c r="P83" s="161">
        <v>7.3800000000000004E-2</v>
      </c>
      <c r="Q83" s="201">
        <f t="shared" si="22"/>
        <v>2125949.0676130368</v>
      </c>
      <c r="R83" s="181"/>
      <c r="S83" s="133">
        <f t="shared" si="23"/>
        <v>420000</v>
      </c>
      <c r="T83" s="59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ht="15.75" thickBot="1" x14ac:dyDescent="0.3">
      <c r="A84" s="14"/>
      <c r="B84" s="58"/>
      <c r="C84" s="130">
        <v>6</v>
      </c>
      <c r="D84" s="195" t="s">
        <v>74</v>
      </c>
      <c r="E84" s="195">
        <v>1</v>
      </c>
      <c r="F84" s="131" t="s">
        <v>36</v>
      </c>
      <c r="G84" s="198">
        <v>30</v>
      </c>
      <c r="H84" s="140">
        <f t="shared" si="20"/>
        <v>14.5</v>
      </c>
      <c r="I84" s="117">
        <v>22</v>
      </c>
      <c r="J84" s="142">
        <f t="shared" si="19"/>
        <v>4.3478260869565216E-2</v>
      </c>
      <c r="K84" s="117">
        <f t="shared" si="21"/>
        <v>125</v>
      </c>
      <c r="L84" s="132">
        <f t="shared" si="24"/>
        <v>0.24703557312252963</v>
      </c>
      <c r="M84" s="144">
        <f t="shared" si="25"/>
        <v>116666.66666666667</v>
      </c>
      <c r="N84" s="118">
        <f t="shared" si="26"/>
        <v>26494282.200856298</v>
      </c>
      <c r="O84" s="118">
        <f t="shared" si="27"/>
        <v>26260948.867522966</v>
      </c>
      <c r="P84" s="161">
        <v>0.06</v>
      </c>
      <c r="Q84" s="201">
        <f t="shared" si="22"/>
        <v>1575656.9320513778</v>
      </c>
      <c r="R84" s="182"/>
      <c r="S84" s="133">
        <f t="shared" si="23"/>
        <v>420000</v>
      </c>
      <c r="T84" s="59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ht="15.75" thickBot="1" x14ac:dyDescent="0.3">
      <c r="A85" s="14"/>
      <c r="B85" s="58"/>
      <c r="C85" s="130">
        <v>7</v>
      </c>
      <c r="D85" s="195" t="s">
        <v>75</v>
      </c>
      <c r="E85" s="195">
        <v>1</v>
      </c>
      <c r="F85" s="131" t="s">
        <v>36</v>
      </c>
      <c r="G85" s="198">
        <v>31</v>
      </c>
      <c r="H85" s="140">
        <f t="shared" si="20"/>
        <v>15</v>
      </c>
      <c r="I85" s="117">
        <v>23</v>
      </c>
      <c r="J85" s="142">
        <f t="shared" si="19"/>
        <v>4.5454545454545456E-2</v>
      </c>
      <c r="K85" s="117">
        <f t="shared" si="21"/>
        <v>148</v>
      </c>
      <c r="L85" s="132">
        <f t="shared" si="24"/>
        <v>0.29249011857707508</v>
      </c>
      <c r="M85" s="144">
        <f t="shared" si="25"/>
        <v>140000</v>
      </c>
      <c r="N85" s="118">
        <f t="shared" si="26"/>
        <v>24615291.935471587</v>
      </c>
      <c r="O85" s="118">
        <f t="shared" si="27"/>
        <v>24265291.935471587</v>
      </c>
      <c r="P85" s="161">
        <v>0.06</v>
      </c>
      <c r="Q85" s="201">
        <f t="shared" si="22"/>
        <v>1455917.5161282951</v>
      </c>
      <c r="R85" s="180">
        <f>SUM((M85-S85)^2+(M86-S86)^2+(M87-S87)^2)/3</f>
        <v>66240740740.740746</v>
      </c>
      <c r="S85" s="133">
        <f t="shared" si="23"/>
        <v>420000</v>
      </c>
      <c r="T85" s="59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ht="15.75" thickBot="1" x14ac:dyDescent="0.3">
      <c r="A86" s="14"/>
      <c r="B86" s="58"/>
      <c r="C86" s="130">
        <v>8</v>
      </c>
      <c r="D86" s="195" t="s">
        <v>76</v>
      </c>
      <c r="E86" s="195">
        <v>1</v>
      </c>
      <c r="F86" s="131" t="s">
        <v>36</v>
      </c>
      <c r="G86" s="198">
        <v>31</v>
      </c>
      <c r="H86" s="140">
        <f t="shared" si="20"/>
        <v>15</v>
      </c>
      <c r="I86" s="117">
        <v>21</v>
      </c>
      <c r="J86" s="142">
        <f t="shared" si="19"/>
        <v>4.1501976284584984E-2</v>
      </c>
      <c r="K86" s="117">
        <f t="shared" si="21"/>
        <v>169</v>
      </c>
      <c r="L86" s="132">
        <f t="shared" si="24"/>
        <v>0.33399209486166004</v>
      </c>
      <c r="M86" s="144">
        <f t="shared" si="25"/>
        <v>163333.33333333334</v>
      </c>
      <c r="N86" s="118">
        <f t="shared" si="26"/>
        <v>22879374.419343293</v>
      </c>
      <c r="O86" s="118">
        <f t="shared" si="27"/>
        <v>22389374.419343293</v>
      </c>
      <c r="P86" s="161">
        <v>0.06</v>
      </c>
      <c r="Q86" s="201">
        <f t="shared" si="22"/>
        <v>1343362.4651605976</v>
      </c>
      <c r="R86" s="181"/>
      <c r="S86" s="133">
        <f t="shared" si="23"/>
        <v>420000</v>
      </c>
      <c r="T86" s="59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ht="15.75" thickBot="1" x14ac:dyDescent="0.3">
      <c r="A87" s="14"/>
      <c r="B87" s="58"/>
      <c r="C87" s="130">
        <v>9</v>
      </c>
      <c r="D87" s="195" t="s">
        <v>77</v>
      </c>
      <c r="E87" s="195">
        <v>1</v>
      </c>
      <c r="F87" s="131" t="s">
        <v>36</v>
      </c>
      <c r="G87" s="198">
        <v>30</v>
      </c>
      <c r="H87" s="140">
        <f t="shared" si="20"/>
        <v>14.5</v>
      </c>
      <c r="I87" s="117">
        <v>21</v>
      </c>
      <c r="J87" s="142">
        <f t="shared" si="19"/>
        <v>4.1501976284584984E-2</v>
      </c>
      <c r="K87" s="117">
        <f t="shared" si="21"/>
        <v>190</v>
      </c>
      <c r="L87" s="132">
        <f t="shared" si="24"/>
        <v>0.375494071146245</v>
      </c>
      <c r="M87" s="144">
        <f t="shared" si="25"/>
        <v>186666.66666666666</v>
      </c>
      <c r="N87" s="118">
        <f t="shared" si="26"/>
        <v>21279345.287516028</v>
      </c>
      <c r="O87" s="118">
        <f t="shared" si="27"/>
        <v>20626011.954182696</v>
      </c>
      <c r="P87" s="161">
        <v>0.06</v>
      </c>
      <c r="Q87" s="201">
        <f t="shared" si="22"/>
        <v>1237560.7172509616</v>
      </c>
      <c r="R87" s="182"/>
      <c r="S87" s="133">
        <f t="shared" si="23"/>
        <v>420000</v>
      </c>
      <c r="T87" s="59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ht="15.75" thickBot="1" x14ac:dyDescent="0.3">
      <c r="A88" s="14"/>
      <c r="B88" s="58"/>
      <c r="C88" s="130">
        <v>10</v>
      </c>
      <c r="D88" s="195" t="s">
        <v>78</v>
      </c>
      <c r="E88" s="195">
        <v>1</v>
      </c>
      <c r="F88" s="131" t="s">
        <v>36</v>
      </c>
      <c r="G88" s="198">
        <v>31</v>
      </c>
      <c r="H88" s="140">
        <f t="shared" si="20"/>
        <v>15</v>
      </c>
      <c r="I88" s="117">
        <v>21</v>
      </c>
      <c r="J88" s="142">
        <f t="shared" si="19"/>
        <v>4.1501976284584984E-2</v>
      </c>
      <c r="K88" s="117">
        <f t="shared" si="21"/>
        <v>211</v>
      </c>
      <c r="L88" s="132">
        <f t="shared" si="24"/>
        <v>0.41699604743082996</v>
      </c>
      <c r="M88" s="144">
        <f t="shared" si="25"/>
        <v>210000</v>
      </c>
      <c r="N88" s="118">
        <f t="shared" si="26"/>
        <v>19808451.236931734</v>
      </c>
      <c r="O88" s="118">
        <f t="shared" si="27"/>
        <v>18968451.236931734</v>
      </c>
      <c r="P88" s="161">
        <v>0.06</v>
      </c>
      <c r="Q88" s="201">
        <f t="shared" si="22"/>
        <v>1138107.0742159039</v>
      </c>
      <c r="R88" s="180">
        <f>SUM((M88-S88)^2+(M89-S89)^2+(M90-S90)^2)/3</f>
        <v>35207407407.40741</v>
      </c>
      <c r="S88" s="133">
        <f t="shared" si="23"/>
        <v>420000</v>
      </c>
      <c r="T88" s="59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ht="15.75" thickBot="1" x14ac:dyDescent="0.3">
      <c r="A89" s="14"/>
      <c r="B89" s="58"/>
      <c r="C89" s="130">
        <v>11</v>
      </c>
      <c r="D89" s="195" t="s">
        <v>79</v>
      </c>
      <c r="E89" s="195">
        <v>1</v>
      </c>
      <c r="F89" s="131" t="s">
        <v>36</v>
      </c>
      <c r="G89" s="198">
        <v>30</v>
      </c>
      <c r="H89" s="140">
        <f t="shared" si="20"/>
        <v>14.5</v>
      </c>
      <c r="I89" s="117">
        <v>20</v>
      </c>
      <c r="J89" s="142">
        <f t="shared" si="19"/>
        <v>3.9525691699604744E-2</v>
      </c>
      <c r="K89" s="117">
        <f t="shared" si="21"/>
        <v>231</v>
      </c>
      <c r="L89" s="132">
        <f t="shared" si="24"/>
        <v>0.4565217391304347</v>
      </c>
      <c r="M89" s="144">
        <f t="shared" si="25"/>
        <v>233333.33333333334</v>
      </c>
      <c r="N89" s="118">
        <f t="shared" si="26"/>
        <v>18460344.16271583</v>
      </c>
      <c r="O89" s="118">
        <f t="shared" si="27"/>
        <v>17410344.16271583</v>
      </c>
      <c r="P89" s="161">
        <v>0.06</v>
      </c>
      <c r="Q89" s="201">
        <f t="shared" si="22"/>
        <v>1044620.6497629498</v>
      </c>
      <c r="R89" s="181"/>
      <c r="S89" s="133">
        <f t="shared" si="23"/>
        <v>420000</v>
      </c>
      <c r="T89" s="59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ht="15.75" thickBot="1" x14ac:dyDescent="0.3">
      <c r="A90" s="14"/>
      <c r="B90" s="58"/>
      <c r="C90" s="130">
        <v>12</v>
      </c>
      <c r="D90" s="195" t="s">
        <v>80</v>
      </c>
      <c r="E90" s="195">
        <v>1</v>
      </c>
      <c r="F90" s="131" t="s">
        <v>36</v>
      </c>
      <c r="G90" s="198">
        <v>31</v>
      </c>
      <c r="H90" s="140">
        <f t="shared" si="20"/>
        <v>15</v>
      </c>
      <c r="I90" s="117">
        <v>22</v>
      </c>
      <c r="J90" s="142">
        <f t="shared" si="19"/>
        <v>4.3478260869565216E-2</v>
      </c>
      <c r="K90" s="117">
        <f t="shared" si="21"/>
        <v>253</v>
      </c>
      <c r="L90" s="132">
        <f t="shared" si="24"/>
        <v>0.49999999999999989</v>
      </c>
      <c r="M90" s="144">
        <f t="shared" si="25"/>
        <v>256666.66666666666</v>
      </c>
      <c r="N90" s="118">
        <f t="shared" si="26"/>
        <v>17229056.846286211</v>
      </c>
      <c r="O90" s="118">
        <f t="shared" si="27"/>
        <v>15945723.512952881</v>
      </c>
      <c r="P90" s="161">
        <v>7.3800000000000004E-2</v>
      </c>
      <c r="Q90" s="201">
        <f t="shared" si="22"/>
        <v>1176794.3952559226</v>
      </c>
      <c r="R90" s="182"/>
      <c r="S90" s="133">
        <f t="shared" si="23"/>
        <v>420000</v>
      </c>
      <c r="T90" s="59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ht="15.75" thickBot="1" x14ac:dyDescent="0.3">
      <c r="A91" s="14"/>
      <c r="B91" s="58"/>
      <c r="C91" s="130">
        <v>13</v>
      </c>
      <c r="D91" s="195" t="s">
        <v>81</v>
      </c>
      <c r="E91" s="195">
        <v>1</v>
      </c>
      <c r="F91" s="131" t="s">
        <v>36</v>
      </c>
      <c r="G91" s="198">
        <v>31</v>
      </c>
      <c r="H91" s="140">
        <f t="shared" si="20"/>
        <v>15</v>
      </c>
      <c r="I91" s="117">
        <v>20</v>
      </c>
      <c r="J91" s="142">
        <f t="shared" si="19"/>
        <v>3.9525691699604744E-2</v>
      </c>
      <c r="K91" s="117">
        <f t="shared" si="21"/>
        <v>273</v>
      </c>
      <c r="L91" s="132">
        <f t="shared" si="24"/>
        <v>0.53952569169960463</v>
      </c>
      <c r="M91" s="144">
        <f t="shared" si="25"/>
        <v>280000</v>
      </c>
      <c r="N91" s="118">
        <f t="shared" si="26"/>
        <v>15888929.117696956</v>
      </c>
      <c r="O91" s="118">
        <f t="shared" si="27"/>
        <v>14348929.117696958</v>
      </c>
      <c r="P91" s="161">
        <v>0.06</v>
      </c>
      <c r="Q91" s="201">
        <f t="shared" si="22"/>
        <v>860935.74706181744</v>
      </c>
      <c r="R91" s="180">
        <f>SUM((M91-S91)^2+(M92-S92)^2+(M93-S93)^2)/3</f>
        <v>13974074074.074074</v>
      </c>
      <c r="S91" s="133">
        <f t="shared" si="23"/>
        <v>420000</v>
      </c>
      <c r="T91" s="59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ht="15.75" thickBot="1" x14ac:dyDescent="0.3">
      <c r="A92" s="14"/>
      <c r="B92" s="58"/>
      <c r="C92" s="130">
        <v>14</v>
      </c>
      <c r="D92" s="195" t="s">
        <v>82</v>
      </c>
      <c r="E92" s="195">
        <v>1</v>
      </c>
      <c r="F92" s="131" t="s">
        <v>36</v>
      </c>
      <c r="G92" s="198">
        <v>28</v>
      </c>
      <c r="H92" s="140">
        <f t="shared" si="20"/>
        <v>13.5</v>
      </c>
      <c r="I92" s="117">
        <v>19</v>
      </c>
      <c r="J92" s="142">
        <f t="shared" si="19"/>
        <v>3.7549407114624504E-2</v>
      </c>
      <c r="K92" s="117">
        <f t="shared" si="21"/>
        <v>292</v>
      </c>
      <c r="L92" s="132">
        <f t="shared" si="24"/>
        <v>0.57707509881422914</v>
      </c>
      <c r="M92" s="144">
        <f t="shared" si="25"/>
        <v>303333.33333333331</v>
      </c>
      <c r="N92" s="118">
        <f t="shared" si="26"/>
        <v>14887993.370635139</v>
      </c>
      <c r="O92" s="118">
        <f t="shared" si="27"/>
        <v>13067993.370635141</v>
      </c>
      <c r="P92" s="161">
        <v>0.06</v>
      </c>
      <c r="Q92" s="201">
        <f t="shared" si="22"/>
        <v>784079.6022381084</v>
      </c>
      <c r="R92" s="181"/>
      <c r="S92" s="133">
        <f t="shared" si="23"/>
        <v>420000</v>
      </c>
      <c r="T92" s="59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ht="15.75" thickBot="1" x14ac:dyDescent="0.3">
      <c r="A93" s="14"/>
      <c r="B93" s="58"/>
      <c r="C93" s="130">
        <v>15</v>
      </c>
      <c r="D93" s="195" t="s">
        <v>83</v>
      </c>
      <c r="E93" s="195">
        <v>1</v>
      </c>
      <c r="F93" s="131" t="s">
        <v>36</v>
      </c>
      <c r="G93" s="198">
        <v>31</v>
      </c>
      <c r="H93" s="140">
        <f t="shared" si="20"/>
        <v>15</v>
      </c>
      <c r="I93" s="117">
        <v>23</v>
      </c>
      <c r="J93" s="142">
        <f t="shared" si="19"/>
        <v>4.5454545454545456E-2</v>
      </c>
      <c r="K93" s="117">
        <f t="shared" si="21"/>
        <v>315</v>
      </c>
      <c r="L93" s="132">
        <f t="shared" si="24"/>
        <v>0.62252964426877455</v>
      </c>
      <c r="M93" s="144">
        <f t="shared" si="25"/>
        <v>326666.66666666669</v>
      </c>
      <c r="N93" s="118">
        <f t="shared" si="26"/>
        <v>13987247.101730365</v>
      </c>
      <c r="O93" s="118">
        <f t="shared" si="27"/>
        <v>11863913.768397033</v>
      </c>
      <c r="P93" s="161">
        <v>0.06</v>
      </c>
      <c r="Q93" s="201">
        <f t="shared" si="22"/>
        <v>711834.82610382198</v>
      </c>
      <c r="R93" s="182"/>
      <c r="S93" s="133">
        <f t="shared" si="23"/>
        <v>420000</v>
      </c>
      <c r="T93" s="59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ht="15.75" thickBot="1" x14ac:dyDescent="0.3">
      <c r="A94" s="14"/>
      <c r="B94" s="58"/>
      <c r="C94" s="130">
        <v>16</v>
      </c>
      <c r="D94" s="195" t="s">
        <v>84</v>
      </c>
      <c r="E94" s="195">
        <v>1</v>
      </c>
      <c r="F94" s="131" t="s">
        <v>36</v>
      </c>
      <c r="G94" s="198">
        <v>30</v>
      </c>
      <c r="H94" s="140">
        <f t="shared" si="20"/>
        <v>14.5</v>
      </c>
      <c r="I94" s="117">
        <v>20</v>
      </c>
      <c r="J94" s="142">
        <f t="shared" si="19"/>
        <v>3.9525691699604744E-2</v>
      </c>
      <c r="K94" s="117">
        <f t="shared" si="21"/>
        <v>335</v>
      </c>
      <c r="L94" s="132">
        <f t="shared" si="24"/>
        <v>0.66205533596837929</v>
      </c>
      <c r="M94" s="144">
        <f t="shared" si="25"/>
        <v>350000</v>
      </c>
      <c r="N94" s="118">
        <f t="shared" si="26"/>
        <v>13182078.94229321</v>
      </c>
      <c r="O94" s="118">
        <f t="shared" si="27"/>
        <v>10732078.942293212</v>
      </c>
      <c r="P94" s="161">
        <v>7.3800000000000004E-2</v>
      </c>
      <c r="Q94" s="201">
        <f t="shared" si="22"/>
        <v>792027.42594123911</v>
      </c>
      <c r="R94" s="180">
        <f>SUM((M94-S94)^2+(M95-S95)^2+(M96-S96)^2)/3</f>
        <v>2540740740.7407413</v>
      </c>
      <c r="S94" s="133">
        <f t="shared" si="23"/>
        <v>420000</v>
      </c>
      <c r="T94" s="59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ht="15.75" thickBot="1" x14ac:dyDescent="0.3">
      <c r="A95" s="14"/>
      <c r="B95" s="58"/>
      <c r="C95" s="130">
        <v>17</v>
      </c>
      <c r="D95" s="195" t="s">
        <v>85</v>
      </c>
      <c r="E95" s="195">
        <v>1</v>
      </c>
      <c r="F95" s="131" t="s">
        <v>36</v>
      </c>
      <c r="G95" s="198">
        <v>31</v>
      </c>
      <c r="H95" s="140">
        <f t="shared" si="20"/>
        <v>15</v>
      </c>
      <c r="I95" s="117">
        <v>21</v>
      </c>
      <c r="J95" s="142">
        <f t="shared" si="19"/>
        <v>4.1501976284584984E-2</v>
      </c>
      <c r="K95" s="117">
        <f t="shared" si="21"/>
        <v>356</v>
      </c>
      <c r="L95" s="132">
        <f t="shared" si="24"/>
        <v>0.70355731225296425</v>
      </c>
      <c r="M95" s="144">
        <f t="shared" si="25"/>
        <v>373333.33333333331</v>
      </c>
      <c r="N95" s="118">
        <f t="shared" si="26"/>
        <v>12320051.516351972</v>
      </c>
      <c r="O95" s="118">
        <f t="shared" si="27"/>
        <v>9520051.5163519718</v>
      </c>
      <c r="P95" s="161">
        <v>7.3800000000000004E-2</v>
      </c>
      <c r="Q95" s="201">
        <f t="shared" si="22"/>
        <v>702579.80190677557</v>
      </c>
      <c r="R95" s="181"/>
      <c r="S95" s="133">
        <f t="shared" si="23"/>
        <v>420000</v>
      </c>
      <c r="T95" s="59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ht="15.75" thickBot="1" x14ac:dyDescent="0.3">
      <c r="A96" s="14"/>
      <c r="B96" s="58"/>
      <c r="C96" s="130">
        <v>18</v>
      </c>
      <c r="D96" s="195" t="s">
        <v>86</v>
      </c>
      <c r="E96" s="195">
        <v>1</v>
      </c>
      <c r="F96" s="131" t="s">
        <v>36</v>
      </c>
      <c r="G96" s="198">
        <v>30</v>
      </c>
      <c r="H96" s="140">
        <f t="shared" si="20"/>
        <v>14.5</v>
      </c>
      <c r="I96" s="117">
        <v>22</v>
      </c>
      <c r="J96" s="142">
        <f t="shared" si="19"/>
        <v>4.3478260869565216E-2</v>
      </c>
      <c r="K96" s="117">
        <f t="shared" si="21"/>
        <v>378</v>
      </c>
      <c r="L96" s="132">
        <f t="shared" si="24"/>
        <v>0.74703557312252944</v>
      </c>
      <c r="M96" s="144">
        <f t="shared" si="25"/>
        <v>396666.66666666669</v>
      </c>
      <c r="N96" s="118">
        <f t="shared" si="26"/>
        <v>11570805.04777853</v>
      </c>
      <c r="O96" s="118">
        <f t="shared" si="27"/>
        <v>8397471.7144451961</v>
      </c>
      <c r="P96" s="161">
        <v>0.06</v>
      </c>
      <c r="Q96" s="201">
        <f t="shared" si="22"/>
        <v>503848.30286671175</v>
      </c>
      <c r="R96" s="182"/>
      <c r="S96" s="133">
        <f t="shared" si="23"/>
        <v>420000</v>
      </c>
      <c r="T96" s="59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ht="15.75" thickBot="1" x14ac:dyDescent="0.3">
      <c r="A97" s="14"/>
      <c r="B97" s="58"/>
      <c r="C97" s="130">
        <v>19</v>
      </c>
      <c r="D97" s="195" t="s">
        <v>87</v>
      </c>
      <c r="E97" s="195">
        <v>1</v>
      </c>
      <c r="F97" s="131" t="s">
        <v>36</v>
      </c>
      <c r="G97" s="198">
        <v>31</v>
      </c>
      <c r="H97" s="140">
        <f t="shared" si="20"/>
        <v>15</v>
      </c>
      <c r="I97" s="117">
        <v>22</v>
      </c>
      <c r="J97" s="142">
        <f t="shared" si="19"/>
        <v>4.3478260869565216E-2</v>
      </c>
      <c r="K97" s="117">
        <f t="shared" si="21"/>
        <v>400</v>
      </c>
      <c r="L97" s="132">
        <f t="shared" si="24"/>
        <v>0.79051383399209463</v>
      </c>
      <c r="M97" s="144">
        <f t="shared" si="25"/>
        <v>420000</v>
      </c>
      <c r="N97" s="118">
        <f t="shared" si="26"/>
        <v>11043623.411578484</v>
      </c>
      <c r="O97" s="118">
        <f t="shared" si="27"/>
        <v>7473623.4115784839</v>
      </c>
      <c r="P97" s="161">
        <v>0.06</v>
      </c>
      <c r="Q97" s="201">
        <f t="shared" si="22"/>
        <v>448417.404694709</v>
      </c>
      <c r="R97" s="180">
        <f>SUM((M97-S97)^2+(M98-S98)^2+(M99-S99)^2)/3</f>
        <v>907407407.40740776</v>
      </c>
      <c r="S97" s="133">
        <f t="shared" si="23"/>
        <v>420000</v>
      </c>
      <c r="T97" s="59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ht="15.75" thickBot="1" x14ac:dyDescent="0.3">
      <c r="A98" s="14"/>
      <c r="B98" s="58"/>
      <c r="C98" s="130">
        <v>20</v>
      </c>
      <c r="D98" s="195" t="s">
        <v>88</v>
      </c>
      <c r="E98" s="195">
        <v>1</v>
      </c>
      <c r="F98" s="131" t="s">
        <v>36</v>
      </c>
      <c r="G98" s="198">
        <v>31</v>
      </c>
      <c r="H98" s="140">
        <f t="shared" si="20"/>
        <v>15</v>
      </c>
      <c r="I98" s="117">
        <v>22</v>
      </c>
      <c r="J98" s="142">
        <f t="shared" si="19"/>
        <v>4.3478260869565216E-2</v>
      </c>
      <c r="K98" s="117">
        <f t="shared" si="21"/>
        <v>422</v>
      </c>
      <c r="L98" s="132">
        <f t="shared" si="24"/>
        <v>0.83399209486165982</v>
      </c>
      <c r="M98" s="144">
        <f t="shared" si="25"/>
        <v>443333.33333333331</v>
      </c>
      <c r="N98" s="118">
        <f t="shared" si="26"/>
        <v>10595206.006883774</v>
      </c>
      <c r="O98" s="118">
        <f t="shared" si="27"/>
        <v>6605206.0068837749</v>
      </c>
      <c r="P98" s="161">
        <v>0.06</v>
      </c>
      <c r="Q98" s="201">
        <f t="shared" si="22"/>
        <v>396312.36041302647</v>
      </c>
      <c r="R98" s="181"/>
      <c r="S98" s="133">
        <f t="shared" si="23"/>
        <v>420000</v>
      </c>
      <c r="T98" s="59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ht="15.75" thickBot="1" x14ac:dyDescent="0.3">
      <c r="A99" s="14"/>
      <c r="B99" s="58"/>
      <c r="C99" s="130">
        <v>21</v>
      </c>
      <c r="D99" s="195" t="s">
        <v>89</v>
      </c>
      <c r="E99" s="195">
        <v>1</v>
      </c>
      <c r="F99" s="131" t="s">
        <v>36</v>
      </c>
      <c r="G99" s="198">
        <v>30</v>
      </c>
      <c r="H99" s="140">
        <f t="shared" si="20"/>
        <v>14.5</v>
      </c>
      <c r="I99" s="117">
        <v>21</v>
      </c>
      <c r="J99" s="142">
        <f t="shared" si="19"/>
        <v>4.1501976284584984E-2</v>
      </c>
      <c r="K99" s="117">
        <f t="shared" si="21"/>
        <v>443</v>
      </c>
      <c r="L99" s="132">
        <f t="shared" si="24"/>
        <v>0.87549407114624478</v>
      </c>
      <c r="M99" s="144">
        <f t="shared" si="25"/>
        <v>466666.66666666669</v>
      </c>
      <c r="N99" s="118">
        <f t="shared" si="26"/>
        <v>10222226.979804082</v>
      </c>
      <c r="O99" s="118">
        <f t="shared" si="27"/>
        <v>5788893.6464707488</v>
      </c>
      <c r="P99" s="161">
        <v>0.06</v>
      </c>
      <c r="Q99" s="201">
        <f t="shared" si="22"/>
        <v>347333.6187882449</v>
      </c>
      <c r="R99" s="182"/>
      <c r="S99" s="133">
        <f t="shared" si="23"/>
        <v>420000</v>
      </c>
      <c r="T99" s="59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ht="15.75" thickBot="1" x14ac:dyDescent="0.3">
      <c r="A100" s="14"/>
      <c r="B100" s="58"/>
      <c r="C100" s="130">
        <v>22</v>
      </c>
      <c r="D100" s="195" t="s">
        <v>90</v>
      </c>
      <c r="E100" s="195">
        <v>1</v>
      </c>
      <c r="F100" s="131" t="s">
        <v>36</v>
      </c>
      <c r="G100" s="198">
        <v>31</v>
      </c>
      <c r="H100" s="140">
        <f t="shared" si="20"/>
        <v>15</v>
      </c>
      <c r="I100" s="117">
        <v>20</v>
      </c>
      <c r="J100" s="142">
        <f t="shared" si="19"/>
        <v>3.9525691699604744E-2</v>
      </c>
      <c r="K100" s="117">
        <f t="shared" si="21"/>
        <v>463</v>
      </c>
      <c r="L100" s="132">
        <f t="shared" si="24"/>
        <v>0.91501976284584952</v>
      </c>
      <c r="M100" s="144">
        <f t="shared" si="25"/>
        <v>490000</v>
      </c>
      <c r="N100" s="118">
        <f t="shared" si="26"/>
        <v>9921560.0276825037</v>
      </c>
      <c r="O100" s="118">
        <f t="shared" si="27"/>
        <v>5021560.0276825037</v>
      </c>
      <c r="P100" s="161">
        <v>0.06</v>
      </c>
      <c r="Q100" s="201">
        <f t="shared" si="22"/>
        <v>301293.60166095023</v>
      </c>
      <c r="R100" s="180">
        <f>SUM((M100-S100)^2+(M101-S101)^2+(M102-S102)^2)/3</f>
        <v>9074074074.0740681</v>
      </c>
      <c r="S100" s="133">
        <f t="shared" si="23"/>
        <v>420000</v>
      </c>
      <c r="T100" s="59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ht="15.75" thickBot="1" x14ac:dyDescent="0.3">
      <c r="A101" s="14"/>
      <c r="B101" s="58"/>
      <c r="C101" s="130">
        <v>23</v>
      </c>
      <c r="D101" s="195" t="s">
        <v>91</v>
      </c>
      <c r="E101" s="195">
        <v>1</v>
      </c>
      <c r="F101" s="131" t="s">
        <v>36</v>
      </c>
      <c r="G101" s="198">
        <v>30</v>
      </c>
      <c r="H101" s="140">
        <f t="shared" si="20"/>
        <v>14.5</v>
      </c>
      <c r="I101" s="117">
        <v>20</v>
      </c>
      <c r="J101" s="142">
        <f t="shared" si="19"/>
        <v>3.9525691699604744E-2</v>
      </c>
      <c r="K101" s="117">
        <f t="shared" si="21"/>
        <v>483</v>
      </c>
      <c r="L101" s="132">
        <f t="shared" si="24"/>
        <v>0.95454545454545425</v>
      </c>
      <c r="M101" s="144">
        <f t="shared" si="25"/>
        <v>513333.33333333331</v>
      </c>
      <c r="N101" s="118">
        <f t="shared" si="26"/>
        <v>9690266.4260215536</v>
      </c>
      <c r="O101" s="118">
        <f t="shared" si="27"/>
        <v>4300266.4260215536</v>
      </c>
      <c r="P101" s="161">
        <v>0.06</v>
      </c>
      <c r="Q101" s="202">
        <f t="shared" si="22"/>
        <v>258015.9855612932</v>
      </c>
      <c r="R101" s="181"/>
      <c r="S101" s="133">
        <f t="shared" si="23"/>
        <v>420000</v>
      </c>
      <c r="T101" s="59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ht="15.75" thickBot="1" x14ac:dyDescent="0.3">
      <c r="A102" s="14"/>
      <c r="B102" s="58"/>
      <c r="C102" s="130">
        <v>24</v>
      </c>
      <c r="D102" s="196" t="s">
        <v>92</v>
      </c>
      <c r="E102" s="196">
        <v>1</v>
      </c>
      <c r="F102" s="134" t="s">
        <v>36</v>
      </c>
      <c r="G102" s="199">
        <v>31</v>
      </c>
      <c r="H102" s="141">
        <f t="shared" si="20"/>
        <v>15</v>
      </c>
      <c r="I102" s="135">
        <v>23</v>
      </c>
      <c r="J102" s="136">
        <f t="shared" si="19"/>
        <v>4.5454545454545456E-2</v>
      </c>
      <c r="K102" s="135">
        <f t="shared" si="21"/>
        <v>506</v>
      </c>
      <c r="L102" s="137">
        <f t="shared" si="24"/>
        <v>0.99999999999999967</v>
      </c>
      <c r="M102" s="145">
        <f t="shared" si="25"/>
        <v>536666.66666666663</v>
      </c>
      <c r="N102" s="151">
        <f t="shared" si="26"/>
        <v>9525583.7737935949</v>
      </c>
      <c r="O102" s="151">
        <f t="shared" si="27"/>
        <v>3622250.4404602605</v>
      </c>
      <c r="P102" s="162">
        <v>7.3800000000000004E-2</v>
      </c>
      <c r="Q102" s="203">
        <f t="shared" si="22"/>
        <v>267322.08250596724</v>
      </c>
      <c r="R102" s="182"/>
      <c r="S102" s="138">
        <f t="shared" si="23"/>
        <v>420000</v>
      </c>
      <c r="T102" s="59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ht="15.75" thickBot="1" x14ac:dyDescent="0.3">
      <c r="A103" s="14"/>
      <c r="B103" s="58"/>
      <c r="C103" s="119" t="s">
        <v>44</v>
      </c>
      <c r="D103" s="64"/>
      <c r="E103" s="77"/>
      <c r="F103" s="64"/>
      <c r="G103" s="76"/>
      <c r="H103" s="120">
        <f>SUBTOTAL(9,H79:H102)</f>
        <v>353.5</v>
      </c>
      <c r="I103" s="121">
        <f>SUBTOTAL(9,I79:I102)</f>
        <v>506</v>
      </c>
      <c r="J103" s="122">
        <f>SUBTOTAL(9,J79:J102)</f>
        <v>0.99999999999999967</v>
      </c>
      <c r="K103" s="77"/>
      <c r="L103" s="76"/>
      <c r="M103" s="78"/>
      <c r="N103" s="204">
        <f t="shared" ref="N103" si="28">SUBTOTAL(9,N79:N102)</f>
        <v>464269170.35984057</v>
      </c>
      <c r="O103" s="205">
        <f>SUBTOTAL(9,O79:O102)</f>
        <v>417042503.69317383</v>
      </c>
      <c r="P103" s="64"/>
      <c r="Q103" s="64"/>
      <c r="R103" s="14"/>
      <c r="S103" s="101">
        <f>SUBTOTAL(9,S79:S102)</f>
        <v>10080000</v>
      </c>
      <c r="T103" s="14"/>
      <c r="U103" s="14"/>
      <c r="V103" s="14"/>
      <c r="W103" s="14"/>
      <c r="X103" s="14"/>
      <c r="Y103" s="14"/>
      <c r="Z103" s="14"/>
      <c r="AA103" s="14"/>
    </row>
    <row r="104" spans="1:29" ht="15.75" thickBot="1" x14ac:dyDescent="0.3">
      <c r="A104" s="14"/>
      <c r="B104" s="14"/>
      <c r="C104" s="64"/>
      <c r="D104" s="14"/>
      <c r="E104" s="14"/>
      <c r="F104" s="14"/>
      <c r="G104" s="14"/>
      <c r="H104" s="64"/>
      <c r="I104" s="64"/>
      <c r="J104" s="64"/>
      <c r="K104" s="14"/>
      <c r="L104" s="14"/>
      <c r="M104" s="14"/>
      <c r="N104" s="64"/>
      <c r="O104" s="64"/>
      <c r="P104" s="64"/>
      <c r="Q104" s="6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ht="15.75" thickBot="1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ht="15.75" thickBot="1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ht="15.75" thickBo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ht="15.75" thickBot="1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ht="15.75" thickBot="1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ht="15.75" thickBot="1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ht="15.75" thickBot="1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ht="15.75" thickBot="1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ht="15.75" thickBot="1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ht="15.75" thickBot="1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ht="15.75" thickBot="1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ht="15.75" thickBot="1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ht="15.75" thickBot="1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ht="15.75" thickBot="1" x14ac:dyDescent="0.3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ht="15.75" thickBot="1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ht="15.75" thickBot="1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ht="15.75" thickBot="1" x14ac:dyDescent="0.3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ht="15.75" thickBot="1" x14ac:dyDescent="0.3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ht="15.75" thickBot="1" x14ac:dyDescent="0.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ht="15.75" thickBot="1" x14ac:dyDescent="0.3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ht="15.75" thickBot="1" x14ac:dyDescent="0.3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ht="15.75" thickBot="1" x14ac:dyDescent="0.3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ht="15.75" thickBot="1" x14ac:dyDescent="0.3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ht="15.75" thickBo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ht="15.75" thickBot="1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ht="15.75" thickBot="1" x14ac:dyDescent="0.3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ht="15.75" thickBot="1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ht="15.75" thickBot="1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ht="15.75" thickBot="1" x14ac:dyDescent="0.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ht="15.75" thickBot="1" x14ac:dyDescent="0.3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ht="15.75" thickBot="1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ht="15.75" thickBot="1" x14ac:dyDescent="0.3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ht="15.75" thickBot="1" x14ac:dyDescent="0.3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ht="15.75" thickBot="1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ht="15.75" thickBot="1" x14ac:dyDescent="0.3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ht="15.75" thickBot="1" x14ac:dyDescent="0.3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ht="15.75" thickBot="1" x14ac:dyDescent="0.3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ht="15.75" thickBot="1" x14ac:dyDescent="0.3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ht="15.75" thickBot="1" x14ac:dyDescent="0.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ht="15.75" thickBot="1" x14ac:dyDescent="0.3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ht="15.75" thickBot="1" x14ac:dyDescent="0.3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ht="15.75" thickBot="1" x14ac:dyDescent="0.3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ht="15.75" thickBot="1" x14ac:dyDescent="0.3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ht="15.75" thickBot="1" x14ac:dyDescent="0.3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ht="15.75" thickBot="1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ht="15.75" thickBot="1" x14ac:dyDescent="0.3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ht="15.75" thickBot="1" x14ac:dyDescent="0.3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ht="15.75" thickBot="1" x14ac:dyDescent="0.3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ht="15.75" thickBot="1" x14ac:dyDescent="0.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ht="15.75" thickBot="1" x14ac:dyDescent="0.3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ht="15.75" thickBot="1" x14ac:dyDescent="0.3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ht="15.75" thickBot="1" x14ac:dyDescent="0.3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ht="15.75" thickBot="1" x14ac:dyDescent="0.3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ht="15.75" thickBot="1" x14ac:dyDescent="0.3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ht="15.75" thickBot="1" x14ac:dyDescent="0.3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ht="15.75" thickBot="1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ht="15.75" thickBot="1" x14ac:dyDescent="0.3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ht="15.75" thickBot="1" x14ac:dyDescent="0.3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ht="15.75" thickBot="1" x14ac:dyDescent="0.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ht="15.75" thickBot="1" x14ac:dyDescent="0.3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ht="15.75" thickBot="1" x14ac:dyDescent="0.3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ht="15.75" thickBot="1" x14ac:dyDescent="0.3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ht="15.75" thickBot="1" x14ac:dyDescent="0.3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ht="15.75" thickBot="1" x14ac:dyDescent="0.3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ht="15.75" thickBot="1" x14ac:dyDescent="0.3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ht="15.75" thickBo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ht="15.75" thickBot="1" x14ac:dyDescent="0.3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ht="15.75" thickBot="1" x14ac:dyDescent="0.3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ht="15.75" thickBot="1" x14ac:dyDescent="0.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ht="15.75" thickBot="1" x14ac:dyDescent="0.3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ht="15.75" thickBot="1" x14ac:dyDescent="0.3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ht="15.75" thickBot="1" x14ac:dyDescent="0.3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ht="15.75" thickBot="1" x14ac:dyDescent="0.3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ht="15.75" thickBot="1" x14ac:dyDescent="0.3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ht="15.75" thickBot="1" x14ac:dyDescent="0.3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ht="15.75" thickBot="1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ht="15.75" thickBot="1" x14ac:dyDescent="0.3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ht="15.75" thickBot="1" x14ac:dyDescent="0.3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ht="15.75" thickBot="1" x14ac:dyDescent="0.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ht="15.75" thickBot="1" x14ac:dyDescent="0.3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ht="15.75" thickBot="1" x14ac:dyDescent="0.3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ht="15.75" thickBot="1" x14ac:dyDescent="0.3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ht="15.75" thickBot="1" x14ac:dyDescent="0.3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ht="15.75" thickBot="1" x14ac:dyDescent="0.3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ht="15.75" thickBot="1" x14ac:dyDescent="0.3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ht="15.75" thickBot="1" x14ac:dyDescent="0.3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ht="15.75" thickBot="1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ht="15.75" thickBot="1" x14ac:dyDescent="0.3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ht="15.75" thickBot="1" x14ac:dyDescent="0.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ht="15.75" thickBot="1" x14ac:dyDescent="0.3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ht="15.75" thickBot="1" x14ac:dyDescent="0.3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ht="15.75" thickBot="1" x14ac:dyDescent="0.3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ht="15.75" thickBot="1" x14ac:dyDescent="0.3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ht="15.75" thickBot="1" x14ac:dyDescent="0.3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ht="15.75" thickBot="1" x14ac:dyDescent="0.3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ht="15.75" thickBot="1" x14ac:dyDescent="0.3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ht="15.75" thickBot="1" x14ac:dyDescent="0.3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ht="15.75" thickBot="1" x14ac:dyDescent="0.3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ht="15.75" thickBot="1" x14ac:dyDescent="0.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ht="15.75" thickBot="1" x14ac:dyDescent="0.3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ht="15.75" thickBot="1" x14ac:dyDescent="0.3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ht="15.75" thickBot="1" x14ac:dyDescent="0.3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ht="15.75" thickBot="1" x14ac:dyDescent="0.3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ht="15.75" thickBot="1" x14ac:dyDescent="0.3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ht="15.75" thickBot="1" x14ac:dyDescent="0.3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ht="15.75" thickBot="1" x14ac:dyDescent="0.3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ht="15.75" thickBot="1" x14ac:dyDescent="0.3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ht="15.75" thickBot="1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ht="15.75" thickBot="1" x14ac:dyDescent="0.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ht="15.75" thickBot="1" x14ac:dyDescent="0.3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ht="15.75" thickBot="1" x14ac:dyDescent="0.3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ht="15.75" thickBot="1" x14ac:dyDescent="0.3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ht="15.75" thickBot="1" x14ac:dyDescent="0.3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ht="15.75" thickBot="1" x14ac:dyDescent="0.3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ht="15.75" thickBot="1" x14ac:dyDescent="0.3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ht="15.75" thickBot="1" x14ac:dyDescent="0.3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ht="15.75" thickBot="1" x14ac:dyDescent="0.3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ht="15.75" thickBot="1" x14ac:dyDescent="0.3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ht="15.75" thickBot="1" x14ac:dyDescent="0.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ht="15.75" thickBot="1" x14ac:dyDescent="0.3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ht="15.75" thickBot="1" x14ac:dyDescent="0.3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ht="15.75" thickBot="1" x14ac:dyDescent="0.3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ht="15.75" thickBot="1" x14ac:dyDescent="0.3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ht="15.75" thickBot="1" x14ac:dyDescent="0.3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ht="15.75" thickBot="1" x14ac:dyDescent="0.3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ht="15.75" thickBot="1" x14ac:dyDescent="0.3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ht="15.75" thickBot="1" x14ac:dyDescent="0.3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ht="15.75" thickBot="1" x14ac:dyDescent="0.3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ht="15.75" thickBot="1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ht="15.75" thickBot="1" x14ac:dyDescent="0.3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ht="15.75" thickBot="1" x14ac:dyDescent="0.3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ht="15.75" thickBot="1" x14ac:dyDescent="0.3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ht="15.75" thickBot="1" x14ac:dyDescent="0.3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ht="15.75" thickBot="1" x14ac:dyDescent="0.3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ht="15.75" thickBot="1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ht="15.75" thickBot="1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ht="15.75" thickBot="1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ht="15.75" thickBot="1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ht="15.75" thickBot="1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ht="15.75" thickBot="1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ht="15.75" thickBot="1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ht="15.75" thickBot="1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ht="15.75" thickBot="1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ht="15.75" thickBot="1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ht="15.75" thickBot="1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ht="15.75" thickBot="1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ht="15.75" thickBot="1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ht="15.75" thickBot="1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ht="15.75" thickBot="1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ht="15.75" thickBot="1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ht="15.75" thickBot="1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ht="15.75" thickBot="1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ht="15.75" thickBot="1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ht="15.75" thickBot="1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ht="15.75" thickBot="1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ht="15.75" thickBot="1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ht="15.75" thickBot="1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ht="15.75" thickBot="1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ht="15.75" thickBot="1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ht="15.75" thickBot="1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ht="15.75" thickBot="1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ht="15.75" thickBot="1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ht="15.75" thickBot="1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ht="15.75" thickBot="1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ht="15.75" thickBot="1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ht="15.75" thickBot="1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ht="15.75" thickBot="1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ht="15.75" thickBot="1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ht="15.75" thickBot="1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ht="15.75" thickBot="1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ht="15.75" thickBot="1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ht="15.75" thickBot="1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ht="15.75" thickBot="1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ht="15.75" thickBot="1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ht="15.75" thickBot="1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ht="15.75" thickBot="1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ht="15.75" thickBot="1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ht="15.75" thickBot="1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ht="15.75" thickBot="1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ht="15.75" thickBot="1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ht="15.75" thickBot="1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ht="15.75" thickBot="1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ht="15.75" thickBot="1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ht="15.75" thickBot="1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ht="15.75" thickBot="1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ht="15.75" thickBot="1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ht="15.75" thickBot="1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ht="15.75" thickBot="1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ht="15.75" thickBot="1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ht="15.75" thickBot="1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ht="15.75" thickBot="1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ht="15.75" thickBot="1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ht="15.75" thickBot="1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ht="15.75" thickBot="1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ht="15.75" thickBot="1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ht="15.75" thickBot="1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ht="15.75" thickBot="1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ht="15.75" thickBot="1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ht="15.75" thickBot="1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ht="15.75" thickBot="1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ht="15.75" thickBot="1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ht="15.75" thickBot="1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ht="15.75" thickBot="1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ht="15.75" thickBot="1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ht="15.75" thickBot="1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ht="15.75" thickBot="1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ht="15.75" thickBot="1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ht="15.75" thickBot="1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ht="15.75" thickBot="1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ht="15.75" thickBot="1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ht="15.75" thickBot="1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ht="15.75" thickBot="1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ht="15.75" thickBot="1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ht="15.75" thickBot="1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ht="15.75" thickBot="1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ht="15.75" thickBot="1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ht="15.75" thickBot="1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ht="15.75" thickBot="1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ht="15.75" thickBot="1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ht="15.75" thickBot="1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ht="15.75" thickBot="1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ht="15.75" thickBot="1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ht="15.75" thickBot="1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ht="15.75" thickBot="1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ht="15.75" thickBot="1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ht="15.75" thickBot="1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ht="15.75" thickBot="1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ht="15.75" thickBot="1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ht="15.75" thickBot="1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ht="15.75" thickBot="1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ht="15.75" thickBot="1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ht="15.75" thickBot="1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ht="15.75" thickBot="1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</sheetData>
  <mergeCells count="72">
    <mergeCell ref="N77:N78"/>
    <mergeCell ref="N46:N47"/>
    <mergeCell ref="K16:K17"/>
    <mergeCell ref="L16:L17"/>
    <mergeCell ref="R16:R17"/>
    <mergeCell ref="N16:N17"/>
    <mergeCell ref="C16:C17"/>
    <mergeCell ref="E16:G16"/>
    <mergeCell ref="H16:H17"/>
    <mergeCell ref="I16:I17"/>
    <mergeCell ref="J16:J17"/>
    <mergeCell ref="C77:C78"/>
    <mergeCell ref="E77:G77"/>
    <mergeCell ref="H77:H78"/>
    <mergeCell ref="I77:I78"/>
    <mergeCell ref="J77:J78"/>
    <mergeCell ref="S77:S78"/>
    <mergeCell ref="Q77:Q78"/>
    <mergeCell ref="R46:R47"/>
    <mergeCell ref="S46:S47"/>
    <mergeCell ref="R51:R53"/>
    <mergeCell ref="D77:D78"/>
    <mergeCell ref="M46:M47"/>
    <mergeCell ref="M77:M78"/>
    <mergeCell ref="O46:O47"/>
    <mergeCell ref="O77:O78"/>
    <mergeCell ref="D46:D47"/>
    <mergeCell ref="K77:K78"/>
    <mergeCell ref="L77:L78"/>
    <mergeCell ref="R77:R78"/>
    <mergeCell ref="E46:G46"/>
    <mergeCell ref="H46:H47"/>
    <mergeCell ref="I46:I47"/>
    <mergeCell ref="J46:J47"/>
    <mergeCell ref="K46:K47"/>
    <mergeCell ref="R33:R35"/>
    <mergeCell ref="R36:R38"/>
    <mergeCell ref="R39:R41"/>
    <mergeCell ref="C15:S15"/>
    <mergeCell ref="R48:R50"/>
    <mergeCell ref="R18:R20"/>
    <mergeCell ref="R21:R23"/>
    <mergeCell ref="R24:R26"/>
    <mergeCell ref="R27:R29"/>
    <mergeCell ref="R30:R32"/>
    <mergeCell ref="O16:O17"/>
    <mergeCell ref="M16:M17"/>
    <mergeCell ref="D16:D17"/>
    <mergeCell ref="S16:S17"/>
    <mergeCell ref="C46:C47"/>
    <mergeCell ref="L46:L47"/>
    <mergeCell ref="R57:R59"/>
    <mergeCell ref="R60:R62"/>
    <mergeCell ref="R63:R65"/>
    <mergeCell ref="R66:R68"/>
    <mergeCell ref="R69:R71"/>
    <mergeCell ref="R97:R99"/>
    <mergeCell ref="R100:R102"/>
    <mergeCell ref="C76:S76"/>
    <mergeCell ref="C45:S45"/>
    <mergeCell ref="P16:P17"/>
    <mergeCell ref="P46:P47"/>
    <mergeCell ref="P77:P78"/>
    <mergeCell ref="Q16:Q17"/>
    <mergeCell ref="Q46:Q47"/>
    <mergeCell ref="R79:R81"/>
    <mergeCell ref="R82:R84"/>
    <mergeCell ref="R85:R87"/>
    <mergeCell ref="R88:R90"/>
    <mergeCell ref="R91:R93"/>
    <mergeCell ref="R94:R96"/>
    <mergeCell ref="R54:R56"/>
  </mergeCells>
  <conditionalFormatting sqref="O18:O41">
    <cfRule type="cellIs" dxfId="19" priority="19" operator="lessThan">
      <formula>$X$5</formula>
    </cfRule>
    <cfRule type="cellIs" dxfId="18" priority="20" operator="greaterThan">
      <formula>$X$5</formula>
    </cfRule>
  </conditionalFormatting>
  <conditionalFormatting sqref="N18:N41">
    <cfRule type="cellIs" dxfId="17" priority="17" operator="lessThan">
      <formula>$X$5</formula>
    </cfRule>
    <cfRule type="cellIs" dxfId="16" priority="18" operator="greaterThan">
      <formula>$X$5</formula>
    </cfRule>
  </conditionalFormatting>
  <conditionalFormatting sqref="O48:O71">
    <cfRule type="cellIs" dxfId="15" priority="15" operator="lessThan">
      <formula>$X$5</formula>
    </cfRule>
    <cfRule type="cellIs" dxfId="14" priority="16" operator="greaterThan">
      <formula>$X$5</formula>
    </cfRule>
  </conditionalFormatting>
  <conditionalFormatting sqref="N48:N71">
    <cfRule type="cellIs" dxfId="13" priority="13" operator="lessThan">
      <formula>$X$5</formula>
    </cfRule>
    <cfRule type="cellIs" dxfId="12" priority="14" operator="greaterThan">
      <formula>$X$5</formula>
    </cfRule>
  </conditionalFormatting>
  <conditionalFormatting sqref="O79:O102">
    <cfRule type="cellIs" dxfId="11" priority="11" operator="lessThan">
      <formula>$X$5</formula>
    </cfRule>
    <cfRule type="cellIs" dxfId="10" priority="12" operator="greaterThan">
      <formula>$X$5</formula>
    </cfRule>
  </conditionalFormatting>
  <conditionalFormatting sqref="N79:N102">
    <cfRule type="cellIs" dxfId="9" priority="9" operator="lessThan">
      <formula>$X$5</formula>
    </cfRule>
    <cfRule type="cellIs" dxfId="8" priority="10" operator="greaterThan">
      <formula>$X$5</formula>
    </cfRule>
  </conditionalFormatting>
  <conditionalFormatting sqref="N48:O71">
    <cfRule type="cellIs" dxfId="7" priority="8" operator="greaterThan">
      <formula>$X$6</formula>
    </cfRule>
    <cfRule type="cellIs" dxfId="6" priority="7" operator="lessThan">
      <formula>$X$6</formula>
    </cfRule>
    <cfRule type="cellIs" dxfId="5" priority="6" operator="lessThan">
      <formula>$X$6</formula>
    </cfRule>
    <cfRule type="cellIs" dxfId="4" priority="5" operator="greaterThan">
      <formula>$X$6</formula>
    </cfRule>
    <cfRule type="cellIs" dxfId="3" priority="3" operator="greaterThan">
      <formula>$X$5+$X$6</formula>
    </cfRule>
  </conditionalFormatting>
  <conditionalFormatting sqref="N79:O102">
    <cfRule type="cellIs" dxfId="0" priority="4" operator="lessThan">
      <formula>$X$5+$X$6</formula>
    </cfRule>
    <cfRule type="cellIs" dxfId="1" priority="2" operator="greaterThan">
      <formula>$X$5+$X$6</formula>
    </cfRule>
    <cfRule type="cellIs" dxfId="2" priority="1" operator="lessThan">
      <formula>$X$5+$X$6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Plan2</vt:lpstr>
      <vt:lpstr>Parte 1</vt:lpstr>
      <vt:lpstr>Parte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internet</dc:creator>
  <cp:lastModifiedBy>GuilhermeRed</cp:lastModifiedBy>
  <dcterms:created xsi:type="dcterms:W3CDTF">2019-06-01T15:17:39Z</dcterms:created>
  <dcterms:modified xsi:type="dcterms:W3CDTF">2019-06-09T14:26:07Z</dcterms:modified>
</cp:coreProperties>
</file>